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b1a04007f80a09c/Desktop/"/>
    </mc:Choice>
  </mc:AlternateContent>
  <xr:revisionPtr revIDLastSave="0" documentId="8_{E41ECDEE-032A-4A56-AAFB-BBF64D9F58E6}" xr6:coauthVersionLast="47" xr6:coauthVersionMax="47" xr10:uidLastSave="{00000000-0000-0000-0000-000000000000}"/>
  <bookViews>
    <workbookView xWindow="-120" yWindow="-120" windowWidth="24240" windowHeight="13020" activeTab="3" xr2:uid="{CEF09972-C783-45D7-9A42-C6DD016018AA}"/>
  </bookViews>
  <sheets>
    <sheet name="Raw Data" sheetId="2" r:id="rId1"/>
    <sheet name="Constructed Financials" sheetId="3" r:id="rId2"/>
    <sheet name="Financial Ratios" sheetId="4" r:id="rId3"/>
    <sheet name="Forecasting &amp; Valuation" sheetId="5" r:id="rId4"/>
    <sheet name="Graph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6" l="1"/>
  <c r="G2" i="6"/>
  <c r="H2" i="6"/>
  <c r="I2" i="6"/>
  <c r="J2" i="6"/>
  <c r="K2" i="6"/>
  <c r="L2" i="6"/>
  <c r="Q2" i="6"/>
  <c r="R2" i="6"/>
  <c r="S2" i="6"/>
  <c r="T2" i="6"/>
  <c r="U2" i="6"/>
  <c r="F3" i="6"/>
  <c r="G3" i="6"/>
  <c r="H3" i="6"/>
  <c r="I3" i="6"/>
  <c r="J3" i="6"/>
  <c r="K3" i="6"/>
  <c r="L3" i="6"/>
  <c r="Q3" i="6"/>
  <c r="R3" i="6"/>
  <c r="S3" i="6"/>
  <c r="T3" i="6"/>
  <c r="U3" i="6"/>
  <c r="F4" i="6"/>
  <c r="G4" i="6"/>
  <c r="H4" i="6"/>
  <c r="I4" i="6"/>
  <c r="J4" i="6"/>
  <c r="K4" i="6"/>
  <c r="L4" i="6"/>
  <c r="Q4" i="6"/>
  <c r="R4" i="6"/>
  <c r="S4" i="6"/>
  <c r="T4" i="6"/>
  <c r="U4" i="6"/>
  <c r="Q5" i="6"/>
  <c r="R5" i="6"/>
  <c r="S5" i="6"/>
  <c r="T5" i="6"/>
  <c r="U5" i="6"/>
  <c r="F6" i="6"/>
  <c r="G6" i="6"/>
  <c r="H6" i="6"/>
  <c r="I6" i="6"/>
  <c r="J6" i="6"/>
  <c r="K6" i="6"/>
  <c r="L6" i="6"/>
  <c r="F7" i="6"/>
  <c r="G7" i="6"/>
  <c r="H7" i="6"/>
  <c r="I7" i="6"/>
  <c r="J7" i="6"/>
  <c r="K7" i="6"/>
  <c r="L7" i="6"/>
  <c r="H8" i="6"/>
  <c r="I8" i="6"/>
  <c r="J8" i="6"/>
  <c r="K8" i="6"/>
  <c r="L8" i="6"/>
  <c r="A1" i="5"/>
  <c r="G1" i="5"/>
  <c r="I1" i="5"/>
  <c r="C4" i="5"/>
  <c r="D4" i="5"/>
  <c r="E4" i="5"/>
  <c r="E51" i="5" s="1"/>
  <c r="E183" i="5" s="1"/>
  <c r="F4" i="5"/>
  <c r="F51" i="5" s="1"/>
  <c r="F75" i="5" s="1"/>
  <c r="F129" i="5" s="1"/>
  <c r="F165" i="5" s="1"/>
  <c r="G4" i="5"/>
  <c r="G51" i="5" s="1"/>
  <c r="H4" i="5"/>
  <c r="I4" i="5"/>
  <c r="J4" i="5"/>
  <c r="K4" i="5"/>
  <c r="L4" i="5"/>
  <c r="D6" i="5"/>
  <c r="E6" i="5"/>
  <c r="F6" i="5"/>
  <c r="G6" i="5"/>
  <c r="H6" i="5"/>
  <c r="I6" i="5"/>
  <c r="J6" i="5"/>
  <c r="K6" i="5"/>
  <c r="L6" i="5"/>
  <c r="M6" i="5"/>
  <c r="N6" i="5"/>
  <c r="Q6" i="5" s="1"/>
  <c r="O6" i="5"/>
  <c r="U6" i="5"/>
  <c r="C9" i="5"/>
  <c r="D9" i="5"/>
  <c r="E9" i="5"/>
  <c r="F9" i="5"/>
  <c r="G9" i="5"/>
  <c r="H9" i="5"/>
  <c r="I9" i="5"/>
  <c r="J9" i="5"/>
  <c r="K9" i="5"/>
  <c r="L9" i="5"/>
  <c r="M9" i="5"/>
  <c r="U9" i="5" s="1"/>
  <c r="R9" i="5" s="1"/>
  <c r="S9" i="5" s="1"/>
  <c r="T9" i="5" s="1"/>
  <c r="N9" i="5"/>
  <c r="O9" i="5"/>
  <c r="Q9" i="5"/>
  <c r="C10" i="5"/>
  <c r="D10" i="5"/>
  <c r="E10" i="5"/>
  <c r="F10" i="5"/>
  <c r="G10" i="5"/>
  <c r="H10" i="5"/>
  <c r="I10" i="5"/>
  <c r="J10" i="5"/>
  <c r="K10" i="5"/>
  <c r="L10" i="5"/>
  <c r="N10" i="5" s="1"/>
  <c r="Q10" i="5" s="1"/>
  <c r="M10" i="5"/>
  <c r="O10" i="5"/>
  <c r="U10" i="5"/>
  <c r="C11" i="5"/>
  <c r="D11" i="5"/>
  <c r="E11" i="5"/>
  <c r="F11" i="5"/>
  <c r="G11" i="5"/>
  <c r="H11" i="5"/>
  <c r="I11" i="5"/>
  <c r="J11" i="5"/>
  <c r="K11" i="5"/>
  <c r="L11" i="5"/>
  <c r="N11" i="5" s="1"/>
  <c r="Q11" i="5" s="1"/>
  <c r="C12" i="5"/>
  <c r="D12" i="5"/>
  <c r="E12" i="5"/>
  <c r="F12" i="5"/>
  <c r="G12" i="5"/>
  <c r="H12" i="5"/>
  <c r="I12" i="5"/>
  <c r="J12" i="5"/>
  <c r="K12" i="5"/>
  <c r="L12" i="5"/>
  <c r="N12" i="5" s="1"/>
  <c r="C13" i="5"/>
  <c r="D13" i="5"/>
  <c r="E13" i="5"/>
  <c r="F13" i="5"/>
  <c r="G13" i="5"/>
  <c r="H13" i="5"/>
  <c r="I13" i="5"/>
  <c r="J13" i="5"/>
  <c r="K13" i="5"/>
  <c r="L13" i="5"/>
  <c r="M13" i="5"/>
  <c r="N13" i="5"/>
  <c r="D14" i="5"/>
  <c r="E14" i="5"/>
  <c r="F14" i="5"/>
  <c r="G14" i="5"/>
  <c r="H14" i="5"/>
  <c r="I14" i="5"/>
  <c r="J14" i="5"/>
  <c r="K14" i="5"/>
  <c r="L14" i="5"/>
  <c r="N14" i="5" s="1"/>
  <c r="Q14" i="5" s="1"/>
  <c r="U14" i="5"/>
  <c r="R15" i="5"/>
  <c r="S15" i="5" s="1"/>
  <c r="T15" i="5" s="1"/>
  <c r="C16" i="5"/>
  <c r="D16" i="5"/>
  <c r="E16" i="5"/>
  <c r="F16" i="5"/>
  <c r="G16" i="5"/>
  <c r="H16" i="5"/>
  <c r="I16" i="5"/>
  <c r="J16" i="5"/>
  <c r="K16" i="5"/>
  <c r="L16" i="5"/>
  <c r="N16" i="5" s="1"/>
  <c r="Q16" i="5" s="1"/>
  <c r="M16" i="5"/>
  <c r="U16" i="5" s="1"/>
  <c r="C17" i="5"/>
  <c r="D17" i="5"/>
  <c r="E17" i="5"/>
  <c r="F17" i="5"/>
  <c r="G17" i="5"/>
  <c r="H17" i="5"/>
  <c r="I17" i="5"/>
  <c r="J17" i="5"/>
  <c r="K17" i="5"/>
  <c r="L17" i="5"/>
  <c r="M17" i="5"/>
  <c r="U17" i="5" s="1"/>
  <c r="N17" i="5"/>
  <c r="Q17" i="5" s="1"/>
  <c r="C18" i="5"/>
  <c r="D18" i="5"/>
  <c r="E18" i="5"/>
  <c r="F18" i="5"/>
  <c r="M18" i="5" s="1" a="1"/>
  <c r="M18" i="5" s="1"/>
  <c r="G18" i="5"/>
  <c r="H18" i="5"/>
  <c r="I18" i="5"/>
  <c r="J18" i="5"/>
  <c r="K18" i="5"/>
  <c r="L18" i="5"/>
  <c r="N18" i="5" s="1"/>
  <c r="Q18" i="5" s="1"/>
  <c r="C19" i="5"/>
  <c r="D19" i="5"/>
  <c r="E19" i="5"/>
  <c r="F19" i="5"/>
  <c r="G19" i="5"/>
  <c r="H19" i="5"/>
  <c r="I19" i="5"/>
  <c r="J19" i="5"/>
  <c r="K19" i="5"/>
  <c r="L19" i="5"/>
  <c r="N19" i="5" s="1"/>
  <c r="M19" i="5"/>
  <c r="Q19" i="5"/>
  <c r="R19" i="5" s="1"/>
  <c r="U19" i="5"/>
  <c r="C20" i="5"/>
  <c r="D20" i="5"/>
  <c r="E20" i="5"/>
  <c r="F20" i="5"/>
  <c r="G20" i="5"/>
  <c r="H20" i="5"/>
  <c r="I20" i="5"/>
  <c r="J20" i="5"/>
  <c r="K20" i="5"/>
  <c r="L20" i="5"/>
  <c r="N20" i="5"/>
  <c r="Q20" i="5" s="1"/>
  <c r="C22" i="5"/>
  <c r="D22" i="5"/>
  <c r="E22" i="5"/>
  <c r="F22" i="5"/>
  <c r="G22" i="5"/>
  <c r="H22" i="5"/>
  <c r="I22" i="5"/>
  <c r="J22" i="5"/>
  <c r="K22" i="5"/>
  <c r="L22" i="5"/>
  <c r="M22" i="5"/>
  <c r="U22" i="5" s="1"/>
  <c r="N22" i="5"/>
  <c r="Q22" i="5"/>
  <c r="C23" i="5"/>
  <c r="D23" i="5"/>
  <c r="E23" i="5"/>
  <c r="F23" i="5"/>
  <c r="G23" i="5"/>
  <c r="H23" i="5"/>
  <c r="I23" i="5"/>
  <c r="J23" i="5"/>
  <c r="K23" i="5"/>
  <c r="L23" i="5"/>
  <c r="M23" i="5"/>
  <c r="U23" i="5" s="1"/>
  <c r="N23" i="5"/>
  <c r="Q23" i="5" s="1"/>
  <c r="C24" i="5"/>
  <c r="D24" i="5"/>
  <c r="E24" i="5"/>
  <c r="F24" i="5"/>
  <c r="G24" i="5"/>
  <c r="H24" i="5"/>
  <c r="I24" i="5"/>
  <c r="J24" i="5"/>
  <c r="K24" i="5"/>
  <c r="L24" i="5"/>
  <c r="M24" i="5"/>
  <c r="N24" i="5"/>
  <c r="Q24" i="5"/>
  <c r="U24" i="5"/>
  <c r="C25" i="5"/>
  <c r="D25" i="5"/>
  <c r="E25" i="5"/>
  <c r="F25" i="5"/>
  <c r="G25" i="5"/>
  <c r="H25" i="5"/>
  <c r="I25" i="5"/>
  <c r="J25" i="5"/>
  <c r="K25" i="5"/>
  <c r="L25" i="5"/>
  <c r="M25" i="5"/>
  <c r="N25" i="5"/>
  <c r="Q25" i="5" s="1"/>
  <c r="U25" i="5"/>
  <c r="C27" i="5"/>
  <c r="D27" i="5"/>
  <c r="E27" i="5"/>
  <c r="F27" i="5"/>
  <c r="G27" i="5"/>
  <c r="H27" i="5"/>
  <c r="I27" i="5"/>
  <c r="J27" i="5"/>
  <c r="K27" i="5"/>
  <c r="L27" i="5"/>
  <c r="N27" i="5" s="1"/>
  <c r="Q27" i="5" s="1"/>
  <c r="M27" i="5"/>
  <c r="U27" i="5"/>
  <c r="C28" i="5"/>
  <c r="D28" i="5"/>
  <c r="E28" i="5"/>
  <c r="F28" i="5"/>
  <c r="G28" i="5"/>
  <c r="H28" i="5"/>
  <c r="I28" i="5"/>
  <c r="J28" i="5"/>
  <c r="K28" i="5"/>
  <c r="L28" i="5"/>
  <c r="M28" i="5"/>
  <c r="C29" i="5"/>
  <c r="D29" i="5"/>
  <c r="E29" i="5"/>
  <c r="F29" i="5"/>
  <c r="G29" i="5"/>
  <c r="H29" i="5"/>
  <c r="I29" i="5"/>
  <c r="J29" i="5"/>
  <c r="K29" i="5"/>
  <c r="L29" i="5"/>
  <c r="M29" i="5"/>
  <c r="N29" i="5"/>
  <c r="C30" i="5"/>
  <c r="D30" i="5"/>
  <c r="E30" i="5"/>
  <c r="F30" i="5"/>
  <c r="G30" i="5"/>
  <c r="H30" i="5"/>
  <c r="I30" i="5"/>
  <c r="J30" i="5"/>
  <c r="K30" i="5"/>
  <c r="L30" i="5"/>
  <c r="M30" i="5"/>
  <c r="N30" i="5"/>
  <c r="C31" i="5"/>
  <c r="D31" i="5"/>
  <c r="E31" i="5"/>
  <c r="F31" i="5"/>
  <c r="G31" i="5"/>
  <c r="H31" i="5"/>
  <c r="I31" i="5"/>
  <c r="J31" i="5"/>
  <c r="K31" i="5"/>
  <c r="L31" i="5"/>
  <c r="M31" i="5"/>
  <c r="N31" i="5"/>
  <c r="C32" i="5"/>
  <c r="D32" i="5"/>
  <c r="E32" i="5"/>
  <c r="F32" i="5"/>
  <c r="G32" i="5"/>
  <c r="H32" i="5"/>
  <c r="I32" i="5"/>
  <c r="J32" i="5"/>
  <c r="K32" i="5"/>
  <c r="L32" i="5"/>
  <c r="M32" i="5"/>
  <c r="N32" i="5"/>
  <c r="C34" i="5"/>
  <c r="D34" i="5"/>
  <c r="E34" i="5"/>
  <c r="F34" i="5"/>
  <c r="G34" i="5"/>
  <c r="H34" i="5"/>
  <c r="I34" i="5"/>
  <c r="J34" i="5"/>
  <c r="K34" i="5"/>
  <c r="L34" i="5"/>
  <c r="N34" i="5"/>
  <c r="C35" i="5"/>
  <c r="D35" i="5"/>
  <c r="E35" i="5"/>
  <c r="F35" i="5"/>
  <c r="G35" i="5"/>
  <c r="H35" i="5"/>
  <c r="I35" i="5"/>
  <c r="J35" i="5"/>
  <c r="K35" i="5"/>
  <c r="L35" i="5"/>
  <c r="M35" i="5"/>
  <c r="N35" i="5"/>
  <c r="Q35" i="5"/>
  <c r="U35" i="5"/>
  <c r="R35" i="5" s="1"/>
  <c r="S35" i="5" s="1"/>
  <c r="T35" i="5" s="1"/>
  <c r="C36" i="5"/>
  <c r="D36" i="5"/>
  <c r="E36" i="5"/>
  <c r="F36" i="5"/>
  <c r="G36" i="5"/>
  <c r="H36" i="5"/>
  <c r="I36" i="5"/>
  <c r="J36" i="5"/>
  <c r="K36" i="5"/>
  <c r="L36" i="5"/>
  <c r="M36" i="5"/>
  <c r="U36" i="5" s="1"/>
  <c r="N36" i="5"/>
  <c r="Q36" i="5"/>
  <c r="R36" i="5" s="1"/>
  <c r="S36" i="5"/>
  <c r="T36" i="5" s="1"/>
  <c r="C37" i="5"/>
  <c r="D37" i="5"/>
  <c r="E37" i="5"/>
  <c r="F37" i="5"/>
  <c r="G37" i="5"/>
  <c r="H37" i="5"/>
  <c r="I37" i="5"/>
  <c r="J37" i="5"/>
  <c r="K37" i="5"/>
  <c r="L37" i="5"/>
  <c r="M37" i="5"/>
  <c r="U37" i="5" s="1"/>
  <c r="N37" i="5"/>
  <c r="Q37" i="5"/>
  <c r="R37" i="5" s="1"/>
  <c r="S37" i="5" s="1"/>
  <c r="T37" i="5" s="1"/>
  <c r="C38" i="5"/>
  <c r="D38" i="5"/>
  <c r="E38" i="5"/>
  <c r="F38" i="5"/>
  <c r="G38" i="5"/>
  <c r="H38" i="5"/>
  <c r="I38" i="5"/>
  <c r="J38" i="5"/>
  <c r="K38" i="5"/>
  <c r="L38" i="5"/>
  <c r="N38" i="5" s="1"/>
  <c r="C39" i="5"/>
  <c r="D39" i="5"/>
  <c r="E39" i="5"/>
  <c r="F39" i="5"/>
  <c r="G39" i="5"/>
  <c r="H39" i="5"/>
  <c r="I39" i="5"/>
  <c r="J39" i="5"/>
  <c r="K39" i="5"/>
  <c r="L39" i="5"/>
  <c r="N39" i="5"/>
  <c r="C40" i="5"/>
  <c r="D40" i="5"/>
  <c r="E40" i="5"/>
  <c r="F40" i="5"/>
  <c r="G40" i="5"/>
  <c r="H40" i="5"/>
  <c r="I40" i="5"/>
  <c r="J40" i="5"/>
  <c r="K40" i="5"/>
  <c r="L40" i="5"/>
  <c r="N40" i="5" s="1"/>
  <c r="C41" i="5"/>
  <c r="D41" i="5"/>
  <c r="E41" i="5"/>
  <c r="F41" i="5"/>
  <c r="G41" i="5"/>
  <c r="H41" i="5"/>
  <c r="I41" i="5"/>
  <c r="J41" i="5"/>
  <c r="K41" i="5"/>
  <c r="L41" i="5"/>
  <c r="M41" i="5" a="1"/>
  <c r="M41" i="5" s="1"/>
  <c r="N41" i="5"/>
  <c r="C42" i="5"/>
  <c r="D42" i="5"/>
  <c r="E42" i="5"/>
  <c r="F42" i="5"/>
  <c r="G42" i="5"/>
  <c r="H42" i="5"/>
  <c r="I42" i="5"/>
  <c r="J42" i="5"/>
  <c r="K42" i="5"/>
  <c r="L42" i="5"/>
  <c r="M42" i="5"/>
  <c r="N42" i="5"/>
  <c r="C43" i="5"/>
  <c r="D43" i="5"/>
  <c r="E43" i="5"/>
  <c r="F43" i="5"/>
  <c r="G43" i="5"/>
  <c r="H43" i="5"/>
  <c r="I43" i="5"/>
  <c r="J43" i="5"/>
  <c r="K43" i="5"/>
  <c r="L43" i="5"/>
  <c r="M43" i="5"/>
  <c r="N43" i="5"/>
  <c r="C45" i="5"/>
  <c r="D45" i="5"/>
  <c r="E45" i="5"/>
  <c r="F45" i="5"/>
  <c r="M45" i="5" s="1" a="1"/>
  <c r="M45" i="5" s="1"/>
  <c r="U45" i="5" s="1"/>
  <c r="G45" i="5"/>
  <c r="H45" i="5"/>
  <c r="I45" i="5"/>
  <c r="J45" i="5"/>
  <c r="K45" i="5"/>
  <c r="L45" i="5"/>
  <c r="N45" i="5"/>
  <c r="Q45" i="5" s="1"/>
  <c r="C46" i="5"/>
  <c r="D46" i="5"/>
  <c r="E46" i="5"/>
  <c r="F46" i="5"/>
  <c r="G46" i="5"/>
  <c r="H46" i="5"/>
  <c r="I46" i="5"/>
  <c r="J46" i="5"/>
  <c r="K46" i="5"/>
  <c r="L46" i="5"/>
  <c r="M46" i="5"/>
  <c r="U46" i="5" s="1"/>
  <c r="N46" i="5"/>
  <c r="Q46" i="5"/>
  <c r="R46" i="5"/>
  <c r="S46" i="5" s="1"/>
  <c r="T46" i="5" s="1"/>
  <c r="C47" i="5"/>
  <c r="D47" i="5"/>
  <c r="E47" i="5"/>
  <c r="F47" i="5"/>
  <c r="G47" i="5"/>
  <c r="H47" i="5"/>
  <c r="I47" i="5"/>
  <c r="J47" i="5"/>
  <c r="K47" i="5"/>
  <c r="L47" i="5"/>
  <c r="M47" i="5"/>
  <c r="N47" i="5"/>
  <c r="Q47" i="5"/>
  <c r="R47" i="5" s="1"/>
  <c r="S47" i="5" s="1"/>
  <c r="T47" i="5" s="1"/>
  <c r="U47" i="5"/>
  <c r="B51" i="5"/>
  <c r="C51" i="5"/>
  <c r="D51" i="5"/>
  <c r="H51" i="5"/>
  <c r="H75" i="5" s="1"/>
  <c r="I51" i="5"/>
  <c r="I75" i="5" s="1"/>
  <c r="I129" i="5" s="1"/>
  <c r="I165" i="5" s="1"/>
  <c r="J51" i="5"/>
  <c r="J75" i="5" s="1"/>
  <c r="J129" i="5" s="1"/>
  <c r="J165" i="5" s="1"/>
  <c r="K51" i="5"/>
  <c r="L51" i="5"/>
  <c r="C54" i="5"/>
  <c r="C56" i="5" s="1"/>
  <c r="C58" i="5" s="1"/>
  <c r="C60" i="5" s="1"/>
  <c r="C64" i="5" s="1"/>
  <c r="C66" i="5" s="1"/>
  <c r="D54" i="5"/>
  <c r="E54" i="5"/>
  <c r="F54" i="5"/>
  <c r="F56" i="5" s="1"/>
  <c r="G54" i="5"/>
  <c r="G56" i="5" s="1"/>
  <c r="G58" i="5" s="1"/>
  <c r="G60" i="5" s="1"/>
  <c r="H54" i="5"/>
  <c r="I54" i="5"/>
  <c r="I56" i="5" s="1"/>
  <c r="I58" i="5" s="1"/>
  <c r="I60" i="5" s="1"/>
  <c r="J54" i="5"/>
  <c r="K54" i="5"/>
  <c r="K56" i="5" s="1"/>
  <c r="K58" i="5" s="1"/>
  <c r="K60" i="5" s="1"/>
  <c r="K64" i="5" s="1"/>
  <c r="K66" i="5" s="1"/>
  <c r="L54" i="5"/>
  <c r="C55" i="5"/>
  <c r="D55" i="5"/>
  <c r="E55" i="5"/>
  <c r="F55" i="5"/>
  <c r="G55" i="5"/>
  <c r="H55" i="5"/>
  <c r="I55" i="5"/>
  <c r="J55" i="5"/>
  <c r="J56" i="5" s="1"/>
  <c r="K55" i="5"/>
  <c r="L55" i="5"/>
  <c r="D56" i="5"/>
  <c r="E56" i="5"/>
  <c r="H56" i="5"/>
  <c r="H58" i="5" s="1"/>
  <c r="H60" i="5" s="1"/>
  <c r="H64" i="5" s="1"/>
  <c r="H66" i="5" s="1"/>
  <c r="H68" i="5" s="1"/>
  <c r="H70" i="5" s="1"/>
  <c r="H72" i="5" s="1"/>
  <c r="L56" i="5"/>
  <c r="C57" i="5"/>
  <c r="D57" i="5"/>
  <c r="E57" i="5"/>
  <c r="F57" i="5"/>
  <c r="G57" i="5"/>
  <c r="H57" i="5"/>
  <c r="I57" i="5"/>
  <c r="J57" i="5"/>
  <c r="K57" i="5"/>
  <c r="L57" i="5"/>
  <c r="D58" i="5"/>
  <c r="E58" i="5"/>
  <c r="F58" i="5"/>
  <c r="L58" i="5"/>
  <c r="C59" i="5"/>
  <c r="D59" i="5"/>
  <c r="E59" i="5"/>
  <c r="F59" i="5"/>
  <c r="G59" i="5"/>
  <c r="H59" i="5"/>
  <c r="I59" i="5"/>
  <c r="J59" i="5"/>
  <c r="K59" i="5"/>
  <c r="L59" i="5"/>
  <c r="D60" i="5"/>
  <c r="E60" i="5"/>
  <c r="F60" i="5"/>
  <c r="F64" i="5" s="1"/>
  <c r="F66" i="5" s="1"/>
  <c r="F68" i="5" s="1"/>
  <c r="F70" i="5" s="1"/>
  <c r="F72" i="5" s="1"/>
  <c r="L60" i="5"/>
  <c r="L64" i="5" s="1"/>
  <c r="L66" i="5" s="1"/>
  <c r="L68" i="5" s="1"/>
  <c r="L70" i="5" s="1"/>
  <c r="C61" i="5"/>
  <c r="D61" i="5"/>
  <c r="E61" i="5"/>
  <c r="F61" i="5"/>
  <c r="G61" i="5"/>
  <c r="H61" i="5"/>
  <c r="I61" i="5"/>
  <c r="J61" i="5"/>
  <c r="K61" i="5"/>
  <c r="L61" i="5"/>
  <c r="C62" i="5"/>
  <c r="D62" i="5"/>
  <c r="E62" i="5"/>
  <c r="F62" i="5"/>
  <c r="G62" i="5"/>
  <c r="H62" i="5"/>
  <c r="I62" i="5"/>
  <c r="J62" i="5"/>
  <c r="K62" i="5"/>
  <c r="L62" i="5"/>
  <c r="C63" i="5"/>
  <c r="D63" i="5"/>
  <c r="E63" i="5"/>
  <c r="F63" i="5"/>
  <c r="G63" i="5"/>
  <c r="H63" i="5"/>
  <c r="I63" i="5"/>
  <c r="J63" i="5"/>
  <c r="K63" i="5"/>
  <c r="L63" i="5"/>
  <c r="E64" i="5"/>
  <c r="I64" i="5"/>
  <c r="I66" i="5" s="1"/>
  <c r="I68" i="5" s="1"/>
  <c r="I70" i="5" s="1"/>
  <c r="I72" i="5" s="1"/>
  <c r="C65" i="5"/>
  <c r="D65" i="5"/>
  <c r="E65" i="5"/>
  <c r="F65" i="5"/>
  <c r="G65" i="5"/>
  <c r="H65" i="5"/>
  <c r="I65" i="5"/>
  <c r="J65" i="5"/>
  <c r="K65" i="5"/>
  <c r="L65" i="5"/>
  <c r="E66" i="5"/>
  <c r="E68" i="5" s="1"/>
  <c r="E70" i="5" s="1"/>
  <c r="C67" i="5"/>
  <c r="D67" i="5"/>
  <c r="E67" i="5"/>
  <c r="F67" i="5"/>
  <c r="G67" i="5"/>
  <c r="H67" i="5"/>
  <c r="I67" i="5"/>
  <c r="J67" i="5"/>
  <c r="K67" i="5"/>
  <c r="L67" i="5"/>
  <c r="C69" i="5"/>
  <c r="D69" i="5"/>
  <c r="E69" i="5"/>
  <c r="F69" i="5"/>
  <c r="G69" i="5"/>
  <c r="H69" i="5"/>
  <c r="I69" i="5"/>
  <c r="J69" i="5"/>
  <c r="K69" i="5"/>
  <c r="L69" i="5"/>
  <c r="M69" i="5"/>
  <c r="N69" i="5"/>
  <c r="O69" i="5"/>
  <c r="P69" i="5"/>
  <c r="Q69" i="5"/>
  <c r="H71" i="5"/>
  <c r="I71" i="5"/>
  <c r="E72" i="5"/>
  <c r="B75" i="5"/>
  <c r="C75" i="5"/>
  <c r="C129" i="5" s="1"/>
  <c r="D75" i="5"/>
  <c r="E75" i="5"/>
  <c r="E129" i="5" s="1"/>
  <c r="L75" i="5"/>
  <c r="C79" i="5"/>
  <c r="D79" i="5"/>
  <c r="D83" i="5" s="1"/>
  <c r="E79" i="5"/>
  <c r="F79" i="5"/>
  <c r="G79" i="5"/>
  <c r="H79" i="5"/>
  <c r="I79" i="5"/>
  <c r="J79" i="5"/>
  <c r="K79" i="5"/>
  <c r="L79" i="5"/>
  <c r="C80" i="5"/>
  <c r="D80" i="5"/>
  <c r="E80" i="5"/>
  <c r="F80" i="5"/>
  <c r="F83" i="5" s="1"/>
  <c r="F91" i="5" s="1"/>
  <c r="G80" i="5"/>
  <c r="H80" i="5"/>
  <c r="I80" i="5"/>
  <c r="J80" i="5"/>
  <c r="K80" i="5"/>
  <c r="L80" i="5"/>
  <c r="C81" i="5"/>
  <c r="D81" i="5"/>
  <c r="E81" i="5"/>
  <c r="F81" i="5"/>
  <c r="G81" i="5"/>
  <c r="H81" i="5"/>
  <c r="I81" i="5"/>
  <c r="J81" i="5"/>
  <c r="K81" i="5"/>
  <c r="L81" i="5"/>
  <c r="C82" i="5"/>
  <c r="D82" i="5"/>
  <c r="E82" i="5"/>
  <c r="F82" i="5"/>
  <c r="G82" i="5"/>
  <c r="H82" i="5"/>
  <c r="I82" i="5"/>
  <c r="J82" i="5"/>
  <c r="K82" i="5"/>
  <c r="L82" i="5"/>
  <c r="G83" i="5"/>
  <c r="G91" i="5" s="1"/>
  <c r="H83" i="5"/>
  <c r="H91" i="5" s="1"/>
  <c r="I83" i="5"/>
  <c r="I91" i="5" s="1"/>
  <c r="C84" i="5"/>
  <c r="D84" i="5"/>
  <c r="E84" i="5"/>
  <c r="F84" i="5"/>
  <c r="G84" i="5"/>
  <c r="H84" i="5"/>
  <c r="I84" i="5"/>
  <c r="J84" i="5"/>
  <c r="K84" i="5"/>
  <c r="L84" i="5"/>
  <c r="C85" i="5"/>
  <c r="D85" i="5"/>
  <c r="E85" i="5"/>
  <c r="F85" i="5"/>
  <c r="G85" i="5"/>
  <c r="H85" i="5"/>
  <c r="I85" i="5"/>
  <c r="J85" i="5"/>
  <c r="K85" i="5"/>
  <c r="L85" i="5"/>
  <c r="C86" i="5"/>
  <c r="D86" i="5"/>
  <c r="E86" i="5"/>
  <c r="F86" i="5"/>
  <c r="G86" i="5"/>
  <c r="H86" i="5"/>
  <c r="I86" i="5"/>
  <c r="J86" i="5"/>
  <c r="K86" i="5"/>
  <c r="L86" i="5"/>
  <c r="I87" i="5"/>
  <c r="J87" i="5"/>
  <c r="K87" i="5"/>
  <c r="L87" i="5"/>
  <c r="M87" i="5"/>
  <c r="P87" i="5"/>
  <c r="Q87" i="5"/>
  <c r="J88" i="5"/>
  <c r="K88" i="5"/>
  <c r="L88" i="5"/>
  <c r="M88" i="5"/>
  <c r="P88" i="5"/>
  <c r="Q88" i="5"/>
  <c r="C89" i="5"/>
  <c r="D89" i="5"/>
  <c r="E89" i="5"/>
  <c r="F89" i="5"/>
  <c r="G89" i="5"/>
  <c r="H89" i="5"/>
  <c r="I89" i="5"/>
  <c r="J89" i="5"/>
  <c r="K89" i="5"/>
  <c r="L89" i="5"/>
  <c r="C90" i="5"/>
  <c r="D90" i="5"/>
  <c r="E90" i="5"/>
  <c r="F90" i="5"/>
  <c r="G90" i="5"/>
  <c r="H90" i="5"/>
  <c r="I90" i="5"/>
  <c r="J90" i="5"/>
  <c r="K90" i="5"/>
  <c r="L90" i="5"/>
  <c r="M90" i="5"/>
  <c r="N90" i="5"/>
  <c r="O90" i="5"/>
  <c r="C92" i="5"/>
  <c r="D92" i="5"/>
  <c r="E92" i="5"/>
  <c r="F92" i="5"/>
  <c r="G92" i="5"/>
  <c r="H92" i="5"/>
  <c r="I92" i="5"/>
  <c r="J92" i="5"/>
  <c r="K92" i="5"/>
  <c r="L92" i="5"/>
  <c r="C96" i="5"/>
  <c r="D96" i="5"/>
  <c r="E96" i="5"/>
  <c r="F96" i="5"/>
  <c r="G96" i="5"/>
  <c r="H96" i="5"/>
  <c r="I96" i="5"/>
  <c r="J96" i="5"/>
  <c r="K96" i="5"/>
  <c r="L96" i="5"/>
  <c r="C97" i="5"/>
  <c r="D97" i="5"/>
  <c r="E97" i="5"/>
  <c r="F97" i="5"/>
  <c r="F100" i="5" s="1"/>
  <c r="G97" i="5"/>
  <c r="G100" i="5" s="1"/>
  <c r="G107" i="5" s="1"/>
  <c r="H97" i="5"/>
  <c r="I97" i="5"/>
  <c r="J97" i="5"/>
  <c r="K97" i="5"/>
  <c r="L97" i="5"/>
  <c r="C98" i="5"/>
  <c r="D98" i="5"/>
  <c r="E98" i="5"/>
  <c r="F98" i="5"/>
  <c r="G98" i="5"/>
  <c r="H98" i="5"/>
  <c r="I98" i="5"/>
  <c r="I100" i="5" s="1"/>
  <c r="J98" i="5"/>
  <c r="K98" i="5"/>
  <c r="L98" i="5"/>
  <c r="C99" i="5"/>
  <c r="D99" i="5"/>
  <c r="E99" i="5"/>
  <c r="F99" i="5"/>
  <c r="G99" i="5"/>
  <c r="H99" i="5"/>
  <c r="I99" i="5"/>
  <c r="J99" i="5"/>
  <c r="K99" i="5"/>
  <c r="L99" i="5"/>
  <c r="C100" i="5"/>
  <c r="K100" i="5"/>
  <c r="C101" i="5"/>
  <c r="D101" i="5"/>
  <c r="E101" i="5"/>
  <c r="F101" i="5"/>
  <c r="G101" i="5"/>
  <c r="H101" i="5"/>
  <c r="H177" i="5" s="1"/>
  <c r="I101" i="5"/>
  <c r="J101" i="5"/>
  <c r="K101" i="5"/>
  <c r="L101" i="5"/>
  <c r="O101" i="5" s="1"/>
  <c r="P101" i="5"/>
  <c r="Q101" i="5"/>
  <c r="C102" i="5"/>
  <c r="D102" i="5"/>
  <c r="E102" i="5"/>
  <c r="F102" i="5"/>
  <c r="G102" i="5"/>
  <c r="H102" i="5"/>
  <c r="I102" i="5"/>
  <c r="J102" i="5"/>
  <c r="K102" i="5"/>
  <c r="L102" i="5"/>
  <c r="C103" i="5"/>
  <c r="D103" i="5"/>
  <c r="E103" i="5"/>
  <c r="F103" i="5"/>
  <c r="G103" i="5"/>
  <c r="H103" i="5"/>
  <c r="I103" i="5"/>
  <c r="J103" i="5"/>
  <c r="K103" i="5"/>
  <c r="L103" i="5"/>
  <c r="C104" i="5"/>
  <c r="D104" i="5"/>
  <c r="E104" i="5"/>
  <c r="F104" i="5"/>
  <c r="G104" i="5"/>
  <c r="H104" i="5"/>
  <c r="I104" i="5"/>
  <c r="J104" i="5"/>
  <c r="K104" i="5"/>
  <c r="L104" i="5"/>
  <c r="P104" i="5" s="1"/>
  <c r="M104" i="5"/>
  <c r="N104" i="5"/>
  <c r="O104" i="5"/>
  <c r="Q104" i="5"/>
  <c r="C105" i="5"/>
  <c r="D105" i="5"/>
  <c r="E105" i="5"/>
  <c r="F105" i="5"/>
  <c r="G105" i="5"/>
  <c r="H105" i="5"/>
  <c r="I105" i="5"/>
  <c r="J105" i="5"/>
  <c r="K105" i="5"/>
  <c r="L105" i="5"/>
  <c r="M105" i="5"/>
  <c r="N105" i="5"/>
  <c r="O105" i="5"/>
  <c r="P105" i="5"/>
  <c r="Q105" i="5"/>
  <c r="C106" i="5"/>
  <c r="D106" i="5"/>
  <c r="E106" i="5"/>
  <c r="F106" i="5"/>
  <c r="G106" i="5"/>
  <c r="H106" i="5"/>
  <c r="I106" i="5"/>
  <c r="J106" i="5"/>
  <c r="K106" i="5"/>
  <c r="L106" i="5"/>
  <c r="M106" i="5" s="1"/>
  <c r="N106" i="5"/>
  <c r="O106" i="5"/>
  <c r="P106" i="5"/>
  <c r="Q106" i="5"/>
  <c r="C107" i="5"/>
  <c r="K107" i="5"/>
  <c r="C112" i="5"/>
  <c r="D112" i="5"/>
  <c r="E112" i="5"/>
  <c r="F112" i="5"/>
  <c r="G112" i="5"/>
  <c r="H112" i="5"/>
  <c r="I112" i="5"/>
  <c r="J112" i="5"/>
  <c r="K112" i="5"/>
  <c r="L112" i="5"/>
  <c r="M112" i="5"/>
  <c r="N112" i="5"/>
  <c r="I113" i="5"/>
  <c r="C114" i="5"/>
  <c r="D114" i="5"/>
  <c r="E114" i="5"/>
  <c r="F114" i="5"/>
  <c r="G114" i="5"/>
  <c r="H114" i="5"/>
  <c r="I114" i="5"/>
  <c r="J114" i="5"/>
  <c r="K114" i="5"/>
  <c r="L114" i="5"/>
  <c r="Q114" i="5" s="1"/>
  <c r="M114" i="5"/>
  <c r="N114" i="5"/>
  <c r="O114" i="5"/>
  <c r="C115" i="5"/>
  <c r="D115" i="5"/>
  <c r="E115" i="5"/>
  <c r="F115" i="5"/>
  <c r="G115" i="5"/>
  <c r="H115" i="5"/>
  <c r="I115" i="5"/>
  <c r="J115" i="5"/>
  <c r="K115" i="5"/>
  <c r="L115" i="5"/>
  <c r="M115" i="5"/>
  <c r="C116" i="5"/>
  <c r="D116" i="5"/>
  <c r="E116" i="5"/>
  <c r="F116" i="5"/>
  <c r="F113" i="5" s="1"/>
  <c r="G116" i="5"/>
  <c r="H116" i="5"/>
  <c r="I116" i="5"/>
  <c r="J116" i="5"/>
  <c r="K116" i="5"/>
  <c r="L116" i="5"/>
  <c r="C117" i="5"/>
  <c r="D117" i="5"/>
  <c r="E117" i="5"/>
  <c r="F117" i="5"/>
  <c r="G117" i="5"/>
  <c r="G113" i="5" s="1"/>
  <c r="G118" i="5" s="1"/>
  <c r="G120" i="5" s="1"/>
  <c r="G122" i="5" s="1"/>
  <c r="H117" i="5"/>
  <c r="H113" i="5" s="1"/>
  <c r="I117" i="5"/>
  <c r="J117" i="5"/>
  <c r="J113" i="5" s="1"/>
  <c r="K117" i="5"/>
  <c r="L117" i="5"/>
  <c r="M117" i="5"/>
  <c r="N117" i="5"/>
  <c r="O117" i="5"/>
  <c r="P117" i="5"/>
  <c r="Q117" i="5"/>
  <c r="H118" i="5"/>
  <c r="H120" i="5" s="1"/>
  <c r="I118" i="5"/>
  <c r="I120" i="5" s="1"/>
  <c r="C119" i="5"/>
  <c r="D119" i="5"/>
  <c r="E119" i="5"/>
  <c r="F119" i="5"/>
  <c r="G119" i="5"/>
  <c r="H119" i="5"/>
  <c r="I119" i="5"/>
  <c r="J119" i="5"/>
  <c r="K119" i="5"/>
  <c r="L119" i="5"/>
  <c r="N119" i="5" s="1"/>
  <c r="P119" i="5"/>
  <c r="C126" i="5"/>
  <c r="D126" i="5"/>
  <c r="E126" i="5"/>
  <c r="F126" i="5"/>
  <c r="G126" i="5"/>
  <c r="H126" i="5"/>
  <c r="I126" i="5"/>
  <c r="J126" i="5"/>
  <c r="K126" i="5"/>
  <c r="L126" i="5"/>
  <c r="C127" i="5"/>
  <c r="D127" i="5"/>
  <c r="E127" i="5"/>
  <c r="F127" i="5"/>
  <c r="G127" i="5"/>
  <c r="H127" i="5"/>
  <c r="I127" i="5"/>
  <c r="J127" i="5"/>
  <c r="K127" i="5"/>
  <c r="L127" i="5"/>
  <c r="B129" i="5"/>
  <c r="D129" i="5"/>
  <c r="H129" i="5"/>
  <c r="H165" i="5" s="1"/>
  <c r="L129" i="5"/>
  <c r="C133" i="5"/>
  <c r="D133" i="5"/>
  <c r="E133" i="5"/>
  <c r="F133" i="5"/>
  <c r="F146" i="5" s="1"/>
  <c r="G133" i="5"/>
  <c r="H133" i="5"/>
  <c r="I133" i="5"/>
  <c r="J133" i="5"/>
  <c r="K133" i="5"/>
  <c r="L133" i="5"/>
  <c r="C134" i="5"/>
  <c r="D134" i="5"/>
  <c r="E134" i="5"/>
  <c r="F134" i="5"/>
  <c r="G134" i="5"/>
  <c r="H134" i="5"/>
  <c r="I134" i="5"/>
  <c r="J134" i="5"/>
  <c r="K134" i="5"/>
  <c r="L134" i="5"/>
  <c r="C135" i="5"/>
  <c r="D135" i="5"/>
  <c r="E135" i="5"/>
  <c r="F135" i="5"/>
  <c r="G135" i="5"/>
  <c r="H135" i="5"/>
  <c r="I135" i="5"/>
  <c r="J135" i="5"/>
  <c r="K135" i="5"/>
  <c r="L135" i="5"/>
  <c r="C136" i="5"/>
  <c r="D136" i="5"/>
  <c r="E136" i="5"/>
  <c r="F136" i="5"/>
  <c r="G136" i="5"/>
  <c r="H136" i="5"/>
  <c r="I136" i="5"/>
  <c r="J136" i="5"/>
  <c r="K136" i="5"/>
  <c r="L136" i="5"/>
  <c r="C137" i="5"/>
  <c r="D137" i="5"/>
  <c r="D146" i="5" s="1"/>
  <c r="D160" i="5" s="1"/>
  <c r="E137" i="5"/>
  <c r="F137" i="5"/>
  <c r="G137" i="5"/>
  <c r="H137" i="5"/>
  <c r="I137" i="5"/>
  <c r="J137" i="5"/>
  <c r="K137" i="5"/>
  <c r="L137" i="5"/>
  <c r="C138" i="5"/>
  <c r="D138" i="5"/>
  <c r="E138" i="5"/>
  <c r="F138" i="5"/>
  <c r="G138" i="5"/>
  <c r="H138" i="5"/>
  <c r="I138" i="5"/>
  <c r="J138" i="5"/>
  <c r="K138" i="5"/>
  <c r="L138" i="5"/>
  <c r="C139" i="5"/>
  <c r="D139" i="5"/>
  <c r="E139" i="5"/>
  <c r="F139" i="5"/>
  <c r="G139" i="5"/>
  <c r="H139" i="5"/>
  <c r="I139" i="5"/>
  <c r="J139" i="5"/>
  <c r="K139" i="5"/>
  <c r="L139" i="5"/>
  <c r="D140" i="5"/>
  <c r="F140" i="5"/>
  <c r="C141" i="5"/>
  <c r="D141" i="5"/>
  <c r="E141" i="5"/>
  <c r="F141" i="5"/>
  <c r="G141" i="5"/>
  <c r="H141" i="5"/>
  <c r="H140" i="5" s="1"/>
  <c r="H146" i="5" s="1"/>
  <c r="I141" i="5"/>
  <c r="J141" i="5"/>
  <c r="K141" i="5"/>
  <c r="L141" i="5"/>
  <c r="C142" i="5"/>
  <c r="D142" i="5"/>
  <c r="E142" i="5"/>
  <c r="F142" i="5"/>
  <c r="G142" i="5"/>
  <c r="G140" i="5" s="1"/>
  <c r="H142" i="5"/>
  <c r="I142" i="5"/>
  <c r="J142" i="5"/>
  <c r="K142" i="5"/>
  <c r="L142" i="5"/>
  <c r="C143" i="5"/>
  <c r="D143" i="5"/>
  <c r="E143" i="5"/>
  <c r="F143" i="5"/>
  <c r="G143" i="5"/>
  <c r="H143" i="5"/>
  <c r="I143" i="5"/>
  <c r="J143" i="5"/>
  <c r="K143" i="5"/>
  <c r="L143" i="5"/>
  <c r="C144" i="5"/>
  <c r="D144" i="5"/>
  <c r="E144" i="5"/>
  <c r="F144" i="5"/>
  <c r="G144" i="5"/>
  <c r="H144" i="5"/>
  <c r="I144" i="5"/>
  <c r="J144" i="5"/>
  <c r="K144" i="5"/>
  <c r="L144" i="5"/>
  <c r="C145" i="5"/>
  <c r="D145" i="5"/>
  <c r="E145" i="5"/>
  <c r="F145" i="5"/>
  <c r="G145" i="5"/>
  <c r="H145" i="5"/>
  <c r="I145" i="5"/>
  <c r="J145" i="5"/>
  <c r="K145" i="5"/>
  <c r="L145" i="5"/>
  <c r="C149" i="5"/>
  <c r="D149" i="5"/>
  <c r="E149" i="5"/>
  <c r="F149" i="5"/>
  <c r="F151" i="5" s="1"/>
  <c r="G149" i="5"/>
  <c r="H149" i="5"/>
  <c r="H151" i="5" s="1"/>
  <c r="I149" i="5"/>
  <c r="I151" i="5" s="1"/>
  <c r="J149" i="5"/>
  <c r="J151" i="5" s="1"/>
  <c r="K149" i="5"/>
  <c r="L149" i="5"/>
  <c r="C150" i="5"/>
  <c r="C151" i="5" s="1"/>
  <c r="D150" i="5"/>
  <c r="E150" i="5"/>
  <c r="F150" i="5"/>
  <c r="G150" i="5"/>
  <c r="H150" i="5"/>
  <c r="I150" i="5"/>
  <c r="J150" i="5"/>
  <c r="K150" i="5"/>
  <c r="K151" i="5" s="1"/>
  <c r="L150" i="5"/>
  <c r="D151" i="5"/>
  <c r="E151" i="5"/>
  <c r="G151" i="5"/>
  <c r="L151" i="5"/>
  <c r="C153" i="5"/>
  <c r="C158" i="5" s="1"/>
  <c r="D153" i="5"/>
  <c r="E153" i="5"/>
  <c r="F153" i="5"/>
  <c r="G153" i="5"/>
  <c r="H153" i="5"/>
  <c r="I153" i="5"/>
  <c r="J153" i="5"/>
  <c r="K153" i="5"/>
  <c r="L153" i="5"/>
  <c r="C154" i="5"/>
  <c r="C71" i="5" s="1"/>
  <c r="D154" i="5"/>
  <c r="D71" i="5" s="1"/>
  <c r="E154" i="5"/>
  <c r="E71" i="5" s="1"/>
  <c r="F154" i="5"/>
  <c r="F71" i="5" s="1"/>
  <c r="G154" i="5"/>
  <c r="G71" i="5" s="1"/>
  <c r="H154" i="5"/>
  <c r="I154" i="5"/>
  <c r="J154" i="5"/>
  <c r="K154" i="5"/>
  <c r="K71" i="5" s="1"/>
  <c r="L154" i="5"/>
  <c r="L71" i="5" s="1"/>
  <c r="C155" i="5"/>
  <c r="D155" i="5"/>
  <c r="E155" i="5"/>
  <c r="F155" i="5"/>
  <c r="G155" i="5"/>
  <c r="H155" i="5"/>
  <c r="H158" i="5" s="1"/>
  <c r="I155" i="5"/>
  <c r="J155" i="5"/>
  <c r="K155" i="5"/>
  <c r="K158" i="5" s="1"/>
  <c r="L155" i="5"/>
  <c r="C156" i="5"/>
  <c r="D156" i="5"/>
  <c r="E156" i="5"/>
  <c r="F156" i="5"/>
  <c r="G156" i="5"/>
  <c r="H156" i="5"/>
  <c r="I156" i="5"/>
  <c r="I158" i="5" s="1"/>
  <c r="J156" i="5"/>
  <c r="K156" i="5"/>
  <c r="L156" i="5"/>
  <c r="C157" i="5"/>
  <c r="D157" i="5"/>
  <c r="E157" i="5"/>
  <c r="F157" i="5"/>
  <c r="G157" i="5"/>
  <c r="H157" i="5"/>
  <c r="I157" i="5"/>
  <c r="J157" i="5"/>
  <c r="K157" i="5"/>
  <c r="L157" i="5"/>
  <c r="D158" i="5"/>
  <c r="G158" i="5"/>
  <c r="C159" i="5"/>
  <c r="D159" i="5"/>
  <c r="E159" i="5"/>
  <c r="F159" i="5"/>
  <c r="G159" i="5"/>
  <c r="H159" i="5"/>
  <c r="I159" i="5"/>
  <c r="J159" i="5"/>
  <c r="K159" i="5"/>
  <c r="L159" i="5"/>
  <c r="C161" i="5"/>
  <c r="D161" i="5"/>
  <c r="E161" i="5"/>
  <c r="F161" i="5"/>
  <c r="G161" i="5"/>
  <c r="H161" i="5"/>
  <c r="I161" i="5"/>
  <c r="J161" i="5"/>
  <c r="K161" i="5"/>
  <c r="L161" i="5"/>
  <c r="H163" i="5"/>
  <c r="I163" i="5"/>
  <c r="J163" i="5"/>
  <c r="L163" i="5"/>
  <c r="B165" i="5"/>
  <c r="C165" i="5"/>
  <c r="D165" i="5"/>
  <c r="E165" i="5"/>
  <c r="L165" i="5"/>
  <c r="C167" i="5"/>
  <c r="C176" i="5" s="1"/>
  <c r="D167" i="5"/>
  <c r="E167" i="5"/>
  <c r="F167" i="5"/>
  <c r="F176" i="5" s="1"/>
  <c r="G167" i="5"/>
  <c r="G176" i="5" s="1"/>
  <c r="G178" i="5" s="1"/>
  <c r="H167" i="5"/>
  <c r="I167" i="5"/>
  <c r="J167" i="5"/>
  <c r="J176" i="5" s="1"/>
  <c r="K167" i="5"/>
  <c r="K176" i="5" s="1"/>
  <c r="L167" i="5"/>
  <c r="C168" i="5"/>
  <c r="D168" i="5"/>
  <c r="E168" i="5"/>
  <c r="E176" i="5" s="1"/>
  <c r="F168" i="5"/>
  <c r="G168" i="5"/>
  <c r="H168" i="5"/>
  <c r="H176" i="5" s="1"/>
  <c r="I168" i="5"/>
  <c r="J168" i="5"/>
  <c r="K168" i="5"/>
  <c r="L168" i="5"/>
  <c r="C169" i="5"/>
  <c r="D169" i="5"/>
  <c r="E169" i="5"/>
  <c r="F169" i="5"/>
  <c r="G169" i="5"/>
  <c r="H169" i="5"/>
  <c r="I169" i="5"/>
  <c r="J169" i="5"/>
  <c r="K169" i="5"/>
  <c r="L169" i="5"/>
  <c r="C170" i="5"/>
  <c r="D170" i="5"/>
  <c r="E170" i="5"/>
  <c r="F170" i="5"/>
  <c r="G170" i="5"/>
  <c r="H170" i="5"/>
  <c r="I170" i="5"/>
  <c r="J170" i="5"/>
  <c r="K170" i="5"/>
  <c r="L170" i="5"/>
  <c r="C171" i="5"/>
  <c r="D171" i="5"/>
  <c r="E171" i="5"/>
  <c r="F171" i="5"/>
  <c r="G171" i="5"/>
  <c r="H171" i="5"/>
  <c r="I171" i="5"/>
  <c r="J171" i="5"/>
  <c r="K171" i="5"/>
  <c r="L171" i="5"/>
  <c r="C172" i="5"/>
  <c r="D172" i="5"/>
  <c r="E172" i="5"/>
  <c r="F172" i="5"/>
  <c r="G172" i="5"/>
  <c r="H172" i="5"/>
  <c r="I172" i="5"/>
  <c r="J172" i="5"/>
  <c r="K172" i="5"/>
  <c r="L172" i="5"/>
  <c r="C173" i="5"/>
  <c r="D173" i="5"/>
  <c r="E173" i="5"/>
  <c r="F173" i="5"/>
  <c r="G173" i="5"/>
  <c r="H173" i="5"/>
  <c r="I173" i="5"/>
  <c r="J173" i="5"/>
  <c r="K173" i="5"/>
  <c r="L173" i="5"/>
  <c r="D176" i="5"/>
  <c r="I176" i="5"/>
  <c r="I178" i="5" s="1"/>
  <c r="L176" i="5"/>
  <c r="C177" i="5"/>
  <c r="E177" i="5"/>
  <c r="F177" i="5"/>
  <c r="G177" i="5"/>
  <c r="I177" i="5"/>
  <c r="K177" i="5"/>
  <c r="H178" i="5"/>
  <c r="B183" i="5"/>
  <c r="C183" i="5"/>
  <c r="D183" i="5"/>
  <c r="F183" i="5"/>
  <c r="F190" i="5" s="1"/>
  <c r="H183" i="5"/>
  <c r="I183" i="5"/>
  <c r="I190" i="5" s="1"/>
  <c r="L183" i="5"/>
  <c r="C185" i="5"/>
  <c r="D185" i="5"/>
  <c r="E185" i="5"/>
  <c r="F185" i="5"/>
  <c r="G185" i="5"/>
  <c r="H185" i="5"/>
  <c r="I185" i="5"/>
  <c r="J185" i="5"/>
  <c r="K185" i="5"/>
  <c r="L185" i="5"/>
  <c r="C186" i="5"/>
  <c r="D186" i="5"/>
  <c r="E186" i="5"/>
  <c r="F186" i="5"/>
  <c r="G186" i="5"/>
  <c r="H186" i="5"/>
  <c r="I186" i="5"/>
  <c r="J186" i="5"/>
  <c r="K186" i="5"/>
  <c r="L186" i="5"/>
  <c r="C187" i="5"/>
  <c r="D187" i="5"/>
  <c r="E187" i="5"/>
  <c r="F187" i="5"/>
  <c r="G187" i="5"/>
  <c r="H187" i="5"/>
  <c r="I187" i="5"/>
  <c r="J187" i="5"/>
  <c r="K187" i="5"/>
  <c r="L187" i="5"/>
  <c r="C188" i="5"/>
  <c r="D188" i="5"/>
  <c r="E188" i="5"/>
  <c r="F188" i="5"/>
  <c r="G188" i="5"/>
  <c r="H188" i="5"/>
  <c r="I188" i="5"/>
  <c r="J188" i="5"/>
  <c r="K188" i="5"/>
  <c r="L188" i="5"/>
  <c r="C190" i="5"/>
  <c r="D190" i="5"/>
  <c r="H190" i="5"/>
  <c r="L190" i="5"/>
  <c r="D192" i="5"/>
  <c r="E192" i="5"/>
  <c r="F192" i="5"/>
  <c r="G192" i="5"/>
  <c r="H192" i="5"/>
  <c r="I192" i="5"/>
  <c r="J192" i="5"/>
  <c r="K192" i="5"/>
  <c r="L192" i="5"/>
  <c r="D193" i="5"/>
  <c r="E193" i="5"/>
  <c r="F193" i="5"/>
  <c r="G193" i="5"/>
  <c r="H193" i="5"/>
  <c r="I193" i="5"/>
  <c r="J193" i="5"/>
  <c r="K193" i="5"/>
  <c r="L193" i="5"/>
  <c r="D194" i="5"/>
  <c r="E194" i="5"/>
  <c r="F194" i="5"/>
  <c r="G194" i="5"/>
  <c r="H194" i="5"/>
  <c r="I194" i="5"/>
  <c r="J194" i="5"/>
  <c r="K194" i="5"/>
  <c r="L194" i="5"/>
  <c r="D195" i="5"/>
  <c r="E195" i="5"/>
  <c r="F195" i="5"/>
  <c r="G195" i="5"/>
  <c r="H195" i="5"/>
  <c r="I195" i="5"/>
  <c r="J195" i="5"/>
  <c r="K195" i="5"/>
  <c r="L195" i="5"/>
  <c r="C197" i="5"/>
  <c r="D197" i="5"/>
  <c r="H197" i="5"/>
  <c r="I197" i="5"/>
  <c r="L197" i="5"/>
  <c r="C199" i="5"/>
  <c r="D199" i="5"/>
  <c r="E199" i="5"/>
  <c r="F199" i="5"/>
  <c r="G199" i="5"/>
  <c r="H199" i="5"/>
  <c r="I199" i="5"/>
  <c r="J199" i="5"/>
  <c r="K199" i="5"/>
  <c r="L199" i="5"/>
  <c r="C200" i="5"/>
  <c r="D200" i="5"/>
  <c r="E200" i="5"/>
  <c r="F200" i="5"/>
  <c r="G200" i="5"/>
  <c r="H200" i="5"/>
  <c r="I200" i="5"/>
  <c r="J200" i="5"/>
  <c r="K200" i="5"/>
  <c r="L200" i="5"/>
  <c r="C201" i="5"/>
  <c r="D201" i="5"/>
  <c r="E201" i="5"/>
  <c r="F201" i="5"/>
  <c r="G201" i="5"/>
  <c r="H201" i="5"/>
  <c r="I201" i="5"/>
  <c r="J201" i="5"/>
  <c r="K201" i="5"/>
  <c r="L201" i="5"/>
  <c r="Y208" i="5"/>
  <c r="X208" i="5" s="1"/>
  <c r="Z208" i="5"/>
  <c r="AB208" i="5"/>
  <c r="AC208" i="5"/>
  <c r="AD208" i="5"/>
  <c r="B209" i="5"/>
  <c r="B210" i="5"/>
  <c r="W210" i="5"/>
  <c r="W211" i="5"/>
  <c r="W212" i="5"/>
  <c r="L213" i="5"/>
  <c r="W213" i="5"/>
  <c r="W214" i="5" s="1"/>
  <c r="W215" i="5" s="1"/>
  <c r="L214" i="5"/>
  <c r="B215" i="5"/>
  <c r="I224" i="5"/>
  <c r="K224" i="5"/>
  <c r="I231" i="5"/>
  <c r="I238" i="5" s="1"/>
  <c r="K231" i="5"/>
  <c r="M231" i="5" s="1"/>
  <c r="N231" i="5" s="1"/>
  <c r="O231" i="5" s="1"/>
  <c r="L231" i="5"/>
  <c r="L232" i="5"/>
  <c r="M232" i="5"/>
  <c r="N232" i="5"/>
  <c r="O232" i="5" s="1"/>
  <c r="L233" i="5"/>
  <c r="M233" i="5"/>
  <c r="N233" i="5" s="1"/>
  <c r="O233" i="5" s="1"/>
  <c r="K238" i="5"/>
  <c r="L238" i="5"/>
  <c r="M238" i="5"/>
  <c r="N238" i="5" s="1"/>
  <c r="O238" i="5" s="1"/>
  <c r="L239" i="5"/>
  <c r="M239" i="5"/>
  <c r="N239" i="5" s="1"/>
  <c r="O239" i="5" s="1"/>
  <c r="L240" i="5"/>
  <c r="M240" i="5"/>
  <c r="N240" i="5" s="1"/>
  <c r="O240" i="5" s="1"/>
  <c r="L73" i="5" l="1"/>
  <c r="L72" i="5"/>
  <c r="L225" i="5"/>
  <c r="M225" i="5" s="1"/>
  <c r="N225" i="5" s="1"/>
  <c r="L226" i="5"/>
  <c r="M226" i="5" s="1"/>
  <c r="N226" i="5" s="1"/>
  <c r="L224" i="5"/>
  <c r="M224" i="5" s="1"/>
  <c r="N224" i="5" s="1"/>
  <c r="R45" i="5"/>
  <c r="S45" i="5" s="1"/>
  <c r="T45" i="5" s="1"/>
  <c r="M40" i="5" a="1"/>
  <c r="M40" i="5" s="1"/>
  <c r="R22" i="5"/>
  <c r="R11" i="5"/>
  <c r="S11" i="5" s="1"/>
  <c r="T11" i="5" s="1"/>
  <c r="K178" i="5"/>
  <c r="K179" i="5" s="1"/>
  <c r="K180" i="5"/>
  <c r="C178" i="5"/>
  <c r="C180" i="5" s="1"/>
  <c r="S19" i="5"/>
  <c r="R14" i="5"/>
  <c r="M61" i="5"/>
  <c r="M14" i="5" a="1"/>
  <c r="M14" i="5" s="1"/>
  <c r="M80" i="5"/>
  <c r="R23" i="5"/>
  <c r="R6" i="5"/>
  <c r="S6" i="5" s="1"/>
  <c r="T6" i="5" s="1"/>
  <c r="E178" i="5"/>
  <c r="E179" i="5" s="1"/>
  <c r="H160" i="5"/>
  <c r="G75" i="5"/>
  <c r="G129" i="5" s="1"/>
  <c r="G165" i="5" s="1"/>
  <c r="G183" i="5"/>
  <c r="H162" i="5"/>
  <c r="J100" i="5"/>
  <c r="J107" i="5" s="1"/>
  <c r="J177" i="5"/>
  <c r="F197" i="5"/>
  <c r="G179" i="5"/>
  <c r="G180" i="5"/>
  <c r="J158" i="5"/>
  <c r="J71" i="5"/>
  <c r="L158" i="5"/>
  <c r="G146" i="5"/>
  <c r="G160" i="5" s="1"/>
  <c r="C68" i="5"/>
  <c r="C70" i="5" s="1"/>
  <c r="C72" i="5" s="1"/>
  <c r="M34" i="5" a="1"/>
  <c r="M34" i="5" s="1"/>
  <c r="R27" i="5"/>
  <c r="M11" i="5" a="1"/>
  <c r="M11" i="5" s="1"/>
  <c r="U11" i="5" s="1"/>
  <c r="F178" i="5"/>
  <c r="F179" i="5" s="1"/>
  <c r="J140" i="5"/>
  <c r="E118" i="5"/>
  <c r="E120" i="5" s="1"/>
  <c r="I107" i="5"/>
  <c r="I122" i="5" s="1"/>
  <c r="F107" i="5"/>
  <c r="F122" i="5" s="1"/>
  <c r="O89" i="5"/>
  <c r="P89" i="5"/>
  <c r="M89" i="5"/>
  <c r="N89" i="5"/>
  <c r="Q89" i="5"/>
  <c r="M62" i="5"/>
  <c r="R16" i="5"/>
  <c r="E190" i="5"/>
  <c r="E197" i="5"/>
  <c r="I140" i="5"/>
  <c r="E146" i="5"/>
  <c r="E160" i="5" s="1"/>
  <c r="O112" i="5"/>
  <c r="P112" i="5"/>
  <c r="Q112" i="5"/>
  <c r="L118" i="5"/>
  <c r="L120" i="5" s="1"/>
  <c r="H100" i="5"/>
  <c r="H107" i="5" s="1"/>
  <c r="H122" i="5" s="1"/>
  <c r="D64" i="5"/>
  <c r="D66" i="5" s="1"/>
  <c r="D68" i="5" s="1"/>
  <c r="D70" i="5" s="1"/>
  <c r="D72" i="5" s="1"/>
  <c r="K183" i="5"/>
  <c r="K75" i="5"/>
  <c r="K129" i="5" s="1"/>
  <c r="K165" i="5" s="1"/>
  <c r="K68" i="5"/>
  <c r="K70" i="5" s="1"/>
  <c r="K72" i="5" s="1"/>
  <c r="M67" i="5"/>
  <c r="J183" i="5"/>
  <c r="I179" i="5"/>
  <c r="I146" i="5"/>
  <c r="I160" i="5" s="1"/>
  <c r="I162" i="5" s="1"/>
  <c r="E113" i="5"/>
  <c r="N115" i="5"/>
  <c r="O115" i="5"/>
  <c r="P115" i="5"/>
  <c r="Q115" i="5"/>
  <c r="D113" i="5"/>
  <c r="D118" i="5" s="1"/>
  <c r="D120" i="5" s="1"/>
  <c r="J118" i="5"/>
  <c r="J120" i="5" s="1"/>
  <c r="E83" i="5"/>
  <c r="E91" i="5" s="1"/>
  <c r="G64" i="5"/>
  <c r="G66" i="5" s="1"/>
  <c r="G68" i="5" s="1"/>
  <c r="G70" i="5" s="1"/>
  <c r="G72" i="5" s="1"/>
  <c r="R24" i="5"/>
  <c r="M81" i="5"/>
  <c r="R17" i="5"/>
  <c r="R10" i="5"/>
  <c r="S10" i="5" s="1"/>
  <c r="T10" i="5" s="1"/>
  <c r="F118" i="5"/>
  <c r="F120" i="5" s="1"/>
  <c r="I180" i="5"/>
  <c r="H180" i="5"/>
  <c r="L140" i="5"/>
  <c r="L146" i="5" s="1"/>
  <c r="L160" i="5" s="1"/>
  <c r="L162" i="5" s="1"/>
  <c r="H179" i="5"/>
  <c r="P96" i="5"/>
  <c r="L100" i="5"/>
  <c r="L107" i="5" s="1"/>
  <c r="Q96" i="5"/>
  <c r="M96" i="5"/>
  <c r="L177" i="5"/>
  <c r="N96" i="5"/>
  <c r="O96" i="5"/>
  <c r="D100" i="5"/>
  <c r="D107" i="5" s="1"/>
  <c r="D177" i="5"/>
  <c r="L83" i="5"/>
  <c r="L91" i="5" s="1"/>
  <c r="L212" i="5"/>
  <c r="D91" i="5"/>
  <c r="J58" i="5"/>
  <c r="J60" i="5" s="1"/>
  <c r="J64" i="5" s="1"/>
  <c r="J66" i="5" s="1"/>
  <c r="J68" i="5" s="1"/>
  <c r="J70" i="5" s="1"/>
  <c r="J72" i="5" s="1"/>
  <c r="M38" i="5" a="1"/>
  <c r="M38" i="5" s="1"/>
  <c r="M12" i="5" a="1"/>
  <c r="M12" i="5" s="1"/>
  <c r="E158" i="5"/>
  <c r="F158" i="5"/>
  <c r="F160" i="5" s="1"/>
  <c r="E140" i="5"/>
  <c r="K146" i="5"/>
  <c r="K160" i="5" s="1"/>
  <c r="C146" i="5"/>
  <c r="C160" i="5" s="1"/>
  <c r="K113" i="5"/>
  <c r="K118" i="5" s="1"/>
  <c r="K120" i="5" s="1"/>
  <c r="K122" i="5" s="1"/>
  <c r="C113" i="5"/>
  <c r="C118" i="5" s="1"/>
  <c r="C120" i="5" s="1"/>
  <c r="C122" i="5" s="1"/>
  <c r="K83" i="5"/>
  <c r="K91" i="5" s="1"/>
  <c r="K163" i="5"/>
  <c r="C83" i="5"/>
  <c r="C91" i="5" s="1"/>
  <c r="Q119" i="5"/>
  <c r="P114" i="5"/>
  <c r="P90" i="5"/>
  <c r="Q90" i="5"/>
  <c r="N87" i="5"/>
  <c r="O87" i="5"/>
  <c r="J83" i="5"/>
  <c r="J91" i="5" s="1"/>
  <c r="M101" i="5"/>
  <c r="N101" i="5"/>
  <c r="M39" i="5" a="1"/>
  <c r="M39" i="5" s="1"/>
  <c r="N28" i="5"/>
  <c r="R25" i="5"/>
  <c r="M20" i="5" a="1"/>
  <c r="M20" i="5" s="1"/>
  <c r="U20" i="5" s="1"/>
  <c r="R20" i="5" s="1"/>
  <c r="J146" i="5"/>
  <c r="J160" i="5" s="1"/>
  <c r="J162" i="5" s="1"/>
  <c r="O119" i="5"/>
  <c r="L113" i="5"/>
  <c r="N88" i="5"/>
  <c r="O88" i="5"/>
  <c r="M54" i="5"/>
  <c r="U18" i="5"/>
  <c r="R18" i="5" s="1"/>
  <c r="S18" i="5" s="1"/>
  <c r="T18" i="5" s="1"/>
  <c r="M119" i="5"/>
  <c r="K140" i="5"/>
  <c r="C140" i="5"/>
  <c r="E100" i="5"/>
  <c r="E107" i="5" s="1"/>
  <c r="S20" i="5" l="1"/>
  <c r="N84" i="5"/>
  <c r="S27" i="5"/>
  <c r="S25" i="5"/>
  <c r="S24" i="5"/>
  <c r="M55" i="5"/>
  <c r="M56" i="5" s="1"/>
  <c r="M58" i="5" s="1"/>
  <c r="M84" i="5"/>
  <c r="M57" i="5"/>
  <c r="M99" i="5"/>
  <c r="M149" i="5"/>
  <c r="N54" i="5"/>
  <c r="N81" i="5" s="1"/>
  <c r="M98" i="5"/>
  <c r="M82" i="5"/>
  <c r="M126" i="5" s="1"/>
  <c r="M140" i="5"/>
  <c r="M187" i="5" s="1"/>
  <c r="M97" i="5"/>
  <c r="C179" i="5"/>
  <c r="S16" i="5"/>
  <c r="N62" i="5"/>
  <c r="T19" i="5"/>
  <c r="K197" i="5"/>
  <c r="K190" i="5"/>
  <c r="M100" i="5"/>
  <c r="M107" i="5" s="1"/>
  <c r="F180" i="5"/>
  <c r="J122" i="5"/>
  <c r="E180" i="5"/>
  <c r="M79" i="5"/>
  <c r="D178" i="5"/>
  <c r="D180" i="5" s="1"/>
  <c r="L178" i="5"/>
  <c r="L180" i="5" s="1"/>
  <c r="W6" i="5"/>
  <c r="S14" i="5"/>
  <c r="S22" i="5"/>
  <c r="S17" i="5"/>
  <c r="D122" i="5"/>
  <c r="S23" i="5"/>
  <c r="E122" i="5"/>
  <c r="K162" i="5"/>
  <c r="L122" i="5"/>
  <c r="J178" i="5"/>
  <c r="J180" i="5" s="1"/>
  <c r="M63" i="5"/>
  <c r="J190" i="5"/>
  <c r="J197" i="5"/>
  <c r="G190" i="5"/>
  <c r="G197" i="5"/>
  <c r="M127" i="5" l="1"/>
  <c r="Q42" i="5"/>
  <c r="T14" i="5"/>
  <c r="M59" i="5"/>
  <c r="M60" i="5" s="1"/>
  <c r="M134" i="5"/>
  <c r="T27" i="5"/>
  <c r="N59" i="5"/>
  <c r="N134" i="5"/>
  <c r="T16" i="5"/>
  <c r="O62" i="5"/>
  <c r="N63" i="5"/>
  <c r="J179" i="5"/>
  <c r="D179" i="5"/>
  <c r="T20" i="5"/>
  <c r="T22" i="5"/>
  <c r="O79" i="5"/>
  <c r="M83" i="5"/>
  <c r="M91" i="5" s="1"/>
  <c r="M200" i="5"/>
  <c r="M186" i="5"/>
  <c r="M193" i="5"/>
  <c r="O63" i="5"/>
  <c r="T17" i="5"/>
  <c r="N55" i="5"/>
  <c r="N56" i="5" s="1"/>
  <c r="N58" i="5" s="1"/>
  <c r="N60" i="5" s="1"/>
  <c r="N57" i="5"/>
  <c r="N99" i="5"/>
  <c r="O54" i="5"/>
  <c r="N98" i="5"/>
  <c r="N140" i="5"/>
  <c r="N187" i="5" s="1"/>
  <c r="N149" i="5"/>
  <c r="N97" i="5"/>
  <c r="N67" i="5"/>
  <c r="L179" i="5"/>
  <c r="B207" i="5" s="1"/>
  <c r="N82" i="5"/>
  <c r="O80" i="5"/>
  <c r="T23" i="5"/>
  <c r="O81" i="5"/>
  <c r="T24" i="5"/>
  <c r="N79" i="5"/>
  <c r="N80" i="5"/>
  <c r="O82" i="5"/>
  <c r="T25" i="5"/>
  <c r="N192" i="5" l="1"/>
  <c r="N185" i="5"/>
  <c r="M192" i="5"/>
  <c r="M64" i="5"/>
  <c r="M185" i="5"/>
  <c r="M188" i="5" s="1"/>
  <c r="M208" i="5" s="1"/>
  <c r="M210" i="5" s="1"/>
  <c r="P82" i="5"/>
  <c r="B216" i="5"/>
  <c r="B211" i="5"/>
  <c r="N83" i="5"/>
  <c r="N91" i="5" s="1"/>
  <c r="N100" i="5"/>
  <c r="N107" i="5" s="1"/>
  <c r="O83" i="5"/>
  <c r="P62" i="5"/>
  <c r="N126" i="5"/>
  <c r="Q43" i="5"/>
  <c r="M194" i="5"/>
  <c r="P81" i="5"/>
  <c r="N193" i="5"/>
  <c r="N186" i="5"/>
  <c r="N200" i="5"/>
  <c r="P84" i="5"/>
  <c r="O57" i="5"/>
  <c r="O55" i="5"/>
  <c r="O56" i="5" s="1"/>
  <c r="O58" i="5" s="1"/>
  <c r="O99" i="5"/>
  <c r="O149" i="5"/>
  <c r="P54" i="5"/>
  <c r="O97" i="5"/>
  <c r="O98" i="5"/>
  <c r="O126" i="5" s="1"/>
  <c r="O140" i="5"/>
  <c r="O187" i="5" s="1"/>
  <c r="O67" i="5"/>
  <c r="O84" i="5"/>
  <c r="S42" i="5" l="1"/>
  <c r="R42" i="5"/>
  <c r="O127" i="5"/>
  <c r="N127" i="5"/>
  <c r="O91" i="5"/>
  <c r="M65" i="5"/>
  <c r="M66" i="5" s="1"/>
  <c r="O59" i="5"/>
  <c r="O60" i="5" s="1"/>
  <c r="O134" i="5"/>
  <c r="M195" i="5"/>
  <c r="O100" i="5"/>
  <c r="O107" i="5" s="1"/>
  <c r="P59" i="5"/>
  <c r="P134" i="5"/>
  <c r="N188" i="5"/>
  <c r="N208" i="5" s="1"/>
  <c r="N210" i="5" s="1"/>
  <c r="P57" i="5"/>
  <c r="P97" i="5"/>
  <c r="P100" i="5" s="1"/>
  <c r="P107" i="5" s="1"/>
  <c r="P55" i="5"/>
  <c r="P56" i="5"/>
  <c r="P58" i="5" s="1"/>
  <c r="P149" i="5"/>
  <c r="Q54" i="5"/>
  <c r="P98" i="5"/>
  <c r="P140" i="5"/>
  <c r="P187" i="5" s="1"/>
  <c r="P99" i="5"/>
  <c r="P67" i="5"/>
  <c r="P80" i="5"/>
  <c r="P126" i="5" s="1"/>
  <c r="O193" i="5"/>
  <c r="O186" i="5"/>
  <c r="O200" i="5"/>
  <c r="P79" i="5"/>
  <c r="P63" i="5"/>
  <c r="O192" i="5" l="1"/>
  <c r="O195" i="5" s="1"/>
  <c r="O185" i="5"/>
  <c r="O188" i="5" s="1"/>
  <c r="O208" i="5" s="1"/>
  <c r="O210" i="5" s="1"/>
  <c r="M68" i="5"/>
  <c r="M70" i="5" s="1"/>
  <c r="M133" i="5"/>
  <c r="M146" i="5" s="1"/>
  <c r="M199" i="5" s="1"/>
  <c r="M201" i="5" s="1"/>
  <c r="P60" i="5"/>
  <c r="S43" i="5"/>
  <c r="O194" i="5"/>
  <c r="Q97" i="5"/>
  <c r="Q55" i="5"/>
  <c r="Q57" i="5"/>
  <c r="Q80" i="5"/>
  <c r="Q56" i="5"/>
  <c r="Q58" i="5" s="1"/>
  <c r="Q98" i="5"/>
  <c r="Q149" i="5"/>
  <c r="Q140" i="5"/>
  <c r="Q187" i="5" s="1"/>
  <c r="Q99" i="5"/>
  <c r="Q62" i="5"/>
  <c r="Q84" i="5"/>
  <c r="Q82" i="5"/>
  <c r="Q79" i="5"/>
  <c r="Q81" i="5"/>
  <c r="Q63" i="5"/>
  <c r="Q67" i="5"/>
  <c r="P193" i="5"/>
  <c r="P186" i="5"/>
  <c r="P200" i="5"/>
  <c r="R43" i="5"/>
  <c r="N194" i="5"/>
  <c r="N195" i="5" s="1"/>
  <c r="T42" i="5"/>
  <c r="P127" i="5"/>
  <c r="P83" i="5"/>
  <c r="P91" i="5" s="1"/>
  <c r="M73" i="5" l="1"/>
  <c r="M71" i="5"/>
  <c r="M72" i="5" s="1"/>
  <c r="M116" i="5" s="1"/>
  <c r="Q193" i="5"/>
  <c r="Q200" i="5"/>
  <c r="Q186" i="5"/>
  <c r="P192" i="5"/>
  <c r="P195" i="5" s="1"/>
  <c r="P185" i="5"/>
  <c r="P188" i="5" s="1"/>
  <c r="P208" i="5" s="1"/>
  <c r="P210" i="5" s="1"/>
  <c r="Q83" i="5"/>
  <c r="Q91" i="5" s="1"/>
  <c r="Q126" i="5"/>
  <c r="Q59" i="5"/>
  <c r="Q60" i="5" s="1"/>
  <c r="Q134" i="5"/>
  <c r="Q100" i="5"/>
  <c r="Q107" i="5" s="1"/>
  <c r="T43" i="5"/>
  <c r="P194" i="5"/>
  <c r="Q185" i="5" l="1"/>
  <c r="Q188" i="5" s="1"/>
  <c r="Q208" i="5" s="1"/>
  <c r="Q192" i="5"/>
  <c r="M113" i="5"/>
  <c r="M120" i="5" s="1"/>
  <c r="U42" i="5"/>
  <c r="Q127" i="5"/>
  <c r="U43" i="5" l="1"/>
  <c r="Q194" i="5"/>
  <c r="M118" i="5"/>
  <c r="M122" i="5"/>
  <c r="M124" i="5" s="1"/>
  <c r="N61" i="5" s="1"/>
  <c r="N64" i="5" s="1"/>
  <c r="Q195" i="5"/>
  <c r="Q209" i="5"/>
  <c r="Q210" i="5" s="1"/>
  <c r="L211" i="5" s="1"/>
  <c r="L215" i="5" s="1"/>
  <c r="L216" i="5" s="1"/>
  <c r="W208" i="5" s="1"/>
  <c r="N65" i="5" l="1"/>
  <c r="N66" i="5"/>
  <c r="N68" i="5" l="1"/>
  <c r="N70" i="5" s="1"/>
  <c r="N133" i="5"/>
  <c r="N146" i="5" s="1"/>
  <c r="N199" i="5" s="1"/>
  <c r="N201" i="5" s="1"/>
  <c r="N73" i="5" l="1"/>
  <c r="N71" i="5"/>
  <c r="N72" i="5" s="1"/>
  <c r="N116" i="5" s="1"/>
  <c r="N113" i="5" l="1"/>
  <c r="N120" i="5" s="1"/>
  <c r="N118" i="5" l="1"/>
  <c r="N122" i="5"/>
  <c r="N124" i="5" s="1"/>
  <c r="O61" i="5" s="1"/>
  <c r="O64" i="5" s="1"/>
  <c r="O65" i="5" l="1"/>
  <c r="O66" i="5"/>
  <c r="O68" i="5" l="1"/>
  <c r="O70" i="5" s="1"/>
  <c r="O133" i="5"/>
  <c r="O146" i="5" s="1"/>
  <c r="O199" i="5" s="1"/>
  <c r="O201" i="5" s="1"/>
  <c r="O73" i="5" l="1"/>
  <c r="O71" i="5"/>
  <c r="O72" i="5" s="1"/>
  <c r="O116" i="5" s="1"/>
  <c r="O113" i="5" l="1"/>
  <c r="O120" i="5" s="1"/>
  <c r="O118" i="5" l="1"/>
  <c r="O122" i="5"/>
  <c r="O124" i="5" s="1"/>
  <c r="P61" i="5" s="1"/>
  <c r="P64" i="5" s="1"/>
  <c r="P66" i="5" l="1"/>
  <c r="P65" i="5"/>
  <c r="P133" i="5" l="1"/>
  <c r="P146" i="5" s="1"/>
  <c r="P199" i="5" s="1"/>
  <c r="P201" i="5" s="1"/>
  <c r="P68" i="5"/>
  <c r="P70" i="5" s="1"/>
  <c r="P73" i="5" l="1"/>
  <c r="P71" i="5"/>
  <c r="P72" i="5" s="1"/>
  <c r="P116" i="5" s="1"/>
  <c r="P113" i="5" l="1"/>
  <c r="P120" i="5" s="1"/>
  <c r="P122" i="5" l="1"/>
  <c r="P118" i="5"/>
  <c r="P124" i="5" l="1"/>
  <c r="Q61" i="5" l="1"/>
  <c r="Q64" i="5" s="1"/>
  <c r="Q65" i="5" l="1"/>
  <c r="Q66" i="5" s="1"/>
  <c r="Q133" i="5" l="1"/>
  <c r="Q146" i="5" s="1"/>
  <c r="Q199" i="5" s="1"/>
  <c r="Q201" i="5" s="1"/>
  <c r="Q68" i="5"/>
  <c r="Q70" i="5" s="1"/>
  <c r="Q73" i="5" l="1"/>
  <c r="Q71" i="5"/>
  <c r="Q72" i="5" s="1"/>
  <c r="Q116" i="5" s="1"/>
  <c r="Q113" i="5" s="1"/>
  <c r="Q120" i="5" s="1"/>
  <c r="Q122" i="5" l="1"/>
  <c r="Q118" i="5"/>
  <c r="Q124" i="5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Woidtke, Tracie</author>
  </authors>
  <commentList>
    <comment ref="R4" authorId="0" shapeId="0" xr:uid="{B22B559F-DD3D-40F0-849E-3D81149AAA11}">
      <text>
        <r>
          <rPr>
            <b/>
            <sz val="9"/>
            <color indexed="81"/>
            <rFont val="Tahoma"/>
            <family val="2"/>
          </rPr>
          <t xml:space="preserve">for example, calculate Year 2 % as Year 1 % + (Year 5 % - Year 1 %)/4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14" authorId="0" shapeId="0" xr:uid="{0BC79294-581C-44B0-A3C0-2EF19DE708EE}">
      <text>
        <r>
          <rPr>
            <b/>
            <sz val="9"/>
            <color indexed="81"/>
            <rFont val="Tahoma"/>
            <family val="2"/>
          </rPr>
          <t>assumes will equal Rd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15" authorId="0" shapeId="0" xr:uid="{D42117FF-5E26-4443-9B10-E938201BE889}">
      <text>
        <r>
          <rPr>
            <b/>
            <sz val="9"/>
            <color indexed="81"/>
            <rFont val="Tahoma"/>
            <family val="2"/>
          </rPr>
          <t>assumes will be constant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<sst xmlns="http://schemas.openxmlformats.org/spreadsheetml/2006/main" count="1172" uniqueCount="529">
  <si>
    <t>Research and Development Expense</t>
  </si>
  <si>
    <t>Rental Expense</t>
  </si>
  <si>
    <t>Receivables - Estimated Doubtful</t>
  </si>
  <si>
    <t>Price - Fiscal Year Close</t>
  </si>
  <si>
    <t>Price - Calendar Year Close</t>
  </si>
  <si>
    <t>Preferred Stock - Redemption Value</t>
  </si>
  <si>
    <t>Preferred Stock - Liquidation Value</t>
  </si>
  <si>
    <t>Dividends (Cash) - Preferred</t>
  </si>
  <si>
    <t>Dividends (Cash) - Common</t>
  </si>
  <si>
    <t>Dividends (Cash)per Share Ex-Date</t>
  </si>
  <si>
    <t>Advertising Expense</t>
  </si>
  <si>
    <t>Adjustmnet Factor-Cum, Ex-Date</t>
  </si>
  <si>
    <t>Working Capital Changes - Other - Inc(Dec)</t>
  </si>
  <si>
    <t>Current Debt - Changes</t>
  </si>
  <si>
    <t>Funds From Operations - Total</t>
  </si>
  <si>
    <t>Income Taxes Paid</t>
  </si>
  <si>
    <t>Interest Paid - Net</t>
  </si>
  <si>
    <t>CASH STATEMENT - SOURCE &amp; USE</t>
  </si>
  <si>
    <t>Cash Dividends</t>
  </si>
  <si>
    <t>Investing Activites - Net Cash Flow</t>
  </si>
  <si>
    <t>Acquisitions</t>
  </si>
  <si>
    <t>Sale of Property Plant and Equipment</t>
  </si>
  <si>
    <t>Capital Expenditures</t>
  </si>
  <si>
    <t>Operating Activities - Net Cash Flow</t>
  </si>
  <si>
    <t>SHARES - Outstanding at Fiscal Year End</t>
  </si>
  <si>
    <t>SHARES - for Fully Diluted EPS Calculation</t>
  </si>
  <si>
    <t>STATEMENT OF CASH FLOWS</t>
  </si>
  <si>
    <t>SHARES - for Primary EPS Calculation</t>
  </si>
  <si>
    <t>EPS - Fully Diluted - Including EI&amp;DO</t>
  </si>
  <si>
    <t>EPS - Fully Diluted - Excluding EI&amp;DO</t>
  </si>
  <si>
    <t>EPS - Primary - Including EI&amp;DO</t>
  </si>
  <si>
    <t>EPS - Primary - Excluding EI&amp;DO</t>
  </si>
  <si>
    <t>Preferred Dividends</t>
  </si>
  <si>
    <t>Net Income (Loss)</t>
  </si>
  <si>
    <t>Discontinued Operations</t>
  </si>
  <si>
    <t>Extraordinary Items</t>
  </si>
  <si>
    <t>INCOME BEFORE EI&amp;DO</t>
  </si>
  <si>
    <t>Minority Interest</t>
  </si>
  <si>
    <t>Income Taxes - Total</t>
  </si>
  <si>
    <t>Pretax Income</t>
  </si>
  <si>
    <t>Special Items</t>
  </si>
  <si>
    <t>Non-Operating Income/Expense</t>
  </si>
  <si>
    <t>Interest Expense</t>
  </si>
  <si>
    <t>Operating Income After Depreciation</t>
  </si>
  <si>
    <t>Depreciation, Depletion, &amp; Amortization</t>
  </si>
  <si>
    <t>Operating Income Before Depreciation</t>
  </si>
  <si>
    <t>Selling, General, &amp; Admin Expenses</t>
  </si>
  <si>
    <t>Gross Profit</t>
  </si>
  <si>
    <t>Cost of Goods Sold</t>
  </si>
  <si>
    <t>Sales (Net)</t>
  </si>
  <si>
    <t>TOTAL SHAREHOLDERS EQUITY</t>
  </si>
  <si>
    <t>Noncontrolling Interest - Nonredeemable</t>
  </si>
  <si>
    <t>Shareholders Equity - Parent</t>
  </si>
  <si>
    <t>Less: Treasury Stock</t>
  </si>
  <si>
    <t>Retained Earnings (Net Other)</t>
  </si>
  <si>
    <t>Capital Surplus</t>
  </si>
  <si>
    <t>Common Stock</t>
  </si>
  <si>
    <t>Preferred Stock</t>
  </si>
  <si>
    <t>Noncontrolling Interest - Redeemable</t>
  </si>
  <si>
    <t>TOTAL LIABILITIES</t>
  </si>
  <si>
    <t>Liabilities - Other</t>
  </si>
  <si>
    <t>Investment Tax Credit</t>
  </si>
  <si>
    <t>Deferred Taxes (Balance Sheet)</t>
  </si>
  <si>
    <t>Long Term Debt</t>
  </si>
  <si>
    <t>Total Current Liabilities</t>
  </si>
  <si>
    <t>Other Current Liabilities</t>
  </si>
  <si>
    <t>Debt (Long-Term) Due In One Year</t>
  </si>
  <si>
    <t>Taxes Payable</t>
  </si>
  <si>
    <t>Accrued Expenses</t>
  </si>
  <si>
    <t>Notes Payable</t>
  </si>
  <si>
    <t>Accounts Payable</t>
  </si>
  <si>
    <t>TOTAL ASSETS</t>
  </si>
  <si>
    <t>Assets - Other</t>
  </si>
  <si>
    <t>Deferred Charges</t>
  </si>
  <si>
    <t>Intangibles</t>
  </si>
  <si>
    <t>Investments and Advances - Other</t>
  </si>
  <si>
    <t>Investments at Equity</t>
  </si>
  <si>
    <t>Plant, Property &amp; Equip (Net)</t>
  </si>
  <si>
    <t>Accumulated Depreciation</t>
  </si>
  <si>
    <t>Plant, Property &amp; Equip (Gross)</t>
  </si>
  <si>
    <t>Current Assets - Total</t>
  </si>
  <si>
    <t>Current Assets - Other</t>
  </si>
  <si>
    <t>Prepaid Expenses</t>
  </si>
  <si>
    <t>Inventories - Total</t>
  </si>
  <si>
    <t>Receivables - Total (Net)</t>
  </si>
  <si>
    <t>Cash &amp; Equivalents</t>
  </si>
  <si>
    <t>INPUTS INTO FINANCIAL STATEMENT</t>
  </si>
  <si>
    <t>Total</t>
  </si>
  <si>
    <t>Warrants and Other</t>
  </si>
  <si>
    <t>Stock Options</t>
  </si>
  <si>
    <t>Convertible Debt</t>
  </si>
  <si>
    <t>COMMON SHARES RESERVED FOR CONVERSION</t>
  </si>
  <si>
    <t>Income Taxes - Other</t>
  </si>
  <si>
    <t>Income Taxes - State</t>
  </si>
  <si>
    <t>Income Taxes - Foreign</t>
  </si>
  <si>
    <t>Income Taxes - Federal</t>
  </si>
  <si>
    <t>Deferred Taxes - State</t>
  </si>
  <si>
    <t>Deferred Taxes - Foreign</t>
  </si>
  <si>
    <t>Deferred Taxes - Federal</t>
  </si>
  <si>
    <t>Ending Balance</t>
  </si>
  <si>
    <t>Other Changes</t>
  </si>
  <si>
    <t>Retirements</t>
  </si>
  <si>
    <t>Depletion Expense</t>
  </si>
  <si>
    <t>Depreciation Expense</t>
  </si>
  <si>
    <t>Beginning Balance</t>
  </si>
  <si>
    <t>ACCUMULATED DEPRECIATION ON PPE</t>
  </si>
  <si>
    <t>PROPERTY, PLANT AND EQUIPMENT (COST)</t>
  </si>
  <si>
    <t>Long Term Debt Total</t>
  </si>
  <si>
    <t>Debt - Capitalized Lease Obligations</t>
  </si>
  <si>
    <t>Debt - Long Term - Other</t>
  </si>
  <si>
    <t>Debt - Debentures</t>
  </si>
  <si>
    <t>Debt - Notes</t>
  </si>
  <si>
    <t>Debt - Subordinated</t>
  </si>
  <si>
    <t>Debt - Senior Convertible</t>
  </si>
  <si>
    <t>Debt - Convertible Subordinated</t>
  </si>
  <si>
    <t>LESS: Debt (Long Term) Due In One Year</t>
  </si>
  <si>
    <t>Inventories - Other</t>
  </si>
  <si>
    <t>Inventories - Finished Goods</t>
  </si>
  <si>
    <t>Inventories - Work In Process</t>
  </si>
  <si>
    <t>Inventories - Raw Materials</t>
  </si>
  <si>
    <t>Receivables - Other - Current</t>
  </si>
  <si>
    <t>Income Tax Refund</t>
  </si>
  <si>
    <t>Receivables - Trade</t>
  </si>
  <si>
    <t>ADDITIONAL DATA</t>
  </si>
  <si>
    <t>Treasury Stock - # Shares</t>
  </si>
  <si>
    <t>Treasury Stock ($) - Preferred</t>
  </si>
  <si>
    <t>Treasury Stock ($) - Common</t>
  </si>
  <si>
    <t>Tax Loss Carry Forward</t>
  </si>
  <si>
    <t>Rental Income</t>
  </si>
  <si>
    <t>Rental Commitments - Minimum Year+5</t>
  </si>
  <si>
    <t>Rental Commitments - Minimum Year+4</t>
  </si>
  <si>
    <t>Rental Commitments - Minimum Year+3</t>
  </si>
  <si>
    <t>Rental Commitments - Minimum Year+2</t>
  </si>
  <si>
    <t>Rental Commitments - Minimum Year+1</t>
  </si>
  <si>
    <t>Price - Calendar Year Low</t>
  </si>
  <si>
    <t>Price - Calendar Year High</t>
  </si>
  <si>
    <t>Present Value - Noncapitalized Leases</t>
  </si>
  <si>
    <t>Preferred Stock - Dividends In Arrears</t>
  </si>
  <si>
    <t>Order Backlog</t>
  </si>
  <si>
    <t>LIFO Reserve</t>
  </si>
  <si>
    <t>Labor Related Expenses</t>
  </si>
  <si>
    <t>Interest Expense on Long Term Debt</t>
  </si>
  <si>
    <t>Interest Capitalized - Net Income Effect</t>
  </si>
  <si>
    <t>Interest Capitalized (in fiscal yr)</t>
  </si>
  <si>
    <t>Foreign Currency Translation Adj - Inc. Stmnt.</t>
  </si>
  <si>
    <t>Foreign Currency Translation Adj - Bal. Sheet</t>
  </si>
  <si>
    <t>Equity in Earnings - Unconsolidated Subs</t>
  </si>
  <si>
    <t>Employees (# of)</t>
  </si>
  <si>
    <t>Debt - Unamortized Debt Discount and Other</t>
  </si>
  <si>
    <t>Debt - Mortgages and Other Securities</t>
  </si>
  <si>
    <t>Debt - Long-Term Debt - Tied to Prime</t>
  </si>
  <si>
    <t>Debt (Long Term) Maturing Due in 5 Years</t>
  </si>
  <si>
    <t>Debt (Long Term) Maturing Due in 4 Years Years</t>
  </si>
  <si>
    <t>Debt (Long Term) Maturing Due in 3 Years</t>
  </si>
  <si>
    <t>Debt (Long Term) Maturing Due in 2 Years</t>
  </si>
  <si>
    <t>Convertible Debt and Preferred Stock</t>
  </si>
  <si>
    <t>Compensating Balance</t>
  </si>
  <si>
    <t>Common Shares Traded (Calendar Yr)</t>
  </si>
  <si>
    <t>Common Shareholders (# of)</t>
  </si>
  <si>
    <t>Average Short term Borrowing</t>
  </si>
  <si>
    <t>Average Short Term Borrowing Rate</t>
  </si>
  <si>
    <t>Acquisitions - Sales Contribution</t>
  </si>
  <si>
    <t>Acquisitions - Income Contribution</t>
  </si>
  <si>
    <t>ADDITIONAL SCHEDULES</t>
  </si>
  <si>
    <t>Interest Paid Net</t>
  </si>
  <si>
    <t>DIRECT OPERATING ACTIVITIES</t>
  </si>
  <si>
    <t>Cash and Cash Equivalents - Increase (Decrease)</t>
  </si>
  <si>
    <t>Exchange Rate Effect</t>
  </si>
  <si>
    <t>Financing Activities - Net Cash Flow</t>
  </si>
  <si>
    <t>Financing Activities - Other</t>
  </si>
  <si>
    <t>Changes in Current Debt</t>
  </si>
  <si>
    <t>Long Term Debt - Reduction</t>
  </si>
  <si>
    <t>Long Term Debt - Issuance</t>
  </si>
  <si>
    <t>Purchase of Common and Preferred Stock</t>
  </si>
  <si>
    <t>Sale of Common and Preferred Stock</t>
  </si>
  <si>
    <t>FINANCING ACTIVITIES</t>
  </si>
  <si>
    <t>Investing Activities - Net Cash Flow</t>
  </si>
  <si>
    <t>Investing Activities - Other</t>
  </si>
  <si>
    <t>Sale of Property, Plant, and Equipment</t>
  </si>
  <si>
    <t>Short-Term Investments - Change</t>
  </si>
  <si>
    <t>Sale of Investments</t>
  </si>
  <si>
    <t>Increase in Investments</t>
  </si>
  <si>
    <t>INVESTING ACTIVITIES</t>
  </si>
  <si>
    <t>Assets and Liablities - Other (Net Change)</t>
  </si>
  <si>
    <t>Income Taxes - Accrued - Increase (Decrease)</t>
  </si>
  <si>
    <t>Accounts Payable and Accrued Liabilities - Increase (Decrease)</t>
  </si>
  <si>
    <t>Inventory - Decrease (Increase)</t>
  </si>
  <si>
    <t>Accounts Receivable - Decrease (Increase)</t>
  </si>
  <si>
    <t>Funds from Operations - Other</t>
  </si>
  <si>
    <t>Sale of Property, Plant, and Equipment and Sale of Investments - Loss (Gain)</t>
  </si>
  <si>
    <t>Equity in Net Loss (Earnings)</t>
  </si>
  <si>
    <t>Deferred Taxes</t>
  </si>
  <si>
    <t>Extraordinary Items and Discontinued Operations</t>
  </si>
  <si>
    <t>Depreciation and Amortization</t>
  </si>
  <si>
    <t>Income Before Extraordinary Items</t>
  </si>
  <si>
    <t>INDIRECT OPERATING ACTIVITIES</t>
  </si>
  <si>
    <t>Net Income Adjusted for Common Stock Equivalents</t>
  </si>
  <si>
    <t xml:space="preserve">            Discounted Operations</t>
  </si>
  <si>
    <t xml:space="preserve">            Extraordinary Items</t>
  </si>
  <si>
    <t>Income Before Extraordinary Items - Adjusted for Common Stock Equivalents</t>
  </si>
  <si>
    <t>Common Stock Equivalents - Dollar Savings</t>
  </si>
  <si>
    <t>Income Before Extraordinary Items - Available for Common</t>
  </si>
  <si>
    <t>Dividends - Preferred</t>
  </si>
  <si>
    <t xml:space="preserve">            Income Taxes - Other</t>
  </si>
  <si>
    <t xml:space="preserve">            Income Taxes - State</t>
  </si>
  <si>
    <t xml:space="preserve">            Income Taxes - Foreign</t>
  </si>
  <si>
    <t xml:space="preserve">            Income Taxes - Federal</t>
  </si>
  <si>
    <t xml:space="preserve">                        Deferred Taxes - State</t>
  </si>
  <si>
    <t xml:space="preserve">                        Deferred Taxes - Foreign</t>
  </si>
  <si>
    <t xml:space="preserve">                        Deferred Taxes - Federal</t>
  </si>
  <si>
    <t xml:space="preserve">            Deferred Taxes (Income Account)</t>
  </si>
  <si>
    <t xml:space="preserve">            Pretax Income - Foreign</t>
  </si>
  <si>
    <t xml:space="preserve">            Pretax Income - Domestic</t>
  </si>
  <si>
    <t xml:space="preserve">            Interest Income</t>
  </si>
  <si>
    <t xml:space="preserve">            Nonoperating Income (Expense) - Excluding Interest Income</t>
  </si>
  <si>
    <t>Nonoperating Income (Expense)</t>
  </si>
  <si>
    <t xml:space="preserve">            Depletion Expense (Schedule VI)</t>
  </si>
  <si>
    <t xml:space="preserve">            Depreciation Expense (Schedule VI)</t>
  </si>
  <si>
    <t xml:space="preserve">            Amortization of Intangibles</t>
  </si>
  <si>
    <t>Selling, General, and Administrative Expense</t>
  </si>
  <si>
    <t>INCOME STATEMENT</t>
  </si>
  <si>
    <t>Total Liabilities and Shareholders Equity</t>
  </si>
  <si>
    <t>Shareholders Equity - Total</t>
  </si>
  <si>
    <t xml:space="preserve">            Less: Treas.Stock - Total $ Amt.</t>
  </si>
  <si>
    <t xml:space="preserve">            Retained Earnings</t>
  </si>
  <si>
    <t xml:space="preserve">            Capital Surplus</t>
  </si>
  <si>
    <t xml:space="preserve">            Common Stock</t>
  </si>
  <si>
    <t>Common Equity - Total</t>
  </si>
  <si>
    <t xml:space="preserve">            Pref. Stock - Nonredeemable</t>
  </si>
  <si>
    <t xml:space="preserve">            Pref. Stock - Redeemable</t>
  </si>
  <si>
    <t>Preferred Stock - Carrying Value</t>
  </si>
  <si>
    <t>SHAREHOLDERS' EQUITY</t>
  </si>
  <si>
    <t>Liabilities - Total</t>
  </si>
  <si>
    <t xml:space="preserve">            Investment Tax Credit</t>
  </si>
  <si>
    <t xml:space="preserve">            Deferred Taxes</t>
  </si>
  <si>
    <t>Def. Taxes and Invest.Tax Cred.</t>
  </si>
  <si>
    <t xml:space="preserve">            Debt - Cap. Lease Oblig.</t>
  </si>
  <si>
    <t xml:space="preserve">            Long-Term Debt - Other</t>
  </si>
  <si>
    <t xml:space="preserve">            Debt - Debentures</t>
  </si>
  <si>
    <t xml:space="preserve">            Debt - Notes</t>
  </si>
  <si>
    <t xml:space="preserve">            Debt - Subordinated</t>
  </si>
  <si>
    <t xml:space="preserve">            Debt - Senior Convertible</t>
  </si>
  <si>
    <t xml:space="preserve">            Debt - Subordinated Convertible</t>
  </si>
  <si>
    <t xml:space="preserve">            Debt - Convertible (Total)</t>
  </si>
  <si>
    <t>Long-Term Debt - Total</t>
  </si>
  <si>
    <t>Current Liabilities - Total</t>
  </si>
  <si>
    <t xml:space="preserve">            Other Curr.Liab., Excl.Accr.Exp.</t>
  </si>
  <si>
    <t xml:space="preserve">            Accrued Expense</t>
  </si>
  <si>
    <t>Current Liabilities - Other</t>
  </si>
  <si>
    <t>Income Taxes Payable</t>
  </si>
  <si>
    <t xml:space="preserve">            Debt - Due in One Year</t>
  </si>
  <si>
    <t xml:space="preserve">            Notes Payable</t>
  </si>
  <si>
    <t>Debt in Current Liabilities</t>
  </si>
  <si>
    <t>LIABILITIES</t>
  </si>
  <si>
    <t>Assets - Total</t>
  </si>
  <si>
    <t xml:space="preserve">            Other Asst., Excl.Def.Chg.</t>
  </si>
  <si>
    <t xml:space="preserve">            Deferred Charges</t>
  </si>
  <si>
    <t>Invest. &amp; Advances - Other</t>
  </si>
  <si>
    <t>Invest. &amp; Advances - Eq.Meth.</t>
  </si>
  <si>
    <t xml:space="preserve">            Deprec.Depl.&amp; Amort.</t>
  </si>
  <si>
    <t xml:space="preserve">            P.P.&amp; E.- Total (Gross)</t>
  </si>
  <si>
    <t>Prop.Plant &amp; Equip.- Total (Net)</t>
  </si>
  <si>
    <t xml:space="preserve">            Other Curr.Asst, Excl.Ppd.Exp.</t>
  </si>
  <si>
    <t xml:space="preserve">            Prepaid Expense</t>
  </si>
  <si>
    <t xml:space="preserve">            Inventories - Other</t>
  </si>
  <si>
    <t xml:space="preserve">            Inventories - Finished Goods</t>
  </si>
  <si>
    <t xml:space="preserve">            Inventories - Work in Process</t>
  </si>
  <si>
    <t xml:space="preserve">            Inventories - Raw Materials</t>
  </si>
  <si>
    <t xml:space="preserve">            Current Receivables - Other</t>
  </si>
  <si>
    <t xml:space="preserve">            Income Tax Refund</t>
  </si>
  <si>
    <t xml:space="preserve">            Receivables - Trade</t>
  </si>
  <si>
    <t>Receivables</t>
  </si>
  <si>
    <t xml:space="preserve">            Short-Term Investments</t>
  </si>
  <si>
    <t xml:space="preserve">            Cash</t>
  </si>
  <si>
    <t>Cash and Short-Term Investments</t>
  </si>
  <si>
    <t>ASSETS</t>
  </si>
  <si>
    <t>BALANCE SHEET</t>
  </si>
  <si>
    <t>Fiscal Years: 2014 to 2023</t>
  </si>
  <si>
    <t>COST</t>
  </si>
  <si>
    <t>Ticker</t>
  </si>
  <si>
    <t>COSTCO</t>
  </si>
  <si>
    <t>Financial Statement for: COSTCO WHOLESALE CORP</t>
  </si>
  <si>
    <t>Free Cash Flow</t>
  </si>
  <si>
    <t>Stmt. of CFs</t>
  </si>
  <si>
    <t>Change: (Increase) Decrease in CapEx</t>
  </si>
  <si>
    <t>Net Cash Flow from Operating Activities</t>
  </si>
  <si>
    <t>Source</t>
  </si>
  <si>
    <t>Recent</t>
  </si>
  <si>
    <t>Min and Max</t>
  </si>
  <si>
    <t>Average</t>
  </si>
  <si>
    <t>C. Free Cash Flow (Using 3) - Industry Practice</t>
  </si>
  <si>
    <t>Most</t>
  </si>
  <si>
    <t>Drop</t>
  </si>
  <si>
    <t>Historical</t>
  </si>
  <si>
    <t>Fiscal Year</t>
  </si>
  <si>
    <t>Balance Sheet</t>
  </si>
  <si>
    <t>Change: (Increase) Decrease in NOWC</t>
  </si>
  <si>
    <t>Inc. Stmt.</t>
  </si>
  <si>
    <t>EBIT*(1-T) + Depreciation</t>
  </si>
  <si>
    <t>B. Free Cash Flow (Using 1, 2, &amp; 3)</t>
  </si>
  <si>
    <t>A. Free Cash Flow (Using 1 &amp; 3)</t>
  </si>
  <si>
    <t>5. Free Cash Flow Estimates</t>
  </si>
  <si>
    <t>SHARES - for Fully Diluted EPS Calculation (millions)</t>
  </si>
  <si>
    <t>SHARES - for Primary EPS Calculation (millions)</t>
  </si>
  <si>
    <t>DPS - Primary</t>
  </si>
  <si>
    <t>SHARES - Outstanding at Fiscal Year End (millions)</t>
  </si>
  <si>
    <t>Stock Price</t>
  </si>
  <si>
    <t>Year</t>
  </si>
  <si>
    <t>4. Per Share Information</t>
  </si>
  <si>
    <t>From Balance Sheet (End of Year minus Beginning of Year)</t>
  </si>
  <si>
    <t>Adjustment (e.g., Short-Term Investments)</t>
  </si>
  <si>
    <t>Reported Cash and Cash Equivalents - Increase (Decrease)</t>
  </si>
  <si>
    <t>Increase (Decrease) in Current Debt</t>
  </si>
  <si>
    <t>Increase (Decrease) in Long-term Debt</t>
  </si>
  <si>
    <t>Increase (Decrease) in Common and Preferred Stock</t>
  </si>
  <si>
    <t>Decrease (Increase) in Other Investments</t>
  </si>
  <si>
    <t>Decrease (Increase) in Gross PP&amp;E [(Increase) in Capital Expenditures]</t>
  </si>
  <si>
    <t>Assuming items below are typical recurring working capital accounts</t>
  </si>
  <si>
    <t xml:space="preserve">(Increase) Decrease in NOWC </t>
  </si>
  <si>
    <t>(Increase) Decrease in NOWC from Statement of CFs</t>
  </si>
  <si>
    <t>Consolidated Income Before Extraordinary Items</t>
  </si>
  <si>
    <t>3. Statement of Cash Flows (% of Revenue)</t>
  </si>
  <si>
    <t>3. Statement of Cash Flows (millions)</t>
  </si>
  <si>
    <t>N/A</t>
  </si>
  <si>
    <t>Change: (Increase) Decrease in NOWC from Balance Sheet</t>
  </si>
  <si>
    <t>NOWC from Balance Sheet (Excludes Cash and Debt)</t>
  </si>
  <si>
    <t>Cash and Debt are excluded because they frequently include interest bearing accounts that are not directly related to day-to-day operations</t>
  </si>
  <si>
    <t>Total Assets = Total Liabilities &amp; Shareholders' Equity</t>
  </si>
  <si>
    <t>Total Liabilities and Shareholders' Equity</t>
  </si>
  <si>
    <t>Shareholders' Equity</t>
  </si>
  <si>
    <t>Liabilities - Total = Reported Total Liabilities</t>
  </si>
  <si>
    <t>Reported Total Liabilities</t>
  </si>
  <si>
    <t>Deferred Taxes and Investment Tax Credit</t>
  </si>
  <si>
    <t xml:space="preserve">            Debt - Capital Lease Obligation</t>
  </si>
  <si>
    <t xml:space="preserve">            Debt - NonCapital Lease</t>
  </si>
  <si>
    <t xml:space="preserve">Liabilities </t>
  </si>
  <si>
    <t>Assets - Total = Reported Total Assets</t>
  </si>
  <si>
    <t>Reported Total Assets</t>
  </si>
  <si>
    <t>Investment &amp; Advances - Other</t>
  </si>
  <si>
    <t>Investment &amp; Advances - Eq Meth</t>
  </si>
  <si>
    <t xml:space="preserve">            Depreciation &amp; Amortization</t>
  </si>
  <si>
    <t xml:space="preserve">            PP&amp;E- Total (Gross)</t>
  </si>
  <si>
    <t>Property Plant &amp; Equipment- Total (Net)</t>
  </si>
  <si>
    <t>Accounts Receivable</t>
  </si>
  <si>
    <t>Assets</t>
  </si>
  <si>
    <t xml:space="preserve">2. Balance Sheet (% of Revenues) </t>
  </si>
  <si>
    <t>2. Balance Sheet (millions)</t>
  </si>
  <si>
    <t>We will use % of Revenues with a view towards forecasting; however, the Balance Sheet is frequently common sized as % of Assets</t>
  </si>
  <si>
    <t>Net Income (Loss) = Reported Net Income (Loss)</t>
  </si>
  <si>
    <t>Reported Net Income (Loss)</t>
  </si>
  <si>
    <t xml:space="preserve">  less Minority Interest</t>
  </si>
  <si>
    <t xml:space="preserve">  less Income Taxes</t>
  </si>
  <si>
    <t>Income before Taxes (EBT)</t>
  </si>
  <si>
    <t xml:space="preserve">  less Interest Expense</t>
  </si>
  <si>
    <t>Operating Profit (EBIT)</t>
  </si>
  <si>
    <t xml:space="preserve">  less Depreciation  &amp; Amortization Expense</t>
  </si>
  <si>
    <t>Income before Depr. &amp; Amort. (EBITDA)</t>
  </si>
  <si>
    <t xml:space="preserve">  less Selling, General&amp; Administrative Expense </t>
  </si>
  <si>
    <t xml:space="preserve">  less Cost of Goods Sold</t>
  </si>
  <si>
    <t>Revenue</t>
  </si>
  <si>
    <t>1. Income Statement (% of Revenue)</t>
  </si>
  <si>
    <t>1. Income Statement (millions)</t>
  </si>
  <si>
    <t>Fiscal Year-End</t>
  </si>
  <si>
    <t>Date</t>
  </si>
  <si>
    <t>CAGR</t>
  </si>
  <si>
    <t>Year over year growth</t>
  </si>
  <si>
    <t>Ticker:</t>
  </si>
  <si>
    <t>We</t>
  </si>
  <si>
    <t>Wd</t>
  </si>
  <si>
    <t>6. Market Value Capital Structure Weights</t>
  </si>
  <si>
    <t>Enterprise Value/EBITDA</t>
  </si>
  <si>
    <t>Enterprise Value/EBIT</t>
  </si>
  <si>
    <t>Enterprise Value/Revenue</t>
  </si>
  <si>
    <t>Enterprise Value (Value of Operations)</t>
  </si>
  <si>
    <t>Market/Book</t>
  </si>
  <si>
    <t>Price/Cash Flow</t>
  </si>
  <si>
    <t>P/E</t>
  </si>
  <si>
    <t>Dividend Yield</t>
  </si>
  <si>
    <t>Market Capitalization (Equity Market Value)</t>
  </si>
  <si>
    <t>5. Market Value</t>
  </si>
  <si>
    <t xml:space="preserve">  Equity Multiplier</t>
  </si>
  <si>
    <t xml:space="preserve">  Profit Margin</t>
  </si>
  <si>
    <t xml:space="preserve">  Total Asset Turnover</t>
  </si>
  <si>
    <t>Dupont ROE:</t>
  </si>
  <si>
    <t>ROE</t>
  </si>
  <si>
    <t>ROA</t>
  </si>
  <si>
    <t>Profit Margin</t>
  </si>
  <si>
    <t>Operating Profit Margin</t>
  </si>
  <si>
    <t>Gross Profit Margin</t>
  </si>
  <si>
    <t>4. Profitability/Performance</t>
  </si>
  <si>
    <t>Interest Coverage (Times Interest Earned)</t>
  </si>
  <si>
    <t>Long-term Debt to Equity</t>
  </si>
  <si>
    <t>Long-term Debt to Assets</t>
  </si>
  <si>
    <t>Total Debt to Equity</t>
  </si>
  <si>
    <t>Total Debt to Assets</t>
  </si>
  <si>
    <t>3. Solvency (Debt Management)</t>
  </si>
  <si>
    <t>Cash Conversion Cycle</t>
  </si>
  <si>
    <t>Days Payables Outstanding</t>
  </si>
  <si>
    <t>Days Sales Outstanding (Collection Period)</t>
  </si>
  <si>
    <t>Days Inventory Outstanding (Held)</t>
  </si>
  <si>
    <t>Inventory Turnover</t>
  </si>
  <si>
    <t>Fixed Asset Turnover</t>
  </si>
  <si>
    <t>Total Asset Turnover</t>
  </si>
  <si>
    <t>2. Efficiency (Asset Management)</t>
  </si>
  <si>
    <t>Cash Ratio</t>
  </si>
  <si>
    <t>Quick Ratio</t>
  </si>
  <si>
    <t>Current Ratio</t>
  </si>
  <si>
    <t>1. Liquidity</t>
  </si>
  <si>
    <t>Use Fiscal Year-End Values</t>
  </si>
  <si>
    <t xml:space="preserve">without </t>
  </si>
  <si>
    <t>Company Name:</t>
  </si>
  <si>
    <t>Industry Average</t>
  </si>
  <si>
    <t>Selected Peer</t>
  </si>
  <si>
    <t>Market Cap</t>
  </si>
  <si>
    <t>EV</t>
  </si>
  <si>
    <t>Year 0</t>
  </si>
  <si>
    <t>Comp</t>
  </si>
  <si>
    <t>Estimated</t>
  </si>
  <si>
    <t>EV/Revenue</t>
  </si>
  <si>
    <t>Market Multiple</t>
  </si>
  <si>
    <t>Project Co.</t>
  </si>
  <si>
    <t>EBITDA</t>
  </si>
  <si>
    <t>EV/EBITDA</t>
  </si>
  <si>
    <t>Net Income</t>
  </si>
  <si>
    <t>Valuation with Different Market Multiples Input (CCA) Assumptions</t>
  </si>
  <si>
    <t>WACC</t>
  </si>
  <si>
    <t>Equity (Market Cap)</t>
  </si>
  <si>
    <t>CAPM Re</t>
  </si>
  <si>
    <t xml:space="preserve">  less Debt</t>
  </si>
  <si>
    <t>Market Risk Premium</t>
  </si>
  <si>
    <t xml:space="preserve">  less Equity Noncontrolling Interest</t>
  </si>
  <si>
    <t>Beta</t>
  </si>
  <si>
    <t xml:space="preserve">  plus Cash &amp; Short-term Investments</t>
  </si>
  <si>
    <t>Rrf (Long-term Treasury: Year 0)</t>
  </si>
  <si>
    <t>Enterprise Value</t>
  </si>
  <si>
    <t>CF t</t>
  </si>
  <si>
    <t>After-tax Cost of Debt</t>
  </si>
  <si>
    <t>Horizon Value at t=5</t>
  </si>
  <si>
    <t>Tax rate</t>
  </si>
  <si>
    <t>Unlevered FCF</t>
  </si>
  <si>
    <t>Rd (interest rate on recently issued long-term bond)</t>
  </si>
  <si>
    <t>DCF Model A</t>
  </si>
  <si>
    <t>Horizon Growth</t>
  </si>
  <si>
    <t>Forecast Values FCF Using Input Assumptions for 5 Years</t>
  </si>
  <si>
    <t>EV (Voperations) Valuation</t>
  </si>
  <si>
    <t>Valuation with Different FCF Input (DCF) Assumptions</t>
  </si>
  <si>
    <t>(3) Stmt. of CFs</t>
  </si>
  <si>
    <t>Forecast</t>
  </si>
  <si>
    <t>(2) Balance Sheet</t>
  </si>
  <si>
    <t>(1) Inc. Stmt.</t>
  </si>
  <si>
    <t>Total Capital</t>
  </si>
  <si>
    <t>Total Debt</t>
  </si>
  <si>
    <t xml:space="preserve">Market Value Capital Structure </t>
  </si>
  <si>
    <t>SHARES - for Fully Diluted EPS Calculation (milllions)</t>
  </si>
  <si>
    <t>Adjustment</t>
  </si>
  <si>
    <t>Sale of PP&amp;Eand Sale of Investments - Loss (Gain)</t>
  </si>
  <si>
    <t>AFN Revolver: ST borrowing if AFN&gt;0; ST investments if AFN&lt;0</t>
  </si>
  <si>
    <t>Total Liabilities and Shareholders' Equity (Before AFN plug)</t>
  </si>
  <si>
    <t xml:space="preserve">Common Equity - Total </t>
  </si>
  <si>
    <t>Liabilities - Total (Before AFN Plug)</t>
  </si>
  <si>
    <t>Assets - Total (Before AFN Plug)</t>
  </si>
  <si>
    <t>Forecast PM</t>
  </si>
  <si>
    <t>Addition to Retained Earnings</t>
  </si>
  <si>
    <t xml:space="preserve">  less Dividends</t>
  </si>
  <si>
    <t xml:space="preserve">  less Selling, General &amp; Administrative Expense </t>
  </si>
  <si>
    <t>(Increase) Decrease in CapEx (% of Revenue)</t>
  </si>
  <si>
    <t>(Increase) Decrease in NOWC (% of Revenue)</t>
  </si>
  <si>
    <t>Depreciation (% of Net PPE)</t>
  </si>
  <si>
    <t>Note that Depreciation and Amortization &amp; Change in NOWC recognized in the Statement of Cash Flows can differ from reported values in the Income Statement and Balance Sheet</t>
  </si>
  <si>
    <t xml:space="preserve">3. Statement of Cash Flows </t>
  </si>
  <si>
    <t>NOWC excluding Cash (% of Revenue)</t>
  </si>
  <si>
    <t>Calculate</t>
  </si>
  <si>
    <t xml:space="preserve">            Retained Earnings (% of Common Equity - Total)</t>
  </si>
  <si>
    <t>Straightline</t>
  </si>
  <si>
    <t xml:space="preserve">            Common Equity Accounts other than RE (% of Common Equity - Total)</t>
  </si>
  <si>
    <t>Common Equity - Total (% of Total Assets)</t>
  </si>
  <si>
    <t>Long-Term Debt - Total (% of Total Assets)</t>
  </si>
  <si>
    <t>Accounts Payable (% of Revenue)</t>
  </si>
  <si>
    <t>Debt in Current Liabilities (% of Total Assets)</t>
  </si>
  <si>
    <t>Assets - Other (% of Revenue)</t>
  </si>
  <si>
    <t>Intangibles (% of Revenue)</t>
  </si>
  <si>
    <t>Property Plant &amp; Equipment- Total (Net) (% of Revenue)</t>
  </si>
  <si>
    <t>Current Assets - Other (% of Revenue)</t>
  </si>
  <si>
    <t>Inventories - Total (% of Revenue)</t>
  </si>
  <si>
    <t>Accounts Receivable (% of Revenue)</t>
  </si>
  <si>
    <t>Cash and Short-Term Investments (% of Revenue)</t>
  </si>
  <si>
    <t xml:space="preserve">2. Balance Sheet </t>
  </si>
  <si>
    <t>Dividend Payout Rate (% of Net Income)</t>
  </si>
  <si>
    <t>Minority Interest (% of Revenue)</t>
  </si>
  <si>
    <t>Tax Rate (% of EBT)</t>
  </si>
  <si>
    <t>Special Items (% of Revenue)</t>
  </si>
  <si>
    <t>Nonoperating Income (Expense) (% of Revenue)</t>
  </si>
  <si>
    <t>SOFR + spread</t>
  </si>
  <si>
    <t>Interest Expense (% Beginning Total Debt)</t>
  </si>
  <si>
    <t>Depr. &amp; Amort. Expense (% of Revenue)</t>
  </si>
  <si>
    <t>Depr. &amp; Amort. Expense (% of Gross PP&amp;E)</t>
  </si>
  <si>
    <t>Depr. &amp; Amort. Expense (% of Net PP&amp;E)</t>
  </si>
  <si>
    <t>SG&amp;A Expense (% of Revenue)</t>
  </si>
  <si>
    <t>Cost of Goods Sold (% of Revenue)</t>
  </si>
  <si>
    <t>INPUT</t>
  </si>
  <si>
    <t>Comps</t>
  </si>
  <si>
    <t xml:space="preserve">1. Income Statement </t>
  </si>
  <si>
    <t>Drop Min and Max</t>
  </si>
  <si>
    <t>Calculate for Equal Change from Year 1-5</t>
  </si>
  <si>
    <t>Most Recent</t>
  </si>
  <si>
    <t>Industry</t>
  </si>
  <si>
    <t>Year 5</t>
  </si>
  <si>
    <t>Year 4</t>
  </si>
  <si>
    <t>Year 3</t>
  </si>
  <si>
    <t>Year 2</t>
  </si>
  <si>
    <t>Year 1</t>
  </si>
  <si>
    <t>Forecasting</t>
  </si>
  <si>
    <t>Forecasting With Changing Input Assumptions During 5-Year Planning Period</t>
  </si>
  <si>
    <t>Company:</t>
  </si>
  <si>
    <t>Additional Funs Needed</t>
  </si>
  <si>
    <t>Total Liabilities &amp; Equity</t>
  </si>
  <si>
    <t>Total Assets</t>
  </si>
  <si>
    <t>Asset Turnover</t>
  </si>
  <si>
    <t>Forecast 5</t>
  </si>
  <si>
    <t>Forecast 4</t>
  </si>
  <si>
    <t>Forecast 3</t>
  </si>
  <si>
    <t>Forecast 2</t>
  </si>
  <si>
    <t>Forecast 1</t>
  </si>
  <si>
    <t>Net Profit Margin</t>
  </si>
  <si>
    <t xml:space="preserve">Net Income </t>
  </si>
  <si>
    <t>EBIT</t>
  </si>
  <si>
    <t>Gross Margin</t>
  </si>
  <si>
    <t>Revenue ($M)</t>
  </si>
  <si>
    <t>Ratios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</si>
</sst>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###,###,##0.000"/>
    <numFmt numFmtId="165" formatCode="_(&quot;$&quot;* #,##0_);_(&quot;$&quot;* \(#,##0\);_(&quot;$&quot;* &quot;-&quot;??_);_(@_)"/>
    <numFmt numFmtId="166" formatCode="0.00_);\(0.00\)"/>
    <numFmt numFmtId="167" formatCode="0.0%"/>
  </numFmts>
  <fonts count="31" x14ac:knownFonts="1">
    <font>
      <sz val="12"/>
      <color theme="1"/>
      <name val="Times New Roman"/>
      <family val="2"/>
    </font>
    <font>
      <sz val="10"/>
      <name val="Arial"/>
      <family val="2"/>
    </font>
    <font>
      <sz val="12"/>
      <color rgb="FFFFFFFF"/>
      <name val="Arial"/>
      <family val="2"/>
    </font>
    <font>
      <b/>
      <sz val="10"/>
      <name val="Arial"/>
      <family val="2"/>
    </font>
    <font>
      <sz val="10"/>
      <name val="Times New Roman"/>
      <family val="1"/>
    </font>
    <font>
      <sz val="12"/>
      <color rgb="FFFFFFFF"/>
      <name val="Times New Roman"/>
      <family val="1"/>
    </font>
    <font>
      <sz val="12"/>
      <name val="Times New Roman"/>
      <family val="1"/>
    </font>
    <font>
      <i/>
      <sz val="12"/>
      <name val="Times New Roman"/>
      <family val="1"/>
    </font>
    <font>
      <b/>
      <sz val="12"/>
      <name val="Times New Roman"/>
      <family val="1"/>
    </font>
    <font>
      <b/>
      <i/>
      <sz val="12"/>
      <color rgb="FF58595B"/>
      <name val="Times New Roman"/>
      <family val="1"/>
    </font>
    <font>
      <b/>
      <i/>
      <sz val="12"/>
      <color theme="0"/>
      <name val="Times New Roman"/>
      <family val="1"/>
    </font>
    <font>
      <b/>
      <sz val="12"/>
      <color theme="0"/>
      <name val="Times New Roman"/>
      <family val="1"/>
    </font>
    <font>
      <b/>
      <sz val="12"/>
      <color rgb="FFF2F2F2"/>
      <name val="Times New Roman"/>
      <family val="1"/>
    </font>
    <font>
      <b/>
      <sz val="12"/>
      <color rgb="FFFF8200"/>
      <name val="Times New Roman"/>
      <family val="1"/>
    </font>
    <font>
      <sz val="12"/>
      <color rgb="FF58595B"/>
      <name val="Times New Roman"/>
      <family val="1"/>
    </font>
    <font>
      <b/>
      <sz val="12"/>
      <color rgb="FF58595B"/>
      <name val="Times New Roman"/>
      <family val="1"/>
    </font>
    <font>
      <b/>
      <i/>
      <sz val="12"/>
      <name val="Times New Roman"/>
      <family val="1"/>
    </font>
    <font>
      <b/>
      <i/>
      <sz val="12"/>
      <color rgb="FF006C93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2" tint="-0.499984740745262"/>
      <name val="Times New Roman"/>
      <family val="1"/>
    </font>
    <font>
      <sz val="12"/>
      <color theme="1"/>
      <name val="Times New Roman"/>
      <family val="1"/>
    </font>
    <font>
      <sz val="11"/>
      <name val="Times New Roman"/>
      <family val="1"/>
    </font>
    <font>
      <sz val="12"/>
      <color rgb="FF757171"/>
      <name val="Times New Roman"/>
      <family val="1"/>
    </font>
    <font>
      <b/>
      <sz val="11"/>
      <name val="Times New Roman"/>
      <family val="1"/>
    </font>
    <font>
      <b/>
      <i/>
      <sz val="12"/>
      <color rgb="FFFF0000"/>
      <name val="Times New Roman"/>
      <family val="1"/>
    </font>
    <font>
      <sz val="12"/>
      <color theme="0"/>
      <name val="Times New Roman"/>
      <family val="1"/>
    </font>
    <font>
      <b/>
      <i/>
      <sz val="12"/>
      <color rgb="FF757171"/>
      <name val="Times New Roman"/>
      <family val="1"/>
    </font>
    <font>
      <b/>
      <sz val="12"/>
      <color rgb="FF006C93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F6F6F6"/>
        <bgColor indexed="64"/>
      </patternFill>
    </fill>
    <fill>
      <patternFill patternType="solid">
        <fgColor rgb="FF006C93"/>
        <bgColor rgb="FF006C93"/>
      </patternFill>
    </fill>
    <fill>
      <patternFill patternType="solid">
        <fgColor rgb="FF006C93"/>
        <bgColor indexed="64"/>
      </patternFill>
    </fill>
    <fill>
      <patternFill patternType="solid">
        <fgColor rgb="FFCACACA"/>
        <bgColor indexed="64"/>
      </patternFill>
    </fill>
    <fill>
      <patternFill patternType="solid">
        <fgColor rgb="FFF6F6F6"/>
        <bgColor rgb="FFF6F6F6"/>
      </patternFill>
    </fill>
    <fill>
      <patternFill patternType="solid">
        <fgColor rgb="FFF0EDE3"/>
        <bgColor indexed="64"/>
      </patternFill>
    </fill>
    <fill>
      <patternFill patternType="solid">
        <fgColor rgb="FFFF8200"/>
        <bgColor indexed="64"/>
      </patternFill>
    </fill>
  </fills>
  <borders count="80">
    <border>
      <left/>
      <right/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FF8200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FF8200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FF8200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rgb="FFFF8200"/>
      </bottom>
      <diagonal/>
    </border>
    <border>
      <left/>
      <right/>
      <top style="medium">
        <color rgb="FFFF8200"/>
      </top>
      <bottom/>
      <diagonal/>
    </border>
    <border>
      <left/>
      <right style="medium">
        <color rgb="FFFF8200"/>
      </right>
      <top/>
      <bottom style="medium">
        <color rgb="FFFF8200"/>
      </bottom>
      <diagonal/>
    </border>
    <border>
      <left/>
      <right style="medium">
        <color rgb="FFFF8200"/>
      </right>
      <top/>
      <bottom/>
      <diagonal/>
    </border>
    <border>
      <left style="medium">
        <color rgb="FFFF8200"/>
      </left>
      <right style="medium">
        <color rgb="FFFF8200"/>
      </right>
      <top style="thin">
        <color indexed="64"/>
      </top>
      <bottom style="medium">
        <color rgb="FFFF8200"/>
      </bottom>
      <diagonal/>
    </border>
    <border>
      <left style="medium">
        <color rgb="FFFF8200"/>
      </left>
      <right/>
      <top/>
      <bottom style="medium">
        <color rgb="FFFF8200"/>
      </bottom>
      <diagonal/>
    </border>
    <border>
      <left style="medium">
        <color rgb="FFFF8200"/>
      </left>
      <right style="medium">
        <color rgb="FFFF8200"/>
      </right>
      <top/>
      <bottom/>
      <diagonal/>
    </border>
    <border>
      <left style="medium">
        <color rgb="FFFF8200"/>
      </left>
      <right/>
      <top/>
      <bottom/>
      <diagonal/>
    </border>
    <border>
      <left/>
      <right style="medium">
        <color rgb="FFFF8200"/>
      </right>
      <top/>
      <bottom style="thin">
        <color indexed="64"/>
      </bottom>
      <diagonal/>
    </border>
    <border>
      <left/>
      <right style="medium">
        <color rgb="FFFF8200"/>
      </right>
      <top style="medium">
        <color rgb="FFFF8200"/>
      </top>
      <bottom/>
      <diagonal/>
    </border>
    <border>
      <left style="medium">
        <color rgb="FFFF8200"/>
      </left>
      <right/>
      <top style="medium">
        <color rgb="FFFF8200"/>
      </top>
      <bottom/>
      <diagonal/>
    </border>
    <border>
      <left style="medium">
        <color rgb="FFFF8200"/>
      </left>
      <right/>
      <top/>
      <bottom style="thin">
        <color indexed="64"/>
      </bottom>
      <diagonal/>
    </border>
    <border>
      <left style="medium">
        <color rgb="FFFF8200"/>
      </left>
      <right style="medium">
        <color rgb="FFFF8200"/>
      </right>
      <top style="medium">
        <color rgb="FFFF8200"/>
      </top>
      <bottom/>
      <diagonal/>
    </border>
    <border>
      <left style="medium">
        <color rgb="FFFF8200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rgb="FFFF8200"/>
      </bottom>
      <diagonal/>
    </border>
    <border>
      <left style="medium">
        <color rgb="FFFF8200"/>
      </left>
      <right/>
      <top style="medium">
        <color rgb="FFFF8200"/>
      </top>
      <bottom style="medium">
        <color rgb="FFFF8200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rgb="FFFF8200"/>
      </bottom>
      <diagonal/>
    </border>
    <border>
      <left style="medium">
        <color indexed="64"/>
      </left>
      <right/>
      <top style="medium">
        <color rgb="FFFF8200"/>
      </top>
      <bottom/>
      <diagonal/>
    </border>
    <border>
      <left/>
      <right style="medium">
        <color rgb="FFFF8200"/>
      </right>
      <top style="medium">
        <color rgb="FFFF8200"/>
      </top>
      <bottom style="medium">
        <color rgb="FFFF8200"/>
      </bottom>
      <diagonal/>
    </border>
    <border>
      <left/>
      <right/>
      <top style="medium">
        <color rgb="FFFF8200"/>
      </top>
      <bottom style="medium">
        <color rgb="FFFF8200"/>
      </bottom>
      <diagonal/>
    </border>
    <border>
      <left style="medium">
        <color indexed="64"/>
      </left>
      <right/>
      <top style="medium">
        <color rgb="FFFF8200"/>
      </top>
      <bottom style="medium">
        <color rgb="FFFF8200"/>
      </bottom>
      <diagonal/>
    </border>
    <border>
      <left style="medium">
        <color rgb="FFFF8200"/>
      </left>
      <right/>
      <top style="thin">
        <color indexed="64"/>
      </top>
      <bottom style="medium">
        <color rgb="FFFF8200"/>
      </bottom>
      <diagonal/>
    </border>
    <border>
      <left style="medium">
        <color rgb="FFFF8200"/>
      </left>
      <right/>
      <top style="thin">
        <color indexed="64"/>
      </top>
      <bottom style="double">
        <color indexed="64"/>
      </bottom>
      <diagonal/>
    </border>
    <border>
      <left/>
      <right style="medium">
        <color rgb="FFFF8200"/>
      </right>
      <top style="thin">
        <color indexed="64"/>
      </top>
      <bottom style="thin">
        <color indexed="64"/>
      </bottom>
      <diagonal/>
    </border>
    <border>
      <left style="medium">
        <color rgb="FFFF8200"/>
      </left>
      <right/>
      <top style="thin">
        <color indexed="64"/>
      </top>
      <bottom style="thin">
        <color indexed="64"/>
      </bottom>
      <diagonal/>
    </border>
    <border>
      <left style="medium">
        <color rgb="FFFF8200"/>
      </left>
      <right/>
      <top style="thin">
        <color indexed="64"/>
      </top>
      <bottom/>
      <diagonal/>
    </border>
    <border>
      <left style="medium">
        <color rgb="FFFF8200"/>
      </left>
      <right/>
      <top style="thin">
        <color indexed="64"/>
      </top>
      <bottom style="medium">
        <color indexed="64"/>
      </bottom>
      <diagonal/>
    </border>
    <border>
      <left style="medium">
        <color rgb="FFFF8200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rgb="FFFF8200"/>
      </top>
      <bottom/>
      <diagonal/>
    </border>
    <border>
      <left/>
      <right style="medium">
        <color indexed="64"/>
      </right>
      <top style="medium">
        <color rgb="FFFF8200"/>
      </top>
      <bottom style="medium">
        <color rgb="FFFF8200"/>
      </bottom>
      <diagonal/>
    </border>
    <border>
      <left/>
      <right style="medium">
        <color indexed="64"/>
      </right>
      <top style="medium">
        <color rgb="FFFF8200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rgb="FFFF8200"/>
      </bottom>
      <diagonal/>
    </border>
    <border>
      <left/>
      <right/>
      <top style="medium">
        <color indexed="64"/>
      </top>
      <bottom style="medium">
        <color rgb="FFFF8200"/>
      </bottom>
      <diagonal/>
    </border>
    <border>
      <left style="medium">
        <color indexed="64"/>
      </left>
      <right/>
      <top style="medium">
        <color indexed="64"/>
      </top>
      <bottom style="medium">
        <color rgb="FFFF8200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655">
    <xf numFmtId="0" fontId="0" fillId="0" borderId="0" xfId="0"/>
    <xf numFmtId="0" fontId="1" fillId="0" borderId="0" xfId="1"/>
    <xf numFmtId="0" fontId="2" fillId="0" borderId="0" xfId="1" applyFont="1"/>
    <xf numFmtId="164" fontId="1" fillId="0" borderId="0" xfId="1" applyNumberFormat="1" applyFill="1" applyBorder="1" applyAlignment="1" applyProtection="1"/>
    <xf numFmtId="0" fontId="1" fillId="0" borderId="0" xfId="1" applyFill="1" applyBorder="1" applyAlignment="1" applyProtection="1"/>
    <xf numFmtId="2" fontId="1" fillId="0" borderId="0" xfId="1" applyNumberFormat="1" applyFill="1" applyBorder="1" applyAlignment="1" applyProtection="1"/>
    <xf numFmtId="0" fontId="3" fillId="0" borderId="0" xfId="1" applyFont="1" applyFill="1" applyBorder="1" applyAlignment="1" applyProtection="1"/>
    <xf numFmtId="0" fontId="3" fillId="2" borderId="0" xfId="1" applyFont="1" applyFill="1" applyBorder="1" applyAlignment="1" applyProtection="1"/>
    <xf numFmtId="0" fontId="3" fillId="0" borderId="0" xfId="1" applyFont="1"/>
    <xf numFmtId="0" fontId="4" fillId="0" borderId="0" xfId="1" applyFont="1"/>
    <xf numFmtId="0" fontId="5" fillId="0" borderId="0" xfId="1" applyFont="1"/>
    <xf numFmtId="0" fontId="6" fillId="0" borderId="0" xfId="1" applyFont="1"/>
    <xf numFmtId="10" fontId="7" fillId="3" borderId="1" xfId="2" applyNumberFormat="1" applyFont="1" applyFill="1" applyBorder="1"/>
    <xf numFmtId="10" fontId="7" fillId="3" borderId="2" xfId="2" applyNumberFormat="1" applyFont="1" applyFill="1" applyBorder="1"/>
    <xf numFmtId="10" fontId="7" fillId="3" borderId="3" xfId="2" applyNumberFormat="1" applyFont="1" applyFill="1" applyBorder="1"/>
    <xf numFmtId="10" fontId="6" fillId="3" borderId="4" xfId="2" applyNumberFormat="1" applyFont="1" applyFill="1" applyBorder="1"/>
    <xf numFmtId="10" fontId="6" fillId="3" borderId="5" xfId="2" applyNumberFormat="1" applyFont="1" applyFill="1" applyBorder="1"/>
    <xf numFmtId="10" fontId="6" fillId="3" borderId="6" xfId="2" applyNumberFormat="1" applyFont="1" applyFill="1" applyBorder="1"/>
    <xf numFmtId="10" fontId="6" fillId="0" borderId="7" xfId="2" applyNumberFormat="1" applyFont="1" applyBorder="1"/>
    <xf numFmtId="0" fontId="8" fillId="0" borderId="3" xfId="1" applyFont="1" applyBorder="1"/>
    <xf numFmtId="37" fontId="8" fillId="3" borderId="1" xfId="1" applyNumberFormat="1" applyFont="1" applyFill="1" applyBorder="1"/>
    <xf numFmtId="37" fontId="8" fillId="3" borderId="7" xfId="1" applyNumberFormat="1" applyFont="1" applyFill="1" applyBorder="1"/>
    <xf numFmtId="37" fontId="8" fillId="3" borderId="3" xfId="1" applyNumberFormat="1" applyFont="1" applyFill="1" applyBorder="1"/>
    <xf numFmtId="37" fontId="8" fillId="0" borderId="7" xfId="1" applyNumberFormat="1" applyFont="1" applyBorder="1"/>
    <xf numFmtId="0" fontId="9" fillId="0" borderId="0" xfId="1" applyFont="1"/>
    <xf numFmtId="10" fontId="7" fillId="3" borderId="8" xfId="2" applyNumberFormat="1" applyFont="1" applyFill="1" applyBorder="1"/>
    <xf numFmtId="10" fontId="7" fillId="3" borderId="9" xfId="2" applyNumberFormat="1" applyFont="1" applyFill="1" applyBorder="1"/>
    <xf numFmtId="10" fontId="7" fillId="3" borderId="10" xfId="2" applyNumberFormat="1" applyFont="1" applyFill="1" applyBorder="1"/>
    <xf numFmtId="10" fontId="6" fillId="3" borderId="11" xfId="2" applyNumberFormat="1" applyFont="1" applyFill="1" applyBorder="1"/>
    <xf numFmtId="10" fontId="6" fillId="3" borderId="12" xfId="2" applyNumberFormat="1" applyFont="1" applyFill="1" applyBorder="1"/>
    <xf numFmtId="10" fontId="6" fillId="3" borderId="13" xfId="2" applyNumberFormat="1" applyFont="1" applyFill="1" applyBorder="1"/>
    <xf numFmtId="0" fontId="6" fillId="0" borderId="0" xfId="1" applyFont="1" applyBorder="1"/>
    <xf numFmtId="0" fontId="6" fillId="0" borderId="10" xfId="1" applyFont="1" applyBorder="1"/>
    <xf numFmtId="37" fontId="6" fillId="3" borderId="8" xfId="1" applyNumberFormat="1" applyFont="1" applyFill="1" applyBorder="1"/>
    <xf numFmtId="37" fontId="6" fillId="3" borderId="0" xfId="1" applyNumberFormat="1" applyFont="1" applyFill="1" applyBorder="1"/>
    <xf numFmtId="37" fontId="6" fillId="3" borderId="10" xfId="1" applyNumberFormat="1" applyFont="1" applyFill="1" applyBorder="1"/>
    <xf numFmtId="37" fontId="6" fillId="0" borderId="0" xfId="1" applyNumberFormat="1" applyFont="1" applyBorder="1"/>
    <xf numFmtId="10" fontId="7" fillId="3" borderId="14" xfId="2" applyNumberFormat="1" applyFont="1" applyFill="1" applyBorder="1"/>
    <xf numFmtId="10" fontId="7" fillId="3" borderId="15" xfId="2" applyNumberFormat="1" applyFont="1" applyFill="1" applyBorder="1"/>
    <xf numFmtId="10" fontId="7" fillId="3" borderId="16" xfId="2" applyNumberFormat="1" applyFont="1" applyFill="1" applyBorder="1"/>
    <xf numFmtId="10" fontId="6" fillId="3" borderId="14" xfId="2" applyNumberFormat="1" applyFont="1" applyFill="1" applyBorder="1"/>
    <xf numFmtId="10" fontId="6" fillId="3" borderId="17" xfId="2" applyNumberFormat="1" applyFont="1" applyFill="1" applyBorder="1"/>
    <xf numFmtId="10" fontId="6" fillId="3" borderId="16" xfId="2" applyNumberFormat="1" applyFont="1" applyFill="1" applyBorder="1"/>
    <xf numFmtId="37" fontId="6" fillId="3" borderId="14" xfId="1" applyNumberFormat="1" applyFont="1" applyFill="1" applyBorder="1"/>
    <xf numFmtId="37" fontId="6" fillId="3" borderId="17" xfId="1" applyNumberFormat="1" applyFont="1" applyFill="1" applyBorder="1"/>
    <xf numFmtId="37" fontId="6" fillId="3" borderId="16" xfId="1" applyNumberFormat="1" applyFont="1" applyFill="1" applyBorder="1"/>
    <xf numFmtId="0" fontId="9" fillId="0" borderId="6" xfId="1" applyFont="1" applyBorder="1" applyAlignment="1">
      <alignment horizontal="center"/>
    </xf>
    <xf numFmtId="0" fontId="10" fillId="4" borderId="8" xfId="1" applyFont="1" applyFill="1" applyBorder="1" applyAlignment="1">
      <alignment horizontal="center"/>
    </xf>
    <xf numFmtId="0" fontId="10" fillId="4" borderId="0" xfId="1" applyFont="1" applyFill="1" applyBorder="1" applyAlignment="1">
      <alignment horizontal="center"/>
    </xf>
    <xf numFmtId="0" fontId="10" fillId="4" borderId="10" xfId="1" applyFont="1" applyFill="1" applyBorder="1" applyAlignment="1">
      <alignment horizontal="center"/>
    </xf>
    <xf numFmtId="0" fontId="11" fillId="4" borderId="8" xfId="1" applyFont="1" applyFill="1" applyBorder="1" applyAlignment="1">
      <alignment horizontal="center"/>
    </xf>
    <xf numFmtId="0" fontId="11" fillId="4" borderId="0" xfId="1" applyFont="1" applyFill="1" applyBorder="1" applyAlignment="1">
      <alignment horizontal="center"/>
    </xf>
    <xf numFmtId="0" fontId="12" fillId="4" borderId="0" xfId="1" applyFont="1" applyFill="1" applyBorder="1"/>
    <xf numFmtId="0" fontId="11" fillId="4" borderId="10" xfId="1" applyFont="1" applyFill="1" applyBorder="1"/>
    <xf numFmtId="14" fontId="10" fillId="4" borderId="14" xfId="1" applyNumberFormat="1" applyFont="1" applyFill="1" applyBorder="1" applyAlignment="1">
      <alignment horizontal="center"/>
    </xf>
    <xf numFmtId="14" fontId="10" fillId="4" borderId="17" xfId="1" applyNumberFormat="1" applyFont="1" applyFill="1" applyBorder="1" applyAlignment="1">
      <alignment horizontal="center"/>
    </xf>
    <xf numFmtId="14" fontId="10" fillId="4" borderId="16" xfId="1" applyNumberFormat="1" applyFont="1" applyFill="1" applyBorder="1" applyAlignment="1">
      <alignment horizontal="center"/>
    </xf>
    <xf numFmtId="0" fontId="11" fillId="4" borderId="17" xfId="1" applyNumberFormat="1" applyFont="1" applyFill="1" applyBorder="1" applyAlignment="1">
      <alignment horizontal="center"/>
    </xf>
    <xf numFmtId="0" fontId="11" fillId="4" borderId="17" xfId="1" applyFont="1" applyFill="1" applyBorder="1"/>
    <xf numFmtId="0" fontId="11" fillId="4" borderId="16" xfId="1" applyFont="1" applyFill="1" applyBorder="1"/>
    <xf numFmtId="0" fontId="4" fillId="0" borderId="5" xfId="1" applyFont="1" applyBorder="1"/>
    <xf numFmtId="37" fontId="8" fillId="0" borderId="18" xfId="1" applyNumberFormat="1" applyFont="1" applyFill="1" applyBorder="1"/>
    <xf numFmtId="37" fontId="7" fillId="3" borderId="8" xfId="1" applyNumberFormat="1" applyFont="1" applyFill="1" applyBorder="1"/>
    <xf numFmtId="37" fontId="7" fillId="3" borderId="0" xfId="1" applyNumberFormat="1" applyFont="1" applyFill="1" applyBorder="1"/>
    <xf numFmtId="37" fontId="7" fillId="3" borderId="10" xfId="1" applyNumberFormat="1" applyFont="1" applyFill="1" applyBorder="1"/>
    <xf numFmtId="0" fontId="4" fillId="0" borderId="12" xfId="1" applyFont="1" applyBorder="1"/>
    <xf numFmtId="37" fontId="6" fillId="0" borderId="0" xfId="1" applyNumberFormat="1" applyFont="1" applyFill="1" applyBorder="1"/>
    <xf numFmtId="10" fontId="6" fillId="3" borderId="8" xfId="2" applyNumberFormat="1" applyFont="1" applyFill="1" applyBorder="1"/>
    <xf numFmtId="10" fontId="6" fillId="3" borderId="0" xfId="2" applyNumberFormat="1" applyFont="1" applyFill="1" applyBorder="1"/>
    <xf numFmtId="10" fontId="6" fillId="3" borderId="10" xfId="2" applyNumberFormat="1" applyFont="1" applyFill="1" applyBorder="1"/>
    <xf numFmtId="0" fontId="4" fillId="0" borderId="0" xfId="1" applyFont="1" applyBorder="1"/>
    <xf numFmtId="0" fontId="6" fillId="5" borderId="0" xfId="1" applyFont="1" applyFill="1"/>
    <xf numFmtId="0" fontId="13" fillId="5" borderId="0" xfId="1" applyFont="1" applyFill="1"/>
    <xf numFmtId="40" fontId="14" fillId="0" borderId="0" xfId="1" applyNumberFormat="1" applyFont="1" applyFill="1" applyBorder="1"/>
    <xf numFmtId="0" fontId="14" fillId="0" borderId="0" xfId="1" applyFont="1" applyFill="1" applyBorder="1"/>
    <xf numFmtId="0" fontId="14" fillId="0" borderId="0" xfId="1" applyFont="1" applyFill="1" applyBorder="1" applyAlignment="1" applyProtection="1"/>
    <xf numFmtId="40" fontId="6" fillId="3" borderId="0" xfId="1" applyNumberFormat="1" applyFont="1" applyFill="1" applyBorder="1"/>
    <xf numFmtId="0" fontId="6" fillId="3" borderId="0" xfId="1" applyFont="1" applyFill="1" applyBorder="1"/>
    <xf numFmtId="0" fontId="6" fillId="3" borderId="0" xfId="1" applyFont="1" applyFill="1" applyBorder="1" applyAlignment="1" applyProtection="1"/>
    <xf numFmtId="37" fontId="6" fillId="3" borderId="4" xfId="1" applyNumberFormat="1" applyFont="1" applyFill="1" applyBorder="1"/>
    <xf numFmtId="37" fontId="6" fillId="3" borderId="5" xfId="1" applyNumberFormat="1" applyFont="1" applyFill="1" applyBorder="1"/>
    <xf numFmtId="0" fontId="6" fillId="3" borderId="5" xfId="1" applyFont="1" applyFill="1" applyBorder="1"/>
    <xf numFmtId="0" fontId="6" fillId="3" borderId="6" xfId="1" applyFont="1" applyFill="1" applyBorder="1" applyAlignment="1" applyProtection="1"/>
    <xf numFmtId="39" fontId="6" fillId="3" borderId="8" xfId="1" applyNumberFormat="1" applyFont="1" applyFill="1" applyBorder="1"/>
    <xf numFmtId="39" fontId="6" fillId="3" borderId="0" xfId="1" applyNumberFormat="1" applyFont="1" applyFill="1" applyBorder="1"/>
    <xf numFmtId="0" fontId="6" fillId="3" borderId="10" xfId="1" applyFont="1" applyFill="1" applyBorder="1" applyAlignment="1" applyProtection="1"/>
    <xf numFmtId="0" fontId="6" fillId="3" borderId="10" xfId="1" applyFont="1" applyFill="1" applyBorder="1"/>
    <xf numFmtId="0" fontId="15" fillId="0" borderId="0" xfId="1" applyFont="1" applyFill="1" applyBorder="1" applyAlignment="1">
      <alignment horizontal="center"/>
    </xf>
    <xf numFmtId="0" fontId="15" fillId="0" borderId="0" xfId="1" applyFont="1" applyFill="1" applyBorder="1"/>
    <xf numFmtId="14" fontId="15" fillId="0" borderId="0" xfId="1" applyNumberFormat="1" applyFont="1" applyFill="1" applyBorder="1" applyAlignment="1">
      <alignment horizontal="center"/>
    </xf>
    <xf numFmtId="0" fontId="6" fillId="0" borderId="4" xfId="1" applyFont="1" applyBorder="1"/>
    <xf numFmtId="0" fontId="6" fillId="0" borderId="5" xfId="1" applyFont="1" applyBorder="1"/>
    <xf numFmtId="0" fontId="6" fillId="0" borderId="6" xfId="1" applyFont="1" applyBorder="1"/>
    <xf numFmtId="38" fontId="6" fillId="0" borderId="1" xfId="1" applyNumberFormat="1" applyFont="1" applyFill="1" applyBorder="1"/>
    <xf numFmtId="38" fontId="6" fillId="0" borderId="7" xfId="1" applyNumberFormat="1" applyFont="1" applyFill="1" applyBorder="1"/>
    <xf numFmtId="0" fontId="6" fillId="0" borderId="7" xfId="1" applyFont="1" applyFill="1" applyBorder="1"/>
    <xf numFmtId="0" fontId="6" fillId="0" borderId="3" xfId="1" applyFont="1" applyFill="1" applyBorder="1"/>
    <xf numFmtId="0" fontId="8" fillId="3" borderId="7" xfId="1" applyFont="1" applyFill="1" applyBorder="1"/>
    <xf numFmtId="0" fontId="8" fillId="3" borderId="3" xfId="1" applyFont="1" applyFill="1" applyBorder="1"/>
    <xf numFmtId="0" fontId="6" fillId="0" borderId="8" xfId="1" applyFont="1" applyBorder="1"/>
    <xf numFmtId="38" fontId="6" fillId="0" borderId="8" xfId="1" applyNumberFormat="1" applyFont="1" applyFill="1" applyBorder="1"/>
    <xf numFmtId="38" fontId="6" fillId="0" borderId="0" xfId="1" applyNumberFormat="1" applyFont="1" applyFill="1" applyBorder="1"/>
    <xf numFmtId="0" fontId="6" fillId="0" borderId="0" xfId="1" applyFont="1" applyFill="1" applyBorder="1"/>
    <xf numFmtId="0" fontId="6" fillId="0" borderId="10" xfId="1" applyFont="1" applyFill="1" applyBorder="1"/>
    <xf numFmtId="0" fontId="8" fillId="0" borderId="10" xfId="1" applyFont="1" applyFill="1" applyBorder="1" applyAlignment="1" applyProtection="1"/>
    <xf numFmtId="0" fontId="8" fillId="3" borderId="10" xfId="1" applyFont="1" applyFill="1" applyBorder="1" applyAlignment="1" applyProtection="1"/>
    <xf numFmtId="10" fontId="16" fillId="3" borderId="1" xfId="2" applyNumberFormat="1" applyFont="1" applyFill="1" applyBorder="1"/>
    <xf numFmtId="10" fontId="16" fillId="3" borderId="2" xfId="2" applyNumberFormat="1" applyFont="1" applyFill="1" applyBorder="1"/>
    <xf numFmtId="10" fontId="16" fillId="3" borderId="3" xfId="2" applyNumberFormat="1" applyFont="1" applyFill="1" applyBorder="1"/>
    <xf numFmtId="10" fontId="8" fillId="3" borderId="1" xfId="2" applyNumberFormat="1" applyFont="1" applyFill="1" applyBorder="1"/>
    <xf numFmtId="10" fontId="8" fillId="3" borderId="7" xfId="2" applyNumberFormat="1" applyFont="1" applyFill="1" applyBorder="1"/>
    <xf numFmtId="10" fontId="8" fillId="3" borderId="3" xfId="2" applyNumberFormat="1" applyFont="1" applyFill="1" applyBorder="1"/>
    <xf numFmtId="10" fontId="6" fillId="0" borderId="19" xfId="2" applyNumberFormat="1" applyFont="1" applyBorder="1"/>
    <xf numFmtId="0" fontId="8" fillId="0" borderId="20" xfId="1" applyFont="1" applyFill="1" applyBorder="1" applyAlignment="1" applyProtection="1"/>
    <xf numFmtId="37" fontId="8" fillId="3" borderId="21" xfId="1" applyNumberFormat="1" applyFont="1" applyFill="1" applyBorder="1"/>
    <xf numFmtId="37" fontId="8" fillId="3" borderId="19" xfId="1" applyNumberFormat="1" applyFont="1" applyFill="1" applyBorder="1"/>
    <xf numFmtId="0" fontId="8" fillId="3" borderId="19" xfId="1" applyFont="1" applyFill="1" applyBorder="1"/>
    <xf numFmtId="0" fontId="8" fillId="3" borderId="20" xfId="1" applyFont="1" applyFill="1" applyBorder="1" applyAlignment="1" applyProtection="1"/>
    <xf numFmtId="0" fontId="6" fillId="0" borderId="10" xfId="1" applyFont="1" applyFill="1" applyBorder="1" applyAlignment="1" applyProtection="1"/>
    <xf numFmtId="10" fontId="16" fillId="3" borderId="21" xfId="2" applyNumberFormat="1" applyFont="1" applyFill="1" applyBorder="1"/>
    <xf numFmtId="10" fontId="16" fillId="3" borderId="22" xfId="2" applyNumberFormat="1" applyFont="1" applyFill="1" applyBorder="1"/>
    <xf numFmtId="10" fontId="16" fillId="3" borderId="20" xfId="2" applyNumberFormat="1" applyFont="1" applyFill="1" applyBorder="1"/>
    <xf numFmtId="10" fontId="8" fillId="3" borderId="21" xfId="2" applyNumberFormat="1" applyFont="1" applyFill="1" applyBorder="1"/>
    <xf numFmtId="10" fontId="8" fillId="3" borderId="19" xfId="2" applyNumberFormat="1" applyFont="1" applyFill="1" applyBorder="1"/>
    <xf numFmtId="10" fontId="8" fillId="3" borderId="20" xfId="2" applyNumberFormat="1" applyFont="1" applyFill="1" applyBorder="1"/>
    <xf numFmtId="10" fontId="7" fillId="0" borderId="8" xfId="2" applyNumberFormat="1" applyFont="1" applyBorder="1"/>
    <xf numFmtId="10" fontId="7" fillId="0" borderId="0" xfId="2" applyNumberFormat="1" applyFont="1" applyBorder="1"/>
    <xf numFmtId="10" fontId="7" fillId="0" borderId="10" xfId="2" applyNumberFormat="1" applyFont="1" applyBorder="1"/>
    <xf numFmtId="10" fontId="6" fillId="0" borderId="8" xfId="2" applyNumberFormat="1" applyFont="1" applyBorder="1"/>
    <xf numFmtId="10" fontId="6" fillId="0" borderId="0" xfId="2" applyNumberFormat="1" applyFont="1" applyBorder="1"/>
    <xf numFmtId="0" fontId="6" fillId="0" borderId="12" xfId="1" applyFont="1" applyBorder="1"/>
    <xf numFmtId="0" fontId="8" fillId="0" borderId="13" xfId="1" applyFont="1" applyFill="1" applyBorder="1" applyAlignment="1" applyProtection="1"/>
    <xf numFmtId="37" fontId="6" fillId="3" borderId="11" xfId="1" applyNumberFormat="1" applyFont="1" applyFill="1" applyBorder="1"/>
    <xf numFmtId="37" fontId="6" fillId="3" borderId="12" xfId="1" applyNumberFormat="1" applyFont="1" applyFill="1" applyBorder="1"/>
    <xf numFmtId="0" fontId="6" fillId="3" borderId="12" xfId="1" applyFont="1" applyFill="1" applyBorder="1"/>
    <xf numFmtId="0" fontId="8" fillId="3" borderId="13" xfId="1" applyFont="1" applyFill="1" applyBorder="1" applyAlignment="1" applyProtection="1"/>
    <xf numFmtId="0" fontId="6" fillId="6" borderId="6" xfId="1" applyFont="1" applyFill="1" applyBorder="1" applyAlignment="1" applyProtection="1">
      <alignment horizontal="left" indent="3"/>
    </xf>
    <xf numFmtId="37" fontId="6" fillId="6" borderId="11" xfId="1" applyNumberFormat="1" applyFont="1" applyFill="1" applyBorder="1"/>
    <xf numFmtId="37" fontId="6" fillId="6" borderId="0" xfId="1" applyNumberFormat="1" applyFont="1" applyFill="1" applyBorder="1"/>
    <xf numFmtId="0" fontId="6" fillId="6" borderId="0" xfId="1" applyFont="1" applyFill="1" applyBorder="1"/>
    <xf numFmtId="0" fontId="6" fillId="6" borderId="10" xfId="1" applyFont="1" applyFill="1" applyBorder="1" applyAlignment="1" applyProtection="1">
      <alignment horizontal="left" indent="3"/>
    </xf>
    <xf numFmtId="37" fontId="6" fillId="6" borderId="8" xfId="1" applyNumberFormat="1" applyFont="1" applyFill="1" applyBorder="1"/>
    <xf numFmtId="10" fontId="7" fillId="3" borderId="23" xfId="2" applyNumberFormat="1" applyFont="1" applyFill="1" applyBorder="1"/>
    <xf numFmtId="10" fontId="7" fillId="3" borderId="24" xfId="2" applyNumberFormat="1" applyFont="1" applyFill="1" applyBorder="1"/>
    <xf numFmtId="10" fontId="7" fillId="3" borderId="25" xfId="2" applyNumberFormat="1" applyFont="1" applyFill="1" applyBorder="1"/>
    <xf numFmtId="10" fontId="7" fillId="3" borderId="26" xfId="2" applyNumberFormat="1" applyFont="1" applyFill="1" applyBorder="1"/>
    <xf numFmtId="10" fontId="6" fillId="0" borderId="26" xfId="2" applyNumberFormat="1" applyFont="1" applyBorder="1"/>
    <xf numFmtId="0" fontId="17" fillId="0" borderId="25" xfId="1" applyFont="1" applyFill="1" applyBorder="1"/>
    <xf numFmtId="37" fontId="7" fillId="3" borderId="23" xfId="1" applyNumberFormat="1" applyFont="1" applyFill="1" applyBorder="1"/>
    <xf numFmtId="37" fontId="7" fillId="3" borderId="26" xfId="1" applyNumberFormat="1" applyFont="1" applyFill="1" applyBorder="1"/>
    <xf numFmtId="0" fontId="7" fillId="3" borderId="26" xfId="1" applyFont="1" applyFill="1" applyBorder="1"/>
    <xf numFmtId="0" fontId="17" fillId="3" borderId="25" xfId="1" applyFont="1" applyFill="1" applyBorder="1"/>
    <xf numFmtId="0" fontId="6" fillId="0" borderId="27" xfId="1" applyFont="1" applyBorder="1"/>
    <xf numFmtId="0" fontId="6" fillId="0" borderId="28" xfId="1" applyFont="1" applyBorder="1"/>
    <xf numFmtId="0" fontId="6" fillId="0" borderId="29" xfId="1" applyFont="1" applyBorder="1"/>
    <xf numFmtId="0" fontId="6" fillId="0" borderId="26" xfId="1" applyFont="1" applyBorder="1"/>
    <xf numFmtId="0" fontId="8" fillId="0" borderId="25" xfId="1" applyFont="1" applyFill="1" applyBorder="1" applyAlignment="1" applyProtection="1"/>
    <xf numFmtId="0" fontId="6" fillId="3" borderId="23" xfId="1" applyFont="1" applyFill="1" applyBorder="1"/>
    <xf numFmtId="0" fontId="6" fillId="3" borderId="26" xfId="1" applyFont="1" applyFill="1" applyBorder="1"/>
    <xf numFmtId="0" fontId="8" fillId="3" borderId="25" xfId="1" applyFont="1" applyFill="1" applyBorder="1" applyAlignment="1" applyProtection="1"/>
    <xf numFmtId="0" fontId="6" fillId="0" borderId="11" xfId="1" applyFont="1" applyBorder="1"/>
    <xf numFmtId="0" fontId="6" fillId="0" borderId="13" xfId="1" applyFont="1" applyBorder="1"/>
    <xf numFmtId="0" fontId="13" fillId="0" borderId="0" xfId="1" applyFont="1" applyFill="1"/>
    <xf numFmtId="10" fontId="7" fillId="3" borderId="4" xfId="2" applyNumberFormat="1" applyFont="1" applyFill="1" applyBorder="1"/>
    <xf numFmtId="10" fontId="7" fillId="3" borderId="30" xfId="2" applyNumberFormat="1" applyFont="1" applyFill="1" applyBorder="1"/>
    <xf numFmtId="10" fontId="7" fillId="3" borderId="6" xfId="2" applyNumberFormat="1" applyFont="1" applyFill="1" applyBorder="1"/>
    <xf numFmtId="10" fontId="6" fillId="3" borderId="31" xfId="2" applyNumberFormat="1" applyFont="1" applyFill="1" applyBorder="1"/>
    <xf numFmtId="10" fontId="6" fillId="3" borderId="32" xfId="2" applyNumberFormat="1" applyFont="1" applyFill="1" applyBorder="1"/>
    <xf numFmtId="0" fontId="17" fillId="0" borderId="6" xfId="1" applyFont="1" applyFill="1" applyBorder="1"/>
    <xf numFmtId="0" fontId="17" fillId="3" borderId="6" xfId="1" applyFont="1" applyFill="1" applyBorder="1"/>
    <xf numFmtId="10" fontId="6" fillId="3" borderId="33" xfId="2" applyNumberFormat="1" applyFont="1" applyFill="1" applyBorder="1"/>
    <xf numFmtId="10" fontId="6" fillId="0" borderId="14" xfId="2" applyNumberFormat="1" applyFont="1" applyBorder="1"/>
    <xf numFmtId="0" fontId="17" fillId="0" borderId="16" xfId="1" applyFont="1" applyFill="1" applyBorder="1"/>
    <xf numFmtId="0" fontId="17" fillId="3" borderId="16" xfId="1" applyFont="1" applyFill="1" applyBorder="1"/>
    <xf numFmtId="0" fontId="6" fillId="0" borderId="0" xfId="1" applyFont="1" applyFill="1"/>
    <xf numFmtId="0" fontId="7" fillId="6" borderId="4" xfId="1" applyFont="1" applyFill="1" applyBorder="1"/>
    <xf numFmtId="0" fontId="7" fillId="6" borderId="5" xfId="1" applyFont="1" applyFill="1" applyBorder="1"/>
    <xf numFmtId="0" fontId="7" fillId="6" borderId="6" xfId="1" applyFont="1" applyFill="1" applyBorder="1"/>
    <xf numFmtId="10" fontId="16" fillId="3" borderId="34" xfId="2" applyNumberFormat="1" applyFont="1" applyFill="1" applyBorder="1"/>
    <xf numFmtId="10" fontId="16" fillId="3" borderId="32" xfId="2" applyNumberFormat="1" applyFont="1" applyFill="1" applyBorder="1"/>
    <xf numFmtId="10" fontId="16" fillId="3" borderId="35" xfId="2" applyNumberFormat="1" applyFont="1" applyFill="1" applyBorder="1"/>
    <xf numFmtId="10" fontId="8" fillId="3" borderId="34" xfId="2" applyNumberFormat="1" applyFont="1" applyFill="1" applyBorder="1"/>
    <xf numFmtId="10" fontId="8" fillId="3" borderId="36" xfId="2" applyNumberFormat="1" applyFont="1" applyFill="1" applyBorder="1"/>
    <xf numFmtId="10" fontId="8" fillId="3" borderId="35" xfId="2" applyNumberFormat="1" applyFont="1" applyFill="1" applyBorder="1"/>
    <xf numFmtId="38" fontId="6" fillId="0" borderId="8" xfId="1" applyNumberFormat="1" applyFont="1" applyBorder="1"/>
    <xf numFmtId="38" fontId="6" fillId="0" borderId="0" xfId="1" applyNumberFormat="1" applyFont="1" applyBorder="1"/>
    <xf numFmtId="0" fontId="6" fillId="6" borderId="10" xfId="1" applyFont="1" applyFill="1" applyBorder="1" applyAlignment="1" applyProtection="1"/>
    <xf numFmtId="38" fontId="6" fillId="0" borderId="27" xfId="1" applyNumberFormat="1" applyFont="1" applyBorder="1"/>
    <xf numFmtId="38" fontId="6" fillId="0" borderId="28" xfId="1" applyNumberFormat="1" applyFont="1" applyBorder="1"/>
    <xf numFmtId="0" fontId="8" fillId="0" borderId="25" xfId="1" applyFont="1" applyBorder="1"/>
    <xf numFmtId="38" fontId="6" fillId="3" borderId="23" xfId="1" applyNumberFormat="1" applyFont="1" applyFill="1" applyBorder="1"/>
    <xf numFmtId="38" fontId="6" fillId="3" borderId="26" xfId="1" applyNumberFormat="1" applyFont="1" applyFill="1" applyBorder="1"/>
    <xf numFmtId="0" fontId="8" fillId="3" borderId="25" xfId="1" applyFont="1" applyFill="1" applyBorder="1"/>
    <xf numFmtId="38" fontId="7" fillId="6" borderId="8" xfId="1" applyNumberFormat="1" applyFont="1" applyFill="1" applyBorder="1"/>
    <xf numFmtId="38" fontId="7" fillId="6" borderId="0" xfId="1" applyNumberFormat="1" applyFont="1" applyFill="1" applyBorder="1"/>
    <xf numFmtId="0" fontId="7" fillId="6" borderId="0" xfId="1" applyFont="1" applyFill="1" applyBorder="1"/>
    <xf numFmtId="0" fontId="7" fillId="6" borderId="10" xfId="1" applyFont="1" applyFill="1" applyBorder="1"/>
    <xf numFmtId="10" fontId="6" fillId="0" borderId="12" xfId="2" applyNumberFormat="1" applyFont="1" applyBorder="1"/>
    <xf numFmtId="0" fontId="6" fillId="0" borderId="13" xfId="1" applyFont="1" applyFill="1" applyBorder="1" applyAlignment="1" applyProtection="1"/>
    <xf numFmtId="0" fontId="6" fillId="3" borderId="13" xfId="1" applyFont="1" applyFill="1" applyBorder="1" applyAlignment="1" applyProtection="1"/>
    <xf numFmtId="38" fontId="6" fillId="0" borderId="0" xfId="1" applyNumberFormat="1" applyFont="1"/>
    <xf numFmtId="38" fontId="6" fillId="6" borderId="0" xfId="1" applyNumberFormat="1" applyFont="1" applyFill="1" applyBorder="1"/>
    <xf numFmtId="38" fontId="6" fillId="3" borderId="0" xfId="1" applyNumberFormat="1" applyFont="1" applyFill="1" applyBorder="1"/>
    <xf numFmtId="10" fontId="16" fillId="3" borderId="8" xfId="2" applyNumberFormat="1" applyFont="1" applyFill="1" applyBorder="1"/>
    <xf numFmtId="10" fontId="16" fillId="3" borderId="9" xfId="2" applyNumberFormat="1" applyFont="1" applyFill="1" applyBorder="1"/>
    <xf numFmtId="10" fontId="16" fillId="3" borderId="10" xfId="2" applyNumberFormat="1" applyFont="1" applyFill="1" applyBorder="1"/>
    <xf numFmtId="10" fontId="8" fillId="3" borderId="8" xfId="2" applyNumberFormat="1" applyFont="1" applyFill="1" applyBorder="1"/>
    <xf numFmtId="10" fontId="8" fillId="3" borderId="0" xfId="2" applyNumberFormat="1" applyFont="1" applyFill="1" applyBorder="1"/>
    <xf numFmtId="10" fontId="8" fillId="3" borderId="10" xfId="2" applyNumberFormat="1" applyFont="1" applyFill="1" applyBorder="1"/>
    <xf numFmtId="37" fontId="8" fillId="3" borderId="8" xfId="1" applyNumberFormat="1" applyFont="1" applyFill="1" applyBorder="1"/>
    <xf numFmtId="37" fontId="8" fillId="3" borderId="0" xfId="1" applyNumberFormat="1" applyFont="1" applyFill="1" applyBorder="1"/>
    <xf numFmtId="38" fontId="8" fillId="3" borderId="0" xfId="1" applyNumberFormat="1" applyFont="1" applyFill="1" applyBorder="1"/>
    <xf numFmtId="10" fontId="7" fillId="3" borderId="11" xfId="2" applyNumberFormat="1" applyFont="1" applyFill="1" applyBorder="1"/>
    <xf numFmtId="10" fontId="7" fillId="3" borderId="37" xfId="2" applyNumberFormat="1" applyFont="1" applyFill="1" applyBorder="1"/>
    <xf numFmtId="10" fontId="7" fillId="3" borderId="13" xfId="2" applyNumberFormat="1" applyFont="1" applyFill="1" applyBorder="1"/>
    <xf numFmtId="38" fontId="6" fillId="3" borderId="12" xfId="1" applyNumberFormat="1" applyFont="1" applyFill="1" applyBorder="1"/>
    <xf numFmtId="38" fontId="6" fillId="0" borderId="29" xfId="1" applyNumberFormat="1" applyFont="1" applyBorder="1"/>
    <xf numFmtId="38" fontId="6" fillId="0" borderId="26" xfId="1" applyNumberFormat="1" applyFont="1" applyBorder="1"/>
    <xf numFmtId="38" fontId="8" fillId="3" borderId="19" xfId="1" applyNumberFormat="1" applyFont="1" applyFill="1" applyBorder="1"/>
    <xf numFmtId="10" fontId="7" fillId="0" borderId="27" xfId="2" applyNumberFormat="1" applyFont="1" applyBorder="1"/>
    <xf numFmtId="10" fontId="7" fillId="0" borderId="28" xfId="2" applyNumberFormat="1" applyFont="1" applyBorder="1"/>
    <xf numFmtId="10" fontId="7" fillId="0" borderId="29" xfId="2" applyNumberFormat="1" applyFont="1" applyBorder="1"/>
    <xf numFmtId="0" fontId="8" fillId="0" borderId="27" xfId="1" applyFont="1" applyFill="1" applyBorder="1" applyAlignment="1">
      <alignment horizontal="center"/>
    </xf>
    <xf numFmtId="0" fontId="8" fillId="0" borderId="28" xfId="1" applyFont="1" applyFill="1" applyBorder="1" applyAlignment="1">
      <alignment horizontal="center"/>
    </xf>
    <xf numFmtId="0" fontId="8" fillId="0" borderId="28" xfId="1" applyFont="1" applyFill="1" applyBorder="1"/>
    <xf numFmtId="0" fontId="8" fillId="0" borderId="26" xfId="1" applyFont="1" applyFill="1" applyBorder="1"/>
    <xf numFmtId="0" fontId="8" fillId="0" borderId="25" xfId="1" applyFont="1" applyFill="1" applyBorder="1"/>
    <xf numFmtId="38" fontId="6" fillId="0" borderId="0" xfId="1" applyNumberFormat="1" applyFont="1" applyFill="1"/>
    <xf numFmtId="0" fontId="8" fillId="3" borderId="23" xfId="1" applyFont="1" applyFill="1" applyBorder="1" applyAlignment="1">
      <alignment horizontal="center"/>
    </xf>
    <xf numFmtId="0" fontId="8" fillId="3" borderId="26" xfId="1" applyFont="1" applyFill="1" applyBorder="1" applyAlignment="1">
      <alignment horizontal="center"/>
    </xf>
    <xf numFmtId="0" fontId="8" fillId="3" borderId="26" xfId="1" applyFont="1" applyFill="1" applyBorder="1"/>
    <xf numFmtId="10" fontId="7" fillId="0" borderId="11" xfId="2" applyNumberFormat="1" applyFont="1" applyBorder="1"/>
    <xf numFmtId="10" fontId="7" fillId="0" borderId="12" xfId="2" applyNumberFormat="1" applyFont="1" applyBorder="1"/>
    <xf numFmtId="10" fontId="7" fillId="0" borderId="13" xfId="2" applyNumberFormat="1" applyFont="1" applyBorder="1"/>
    <xf numFmtId="38" fontId="6" fillId="0" borderId="4" xfId="1" applyNumberFormat="1" applyFont="1" applyBorder="1"/>
    <xf numFmtId="38" fontId="6" fillId="0" borderId="5" xfId="1" applyNumberFormat="1" applyFont="1" applyBorder="1"/>
    <xf numFmtId="38" fontId="6" fillId="0" borderId="6" xfId="1" applyNumberFormat="1" applyFont="1" applyBorder="1"/>
    <xf numFmtId="38" fontId="7" fillId="6" borderId="4" xfId="1" applyNumberFormat="1" applyFont="1" applyFill="1" applyBorder="1"/>
    <xf numFmtId="38" fontId="7" fillId="6" borderId="5" xfId="1" applyNumberFormat="1" applyFont="1" applyFill="1" applyBorder="1"/>
    <xf numFmtId="0" fontId="8" fillId="0" borderId="20" xfId="1" applyFont="1" applyBorder="1"/>
    <xf numFmtId="0" fontId="8" fillId="3" borderId="20" xfId="1" applyFont="1" applyFill="1" applyBorder="1"/>
    <xf numFmtId="0" fontId="8" fillId="0" borderId="10" xfId="1" applyFont="1" applyBorder="1"/>
    <xf numFmtId="0" fontId="8" fillId="3" borderId="10" xfId="1" applyFont="1" applyFill="1" applyBorder="1"/>
    <xf numFmtId="0" fontId="6" fillId="3" borderId="13" xfId="1" applyFont="1" applyFill="1" applyBorder="1"/>
    <xf numFmtId="0" fontId="18" fillId="0" borderId="10" xfId="1" applyFont="1" applyBorder="1"/>
    <xf numFmtId="0" fontId="18" fillId="3" borderId="10" xfId="1" applyFont="1" applyFill="1" applyBorder="1"/>
    <xf numFmtId="38" fontId="19" fillId="0" borderId="0" xfId="1" applyNumberFormat="1" applyFont="1"/>
    <xf numFmtId="0" fontId="20" fillId="0" borderId="38" xfId="1" applyFont="1" applyBorder="1"/>
    <xf numFmtId="0" fontId="20" fillId="3" borderId="38" xfId="1" applyFont="1" applyFill="1" applyBorder="1"/>
    <xf numFmtId="38" fontId="6" fillId="0" borderId="12" xfId="1" applyNumberFormat="1" applyFont="1" applyBorder="1"/>
    <xf numFmtId="0" fontId="20" fillId="0" borderId="10" xfId="1" applyFont="1" applyBorder="1"/>
    <xf numFmtId="0" fontId="20" fillId="3" borderId="10" xfId="1" applyFont="1" applyFill="1" applyBorder="1"/>
    <xf numFmtId="38" fontId="6" fillId="3" borderId="8" xfId="1" applyNumberFormat="1" applyFont="1" applyFill="1" applyBorder="1"/>
    <xf numFmtId="0" fontId="11" fillId="4" borderId="0" xfId="1" applyNumberFormat="1" applyFont="1" applyFill="1" applyBorder="1" applyAlignment="1">
      <alignment horizontal="center"/>
    </xf>
    <xf numFmtId="14" fontId="6" fillId="3" borderId="34" xfId="1" applyNumberFormat="1" applyFont="1" applyFill="1" applyBorder="1"/>
    <xf numFmtId="14" fontId="6" fillId="3" borderId="36" xfId="1" applyNumberFormat="1" applyFont="1" applyFill="1" applyBorder="1"/>
    <xf numFmtId="14" fontId="6" fillId="3" borderId="35" xfId="1" applyNumberFormat="1" applyFont="1" applyFill="1" applyBorder="1"/>
    <xf numFmtId="0" fontId="11" fillId="5" borderId="35" xfId="1" applyFont="1" applyFill="1" applyBorder="1"/>
    <xf numFmtId="10" fontId="6" fillId="3" borderId="32" xfId="1" applyNumberFormat="1" applyFont="1" applyFill="1" applyBorder="1"/>
    <xf numFmtId="10" fontId="6" fillId="3" borderId="36" xfId="1" applyNumberFormat="1" applyFont="1" applyFill="1" applyBorder="1"/>
    <xf numFmtId="10" fontId="6" fillId="3" borderId="35" xfId="1" applyNumberFormat="1" applyFont="1" applyFill="1" applyBorder="1"/>
    <xf numFmtId="10" fontId="6" fillId="3" borderId="36" xfId="2" applyNumberFormat="1" applyFont="1" applyFill="1" applyBorder="1"/>
    <xf numFmtId="10" fontId="6" fillId="3" borderId="35" xfId="2" applyNumberFormat="1" applyFont="1" applyFill="1" applyBorder="1"/>
    <xf numFmtId="37" fontId="18" fillId="0" borderId="0" xfId="1" applyNumberFormat="1" applyFont="1" applyFill="1" applyBorder="1"/>
    <xf numFmtId="0" fontId="18" fillId="0" borderId="0" xfId="1" applyFont="1" applyFill="1" applyBorder="1"/>
    <xf numFmtId="37" fontId="18" fillId="0" borderId="0" xfId="1" applyNumberFormat="1" applyFont="1" applyFill="1" applyBorder="1" applyAlignment="1">
      <alignment horizontal="left"/>
    </xf>
    <xf numFmtId="0" fontId="10" fillId="4" borderId="14" xfId="1" applyFont="1" applyFill="1" applyBorder="1" applyAlignment="1">
      <alignment horizontal="center"/>
    </xf>
    <xf numFmtId="0" fontId="10" fillId="4" borderId="17" xfId="1" applyFont="1" applyFill="1" applyBorder="1" applyAlignment="1">
      <alignment horizontal="center"/>
    </xf>
    <xf numFmtId="0" fontId="10" fillId="4" borderId="16" xfId="1" applyFont="1" applyFill="1" applyBorder="1" applyAlignment="1">
      <alignment horizontal="center"/>
    </xf>
    <xf numFmtId="0" fontId="11" fillId="4" borderId="14" xfId="1" applyFont="1" applyFill="1" applyBorder="1" applyAlignment="1">
      <alignment horizontal="center"/>
    </xf>
    <xf numFmtId="0" fontId="11" fillId="4" borderId="17" xfId="1" applyFont="1" applyFill="1" applyBorder="1" applyAlignment="1">
      <alignment horizontal="center"/>
    </xf>
    <xf numFmtId="0" fontId="12" fillId="4" borderId="17" xfId="1" applyFont="1" applyFill="1" applyBorder="1"/>
    <xf numFmtId="37" fontId="18" fillId="0" borderId="39" xfId="1" applyNumberFormat="1" applyFont="1" applyFill="1" applyBorder="1" applyAlignment="1">
      <alignment horizontal="left"/>
    </xf>
    <xf numFmtId="37" fontId="18" fillId="7" borderId="40" xfId="1" applyNumberFormat="1" applyFont="1" applyFill="1" applyBorder="1"/>
    <xf numFmtId="0" fontId="18" fillId="7" borderId="41" xfId="1" applyFont="1" applyFill="1" applyBorder="1"/>
    <xf numFmtId="37" fontId="18" fillId="7" borderId="42" xfId="1" applyNumberFormat="1" applyFont="1" applyFill="1" applyBorder="1" applyAlignment="1">
      <alignment horizontal="left"/>
    </xf>
    <xf numFmtId="0" fontId="21" fillId="0" borderId="0" xfId="1" applyFont="1"/>
    <xf numFmtId="40" fontId="7" fillId="3" borderId="4" xfId="2" applyNumberFormat="1" applyFont="1" applyFill="1" applyBorder="1"/>
    <xf numFmtId="40" fontId="7" fillId="3" borderId="30" xfId="1" applyNumberFormat="1" applyFont="1" applyFill="1" applyBorder="1"/>
    <xf numFmtId="40" fontId="7" fillId="3" borderId="6" xfId="2" applyNumberFormat="1" applyFont="1" applyFill="1" applyBorder="1"/>
    <xf numFmtId="2" fontId="6" fillId="3" borderId="5" xfId="1" applyNumberFormat="1" applyFont="1" applyFill="1" applyBorder="1"/>
    <xf numFmtId="2" fontId="6" fillId="3" borderId="6" xfId="1" applyNumberFormat="1" applyFont="1" applyFill="1" applyBorder="1"/>
    <xf numFmtId="40" fontId="7" fillId="3" borderId="14" xfId="2" applyNumberFormat="1" applyFont="1" applyFill="1" applyBorder="1"/>
    <xf numFmtId="40" fontId="7" fillId="3" borderId="15" xfId="1" applyNumberFormat="1" applyFont="1" applyFill="1" applyBorder="1"/>
    <xf numFmtId="40" fontId="7" fillId="3" borderId="16" xfId="2" applyNumberFormat="1" applyFont="1" applyFill="1" applyBorder="1"/>
    <xf numFmtId="2" fontId="6" fillId="3" borderId="17" xfId="1" applyNumberFormat="1" applyFont="1" applyFill="1" applyBorder="1"/>
    <xf numFmtId="2" fontId="6" fillId="3" borderId="16" xfId="1" applyNumberFormat="1" applyFont="1" applyFill="1" applyBorder="1"/>
    <xf numFmtId="14" fontId="10" fillId="4" borderId="8" xfId="1" applyNumberFormat="1" applyFont="1" applyFill="1" applyBorder="1" applyAlignment="1">
      <alignment horizontal="center"/>
    </xf>
    <xf numFmtId="14" fontId="10" fillId="4" borderId="0" xfId="1" applyNumberFormat="1" applyFont="1" applyFill="1" applyBorder="1" applyAlignment="1">
      <alignment horizontal="center"/>
    </xf>
    <xf numFmtId="14" fontId="10" fillId="4" borderId="10" xfId="1" applyNumberFormat="1" applyFont="1" applyFill="1" applyBorder="1" applyAlignment="1">
      <alignment horizontal="center"/>
    </xf>
    <xf numFmtId="0" fontId="11" fillId="4" borderId="0" xfId="1" applyFont="1" applyFill="1" applyBorder="1"/>
    <xf numFmtId="40" fontId="6" fillId="3" borderId="4" xfId="1" applyNumberFormat="1" applyFont="1" applyFill="1" applyBorder="1"/>
    <xf numFmtId="40" fontId="6" fillId="3" borderId="5" xfId="1" applyNumberFormat="1" applyFont="1" applyFill="1" applyBorder="1"/>
    <xf numFmtId="40" fontId="6" fillId="3" borderId="6" xfId="1" applyNumberFormat="1" applyFont="1" applyFill="1" applyBorder="1"/>
    <xf numFmtId="39" fontId="6" fillId="0" borderId="5" xfId="1" applyNumberFormat="1" applyFont="1" applyBorder="1"/>
    <xf numFmtId="40" fontId="7" fillId="3" borderId="8" xfId="2" applyNumberFormat="1" applyFont="1" applyFill="1" applyBorder="1"/>
    <xf numFmtId="40" fontId="7" fillId="3" borderId="9" xfId="1" applyNumberFormat="1" applyFont="1" applyFill="1" applyBorder="1"/>
    <xf numFmtId="40" fontId="7" fillId="3" borderId="10" xfId="2" applyNumberFormat="1" applyFont="1" applyFill="1" applyBorder="1"/>
    <xf numFmtId="40" fontId="6" fillId="3" borderId="8" xfId="1" applyNumberFormat="1" applyFont="1" applyFill="1" applyBorder="1"/>
    <xf numFmtId="40" fontId="6" fillId="3" borderId="10" xfId="1" applyNumberFormat="1" applyFont="1" applyFill="1" applyBorder="1"/>
    <xf numFmtId="39" fontId="6" fillId="0" borderId="0" xfId="1" applyNumberFormat="1" applyFont="1" applyBorder="1"/>
    <xf numFmtId="3" fontId="16" fillId="3" borderId="34" xfId="2" applyNumberFormat="1" applyFont="1" applyFill="1" applyBorder="1"/>
    <xf numFmtId="3" fontId="16" fillId="3" borderId="32" xfId="1" applyNumberFormat="1" applyFont="1" applyFill="1" applyBorder="1"/>
    <xf numFmtId="3" fontId="16" fillId="3" borderId="35" xfId="2" applyNumberFormat="1" applyFont="1" applyFill="1" applyBorder="1"/>
    <xf numFmtId="3" fontId="16" fillId="3" borderId="36" xfId="1" applyNumberFormat="1" applyFont="1" applyFill="1" applyBorder="1"/>
    <xf numFmtId="3" fontId="16" fillId="3" borderId="35" xfId="1" applyNumberFormat="1" applyFont="1" applyFill="1" applyBorder="1"/>
    <xf numFmtId="37" fontId="16" fillId="0" borderId="36" xfId="1" applyNumberFormat="1" applyFont="1" applyBorder="1"/>
    <xf numFmtId="3" fontId="16" fillId="0" borderId="35" xfId="1" applyNumberFormat="1" applyFont="1" applyBorder="1"/>
    <xf numFmtId="3" fontId="16" fillId="3" borderId="34" xfId="1" applyNumberFormat="1" applyFont="1" applyFill="1" applyBorder="1"/>
    <xf numFmtId="0" fontId="7" fillId="0" borderId="0" xfId="1" applyFont="1" applyBorder="1"/>
    <xf numFmtId="0" fontId="7" fillId="0" borderId="10" xfId="1" applyFont="1" applyBorder="1"/>
    <xf numFmtId="39" fontId="6" fillId="0" borderId="0" xfId="2" applyNumberFormat="1" applyFont="1" applyBorder="1"/>
    <xf numFmtId="40" fontId="6" fillId="3" borderId="14" xfId="1" applyNumberFormat="1" applyFont="1" applyFill="1" applyBorder="1"/>
    <xf numFmtId="40" fontId="6" fillId="3" borderId="17" xfId="1" applyNumberFormat="1" applyFont="1" applyFill="1" applyBorder="1"/>
    <xf numFmtId="40" fontId="6" fillId="3" borderId="16" xfId="1" applyNumberFormat="1" applyFont="1" applyFill="1" applyBorder="1"/>
    <xf numFmtId="0" fontId="9" fillId="0" borderId="0" xfId="1" applyFont="1" applyBorder="1"/>
    <xf numFmtId="40" fontId="6" fillId="3" borderId="4" xfId="2" applyNumberFormat="1" applyFont="1" applyFill="1" applyBorder="1"/>
    <xf numFmtId="40" fontId="6" fillId="3" borderId="5" xfId="2" applyNumberFormat="1" applyFont="1" applyFill="1" applyBorder="1"/>
    <xf numFmtId="40" fontId="6" fillId="3" borderId="6" xfId="2" applyNumberFormat="1" applyFont="1" applyFill="1" applyBorder="1"/>
    <xf numFmtId="40" fontId="6" fillId="3" borderId="8" xfId="2" applyNumberFormat="1" applyFont="1" applyFill="1" applyBorder="1"/>
    <xf numFmtId="40" fontId="6" fillId="3" borderId="0" xfId="2" applyNumberFormat="1" applyFont="1" applyFill="1" applyBorder="1"/>
    <xf numFmtId="40" fontId="6" fillId="3" borderId="10" xfId="2" applyNumberFormat="1" applyFont="1" applyFill="1" applyBorder="1"/>
    <xf numFmtId="40" fontId="6" fillId="3" borderId="14" xfId="2" applyNumberFormat="1" applyFont="1" applyFill="1" applyBorder="1"/>
    <xf numFmtId="40" fontId="6" fillId="3" borderId="17" xfId="2" applyNumberFormat="1" applyFont="1" applyFill="1" applyBorder="1"/>
    <xf numFmtId="40" fontId="6" fillId="3" borderId="16" xfId="2" applyNumberFormat="1" applyFont="1" applyFill="1" applyBorder="1"/>
    <xf numFmtId="0" fontId="9" fillId="0" borderId="0" xfId="1" applyFont="1" applyBorder="1" applyAlignment="1">
      <alignment horizontal="center"/>
    </xf>
    <xf numFmtId="0" fontId="9" fillId="0" borderId="30" xfId="1" applyFont="1" applyBorder="1" applyAlignment="1">
      <alignment horizontal="center"/>
    </xf>
    <xf numFmtId="0" fontId="9" fillId="0" borderId="9" xfId="1" applyFont="1" applyBorder="1" applyAlignment="1">
      <alignment horizontal="center"/>
    </xf>
    <xf numFmtId="0" fontId="9" fillId="0" borderId="15" xfId="1" applyFont="1" applyBorder="1" applyAlignment="1">
      <alignment horizontal="center"/>
    </xf>
    <xf numFmtId="37" fontId="18" fillId="0" borderId="10" xfId="1" applyNumberFormat="1" applyFont="1" applyFill="1" applyBorder="1"/>
    <xf numFmtId="37" fontId="18" fillId="7" borderId="34" xfId="1" applyNumberFormat="1" applyFont="1" applyFill="1" applyBorder="1"/>
    <xf numFmtId="0" fontId="18" fillId="7" borderId="43" xfId="1" applyFont="1" applyFill="1" applyBorder="1"/>
    <xf numFmtId="37" fontId="18" fillId="7" borderId="36" xfId="1" applyNumberFormat="1" applyFont="1" applyFill="1" applyBorder="1"/>
    <xf numFmtId="0" fontId="18" fillId="7" borderId="35" xfId="1" applyFont="1" applyFill="1" applyBorder="1"/>
    <xf numFmtId="44" fontId="6" fillId="8" borderId="44" xfId="3" applyFont="1" applyFill="1" applyBorder="1"/>
    <xf numFmtId="165" fontId="6" fillId="8" borderId="44" xfId="3" applyNumberFormat="1" applyFont="1" applyFill="1" applyBorder="1"/>
    <xf numFmtId="39" fontId="6" fillId="3" borderId="6" xfId="1" applyNumberFormat="1" applyFont="1" applyFill="1" applyBorder="1"/>
    <xf numFmtId="0" fontId="8" fillId="0" borderId="0" xfId="1" applyFont="1" applyFill="1" applyBorder="1"/>
    <xf numFmtId="44" fontId="6" fillId="8" borderId="0" xfId="3" applyFont="1" applyFill="1" applyBorder="1"/>
    <xf numFmtId="165" fontId="6" fillId="8" borderId="0" xfId="3" applyNumberFormat="1" applyFont="1" applyFill="1" applyBorder="1"/>
    <xf numFmtId="39" fontId="6" fillId="3" borderId="16" xfId="1" applyNumberFormat="1" applyFont="1" applyFill="1" applyBorder="1"/>
    <xf numFmtId="44" fontId="6" fillId="8" borderId="45" xfId="3" applyFont="1" applyFill="1" applyBorder="1"/>
    <xf numFmtId="165" fontId="6" fillId="8" borderId="45" xfId="3" applyNumberFormat="1" applyFont="1" applyFill="1" applyBorder="1"/>
    <xf numFmtId="37" fontId="8" fillId="0" borderId="0" xfId="1" applyNumberFormat="1" applyFont="1" applyFill="1" applyBorder="1"/>
    <xf numFmtId="0" fontId="11" fillId="5" borderId="0" xfId="1" applyFont="1" applyFill="1" applyBorder="1" applyAlignment="1">
      <alignment horizontal="center"/>
    </xf>
    <xf numFmtId="0" fontId="11" fillId="5" borderId="0" xfId="1" applyFont="1" applyFill="1" applyBorder="1"/>
    <xf numFmtId="0" fontId="6" fillId="5" borderId="0" xfId="1" applyFont="1" applyFill="1" applyBorder="1"/>
    <xf numFmtId="166" fontId="6" fillId="3" borderId="6" xfId="1" applyNumberFormat="1" applyFont="1" applyFill="1" applyBorder="1"/>
    <xf numFmtId="166" fontId="6" fillId="3" borderId="16" xfId="1" applyNumberFormat="1" applyFont="1" applyFill="1" applyBorder="1"/>
    <xf numFmtId="39" fontId="6" fillId="0" borderId="0" xfId="1" applyNumberFormat="1" applyFont="1" applyFill="1" applyBorder="1" applyAlignment="1">
      <alignment horizontal="center"/>
    </xf>
    <xf numFmtId="37" fontId="6" fillId="0" borderId="0" xfId="1" applyNumberFormat="1" applyFont="1" applyFill="1" applyBorder="1" applyAlignment="1">
      <alignment horizontal="center"/>
    </xf>
    <xf numFmtId="14" fontId="8" fillId="0" borderId="0" xfId="1" applyNumberFormat="1" applyFont="1" applyFill="1" applyBorder="1"/>
    <xf numFmtId="166" fontId="6" fillId="3" borderId="0" xfId="1" applyNumberFormat="1" applyFont="1" applyFill="1" applyBorder="1"/>
    <xf numFmtId="0" fontId="11" fillId="0" borderId="0" xfId="1" applyFont="1" applyFill="1" applyBorder="1" applyAlignment="1">
      <alignment horizontal="center"/>
    </xf>
    <xf numFmtId="0" fontId="11" fillId="0" borderId="0" xfId="1" applyFont="1" applyFill="1" applyBorder="1"/>
    <xf numFmtId="0" fontId="11" fillId="5" borderId="17" xfId="1" applyFont="1" applyFill="1" applyBorder="1" applyAlignment="1">
      <alignment horizontal="center"/>
    </xf>
    <xf numFmtId="0" fontId="11" fillId="5" borderId="17" xfId="1" applyFont="1" applyFill="1" applyBorder="1"/>
    <xf numFmtId="0" fontId="6" fillId="0" borderId="17" xfId="1" applyFont="1" applyBorder="1"/>
    <xf numFmtId="0" fontId="6" fillId="0" borderId="16" xfId="1" applyFont="1" applyBorder="1"/>
    <xf numFmtId="0" fontId="22" fillId="5" borderId="17" xfId="1" applyFont="1" applyFill="1" applyBorder="1"/>
    <xf numFmtId="0" fontId="22" fillId="9" borderId="36" xfId="1" applyFont="1" applyFill="1" applyBorder="1"/>
    <xf numFmtId="0" fontId="22" fillId="9" borderId="17" xfId="1" applyFont="1" applyFill="1" applyBorder="1"/>
    <xf numFmtId="0" fontId="11" fillId="9" borderId="16" xfId="1" applyFont="1" applyFill="1" applyBorder="1"/>
    <xf numFmtId="44" fontId="18" fillId="8" borderId="46" xfId="3" applyFont="1" applyFill="1" applyBorder="1"/>
    <xf numFmtId="0" fontId="18" fillId="0" borderId="47" xfId="1" applyFont="1" applyFill="1" applyBorder="1"/>
    <xf numFmtId="167" fontId="8" fillId="0" borderId="0" xfId="2" applyNumberFormat="1" applyFont="1" applyFill="1" applyBorder="1"/>
    <xf numFmtId="167" fontId="8" fillId="8" borderId="48" xfId="2" applyNumberFormat="1" applyFont="1" applyFill="1" applyBorder="1"/>
    <xf numFmtId="0" fontId="8" fillId="3" borderId="6" xfId="1" applyFont="1" applyFill="1" applyBorder="1"/>
    <xf numFmtId="44" fontId="21" fillId="8" borderId="46" xfId="3" applyFont="1" applyFill="1" applyBorder="1"/>
    <xf numFmtId="44" fontId="21" fillId="8" borderId="44" xfId="3" applyFont="1" applyFill="1" applyBorder="1"/>
    <xf numFmtId="44" fontId="6" fillId="8" borderId="49" xfId="3" applyFont="1" applyFill="1" applyBorder="1"/>
    <xf numFmtId="10" fontId="6" fillId="3" borderId="0" xfId="2" applyNumberFormat="1" applyFont="1" applyFill="1"/>
    <xf numFmtId="165" fontId="6" fillId="0" borderId="0" xfId="3" applyNumberFormat="1" applyFont="1" applyBorder="1"/>
    <xf numFmtId="165" fontId="18" fillId="8" borderId="47" xfId="3" applyNumberFormat="1" applyFont="1" applyFill="1" applyBorder="1"/>
    <xf numFmtId="165" fontId="18" fillId="0" borderId="47" xfId="3" applyNumberFormat="1" applyFont="1" applyFill="1" applyBorder="1"/>
    <xf numFmtId="165" fontId="18" fillId="0" borderId="0" xfId="3" applyNumberFormat="1" applyFont="1" applyFill="1" applyBorder="1"/>
    <xf numFmtId="167" fontId="8" fillId="0" borderId="0" xfId="1" applyNumberFormat="1" applyFont="1" applyFill="1" applyBorder="1"/>
    <xf numFmtId="167" fontId="8" fillId="8" borderId="50" xfId="1" applyNumberFormat="1" applyFont="1" applyFill="1" applyBorder="1"/>
    <xf numFmtId="0" fontId="8" fillId="3" borderId="13" xfId="1" applyFont="1" applyFill="1" applyBorder="1"/>
    <xf numFmtId="44" fontId="21" fillId="8" borderId="47" xfId="3" applyFont="1" applyFill="1" applyBorder="1"/>
    <xf numFmtId="44" fontId="21" fillId="8" borderId="0" xfId="3" applyFont="1" applyFill="1" applyBorder="1"/>
    <xf numFmtId="44" fontId="6" fillId="8" borderId="51" xfId="3" applyFont="1" applyFill="1" applyBorder="1"/>
    <xf numFmtId="165" fontId="6" fillId="8" borderId="52" xfId="3" applyNumberFormat="1" applyFont="1" applyFill="1" applyBorder="1"/>
    <xf numFmtId="165" fontId="6" fillId="0" borderId="52" xfId="3" applyNumberFormat="1" applyFont="1" applyFill="1" applyBorder="1"/>
    <xf numFmtId="165" fontId="6" fillId="0" borderId="12" xfId="3" applyNumberFormat="1" applyFont="1" applyFill="1" applyBorder="1"/>
    <xf numFmtId="0" fontId="6" fillId="0" borderId="12" xfId="1" applyFont="1" applyFill="1" applyBorder="1" applyAlignment="1">
      <alignment horizontal="left"/>
    </xf>
    <xf numFmtId="167" fontId="6" fillId="0" borderId="0" xfId="2" applyNumberFormat="1" applyFont="1" applyFill="1" applyBorder="1"/>
    <xf numFmtId="167" fontId="6" fillId="3" borderId="50" xfId="2" applyNumberFormat="1" applyFont="1" applyFill="1" applyBorder="1"/>
    <xf numFmtId="165" fontId="6" fillId="8" borderId="47" xfId="3" applyNumberFormat="1" applyFont="1" applyFill="1" applyBorder="1"/>
    <xf numFmtId="165" fontId="6" fillId="0" borderId="47" xfId="3" applyNumberFormat="1" applyFont="1" applyFill="1" applyBorder="1"/>
    <xf numFmtId="165" fontId="6" fillId="0" borderId="0" xfId="3" applyNumberFormat="1" applyFont="1" applyFill="1" applyBorder="1"/>
    <xf numFmtId="4" fontId="6" fillId="0" borderId="0" xfId="1" applyNumberFormat="1" applyFont="1" applyFill="1" applyBorder="1"/>
    <xf numFmtId="4" fontId="6" fillId="3" borderId="50" xfId="1" applyNumberFormat="1" applyFont="1" applyFill="1" applyBorder="1"/>
    <xf numFmtId="165" fontId="20" fillId="8" borderId="47" xfId="3" applyNumberFormat="1" applyFont="1" applyFill="1" applyBorder="1"/>
    <xf numFmtId="165" fontId="20" fillId="0" borderId="47" xfId="3" applyNumberFormat="1" applyFont="1" applyFill="1" applyBorder="1"/>
    <xf numFmtId="165" fontId="20" fillId="0" borderId="0" xfId="3" applyNumberFormat="1" applyFont="1" applyFill="1" applyBorder="1"/>
    <xf numFmtId="0" fontId="20" fillId="0" borderId="0" xfId="1" applyFont="1" applyFill="1" applyBorder="1"/>
    <xf numFmtId="165" fontId="18" fillId="8" borderId="53" xfId="3" applyNumberFormat="1" applyFont="1" applyFill="1" applyBorder="1"/>
    <xf numFmtId="2" fontId="6" fillId="0" borderId="0" xfId="1" applyNumberFormat="1" applyFont="1" applyFill="1" applyBorder="1"/>
    <xf numFmtId="2" fontId="6" fillId="3" borderId="50" xfId="1" applyNumberFormat="1" applyFont="1" applyFill="1" applyBorder="1"/>
    <xf numFmtId="165" fontId="18" fillId="8" borderId="49" xfId="3" applyNumberFormat="1" applyFont="1" applyFill="1" applyBorder="1"/>
    <xf numFmtId="167" fontId="8" fillId="8" borderId="50" xfId="2" applyNumberFormat="1" applyFont="1" applyFill="1" applyBorder="1"/>
    <xf numFmtId="44" fontId="21" fillId="8" borderId="53" xfId="3" applyFont="1" applyFill="1" applyBorder="1"/>
    <xf numFmtId="44" fontId="21" fillId="8" borderId="45" xfId="3" applyFont="1" applyFill="1" applyBorder="1"/>
    <xf numFmtId="44" fontId="23" fillId="8" borderId="0" xfId="3" applyFont="1" applyFill="1" applyBorder="1"/>
    <xf numFmtId="44" fontId="6" fillId="8" borderId="54" xfId="3" applyFont="1" applyFill="1" applyBorder="1"/>
    <xf numFmtId="10" fontId="8" fillId="3" borderId="0" xfId="2" applyNumberFormat="1" applyFont="1" applyFill="1"/>
    <xf numFmtId="0" fontId="9" fillId="0" borderId="0" xfId="1" quotePrefix="1" applyFont="1" applyBorder="1" applyAlignment="1">
      <alignment horizontal="left" vertical="center"/>
    </xf>
    <xf numFmtId="165" fontId="6" fillId="0" borderId="55" xfId="3" applyNumberFormat="1" applyFont="1" applyFill="1" applyBorder="1"/>
    <xf numFmtId="0" fontId="24" fillId="0" borderId="0" xfId="1" applyFont="1" applyBorder="1"/>
    <xf numFmtId="10" fontId="6" fillId="0" borderId="0" xfId="1" applyNumberFormat="1" applyFont="1" applyFill="1" applyBorder="1"/>
    <xf numFmtId="10" fontId="6" fillId="3" borderId="50" xfId="1" applyNumberFormat="1" applyFont="1" applyFill="1" applyBorder="1"/>
    <xf numFmtId="10" fontId="21" fillId="3" borderId="14" xfId="2" applyNumberFormat="1" applyFont="1" applyFill="1" applyBorder="1"/>
    <xf numFmtId="10" fontId="21" fillId="3" borderId="17" xfId="2" applyNumberFormat="1" applyFont="1" applyFill="1" applyBorder="1"/>
    <xf numFmtId="10" fontId="8" fillId="8" borderId="48" xfId="2" applyNumberFormat="1" applyFont="1" applyFill="1" applyBorder="1"/>
    <xf numFmtId="44" fontId="8" fillId="0" borderId="32" xfId="3" applyFont="1" applyBorder="1" applyAlignment="1">
      <alignment horizontal="center" vertical="center"/>
    </xf>
    <xf numFmtId="165" fontId="6" fillId="8" borderId="54" xfId="3" applyNumberFormat="1" applyFont="1" applyFill="1" applyBorder="1"/>
    <xf numFmtId="167" fontId="21" fillId="0" borderId="0" xfId="2" applyNumberFormat="1" applyFont="1"/>
    <xf numFmtId="167" fontId="6" fillId="0" borderId="0" xfId="2" applyNumberFormat="1" applyFont="1"/>
    <xf numFmtId="2" fontId="6" fillId="3" borderId="56" xfId="1" applyNumberFormat="1" applyFont="1" applyFill="1" applyBorder="1"/>
    <xf numFmtId="0" fontId="6" fillId="3" borderId="16" xfId="1" applyFont="1" applyFill="1" applyBorder="1"/>
    <xf numFmtId="167" fontId="8" fillId="3" borderId="34" xfId="2" applyNumberFormat="1" applyFont="1" applyFill="1" applyBorder="1" applyAlignment="1">
      <alignment horizontal="center"/>
    </xf>
    <xf numFmtId="167" fontId="8" fillId="3" borderId="35" xfId="2" applyNumberFormat="1" applyFont="1" applyFill="1" applyBorder="1" applyAlignment="1">
      <alignment horizontal="center"/>
    </xf>
    <xf numFmtId="0" fontId="25" fillId="5" borderId="0" xfId="1" applyFont="1" applyFill="1" applyBorder="1"/>
    <xf numFmtId="0" fontId="11" fillId="5" borderId="10" xfId="1" applyFont="1" applyFill="1" applyBorder="1" applyAlignment="1">
      <alignment horizontal="center"/>
    </xf>
    <xf numFmtId="0" fontId="11" fillId="5" borderId="0" xfId="1" applyFont="1" applyFill="1" applyBorder="1" applyAlignment="1">
      <alignment horizontal="center"/>
    </xf>
    <xf numFmtId="0" fontId="6" fillId="5" borderId="17" xfId="1" applyFont="1" applyFill="1" applyBorder="1"/>
    <xf numFmtId="0" fontId="11" fillId="5" borderId="16" xfId="1" applyNumberFormat="1" applyFont="1" applyFill="1" applyBorder="1" applyAlignment="1">
      <alignment horizontal="center"/>
    </xf>
    <xf numFmtId="0" fontId="11" fillId="9" borderId="35" xfId="1" applyFont="1" applyFill="1" applyBorder="1"/>
    <xf numFmtId="165" fontId="6" fillId="0" borderId="51" xfId="3" applyNumberFormat="1" applyFont="1" applyBorder="1"/>
    <xf numFmtId="165" fontId="8" fillId="8" borderId="57" xfId="3" applyNumberFormat="1" applyFont="1" applyFill="1" applyBorder="1"/>
    <xf numFmtId="165" fontId="8" fillId="0" borderId="7" xfId="3" applyNumberFormat="1" applyFont="1" applyFill="1" applyBorder="1"/>
    <xf numFmtId="165" fontId="8" fillId="0" borderId="5" xfId="3" applyNumberFormat="1" applyFont="1" applyFill="1" applyBorder="1"/>
    <xf numFmtId="0" fontId="8" fillId="0" borderId="7" xfId="1" applyFont="1" applyBorder="1"/>
    <xf numFmtId="165" fontId="9" fillId="0" borderId="0" xfId="3" applyNumberFormat="1" applyFont="1"/>
    <xf numFmtId="165" fontId="6" fillId="8" borderId="55" xfId="3" applyNumberFormat="1" applyFont="1" applyFill="1" applyBorder="1"/>
    <xf numFmtId="165" fontId="6" fillId="0" borderId="45" xfId="3" applyNumberFormat="1" applyFont="1" applyFill="1" applyBorder="1"/>
    <xf numFmtId="165" fontId="6" fillId="0" borderId="0" xfId="3" applyNumberFormat="1" applyFont="1"/>
    <xf numFmtId="165" fontId="8" fillId="8" borderId="49" xfId="3" applyNumberFormat="1" applyFont="1" applyFill="1" applyBorder="1"/>
    <xf numFmtId="165" fontId="8" fillId="0" borderId="58" xfId="3" applyNumberFormat="1" applyFont="1" applyFill="1" applyBorder="1"/>
    <xf numFmtId="165" fontId="8" fillId="0" borderId="44" xfId="3" applyNumberFormat="1" applyFont="1" applyFill="1" applyBorder="1"/>
    <xf numFmtId="165" fontId="6" fillId="8" borderId="51" xfId="3" applyNumberFormat="1" applyFont="1" applyFill="1" applyBorder="1"/>
    <xf numFmtId="2" fontId="8" fillId="3" borderId="4" xfId="2" applyNumberFormat="1" applyFont="1" applyFill="1" applyBorder="1"/>
    <xf numFmtId="2" fontId="6" fillId="3" borderId="5" xfId="2" applyNumberFormat="1" applyFont="1" applyFill="1" applyBorder="1"/>
    <xf numFmtId="0" fontId="6" fillId="3" borderId="6" xfId="1" applyFont="1" applyFill="1" applyBorder="1"/>
    <xf numFmtId="2" fontId="8" fillId="3" borderId="8" xfId="2" applyNumberFormat="1" applyFont="1" applyFill="1" applyBorder="1"/>
    <xf numFmtId="2" fontId="6" fillId="3" borderId="0" xfId="2" applyNumberFormat="1" applyFont="1" applyFill="1" applyBorder="1"/>
    <xf numFmtId="38" fontId="6" fillId="3" borderId="21" xfId="1" applyNumberFormat="1" applyFont="1" applyFill="1" applyBorder="1"/>
    <xf numFmtId="38" fontId="6" fillId="3" borderId="19" xfId="1" applyNumberFormat="1" applyFont="1" applyFill="1" applyBorder="1"/>
    <xf numFmtId="0" fontId="6" fillId="3" borderId="19" xfId="1" applyFont="1" applyFill="1" applyBorder="1"/>
    <xf numFmtId="0" fontId="6" fillId="3" borderId="20" xfId="1" applyFont="1" applyFill="1" applyBorder="1"/>
    <xf numFmtId="38" fontId="6" fillId="3" borderId="11" xfId="1" applyNumberFormat="1" applyFont="1" applyFill="1" applyBorder="1"/>
    <xf numFmtId="3" fontId="6" fillId="3" borderId="14" xfId="1" applyNumberFormat="1" applyFont="1" applyFill="1" applyBorder="1"/>
    <xf numFmtId="3" fontId="6" fillId="3" borderId="17" xfId="1" applyNumberFormat="1" applyFont="1" applyFill="1" applyBorder="1"/>
    <xf numFmtId="0" fontId="6" fillId="3" borderId="17" xfId="1" applyFont="1" applyFill="1" applyBorder="1"/>
    <xf numFmtId="40" fontId="25" fillId="5" borderId="8" xfId="1" applyNumberFormat="1" applyFont="1" applyFill="1" applyBorder="1"/>
    <xf numFmtId="40" fontId="25" fillId="5" borderId="0" xfId="1" applyNumberFormat="1" applyFont="1" applyFill="1" applyBorder="1"/>
    <xf numFmtId="0" fontId="11" fillId="5" borderId="10" xfId="1" applyFont="1" applyFill="1" applyBorder="1" applyAlignment="1" applyProtection="1"/>
    <xf numFmtId="38" fontId="6" fillId="3" borderId="4" xfId="1" applyNumberFormat="1" applyFont="1" applyFill="1" applyBorder="1"/>
    <xf numFmtId="38" fontId="6" fillId="3" borderId="5" xfId="1" applyNumberFormat="1" applyFont="1" applyFill="1" applyBorder="1"/>
    <xf numFmtId="38" fontId="8" fillId="3" borderId="8" xfId="1" applyNumberFormat="1" applyFont="1" applyFill="1" applyBorder="1"/>
    <xf numFmtId="40" fontId="8" fillId="3" borderId="8" xfId="1" applyNumberFormat="1" applyFont="1" applyFill="1" applyBorder="1"/>
    <xf numFmtId="165" fontId="8" fillId="3" borderId="1" xfId="3" applyNumberFormat="1" applyFont="1" applyFill="1" applyBorder="1"/>
    <xf numFmtId="165" fontId="8" fillId="3" borderId="7" xfId="3" applyNumberFormat="1" applyFont="1" applyFill="1" applyBorder="1"/>
    <xf numFmtId="165" fontId="8" fillId="3" borderId="3" xfId="3" applyNumberFormat="1" applyFont="1" applyFill="1" applyBorder="1"/>
    <xf numFmtId="165" fontId="6" fillId="3" borderId="8" xfId="3" applyNumberFormat="1" applyFont="1" applyFill="1" applyBorder="1"/>
    <xf numFmtId="165" fontId="6" fillId="3" borderId="0" xfId="3" applyNumberFormat="1" applyFont="1" applyFill="1" applyBorder="1"/>
    <xf numFmtId="165" fontId="6" fillId="3" borderId="10" xfId="3" applyNumberFormat="1" applyFont="1" applyFill="1" applyBorder="1"/>
    <xf numFmtId="165" fontId="8" fillId="3" borderId="10" xfId="3" applyNumberFormat="1" applyFont="1" applyFill="1" applyBorder="1" applyAlignment="1" applyProtection="1"/>
    <xf numFmtId="165" fontId="14" fillId="0" borderId="0" xfId="3" applyNumberFormat="1" applyFont="1" applyFill="1" applyBorder="1"/>
    <xf numFmtId="165" fontId="15" fillId="0" borderId="0" xfId="3" applyNumberFormat="1" applyFont="1" applyFill="1" applyBorder="1" applyAlignment="1" applyProtection="1"/>
    <xf numFmtId="165" fontId="8" fillId="3" borderId="21" xfId="3" applyNumberFormat="1" applyFont="1" applyFill="1" applyBorder="1"/>
    <xf numFmtId="165" fontId="8" fillId="3" borderId="19" xfId="3" applyNumberFormat="1" applyFont="1" applyFill="1" applyBorder="1"/>
    <xf numFmtId="165" fontId="8" fillId="3" borderId="20" xfId="3" applyNumberFormat="1" applyFont="1" applyFill="1" applyBorder="1" applyAlignment="1" applyProtection="1"/>
    <xf numFmtId="165" fontId="14" fillId="0" borderId="0" xfId="3" applyNumberFormat="1" applyFont="1" applyFill="1" applyBorder="1" applyAlignment="1" applyProtection="1"/>
    <xf numFmtId="165" fontId="6" fillId="3" borderId="10" xfId="3" applyNumberFormat="1" applyFont="1" applyFill="1" applyBorder="1" applyAlignment="1" applyProtection="1"/>
    <xf numFmtId="165" fontId="6" fillId="0" borderId="10" xfId="3" applyNumberFormat="1" applyFont="1" applyBorder="1"/>
    <xf numFmtId="165" fontId="6" fillId="3" borderId="12" xfId="3" applyNumberFormat="1" applyFont="1" applyFill="1" applyBorder="1"/>
    <xf numFmtId="165" fontId="8" fillId="3" borderId="13" xfId="3" applyNumberFormat="1" applyFont="1" applyFill="1" applyBorder="1" applyAlignment="1" applyProtection="1"/>
    <xf numFmtId="165" fontId="6" fillId="8" borderId="59" xfId="3" applyNumberFormat="1" applyFont="1" applyFill="1" applyBorder="1"/>
    <xf numFmtId="165" fontId="6" fillId="3" borderId="23" xfId="3" applyNumberFormat="1" applyFont="1" applyFill="1" applyBorder="1"/>
    <xf numFmtId="165" fontId="6" fillId="3" borderId="26" xfId="3" applyNumberFormat="1" applyFont="1" applyFill="1" applyBorder="1"/>
    <xf numFmtId="165" fontId="8" fillId="3" borderId="25" xfId="3" applyNumberFormat="1" applyFont="1" applyFill="1" applyBorder="1" applyAlignment="1" applyProtection="1"/>
    <xf numFmtId="165" fontId="8" fillId="0" borderId="0" xfId="3" applyNumberFormat="1" applyFont="1" applyFill="1" applyBorder="1"/>
    <xf numFmtId="165" fontId="8" fillId="3" borderId="8" xfId="3" applyNumberFormat="1" applyFont="1" applyFill="1" applyBorder="1"/>
    <xf numFmtId="165" fontId="8" fillId="3" borderId="0" xfId="3" applyNumberFormat="1" applyFont="1" applyFill="1" applyBorder="1"/>
    <xf numFmtId="165" fontId="8" fillId="8" borderId="59" xfId="3" applyNumberFormat="1" applyFont="1" applyFill="1" applyBorder="1"/>
    <xf numFmtId="165" fontId="8" fillId="3" borderId="60" xfId="3" applyNumberFormat="1" applyFont="1" applyFill="1" applyBorder="1"/>
    <xf numFmtId="165" fontId="8" fillId="3" borderId="61" xfId="3" applyNumberFormat="1" applyFont="1" applyFill="1" applyBorder="1" applyAlignment="1" applyProtection="1"/>
    <xf numFmtId="165" fontId="6" fillId="6" borderId="4" xfId="3" applyNumberFormat="1" applyFont="1" applyFill="1" applyBorder="1"/>
    <xf numFmtId="165" fontId="6" fillId="6" borderId="5" xfId="3" applyNumberFormat="1" applyFont="1" applyFill="1" applyBorder="1"/>
    <xf numFmtId="165" fontId="6" fillId="6" borderId="6" xfId="3" applyNumberFormat="1" applyFont="1" applyFill="1" applyBorder="1" applyAlignment="1" applyProtection="1">
      <alignment horizontal="left" indent="3"/>
    </xf>
    <xf numFmtId="165" fontId="6" fillId="6" borderId="8" xfId="3" applyNumberFormat="1" applyFont="1" applyFill="1" applyBorder="1"/>
    <xf numFmtId="165" fontId="6" fillId="6" borderId="0" xfId="3" applyNumberFormat="1" applyFont="1" applyFill="1" applyBorder="1"/>
    <xf numFmtId="165" fontId="6" fillId="6" borderId="10" xfId="3" applyNumberFormat="1" applyFont="1" applyFill="1" applyBorder="1" applyAlignment="1" applyProtection="1">
      <alignment horizontal="left" indent="3"/>
    </xf>
    <xf numFmtId="165" fontId="17" fillId="3" borderId="10" xfId="3" applyNumberFormat="1" applyFont="1" applyFill="1" applyBorder="1"/>
    <xf numFmtId="165" fontId="6" fillId="3" borderId="10" xfId="3" applyNumberFormat="1" applyFont="1" applyFill="1" applyBorder="1" applyAlignment="1" applyProtection="1">
      <alignment horizontal="left" indent="3"/>
    </xf>
    <xf numFmtId="165" fontId="6" fillId="8" borderId="49" xfId="3" applyNumberFormat="1" applyFont="1" applyFill="1" applyBorder="1"/>
    <xf numFmtId="0" fontId="14" fillId="0" borderId="28" xfId="1" applyFont="1" applyFill="1" applyBorder="1"/>
    <xf numFmtId="0" fontId="15" fillId="0" borderId="28" xfId="1" applyFont="1" applyFill="1" applyBorder="1" applyAlignment="1" applyProtection="1"/>
    <xf numFmtId="0" fontId="11" fillId="4" borderId="8" xfId="1" applyNumberFormat="1" applyFont="1" applyFill="1" applyBorder="1" applyAlignment="1">
      <alignment horizontal="center"/>
    </xf>
    <xf numFmtId="37" fontId="6" fillId="3" borderId="47" xfId="1" applyNumberFormat="1" applyFont="1" applyFill="1" applyBorder="1"/>
    <xf numFmtId="37" fontId="6" fillId="3" borderId="44" xfId="1" applyNumberFormat="1" applyFont="1" applyFill="1" applyBorder="1"/>
    <xf numFmtId="0" fontId="6" fillId="0" borderId="44" xfId="1" applyFont="1" applyFill="1" applyBorder="1"/>
    <xf numFmtId="0" fontId="17" fillId="0" borderId="62" xfId="1" applyFont="1" applyFill="1" applyBorder="1"/>
    <xf numFmtId="37" fontId="6" fillId="3" borderId="53" xfId="1" applyNumberFormat="1" applyFont="1" applyFill="1" applyBorder="1"/>
    <xf numFmtId="37" fontId="6" fillId="3" borderId="45" xfId="1" applyNumberFormat="1" applyFont="1" applyFill="1" applyBorder="1"/>
    <xf numFmtId="0" fontId="6" fillId="0" borderId="45" xfId="1" applyFont="1" applyFill="1" applyBorder="1"/>
    <xf numFmtId="0" fontId="17" fillId="0" borderId="63" xfId="1" applyFont="1" applyFill="1" applyBorder="1"/>
    <xf numFmtId="37" fontId="14" fillId="0" borderId="0" xfId="1" applyNumberFormat="1" applyFont="1" applyFill="1" applyBorder="1"/>
    <xf numFmtId="0" fontId="4" fillId="0" borderId="0" xfId="1" applyFont="1" applyFill="1"/>
    <xf numFmtId="165" fontId="17" fillId="8" borderId="59" xfId="3" applyNumberFormat="1" applyFont="1" applyFill="1" applyBorder="1"/>
    <xf numFmtId="37" fontId="7" fillId="0" borderId="64" xfId="1" applyNumberFormat="1" applyFont="1" applyFill="1" applyBorder="1"/>
    <xf numFmtId="37" fontId="7" fillId="0" borderId="65" xfId="1" applyNumberFormat="1" applyFont="1" applyFill="1" applyBorder="1"/>
    <xf numFmtId="0" fontId="7" fillId="0" borderId="65" xfId="1" applyFont="1" applyFill="1" applyBorder="1"/>
    <xf numFmtId="0" fontId="17" fillId="0" borderId="66" xfId="1" applyFont="1" applyFill="1" applyBorder="1"/>
    <xf numFmtId="165" fontId="7" fillId="0" borderId="0" xfId="3" applyNumberFormat="1" applyFont="1" applyFill="1" applyBorder="1"/>
    <xf numFmtId="37" fontId="7" fillId="0" borderId="0" xfId="1" applyNumberFormat="1" applyFont="1" applyFill="1" applyBorder="1"/>
    <xf numFmtId="0" fontId="7" fillId="0" borderId="0" xfId="1" applyFont="1" applyFill="1" applyBorder="1"/>
    <xf numFmtId="0" fontId="7" fillId="0" borderId="10" xfId="1" applyFont="1" applyFill="1" applyBorder="1"/>
    <xf numFmtId="165" fontId="8" fillId="8" borderId="67" xfId="3" applyNumberFormat="1" applyFont="1" applyFill="1" applyBorder="1"/>
    <xf numFmtId="165" fontId="14" fillId="0" borderId="47" xfId="3" applyNumberFormat="1" applyFont="1" applyFill="1" applyBorder="1"/>
    <xf numFmtId="165" fontId="8" fillId="8" borderId="68" xfId="3" applyNumberFormat="1" applyFont="1" applyFill="1" applyBorder="1"/>
    <xf numFmtId="0" fontId="16" fillId="3" borderId="10" xfId="1" applyFont="1" applyFill="1" applyBorder="1" applyAlignment="1" applyProtection="1"/>
    <xf numFmtId="165" fontId="14" fillId="0" borderId="69" xfId="3" applyNumberFormat="1" applyFont="1" applyFill="1" applyBorder="1"/>
    <xf numFmtId="165" fontId="14" fillId="0" borderId="26" xfId="3" applyNumberFormat="1" applyFont="1" applyFill="1" applyBorder="1"/>
    <xf numFmtId="165" fontId="15" fillId="0" borderId="26" xfId="3" applyNumberFormat="1" applyFont="1" applyFill="1" applyBorder="1"/>
    <xf numFmtId="165" fontId="6" fillId="0" borderId="26" xfId="3" applyNumberFormat="1" applyFont="1" applyBorder="1"/>
    <xf numFmtId="165" fontId="6" fillId="0" borderId="70" xfId="3" applyNumberFormat="1" applyFont="1" applyBorder="1"/>
    <xf numFmtId="165" fontId="7" fillId="3" borderId="0" xfId="3" applyNumberFormat="1" applyFont="1" applyFill="1" applyBorder="1"/>
    <xf numFmtId="0" fontId="7" fillId="3" borderId="0" xfId="1" applyFont="1" applyFill="1" applyBorder="1"/>
    <xf numFmtId="0" fontId="7" fillId="3" borderId="10" xfId="1" applyFont="1" applyFill="1" applyBorder="1"/>
    <xf numFmtId="165" fontId="7" fillId="0" borderId="47" xfId="3" applyNumberFormat="1" applyFont="1" applyFill="1" applyBorder="1"/>
    <xf numFmtId="165" fontId="7" fillId="0" borderId="51" xfId="3" applyNumberFormat="1" applyFont="1" applyFill="1" applyBorder="1"/>
    <xf numFmtId="0" fontId="17" fillId="3" borderId="10" xfId="1" applyFont="1" applyFill="1" applyBorder="1"/>
    <xf numFmtId="165" fontId="8" fillId="8" borderId="71" xfId="3" applyNumberFormat="1" applyFont="1" applyFill="1" applyBorder="1"/>
    <xf numFmtId="38" fontId="7" fillId="3" borderId="0" xfId="1" applyNumberFormat="1" applyFont="1" applyFill="1" applyBorder="1"/>
    <xf numFmtId="165" fontId="8" fillId="8" borderId="72" xfId="3" applyNumberFormat="1" applyFont="1" applyFill="1" applyBorder="1"/>
    <xf numFmtId="165" fontId="6" fillId="0" borderId="47" xfId="3" applyNumberFormat="1" applyFont="1" applyBorder="1"/>
    <xf numFmtId="165" fontId="8" fillId="8" borderId="51" xfId="3" applyNumberFormat="1" applyFont="1" applyFill="1" applyBorder="1"/>
    <xf numFmtId="10" fontId="14" fillId="0" borderId="0" xfId="2" applyNumberFormat="1" applyFont="1" applyFill="1" applyBorder="1"/>
    <xf numFmtId="0" fontId="8" fillId="3" borderId="28" xfId="1" applyFont="1" applyFill="1" applyBorder="1" applyAlignment="1">
      <alignment horizontal="center"/>
    </xf>
    <xf numFmtId="0" fontId="11" fillId="4" borderId="14" xfId="1" applyNumberFormat="1" applyFont="1" applyFill="1" applyBorder="1" applyAlignment="1">
      <alignment horizontal="center"/>
    </xf>
    <xf numFmtId="38" fontId="14" fillId="0" borderId="0" xfId="1" applyNumberFormat="1" applyFont="1" applyFill="1" applyBorder="1"/>
    <xf numFmtId="38" fontId="17" fillId="0" borderId="0" xfId="1" applyNumberFormat="1" applyFont="1" applyFill="1" applyBorder="1"/>
    <xf numFmtId="10" fontId="17" fillId="0" borderId="0" xfId="2" applyNumberFormat="1" applyFont="1" applyBorder="1" applyAlignment="1">
      <alignment horizontal="center" vertical="center"/>
    </xf>
    <xf numFmtId="10" fontId="17" fillId="0" borderId="0" xfId="2" applyNumberFormat="1" applyFont="1" applyBorder="1"/>
    <xf numFmtId="0" fontId="17" fillId="0" borderId="10" xfId="1" applyFont="1" applyBorder="1"/>
    <xf numFmtId="165" fontId="7" fillId="3" borderId="5" xfId="3" applyNumberFormat="1" applyFont="1" applyFill="1" applyBorder="1"/>
    <xf numFmtId="38" fontId="7" fillId="3" borderId="5" xfId="1" applyNumberFormat="1" applyFont="1" applyFill="1" applyBorder="1"/>
    <xf numFmtId="0" fontId="7" fillId="3" borderId="6" xfId="1" applyFont="1" applyFill="1" applyBorder="1"/>
    <xf numFmtId="10" fontId="26" fillId="0" borderId="0" xfId="2" quotePrefix="1" applyNumberFormat="1" applyFont="1" applyFill="1" applyBorder="1"/>
    <xf numFmtId="165" fontId="8" fillId="3" borderId="28" xfId="3" applyNumberFormat="1" applyFont="1" applyFill="1" applyBorder="1"/>
    <xf numFmtId="10" fontId="6" fillId="3" borderId="73" xfId="1" applyNumberFormat="1" applyFont="1" applyFill="1" applyBorder="1"/>
    <xf numFmtId="10" fontId="6" fillId="8" borderId="50" xfId="1" applyNumberFormat="1" applyFont="1" applyFill="1" applyBorder="1" applyAlignment="1">
      <alignment horizontal="center" vertical="center"/>
    </xf>
    <xf numFmtId="10" fontId="6" fillId="3" borderId="6" xfId="1" applyNumberFormat="1" applyFont="1" applyFill="1" applyBorder="1"/>
    <xf numFmtId="10" fontId="6" fillId="0" borderId="30" xfId="1" applyNumberFormat="1" applyFont="1" applyFill="1" applyBorder="1"/>
    <xf numFmtId="10" fontId="6" fillId="0" borderId="5" xfId="1" applyNumberFormat="1" applyFont="1" applyFill="1" applyBorder="1"/>
    <xf numFmtId="10" fontId="6" fillId="0" borderId="46" xfId="2" applyNumberFormat="1" applyFont="1" applyFill="1" applyBorder="1"/>
    <xf numFmtId="10" fontId="6" fillId="0" borderId="44" xfId="2" applyNumberFormat="1" applyFont="1" applyFill="1" applyBorder="1"/>
    <xf numFmtId="10" fontId="6" fillId="0" borderId="49" xfId="2" applyNumberFormat="1" applyFont="1" applyFill="1" applyBorder="1"/>
    <xf numFmtId="10" fontId="6" fillId="3" borderId="8" xfId="1" applyNumberFormat="1" applyFont="1" applyFill="1" applyBorder="1"/>
    <xf numFmtId="10" fontId="6" fillId="3" borderId="10" xfId="1" applyNumberFormat="1" applyFont="1" applyFill="1" applyBorder="1"/>
    <xf numFmtId="10" fontId="7" fillId="0" borderId="9" xfId="1" applyNumberFormat="1" applyFont="1" applyFill="1" applyBorder="1"/>
    <xf numFmtId="10" fontId="7" fillId="0" borderId="10" xfId="1" applyNumberFormat="1" applyFont="1" applyFill="1" applyBorder="1"/>
    <xf numFmtId="10" fontId="7" fillId="0" borderId="0" xfId="1" applyNumberFormat="1" applyFont="1" applyFill="1" applyBorder="1"/>
    <xf numFmtId="10" fontId="7" fillId="0" borderId="47" xfId="2" applyNumberFormat="1" applyFont="1" applyFill="1" applyBorder="1"/>
    <xf numFmtId="10" fontId="7" fillId="0" borderId="0" xfId="2" applyNumberFormat="1" applyFont="1" applyFill="1" applyBorder="1"/>
    <xf numFmtId="10" fontId="7" fillId="0" borderId="51" xfId="2" applyNumberFormat="1" applyFont="1" applyFill="1" applyBorder="1"/>
    <xf numFmtId="0" fontId="17" fillId="0" borderId="10" xfId="1" applyFont="1" applyFill="1" applyBorder="1"/>
    <xf numFmtId="10" fontId="6" fillId="8" borderId="0" xfId="1" applyNumberFormat="1" applyFont="1" applyFill="1" applyBorder="1"/>
    <xf numFmtId="10" fontId="7" fillId="8" borderId="0" xfId="2" applyNumberFormat="1" applyFont="1" applyFill="1" applyBorder="1"/>
    <xf numFmtId="0" fontId="6" fillId="0" borderId="8" xfId="1" applyFont="1" applyFill="1" applyBorder="1"/>
    <xf numFmtId="0" fontId="6" fillId="0" borderId="50" xfId="1" applyFont="1" applyFill="1" applyBorder="1"/>
    <xf numFmtId="0" fontId="6" fillId="0" borderId="9" xfId="1" applyFont="1" applyFill="1" applyBorder="1"/>
    <xf numFmtId="10" fontId="6" fillId="0" borderId="10" xfId="1" applyNumberFormat="1" applyFont="1" applyFill="1" applyBorder="1"/>
    <xf numFmtId="10" fontId="6" fillId="0" borderId="47" xfId="2" applyNumberFormat="1" applyFont="1" applyFill="1" applyBorder="1"/>
    <xf numFmtId="10" fontId="6" fillId="0" borderId="0" xfId="2" applyNumberFormat="1" applyFont="1" applyFill="1" applyBorder="1"/>
    <xf numFmtId="0" fontId="4" fillId="0" borderId="51" xfId="1" applyFont="1" applyBorder="1"/>
    <xf numFmtId="0" fontId="19" fillId="0" borderId="0" xfId="1" applyFont="1" applyBorder="1"/>
    <xf numFmtId="10" fontId="17" fillId="3" borderId="8" xfId="1" applyNumberFormat="1" applyFont="1" applyFill="1" applyBorder="1"/>
    <xf numFmtId="10" fontId="17" fillId="3" borderId="50" xfId="1" applyNumberFormat="1" applyFont="1" applyFill="1" applyBorder="1"/>
    <xf numFmtId="10" fontId="17" fillId="3" borderId="0" xfId="1" applyNumberFormat="1" applyFont="1" applyFill="1" applyBorder="1"/>
    <xf numFmtId="10" fontId="17" fillId="3" borderId="10" xfId="1" applyNumberFormat="1" applyFont="1" applyFill="1" applyBorder="1"/>
    <xf numFmtId="10" fontId="6" fillId="0" borderId="51" xfId="2" applyNumberFormat="1" applyFont="1" applyFill="1" applyBorder="1"/>
    <xf numFmtId="10" fontId="27" fillId="3" borderId="8" xfId="1" applyNumberFormat="1" applyFont="1" applyFill="1" applyBorder="1"/>
    <xf numFmtId="10" fontId="27" fillId="3" borderId="50" xfId="1" applyNumberFormat="1" applyFont="1" applyFill="1" applyBorder="1"/>
    <xf numFmtId="10" fontId="27" fillId="3" borderId="0" xfId="1" applyNumberFormat="1" applyFont="1" applyFill="1" applyBorder="1"/>
    <xf numFmtId="10" fontId="27" fillId="3" borderId="10" xfId="1" applyNumberFormat="1" applyFont="1" applyFill="1" applyBorder="1"/>
    <xf numFmtId="10" fontId="6" fillId="0" borderId="9" xfId="1" applyNumberFormat="1" applyFont="1" applyFill="1" applyBorder="1"/>
    <xf numFmtId="0" fontId="17" fillId="0" borderId="10" xfId="1" applyFont="1" applyFill="1" applyBorder="1" applyAlignment="1" applyProtection="1"/>
    <xf numFmtId="0" fontId="6" fillId="6" borderId="8" xfId="1" applyFont="1" applyFill="1" applyBorder="1"/>
    <xf numFmtId="0" fontId="6" fillId="6" borderId="50" xfId="1" applyFont="1" applyFill="1" applyBorder="1"/>
    <xf numFmtId="0" fontId="6" fillId="6" borderId="10" xfId="1" applyFont="1" applyFill="1" applyBorder="1"/>
    <xf numFmtId="0" fontId="16" fillId="0" borderId="10" xfId="1" applyFont="1" applyFill="1" applyBorder="1" applyAlignment="1" applyProtection="1"/>
    <xf numFmtId="10" fontId="6" fillId="6" borderId="0" xfId="2" applyNumberFormat="1" applyFont="1" applyFill="1" applyBorder="1"/>
    <xf numFmtId="10" fontId="6" fillId="3" borderId="9" xfId="1" applyNumberFormat="1" applyFont="1" applyFill="1" applyBorder="1"/>
    <xf numFmtId="0" fontId="8" fillId="6" borderId="10" xfId="1" applyFont="1" applyFill="1" applyBorder="1" applyAlignment="1" applyProtection="1"/>
    <xf numFmtId="10" fontId="6" fillId="0" borderId="8" xfId="1" applyNumberFormat="1" applyFont="1" applyFill="1" applyBorder="1"/>
    <xf numFmtId="10" fontId="6" fillId="0" borderId="50" xfId="1" applyNumberFormat="1" applyFont="1" applyFill="1" applyBorder="1"/>
    <xf numFmtId="0" fontId="6" fillId="0" borderId="51" xfId="1" applyFont="1" applyBorder="1"/>
    <xf numFmtId="10" fontId="6" fillId="8" borderId="0" xfId="2" applyNumberFormat="1" applyFont="1" applyFill="1" applyBorder="1"/>
    <xf numFmtId="10" fontId="7" fillId="0" borderId="8" xfId="1" applyNumberFormat="1" applyFont="1" applyFill="1" applyBorder="1"/>
    <xf numFmtId="10" fontId="7" fillId="0" borderId="50" xfId="1" applyNumberFormat="1" applyFont="1" applyFill="1" applyBorder="1"/>
    <xf numFmtId="0" fontId="6" fillId="0" borderId="50" xfId="1" applyFont="1" applyBorder="1"/>
    <xf numFmtId="0" fontId="26" fillId="0" borderId="50" xfId="1" applyFont="1" applyFill="1" applyBorder="1"/>
    <xf numFmtId="10" fontId="6" fillId="3" borderId="74" xfId="1" applyNumberFormat="1" applyFont="1" applyFill="1" applyBorder="1"/>
    <xf numFmtId="10" fontId="6" fillId="3" borderId="15" xfId="1" applyNumberFormat="1" applyFont="1" applyFill="1" applyBorder="1"/>
    <xf numFmtId="10" fontId="6" fillId="0" borderId="53" xfId="2" applyNumberFormat="1" applyFont="1" applyFill="1" applyBorder="1"/>
    <xf numFmtId="10" fontId="6" fillId="0" borderId="45" xfId="2" applyNumberFormat="1" applyFont="1" applyFill="1" applyBorder="1"/>
    <xf numFmtId="10" fontId="6" fillId="0" borderId="54" xfId="2" applyNumberFormat="1" applyFont="1" applyFill="1" applyBorder="1"/>
    <xf numFmtId="0" fontId="11" fillId="9" borderId="74" xfId="1" applyFont="1" applyFill="1" applyBorder="1" applyAlignment="1">
      <alignment horizontal="center"/>
    </xf>
    <xf numFmtId="0" fontId="11" fillId="9" borderId="56" xfId="1" applyFont="1" applyFill="1" applyBorder="1" applyAlignment="1">
      <alignment horizontal="center"/>
    </xf>
    <xf numFmtId="0" fontId="11" fillId="9" borderId="45" xfId="1" applyFont="1" applyFill="1" applyBorder="1" applyAlignment="1">
      <alignment horizontal="center"/>
    </xf>
    <xf numFmtId="0" fontId="11" fillId="9" borderId="10" xfId="1" applyFont="1" applyFill="1" applyBorder="1" applyAlignment="1">
      <alignment horizontal="center"/>
    </xf>
    <xf numFmtId="14" fontId="10" fillId="4" borderId="9" xfId="1" applyNumberFormat="1" applyFont="1" applyFill="1" applyBorder="1" applyAlignment="1">
      <alignment horizontal="center" wrapText="1"/>
    </xf>
    <xf numFmtId="0" fontId="10" fillId="5" borderId="14" xfId="1" applyFont="1" applyFill="1" applyBorder="1" applyAlignment="1">
      <alignment horizontal="center"/>
    </xf>
    <xf numFmtId="0" fontId="10" fillId="5" borderId="75" xfId="1" applyFont="1" applyFill="1" applyBorder="1" applyAlignment="1">
      <alignment horizontal="center"/>
    </xf>
    <xf numFmtId="0" fontId="10" fillId="5" borderId="65" xfId="1" applyFont="1" applyFill="1" applyBorder="1" applyAlignment="1">
      <alignment horizontal="center"/>
    </xf>
    <xf numFmtId="0" fontId="10" fillId="5" borderId="66" xfId="1" applyFont="1" applyFill="1" applyBorder="1" applyAlignment="1">
      <alignment horizontal="center"/>
    </xf>
    <xf numFmtId="0" fontId="10" fillId="5" borderId="16" xfId="1" applyFont="1" applyFill="1" applyBorder="1" applyAlignment="1">
      <alignment horizontal="center"/>
    </xf>
    <xf numFmtId="14" fontId="10" fillId="4" borderId="15" xfId="1" applyNumberFormat="1" applyFont="1" applyFill="1" applyBorder="1" applyAlignment="1">
      <alignment horizontal="center" wrapText="1"/>
    </xf>
    <xf numFmtId="10" fontId="4" fillId="0" borderId="0" xfId="1" applyNumberFormat="1" applyFont="1"/>
    <xf numFmtId="10" fontId="7" fillId="3" borderId="76" xfId="1" applyNumberFormat="1" applyFont="1" applyFill="1" applyBorder="1"/>
    <xf numFmtId="10" fontId="6" fillId="0" borderId="32" xfId="1" applyNumberFormat="1" applyFont="1" applyFill="1" applyBorder="1"/>
    <xf numFmtId="10" fontId="6" fillId="0" borderId="35" xfId="1" applyNumberFormat="1" applyFont="1" applyFill="1" applyBorder="1"/>
    <xf numFmtId="10" fontId="6" fillId="0" borderId="36" xfId="2" applyNumberFormat="1" applyFont="1" applyFill="1" applyBorder="1"/>
    <xf numFmtId="0" fontId="10" fillId="4" borderId="50" xfId="1" applyFont="1" applyFill="1" applyBorder="1" applyAlignment="1">
      <alignment horizontal="center"/>
    </xf>
    <xf numFmtId="0" fontId="10" fillId="0" borderId="10" xfId="1" applyFont="1" applyFill="1" applyBorder="1" applyAlignment="1">
      <alignment horizontal="center" wrapText="1"/>
    </xf>
    <xf numFmtId="0" fontId="10" fillId="4" borderId="9" xfId="1" applyFont="1" applyFill="1" applyBorder="1" applyAlignment="1">
      <alignment horizontal="center"/>
    </xf>
    <xf numFmtId="0" fontId="11" fillId="4" borderId="9" xfId="1" applyFont="1" applyFill="1" applyBorder="1" applyAlignment="1">
      <alignment horizontal="center"/>
    </xf>
    <xf numFmtId="0" fontId="10" fillId="4" borderId="56" xfId="1" applyFont="1" applyFill="1" applyBorder="1" applyAlignment="1">
      <alignment horizontal="center"/>
    </xf>
    <xf numFmtId="0" fontId="10" fillId="4" borderId="45" xfId="1" applyFont="1" applyFill="1" applyBorder="1" applyAlignment="1">
      <alignment horizontal="center"/>
    </xf>
    <xf numFmtId="0" fontId="10" fillId="4" borderId="15" xfId="1" applyFont="1" applyFill="1" applyBorder="1" applyAlignment="1">
      <alignment horizontal="center"/>
    </xf>
    <xf numFmtId="0" fontId="11" fillId="4" borderId="15" xfId="1" applyFont="1" applyFill="1" applyBorder="1" applyAlignment="1">
      <alignment horizontal="center"/>
    </xf>
    <xf numFmtId="0" fontId="10" fillId="5" borderId="0" xfId="1" applyFont="1" applyFill="1" applyBorder="1" applyAlignment="1">
      <alignment horizontal="center"/>
    </xf>
    <xf numFmtId="0" fontId="10" fillId="5" borderId="77" xfId="1" applyFont="1" applyFill="1" applyBorder="1" applyAlignment="1">
      <alignment horizontal="center"/>
    </xf>
    <xf numFmtId="0" fontId="10" fillId="5" borderId="78" xfId="1" applyFont="1" applyFill="1" applyBorder="1" applyAlignment="1">
      <alignment horizontal="center"/>
    </xf>
    <xf numFmtId="0" fontId="10" fillId="5" borderId="79" xfId="1" applyFont="1" applyFill="1" applyBorder="1" applyAlignment="1">
      <alignment horizontal="center"/>
    </xf>
    <xf numFmtId="37" fontId="18" fillId="7" borderId="14" xfId="1" applyNumberFormat="1" applyFont="1" applyFill="1" applyBorder="1"/>
    <xf numFmtId="0" fontId="18" fillId="7" borderId="17" xfId="1" applyFont="1" applyFill="1" applyBorder="1"/>
    <xf numFmtId="37" fontId="18" fillId="7" borderId="17" xfId="1" applyNumberFormat="1" applyFont="1" applyFill="1" applyBorder="1"/>
    <xf numFmtId="0" fontId="8" fillId="3" borderId="16" xfId="1" applyFont="1" applyFill="1" applyBorder="1"/>
    <xf numFmtId="44" fontId="4" fillId="0" borderId="0" xfId="3" applyFont="1"/>
    <xf numFmtId="165" fontId="4" fillId="0" borderId="0" xfId="3" applyNumberFormat="1" applyFont="1"/>
    <xf numFmtId="0" fontId="4" fillId="0" borderId="0" xfId="1" applyFont="1" applyAlignment="1">
      <alignment horizontal="center" vertical="center"/>
    </xf>
    <xf numFmtId="2" fontId="4" fillId="0" borderId="4" xfId="1" applyNumberFormat="1" applyFont="1" applyBorder="1" applyAlignment="1">
      <alignment horizontal="center" vertical="center"/>
    </xf>
    <xf numFmtId="2" fontId="4" fillId="0" borderId="5" xfId="1" applyNumberFormat="1" applyFont="1" applyBorder="1" applyAlignment="1">
      <alignment horizontal="center" vertical="center"/>
    </xf>
    <xf numFmtId="0" fontId="4" fillId="0" borderId="30" xfId="1" applyFont="1" applyBorder="1" applyAlignment="1">
      <alignment horizontal="left" vertical="center"/>
    </xf>
    <xf numFmtId="10" fontId="4" fillId="0" borderId="8" xfId="1" applyNumberFormat="1" applyFont="1" applyBorder="1" applyAlignment="1">
      <alignment horizontal="center" vertical="center"/>
    </xf>
    <xf numFmtId="10" fontId="4" fillId="0" borderId="0" xfId="1" applyNumberFormat="1" applyFont="1" applyBorder="1" applyAlignment="1">
      <alignment horizontal="center" vertical="center"/>
    </xf>
    <xf numFmtId="0" fontId="4" fillId="0" borderId="9" xfId="1" applyFont="1" applyBorder="1" applyAlignment="1">
      <alignment horizontal="left" vertical="center"/>
    </xf>
    <xf numFmtId="0" fontId="30" fillId="0" borderId="34" xfId="1" applyFont="1" applyBorder="1" applyAlignment="1">
      <alignment horizontal="center" vertical="center"/>
    </xf>
    <xf numFmtId="0" fontId="30" fillId="0" borderId="36" xfId="1" applyFont="1" applyBorder="1" applyAlignment="1">
      <alignment horizontal="center" vertical="center"/>
    </xf>
    <xf numFmtId="0" fontId="30" fillId="0" borderId="32" xfId="1" applyFont="1" applyBorder="1" applyAlignment="1">
      <alignment horizontal="center" vertical="center"/>
    </xf>
  </cellXfs>
  <cellStyles count="4">
    <cellStyle name="Currency 2" xfId="3" xr:uid="{7860E255-80EC-4864-B806-4732C461A80E}"/>
    <cellStyle name="Normal" xfId="0" builtinId="0"/>
    <cellStyle name="Normal 2" xfId="1" xr:uid="{4436F005-BBC6-48E8-9F81-FEDDF1B3A96E}"/>
    <cellStyle name="Percent 2" xfId="2" xr:uid="{FFCFA527-E42A-4619-ABAD-4BDA6EA412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Projected</a:t>
            </a:r>
            <a:r>
              <a:rPr lang="en-US" baseline="0"/>
              <a:t> Key Financials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Graph!$E$2</c:f>
              <c:strCache>
                <c:ptCount val="1"/>
                <c:pt idx="0">
                  <c:v>Revenue ($M)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Graph!$F$1:$L$1</c:f>
              <c:strCache>
                <c:ptCount val="7"/>
                <c:pt idx="0">
                  <c:v>2022</c:v>
                </c:pt>
                <c:pt idx="1">
                  <c:v>2023</c:v>
                </c:pt>
                <c:pt idx="2">
                  <c:v>Forecast 1</c:v>
                </c:pt>
                <c:pt idx="3">
                  <c:v>Forecast 2</c:v>
                </c:pt>
                <c:pt idx="4">
                  <c:v>Forecast 3</c:v>
                </c:pt>
                <c:pt idx="5">
                  <c:v>Forecast 4</c:v>
                </c:pt>
                <c:pt idx="6">
                  <c:v>Forecast 5</c:v>
                </c:pt>
              </c:strCache>
            </c:strRef>
          </c:cat>
          <c:val>
            <c:numRef>
              <c:f>Graph!$F$2:$L$2</c:f>
              <c:numCache>
                <c:formatCode>_("$"* #,##0_);_("$"* \(#,##0\);_("$"* "-"??_);_(@_)</c:formatCode>
                <c:ptCount val="7"/>
                <c:pt idx="0">
                  <c:v>226954</c:v>
                </c:pt>
                <c:pt idx="1">
                  <c:v>242290</c:v>
                </c:pt>
                <c:pt idx="2">
                  <c:v>258662.3020523983</c:v>
                </c:pt>
                <c:pt idx="3">
                  <c:v>277515.55647817237</c:v>
                </c:pt>
                <c:pt idx="4">
                  <c:v>299217.79497287626</c:v>
                </c:pt>
                <c:pt idx="5">
                  <c:v>324207.33986348624</c:v>
                </c:pt>
                <c:pt idx="6">
                  <c:v>353006.87147612247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15-4F69-8973-4422E69C5589}"/>
            </c:ext>
          </c:extLst>
        </c:ser>
        <c:ser>
          <c:idx val="1"/>
          <c:order val="1"/>
          <c:tx>
            <c:strRef>
              <c:f>Graph!$E$3</c:f>
              <c:strCache>
                <c:ptCount val="1"/>
                <c:pt idx="0">
                  <c:v>EBIT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Graph!$F$1:$L$1</c:f>
              <c:strCache>
                <c:ptCount val="7"/>
                <c:pt idx="0">
                  <c:v>2022</c:v>
                </c:pt>
                <c:pt idx="1">
                  <c:v>2023</c:v>
                </c:pt>
                <c:pt idx="2">
                  <c:v>Forecast 1</c:v>
                </c:pt>
                <c:pt idx="3">
                  <c:v>Forecast 2</c:v>
                </c:pt>
                <c:pt idx="4">
                  <c:v>Forecast 3</c:v>
                </c:pt>
                <c:pt idx="5">
                  <c:v>Forecast 4</c:v>
                </c:pt>
                <c:pt idx="6">
                  <c:v>Forecast 5</c:v>
                </c:pt>
              </c:strCache>
            </c:strRef>
          </c:cat>
          <c:val>
            <c:numRef>
              <c:f>Graph!$F$3:$L$3</c:f>
              <c:numCache>
                <c:formatCode>_("$"* #,##0_);_("$"* \(#,##0\);_("$"* "-"??_);_(@_)</c:formatCode>
                <c:ptCount val="7"/>
                <c:pt idx="0">
                  <c:v>7793</c:v>
                </c:pt>
                <c:pt idx="1">
                  <c:v>8114</c:v>
                </c:pt>
                <c:pt idx="2">
                  <c:v>8662.2886576134479</c:v>
                </c:pt>
                <c:pt idx="3">
                  <c:v>9237.2682403489707</c:v>
                </c:pt>
                <c:pt idx="4">
                  <c:v>9898.0139700584332</c:v>
                </c:pt>
                <c:pt idx="5">
                  <c:v>10656.994570501354</c:v>
                </c:pt>
                <c:pt idx="6">
                  <c:v>11529.016103117572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15-4F69-8973-4422E69C5589}"/>
            </c:ext>
          </c:extLst>
        </c:ser>
        <c:ser>
          <c:idx val="2"/>
          <c:order val="2"/>
          <c:tx>
            <c:strRef>
              <c:f>Graph!$E$4</c:f>
              <c:strCache>
                <c:ptCount val="1"/>
                <c:pt idx="0">
                  <c:v>Net Income 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Graph!$F$1:$L$1</c:f>
              <c:strCache>
                <c:ptCount val="7"/>
                <c:pt idx="0">
                  <c:v>2022</c:v>
                </c:pt>
                <c:pt idx="1">
                  <c:v>2023</c:v>
                </c:pt>
                <c:pt idx="2">
                  <c:v>Forecast 1</c:v>
                </c:pt>
                <c:pt idx="3">
                  <c:v>Forecast 2</c:v>
                </c:pt>
                <c:pt idx="4">
                  <c:v>Forecast 3</c:v>
                </c:pt>
                <c:pt idx="5">
                  <c:v>Forecast 4</c:v>
                </c:pt>
                <c:pt idx="6">
                  <c:v>Forecast 5</c:v>
                </c:pt>
              </c:strCache>
            </c:strRef>
          </c:cat>
          <c:val>
            <c:numRef>
              <c:f>Graph!$F$4:$L$4</c:f>
              <c:numCache>
                <c:formatCode>_("$"* #,##0_);_("$"* \(#,##0\);_("$"* "-"??_);_(@_)</c:formatCode>
                <c:ptCount val="7"/>
                <c:pt idx="0">
                  <c:v>5844</c:v>
                </c:pt>
                <c:pt idx="1">
                  <c:v>6292</c:v>
                </c:pt>
                <c:pt idx="2">
                  <c:v>6729.2101207574669</c:v>
                </c:pt>
                <c:pt idx="3">
                  <c:v>7135.8588358634242</c:v>
                </c:pt>
                <c:pt idx="4">
                  <c:v>7556.4908910048534</c:v>
                </c:pt>
                <c:pt idx="5">
                  <c:v>8004.6368234097781</c:v>
                </c:pt>
                <c:pt idx="6">
                  <c:v>8482.4178978291329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615-4F69-8973-4422E69C55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117568"/>
        <c:axId val="32118048"/>
      </c:lineChart>
      <c:catAx>
        <c:axId val="321175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bg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>
                    <a:solidFill>
                      <a:schemeClr val="bg1"/>
                    </a:solidFill>
                  </a:rPr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bg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2118048"/>
        <c:crosses val="autoZero"/>
        <c:auto val="1"/>
        <c:lblAlgn val="ctr"/>
        <c:lblOffset val="100"/>
        <c:noMultiLvlLbl val="0"/>
      </c:catAx>
      <c:valAx>
        <c:axId val="32118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bg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>
                    <a:solidFill>
                      <a:schemeClr val="bg1"/>
                    </a:solidFill>
                  </a:rPr>
                  <a:t>Value  (SM)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bg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2117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bg1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Additional Funds Needed (AFN)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bg1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Graph!$E$6</c:f>
              <c:strCache>
                <c:ptCount val="1"/>
                <c:pt idx="0">
                  <c:v>Total Assets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Graph!$F$5:$L$5</c:f>
              <c:strCache>
                <c:ptCount val="7"/>
                <c:pt idx="0">
                  <c:v>2022</c:v>
                </c:pt>
                <c:pt idx="1">
                  <c:v>2023</c:v>
                </c:pt>
                <c:pt idx="2">
                  <c:v>Forecast 1</c:v>
                </c:pt>
                <c:pt idx="3">
                  <c:v>Forecast 2</c:v>
                </c:pt>
                <c:pt idx="4">
                  <c:v>Forecast 3</c:v>
                </c:pt>
                <c:pt idx="5">
                  <c:v>Forecast 4</c:v>
                </c:pt>
                <c:pt idx="6">
                  <c:v>Forecast 5</c:v>
                </c:pt>
              </c:strCache>
            </c:strRef>
          </c:cat>
          <c:val>
            <c:numRef>
              <c:f>Graph!$F$6:$L$6</c:f>
              <c:numCache>
                <c:formatCode>_("$"* #,##0_);_("$"* \(#,##0\);_("$"* "-"??_);_(@_)</c:formatCode>
                <c:ptCount val="7"/>
                <c:pt idx="0">
                  <c:v>64166</c:v>
                </c:pt>
                <c:pt idx="1">
                  <c:v>68994</c:v>
                </c:pt>
                <c:pt idx="2">
                  <c:v>73494.440335927109</c:v>
                </c:pt>
                <c:pt idx="3">
                  <c:v>79294.756721934478</c:v>
                </c:pt>
                <c:pt idx="4">
                  <c:v>85974.848887446627</c:v>
                </c:pt>
                <c:pt idx="5">
                  <c:v>93677.161740400916</c:v>
                </c:pt>
                <c:pt idx="6">
                  <c:v>102571.98377140879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52-460A-972E-1DB15A7C1FC1}"/>
            </c:ext>
          </c:extLst>
        </c:ser>
        <c:ser>
          <c:idx val="1"/>
          <c:order val="1"/>
          <c:tx>
            <c:strRef>
              <c:f>Graph!$E$7</c:f>
              <c:strCache>
                <c:ptCount val="1"/>
                <c:pt idx="0">
                  <c:v>Total Liabilities &amp; Equity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Graph!$F$5:$L$5</c:f>
              <c:strCache>
                <c:ptCount val="7"/>
                <c:pt idx="0">
                  <c:v>2022</c:v>
                </c:pt>
                <c:pt idx="1">
                  <c:v>2023</c:v>
                </c:pt>
                <c:pt idx="2">
                  <c:v>Forecast 1</c:v>
                </c:pt>
                <c:pt idx="3">
                  <c:v>Forecast 2</c:v>
                </c:pt>
                <c:pt idx="4">
                  <c:v>Forecast 3</c:v>
                </c:pt>
                <c:pt idx="5">
                  <c:v>Forecast 4</c:v>
                </c:pt>
                <c:pt idx="6">
                  <c:v>Forecast 5</c:v>
                </c:pt>
              </c:strCache>
            </c:strRef>
          </c:cat>
          <c:val>
            <c:numRef>
              <c:f>Graph!$F$7:$L$7</c:f>
              <c:numCache>
                <c:formatCode>_("$"* #,##0_);_("$"* \(#,##0\);_("$"* "-"??_);_(@_)</c:formatCode>
                <c:ptCount val="7"/>
                <c:pt idx="0">
                  <c:v>64166</c:v>
                </c:pt>
                <c:pt idx="1">
                  <c:v>68994</c:v>
                </c:pt>
                <c:pt idx="2">
                  <c:v>76557.96225953399</c:v>
                </c:pt>
                <c:pt idx="3">
                  <c:v>84485.097927337891</c:v>
                </c:pt>
                <c:pt idx="4">
                  <c:v>92547.066674588132</c:v>
                </c:pt>
                <c:pt idx="5">
                  <c:v>100761.48596627501</c:v>
                </c:pt>
                <c:pt idx="6">
                  <c:v>109153.76494599493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052-460A-972E-1DB15A7C1FC1}"/>
            </c:ext>
          </c:extLst>
        </c:ser>
        <c:ser>
          <c:idx val="2"/>
          <c:order val="2"/>
          <c:tx>
            <c:strRef>
              <c:f>Graph!$E$8</c:f>
              <c:strCache>
                <c:ptCount val="1"/>
                <c:pt idx="0">
                  <c:v>Additional Funs Needed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052-460A-972E-1DB15A7C1FC1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052-460A-972E-1DB15A7C1FC1}"/>
                </c:ext>
              </c:extLst>
            </c:dLbl>
            <c:dLbl>
              <c:idx val="2"/>
              <c:layout>
                <c:manualLayout>
                  <c:x val="-6.3735656981901798E-2"/>
                  <c:y val="-9.128893150011517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4052-460A-972E-1DB15A7C1FC1}"/>
                </c:ext>
              </c:extLst>
            </c:dLbl>
            <c:dLbl>
              <c:idx val="3"/>
              <c:layout>
                <c:manualLayout>
                  <c:x val="-6.1283817764636948E-2"/>
                  <c:y val="-7.404224894024567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4052-460A-972E-1DB15A7C1FC1}"/>
                </c:ext>
              </c:extLst>
            </c:dLbl>
            <c:dLbl>
              <c:idx val="4"/>
              <c:layout>
                <c:manualLayout>
                  <c:x val="-6.1283817764637039E-2"/>
                  <c:y val="-7.404224894024576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4052-460A-972E-1DB15A7C1FC1}"/>
                </c:ext>
              </c:extLst>
            </c:dLbl>
            <c:dLbl>
              <c:idx val="5"/>
              <c:layout>
                <c:manualLayout>
                  <c:x val="-6.1283817764637039E-2"/>
                  <c:y val="-7.404224894024567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4052-460A-972E-1DB15A7C1FC1}"/>
                </c:ext>
              </c:extLst>
            </c:dLbl>
            <c:dLbl>
              <c:idx val="6"/>
              <c:layout>
                <c:manualLayout>
                  <c:x val="-3.9495847800632651E-2"/>
                  <c:y val="-7.404224894024576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4052-460A-972E-1DB15A7C1FC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Graph!$F$5:$L$5</c:f>
              <c:strCache>
                <c:ptCount val="7"/>
                <c:pt idx="0">
                  <c:v>2022</c:v>
                </c:pt>
                <c:pt idx="1">
                  <c:v>2023</c:v>
                </c:pt>
                <c:pt idx="2">
                  <c:v>Forecast 1</c:v>
                </c:pt>
                <c:pt idx="3">
                  <c:v>Forecast 2</c:v>
                </c:pt>
                <c:pt idx="4">
                  <c:v>Forecast 3</c:v>
                </c:pt>
                <c:pt idx="5">
                  <c:v>Forecast 4</c:v>
                </c:pt>
                <c:pt idx="6">
                  <c:v>Forecast 5</c:v>
                </c:pt>
              </c:strCache>
            </c:strRef>
          </c:cat>
          <c:val>
            <c:numRef>
              <c:f>Graph!$F$8:$L$8</c:f>
              <c:numCache>
                <c:formatCode>_("$"* #,##0_);_("$"* \(#,##0\);_("$"* "-"??_);_(@_)</c:formatCode>
                <c:ptCount val="7"/>
                <c:pt idx="0">
                  <c:v>0</c:v>
                </c:pt>
                <c:pt idx="1">
                  <c:v>0</c:v>
                </c:pt>
                <c:pt idx="2">
                  <c:v>-3063.5219236068806</c:v>
                </c:pt>
                <c:pt idx="3">
                  <c:v>-5190.3412054034125</c:v>
                </c:pt>
                <c:pt idx="4">
                  <c:v>-6572.2177871415042</c:v>
                </c:pt>
                <c:pt idx="5">
                  <c:v>-7084.3242258740938</c:v>
                </c:pt>
                <c:pt idx="6">
                  <c:v>-6581.78117458614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052-460A-972E-1DB15A7C1F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5308208"/>
        <c:axId val="565307248"/>
      </c:lineChart>
      <c:catAx>
        <c:axId val="5653082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bg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bg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65307248"/>
        <c:crosses val="autoZero"/>
        <c:auto val="1"/>
        <c:lblAlgn val="ctr"/>
        <c:lblOffset val="100"/>
        <c:noMultiLvlLbl val="0"/>
      </c:catAx>
      <c:valAx>
        <c:axId val="565307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bg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800" b="1" i="0" u="none" strike="noStrike" kern="1200" cap="all" baseline="0">
                    <a:solidFill>
                      <a:sysClr val="window" lastClr="FFFFF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Value  (SM)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bg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65308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>
          <a:solidFill>
            <a:schemeClr val="bg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919454</xdr:colOff>
      <xdr:row>208</xdr:row>
      <xdr:rowOff>11544</xdr:rowOff>
    </xdr:from>
    <xdr:to>
      <xdr:col>22</xdr:col>
      <xdr:colOff>1324913</xdr:colOff>
      <xdr:row>215</xdr:row>
      <xdr:rowOff>80818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CA9D1AC-37F8-401F-B7B8-8D9AC784D59D}"/>
            </a:ext>
          </a:extLst>
        </xdr:cNvPr>
        <xdr:cNvSpPr txBox="1"/>
      </xdr:nvSpPr>
      <xdr:spPr>
        <a:xfrm rot="16200000">
          <a:off x="12979509" y="34290614"/>
          <a:ext cx="1202749" cy="54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>
              <a:solidFill>
                <a:srgbClr val="006C93"/>
              </a:solidFill>
            </a:rPr>
            <a:t>Horizon growth rate</a:t>
          </a:r>
        </a:p>
      </xdr:txBody>
    </xdr:sp>
    <xdr:clientData/>
  </xdr:twoCellAnchor>
  <xdr:twoCellAnchor>
    <xdr:from>
      <xdr:col>23</xdr:col>
      <xdr:colOff>50222</xdr:colOff>
      <xdr:row>204</xdr:row>
      <xdr:rowOff>184727</xdr:rowOff>
    </xdr:from>
    <xdr:to>
      <xdr:col>29</xdr:col>
      <xdr:colOff>590550</xdr:colOff>
      <xdr:row>206</xdr:row>
      <xdr:rowOff>54985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1DAEB7B-37B8-4453-AAFC-01E41C4DEE83}"/>
            </a:ext>
          </a:extLst>
        </xdr:cNvPr>
        <xdr:cNvSpPr txBox="1"/>
      </xdr:nvSpPr>
      <xdr:spPr>
        <a:xfrm>
          <a:off x="13632872" y="33198377"/>
          <a:ext cx="4083628" cy="2131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200">
              <a:solidFill>
                <a:srgbClr val="006C93"/>
              </a:solidFill>
            </a:rPr>
            <a:t>WACC</a:t>
          </a:r>
        </a:p>
      </xdr:txBody>
    </xdr:sp>
    <xdr:clientData/>
  </xdr:twoCellAnchor>
  <xdr:twoCellAnchor>
    <xdr:from>
      <xdr:col>23</xdr:col>
      <xdr:colOff>4874</xdr:colOff>
      <xdr:row>202</xdr:row>
      <xdr:rowOff>182034</xdr:rowOff>
    </xdr:from>
    <xdr:to>
      <xdr:col>30</xdr:col>
      <xdr:colOff>39511</xdr:colOff>
      <xdr:row>204</xdr:row>
      <xdr:rowOff>182034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B42C3D9-0BBF-430F-B134-E00F53E0BBF1}"/>
            </a:ext>
          </a:extLst>
        </xdr:cNvPr>
        <xdr:cNvSpPr txBox="1"/>
      </xdr:nvSpPr>
      <xdr:spPr>
        <a:xfrm>
          <a:off x="13587524" y="32871834"/>
          <a:ext cx="4168487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1">
              <a:solidFill>
                <a:srgbClr val="006C93"/>
              </a:solidFill>
            </a:rPr>
            <a:t>STOCK</a:t>
          </a:r>
          <a:r>
            <a:rPr lang="en-US" sz="1400" b="1" baseline="0">
              <a:solidFill>
                <a:srgbClr val="006C93"/>
              </a:solidFill>
            </a:rPr>
            <a:t> PRICE SENSITIVITY TABLE</a:t>
          </a:r>
          <a:endParaRPr lang="en-US" sz="1400" b="1">
            <a:solidFill>
              <a:srgbClr val="006C93"/>
            </a:solidFill>
          </a:endParaRPr>
        </a:p>
      </xdr:txBody>
    </xdr:sp>
    <xdr:clientData/>
  </xdr:twoCellAnchor>
  <xdr:twoCellAnchor>
    <xdr:from>
      <xdr:col>21</xdr:col>
      <xdr:colOff>0</xdr:colOff>
      <xdr:row>207</xdr:row>
      <xdr:rowOff>197024</xdr:rowOff>
    </xdr:from>
    <xdr:to>
      <xdr:col>21</xdr:col>
      <xdr:colOff>282222</xdr:colOff>
      <xdr:row>215</xdr:row>
      <xdr:rowOff>68213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997DD42-D693-4BA0-A620-EA4A2EC8CE14}"/>
            </a:ext>
          </a:extLst>
        </xdr:cNvPr>
        <xdr:cNvSpPr txBox="1"/>
      </xdr:nvSpPr>
      <xdr:spPr>
        <a:xfrm rot="16200000">
          <a:off x="11940316" y="34138633"/>
          <a:ext cx="1204689" cy="2822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>
              <a:solidFill>
                <a:srgbClr val="006C93"/>
              </a:solidFill>
            </a:rPr>
            <a:t>Horizon growth rate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99786</xdr:colOff>
      <xdr:row>8</xdr:row>
      <xdr:rowOff>145142</xdr:rowOff>
    </xdr:from>
    <xdr:to>
      <xdr:col>7</xdr:col>
      <xdr:colOff>635000</xdr:colOff>
      <xdr:row>27</xdr:row>
      <xdr:rowOff>33564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BE7335-AEDB-4433-BFDA-2486A45818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399143</xdr:colOff>
      <xdr:row>9</xdr:row>
      <xdr:rowOff>2720</xdr:rowOff>
    </xdr:from>
    <xdr:to>
      <xdr:col>16</xdr:col>
      <xdr:colOff>72572</xdr:colOff>
      <xdr:row>27</xdr:row>
      <xdr:rowOff>9071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06EF8D0-F85F-4391-B4B0-23CCEDDD4F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C38D3-C699-4FFA-9EED-5E727B173271}">
  <sheetPr>
    <outlinePr summaryBelow="0" summaryRight="0"/>
  </sheetPr>
  <dimension ref="A1:XX1000"/>
  <sheetViews>
    <sheetView topLeftCell="D81" workbookViewId="0">
      <selection activeCell="M105" sqref="M105"/>
    </sheetView>
  </sheetViews>
  <sheetFormatPr defaultColWidth="7.75" defaultRowHeight="12.75" x14ac:dyDescent="0.2"/>
  <cols>
    <col min="1" max="1" width="52" style="1" customWidth="1"/>
    <col min="2" max="2" width="18.25" style="1" customWidth="1"/>
    <col min="3" max="3" width="23.625" style="1" customWidth="1"/>
    <col min="4" max="4" width="21" style="1" customWidth="1"/>
    <col min="5" max="11" width="14.375" style="1" customWidth="1"/>
    <col min="12" max="16384" width="7.75" style="1"/>
  </cols>
  <sheetData>
    <row r="1" spans="1:11" x14ac:dyDescent="0.2">
      <c r="A1" s="6" t="s">
        <v>281</v>
      </c>
      <c r="B1" s="1" t="s">
        <v>280</v>
      </c>
      <c r="C1" s="8" t="s">
        <v>279</v>
      </c>
      <c r="D1" s="8" t="s">
        <v>278</v>
      </c>
    </row>
    <row r="2" spans="1:11" x14ac:dyDescent="0.2">
      <c r="A2" s="6" t="s">
        <v>277</v>
      </c>
    </row>
    <row r="3" spans="1:11" x14ac:dyDescent="0.2">
      <c r="A3" s="6"/>
      <c r="B3" s="6">
        <v>2014</v>
      </c>
      <c r="C3" s="6">
        <v>2015</v>
      </c>
      <c r="D3" s="6">
        <v>2016</v>
      </c>
      <c r="E3" s="6">
        <v>2017</v>
      </c>
      <c r="F3" s="6">
        <v>2018</v>
      </c>
      <c r="G3" s="6">
        <v>2019</v>
      </c>
      <c r="H3" s="6">
        <v>2020</v>
      </c>
      <c r="I3" s="6">
        <v>2021</v>
      </c>
      <c r="J3" s="6">
        <v>2022</v>
      </c>
      <c r="K3" s="6">
        <v>2023</v>
      </c>
    </row>
    <row r="4" spans="1:11" x14ac:dyDescent="0.2">
      <c r="A4" s="6"/>
    </row>
    <row r="5" spans="1:11" x14ac:dyDescent="0.2">
      <c r="A5" s="7" t="s">
        <v>276</v>
      </c>
    </row>
    <row r="6" spans="1:11" x14ac:dyDescent="0.2">
      <c r="A6" s="6" t="s">
        <v>275</v>
      </c>
    </row>
    <row r="7" spans="1:11" x14ac:dyDescent="0.2">
      <c r="A7" s="4" t="s">
        <v>274</v>
      </c>
      <c r="B7" s="3">
        <v>7315</v>
      </c>
      <c r="C7" s="3">
        <v>6419</v>
      </c>
      <c r="D7" s="3">
        <v>4729</v>
      </c>
      <c r="E7" s="3">
        <v>5779</v>
      </c>
      <c r="F7" s="3">
        <v>7259</v>
      </c>
      <c r="G7" s="3">
        <v>9444</v>
      </c>
      <c r="H7" s="3">
        <v>13305</v>
      </c>
      <c r="I7" s="3">
        <v>12175</v>
      </c>
      <c r="J7" s="3">
        <v>11049</v>
      </c>
      <c r="K7" s="3">
        <v>15234</v>
      </c>
    </row>
    <row r="8" spans="1:11" x14ac:dyDescent="0.2">
      <c r="A8" s="4" t="s">
        <v>273</v>
      </c>
      <c r="B8" s="3">
        <v>5738</v>
      </c>
      <c r="C8" s="3">
        <v>4801</v>
      </c>
      <c r="D8" s="3">
        <v>3379</v>
      </c>
      <c r="E8" s="3">
        <v>4546</v>
      </c>
      <c r="F8" s="3">
        <v>6055</v>
      </c>
      <c r="G8" s="3">
        <v>8384</v>
      </c>
      <c r="H8" s="3">
        <v>12277</v>
      </c>
      <c r="I8" s="3">
        <v>11258</v>
      </c>
      <c r="J8" s="3">
        <v>10203</v>
      </c>
      <c r="K8" s="3">
        <v>13700</v>
      </c>
    </row>
    <row r="9" spans="1:11" x14ac:dyDescent="0.2">
      <c r="A9" s="4" t="s">
        <v>272</v>
      </c>
      <c r="B9" s="3">
        <v>1577</v>
      </c>
      <c r="C9" s="3">
        <v>1618</v>
      </c>
      <c r="D9" s="3">
        <v>1350</v>
      </c>
      <c r="E9" s="3">
        <v>1233</v>
      </c>
      <c r="F9" s="3">
        <v>1204</v>
      </c>
      <c r="G9" s="3">
        <v>1060</v>
      </c>
      <c r="H9" s="3">
        <v>1028</v>
      </c>
      <c r="I9" s="3">
        <v>917</v>
      </c>
      <c r="J9" s="3">
        <v>846</v>
      </c>
      <c r="K9" s="3">
        <v>1534</v>
      </c>
    </row>
    <row r="10" spans="1:11" x14ac:dyDescent="0.2">
      <c r="A10" s="4" t="s">
        <v>271</v>
      </c>
      <c r="B10" s="3">
        <v>1148</v>
      </c>
      <c r="C10" s="3">
        <v>1224</v>
      </c>
      <c r="D10" s="3">
        <v>1252</v>
      </c>
      <c r="E10" s="3">
        <v>1432</v>
      </c>
      <c r="F10" s="3">
        <v>1669</v>
      </c>
      <c r="G10" s="3">
        <v>1535</v>
      </c>
      <c r="H10" s="3">
        <v>1550</v>
      </c>
      <c r="I10" s="3">
        <v>1803</v>
      </c>
      <c r="J10" s="3">
        <v>2241</v>
      </c>
      <c r="K10" s="3">
        <v>2285</v>
      </c>
    </row>
    <row r="11" spans="1:11" x14ac:dyDescent="0.2">
      <c r="A11" s="4" t="s">
        <v>270</v>
      </c>
      <c r="B11" s="3">
        <v>1044</v>
      </c>
      <c r="C11" s="3">
        <v>1105</v>
      </c>
      <c r="D11" s="3">
        <v>1124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</row>
    <row r="12" spans="1:11" x14ac:dyDescent="0.2">
      <c r="A12" s="4" t="s">
        <v>269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</row>
    <row r="13" spans="1:11" x14ac:dyDescent="0.2">
      <c r="A13" s="4" t="s">
        <v>268</v>
      </c>
      <c r="B13" s="3">
        <v>104</v>
      </c>
      <c r="C13" s="3">
        <v>119</v>
      </c>
      <c r="D13" s="3">
        <v>128</v>
      </c>
      <c r="E13" s="3">
        <v>1432</v>
      </c>
      <c r="F13" s="3">
        <v>1669</v>
      </c>
      <c r="G13" s="3">
        <v>1535</v>
      </c>
      <c r="H13" s="3">
        <v>1550</v>
      </c>
      <c r="I13" s="3">
        <v>1803</v>
      </c>
      <c r="J13" s="3">
        <v>2241</v>
      </c>
      <c r="K13" s="3">
        <v>2285</v>
      </c>
    </row>
    <row r="14" spans="1:11" x14ac:dyDescent="0.2">
      <c r="A14" s="4" t="s">
        <v>83</v>
      </c>
      <c r="B14" s="3">
        <v>8456</v>
      </c>
      <c r="C14" s="3">
        <v>8908</v>
      </c>
      <c r="D14" s="3">
        <v>8969</v>
      </c>
      <c r="E14" s="3">
        <v>9834</v>
      </c>
      <c r="F14" s="3">
        <v>11040</v>
      </c>
      <c r="G14" s="3">
        <v>11395</v>
      </c>
      <c r="H14" s="3">
        <v>12242</v>
      </c>
      <c r="I14" s="3">
        <v>14215</v>
      </c>
      <c r="J14" s="3">
        <v>17907</v>
      </c>
      <c r="K14" s="3">
        <v>16651</v>
      </c>
    </row>
    <row r="15" spans="1:11" x14ac:dyDescent="0.2">
      <c r="A15" s="4" t="s">
        <v>267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A16" s="4" t="s">
        <v>266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</row>
    <row r="17" spans="1:11" x14ac:dyDescent="0.2">
      <c r="A17" s="4" t="s">
        <v>265</v>
      </c>
      <c r="B17" s="3">
        <v>8456</v>
      </c>
      <c r="C17" s="3">
        <v>8908</v>
      </c>
      <c r="D17" s="3">
        <v>8969</v>
      </c>
      <c r="E17" s="3">
        <v>9834</v>
      </c>
      <c r="F17" s="3">
        <v>11040</v>
      </c>
      <c r="G17" s="3">
        <v>11395</v>
      </c>
      <c r="H17" s="3">
        <v>12242</v>
      </c>
      <c r="I17" s="3">
        <v>14215</v>
      </c>
      <c r="J17" s="3">
        <v>17907</v>
      </c>
      <c r="K17" s="3">
        <v>16651</v>
      </c>
    </row>
    <row r="18" spans="1:11" x14ac:dyDescent="0.2">
      <c r="A18" s="4" t="s">
        <v>264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1:11" x14ac:dyDescent="0.2">
      <c r="A19" s="4" t="s">
        <v>81</v>
      </c>
      <c r="B19" s="3">
        <v>669</v>
      </c>
      <c r="C19" s="3">
        <v>748</v>
      </c>
      <c r="D19" s="3">
        <v>268</v>
      </c>
      <c r="E19" s="3">
        <v>272</v>
      </c>
      <c r="F19" s="3">
        <v>321</v>
      </c>
      <c r="G19" s="3">
        <v>1111</v>
      </c>
      <c r="H19" s="3">
        <v>1023</v>
      </c>
      <c r="I19" s="3">
        <v>1312</v>
      </c>
      <c r="J19" s="3">
        <v>1499</v>
      </c>
      <c r="K19" s="3">
        <v>1709</v>
      </c>
    </row>
    <row r="20" spans="1:11" x14ac:dyDescent="0.2">
      <c r="A20" s="4" t="s">
        <v>263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1:11" x14ac:dyDescent="0.2">
      <c r="A21" s="4" t="s">
        <v>262</v>
      </c>
      <c r="B21" s="3">
        <v>669</v>
      </c>
      <c r="C21" s="3">
        <v>748</v>
      </c>
      <c r="D21" s="3">
        <v>268</v>
      </c>
      <c r="E21" s="3">
        <v>272</v>
      </c>
      <c r="F21" s="3">
        <v>321</v>
      </c>
      <c r="G21" s="3">
        <v>1111</v>
      </c>
      <c r="H21" s="3">
        <v>1023</v>
      </c>
      <c r="I21" s="3">
        <v>1312</v>
      </c>
      <c r="J21" s="3">
        <v>1499</v>
      </c>
      <c r="K21" s="3">
        <v>1709</v>
      </c>
    </row>
    <row r="22" spans="1:11" x14ac:dyDescent="0.2">
      <c r="A22" s="4" t="s">
        <v>80</v>
      </c>
      <c r="B22" s="3">
        <v>17588</v>
      </c>
      <c r="C22" s="3">
        <v>17299</v>
      </c>
      <c r="D22" s="3">
        <v>15218</v>
      </c>
      <c r="E22" s="3">
        <v>17317</v>
      </c>
      <c r="F22" s="3">
        <v>20289</v>
      </c>
      <c r="G22" s="3">
        <v>23485</v>
      </c>
      <c r="H22" s="3">
        <v>28120</v>
      </c>
      <c r="I22" s="3">
        <v>29505</v>
      </c>
      <c r="J22" s="3">
        <v>32696</v>
      </c>
      <c r="K22" s="3">
        <v>35879</v>
      </c>
    </row>
    <row r="23" spans="1:11" x14ac:dyDescent="0.2">
      <c r="A23" s="4" t="s">
        <v>261</v>
      </c>
      <c r="B23" s="3">
        <v>14830</v>
      </c>
      <c r="C23" s="3">
        <v>15401</v>
      </c>
      <c r="D23" s="3">
        <v>17043</v>
      </c>
      <c r="E23" s="3">
        <v>18161</v>
      </c>
      <c r="F23" s="3">
        <v>19681</v>
      </c>
      <c r="G23" s="3">
        <v>20890</v>
      </c>
      <c r="H23" s="3">
        <v>25187</v>
      </c>
      <c r="I23" s="3">
        <v>27382</v>
      </c>
      <c r="J23" s="3">
        <v>29040</v>
      </c>
      <c r="K23" s="3">
        <v>30722</v>
      </c>
    </row>
    <row r="24" spans="1:11" x14ac:dyDescent="0.2">
      <c r="A24" s="4" t="s">
        <v>260</v>
      </c>
      <c r="B24" s="3">
        <v>22675</v>
      </c>
      <c r="C24" s="3">
        <v>23664</v>
      </c>
      <c r="D24" s="3">
        <v>26167</v>
      </c>
      <c r="E24" s="3">
        <v>28341</v>
      </c>
      <c r="F24" s="3">
        <v>30714</v>
      </c>
      <c r="G24" s="3">
        <v>32626</v>
      </c>
      <c r="H24" s="3">
        <v>38083</v>
      </c>
      <c r="I24" s="3">
        <v>41548</v>
      </c>
      <c r="J24" s="3">
        <v>44326</v>
      </c>
      <c r="K24" s="3">
        <v>47407</v>
      </c>
    </row>
    <row r="25" spans="1:11" x14ac:dyDescent="0.2">
      <c r="A25" s="4" t="s">
        <v>259</v>
      </c>
      <c r="B25" s="3">
        <v>7845</v>
      </c>
      <c r="C25" s="3">
        <v>8263</v>
      </c>
      <c r="D25" s="3">
        <v>9124</v>
      </c>
      <c r="E25" s="3">
        <v>10180</v>
      </c>
      <c r="F25" s="3">
        <v>11033</v>
      </c>
      <c r="G25" s="3">
        <v>11736</v>
      </c>
      <c r="H25" s="3">
        <v>12896</v>
      </c>
      <c r="I25" s="3">
        <v>14166</v>
      </c>
      <c r="J25" s="3">
        <v>15286</v>
      </c>
      <c r="K25" s="3">
        <v>16685</v>
      </c>
    </row>
    <row r="26" spans="1:11" x14ac:dyDescent="0.2">
      <c r="A26" s="4" t="s">
        <v>258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1:11" x14ac:dyDescent="0.2">
      <c r="A27" s="4" t="s">
        <v>257</v>
      </c>
      <c r="B27" s="5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1:11" x14ac:dyDescent="0.2">
      <c r="A28" s="4" t="s">
        <v>74</v>
      </c>
      <c r="B28" s="5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988</v>
      </c>
      <c r="I28" s="3">
        <v>996</v>
      </c>
      <c r="J28" s="3">
        <v>993</v>
      </c>
      <c r="K28" s="3">
        <v>994</v>
      </c>
    </row>
    <row r="29" spans="1:11" x14ac:dyDescent="0.2">
      <c r="A29" s="4" t="s">
        <v>72</v>
      </c>
      <c r="B29" s="3">
        <v>606</v>
      </c>
      <c r="C29" s="3">
        <v>740</v>
      </c>
      <c r="D29" s="3">
        <v>902</v>
      </c>
      <c r="E29" s="3">
        <v>869</v>
      </c>
      <c r="F29" s="3">
        <v>860</v>
      </c>
      <c r="G29" s="3">
        <v>1025</v>
      </c>
      <c r="H29" s="3">
        <v>1261</v>
      </c>
      <c r="I29" s="3">
        <v>1385</v>
      </c>
      <c r="J29" s="3">
        <v>1437</v>
      </c>
      <c r="K29" s="3">
        <v>1399</v>
      </c>
    </row>
    <row r="30" spans="1:11" x14ac:dyDescent="0.2">
      <c r="A30" s="4" t="s">
        <v>256</v>
      </c>
      <c r="B30" s="5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1:11" x14ac:dyDescent="0.2">
      <c r="A31" s="4" t="s">
        <v>255</v>
      </c>
      <c r="B31" s="3">
        <v>606</v>
      </c>
      <c r="C31" s="3">
        <v>740</v>
      </c>
      <c r="D31" s="3">
        <v>902</v>
      </c>
      <c r="E31" s="3">
        <v>869</v>
      </c>
      <c r="F31" s="3">
        <v>860</v>
      </c>
      <c r="G31" s="3">
        <v>1025</v>
      </c>
      <c r="H31" s="3">
        <v>1261</v>
      </c>
      <c r="I31" s="3">
        <v>1385</v>
      </c>
      <c r="J31" s="3">
        <v>1437</v>
      </c>
      <c r="K31" s="3">
        <v>1399</v>
      </c>
    </row>
    <row r="32" spans="1:11" x14ac:dyDescent="0.2">
      <c r="A32" s="4" t="s">
        <v>254</v>
      </c>
      <c r="B32" s="3">
        <v>33024</v>
      </c>
      <c r="C32" s="3">
        <v>33440</v>
      </c>
      <c r="D32" s="3">
        <v>33163</v>
      </c>
      <c r="E32" s="3">
        <v>36347</v>
      </c>
      <c r="F32" s="3">
        <v>40830</v>
      </c>
      <c r="G32" s="3">
        <v>45400</v>
      </c>
      <c r="H32" s="3">
        <v>55556</v>
      </c>
      <c r="I32" s="3">
        <v>59268</v>
      </c>
      <c r="J32" s="3">
        <v>64166</v>
      </c>
      <c r="K32" s="3">
        <v>68994</v>
      </c>
    </row>
    <row r="33" spans="1:11" x14ac:dyDescent="0.2">
      <c r="A33" s="6" t="s">
        <v>253</v>
      </c>
    </row>
    <row r="34" spans="1:11" x14ac:dyDescent="0.2">
      <c r="A34" s="4" t="s">
        <v>252</v>
      </c>
      <c r="B34" s="3">
        <v>7</v>
      </c>
      <c r="C34" s="3">
        <v>1293</v>
      </c>
      <c r="D34" s="3">
        <v>1110</v>
      </c>
      <c r="E34" s="3">
        <v>93</v>
      </c>
      <c r="F34" s="3">
        <v>97</v>
      </c>
      <c r="G34" s="3">
        <v>1725</v>
      </c>
      <c r="H34" s="3">
        <v>357</v>
      </c>
      <c r="I34" s="3">
        <v>1093</v>
      </c>
      <c r="J34" s="3">
        <v>557</v>
      </c>
      <c r="K34" s="3">
        <v>1430</v>
      </c>
    </row>
    <row r="35" spans="1:11" x14ac:dyDescent="0.2">
      <c r="A35" s="4" t="s">
        <v>251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6" spans="1:11" x14ac:dyDescent="0.2">
      <c r="A36" s="4" t="s">
        <v>250</v>
      </c>
      <c r="B36" s="3">
        <v>7</v>
      </c>
      <c r="C36" s="3">
        <v>1293</v>
      </c>
      <c r="D36" s="3">
        <v>1110</v>
      </c>
      <c r="E36" s="3">
        <v>93</v>
      </c>
      <c r="F36" s="3">
        <v>97</v>
      </c>
      <c r="G36" s="3">
        <v>1725</v>
      </c>
      <c r="H36" s="3">
        <v>357</v>
      </c>
      <c r="I36" s="3">
        <v>1093</v>
      </c>
      <c r="J36" s="3">
        <v>557</v>
      </c>
      <c r="K36" s="3">
        <v>1430</v>
      </c>
    </row>
    <row r="37" spans="1:11" x14ac:dyDescent="0.2">
      <c r="A37" s="4" t="s">
        <v>70</v>
      </c>
      <c r="B37" s="3">
        <v>8491</v>
      </c>
      <c r="C37" s="3">
        <v>9011</v>
      </c>
      <c r="D37" s="3">
        <v>7612</v>
      </c>
      <c r="E37" s="3">
        <v>9608</v>
      </c>
      <c r="F37" s="3">
        <v>11237</v>
      </c>
      <c r="G37" s="3">
        <v>11679</v>
      </c>
      <c r="H37" s="3">
        <v>14172</v>
      </c>
      <c r="I37" s="3">
        <v>16278</v>
      </c>
      <c r="J37" s="3">
        <v>17848</v>
      </c>
      <c r="K37" s="3">
        <v>17483</v>
      </c>
    </row>
    <row r="38" spans="1:11" x14ac:dyDescent="0.2">
      <c r="A38" s="4" t="s">
        <v>249</v>
      </c>
      <c r="B38" s="3">
        <v>136</v>
      </c>
      <c r="C38" s="3">
        <v>491</v>
      </c>
      <c r="D38" s="3">
        <v>532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</row>
    <row r="39" spans="1:11" x14ac:dyDescent="0.2">
      <c r="A39" s="4" t="s">
        <v>248</v>
      </c>
      <c r="B39" s="3">
        <v>5778</v>
      </c>
      <c r="C39" s="3">
        <v>5745</v>
      </c>
      <c r="D39" s="3">
        <v>6321</v>
      </c>
      <c r="E39" s="3">
        <v>7794</v>
      </c>
      <c r="F39" s="3">
        <v>8592</v>
      </c>
      <c r="G39" s="3">
        <v>9833</v>
      </c>
      <c r="H39" s="3">
        <v>10315</v>
      </c>
      <c r="I39" s="3">
        <v>12070</v>
      </c>
      <c r="J39" s="3">
        <v>13593</v>
      </c>
      <c r="K39" s="3">
        <v>14670</v>
      </c>
    </row>
    <row r="40" spans="1:11" x14ac:dyDescent="0.2">
      <c r="A40" s="4" t="s">
        <v>247</v>
      </c>
      <c r="B40" s="3">
        <v>3446</v>
      </c>
      <c r="C40" s="3">
        <v>3281</v>
      </c>
      <c r="D40" s="3">
        <v>3498</v>
      </c>
      <c r="E40" s="3">
        <v>3664</v>
      </c>
      <c r="F40" s="3">
        <v>4051</v>
      </c>
      <c r="G40" s="3">
        <v>4356</v>
      </c>
      <c r="H40" s="3">
        <v>4998</v>
      </c>
      <c r="I40" s="3">
        <v>5761</v>
      </c>
      <c r="J40" s="3">
        <v>6292</v>
      </c>
      <c r="K40" s="3">
        <v>6428</v>
      </c>
    </row>
    <row r="41" spans="1:11" x14ac:dyDescent="0.2">
      <c r="A41" s="4" t="s">
        <v>246</v>
      </c>
      <c r="B41" s="3">
        <v>2332</v>
      </c>
      <c r="C41" s="3">
        <v>2464</v>
      </c>
      <c r="D41" s="3">
        <v>2823</v>
      </c>
      <c r="E41" s="3">
        <v>4130</v>
      </c>
      <c r="F41" s="3">
        <v>4541</v>
      </c>
      <c r="G41" s="3">
        <v>5477</v>
      </c>
      <c r="H41" s="3">
        <v>5317</v>
      </c>
      <c r="I41" s="3">
        <v>6309</v>
      </c>
      <c r="J41" s="3">
        <v>7301</v>
      </c>
      <c r="K41" s="3">
        <v>8242</v>
      </c>
    </row>
    <row r="42" spans="1:11" x14ac:dyDescent="0.2">
      <c r="A42" s="4" t="s">
        <v>245</v>
      </c>
      <c r="B42" s="3">
        <v>14412</v>
      </c>
      <c r="C42" s="3">
        <v>16540</v>
      </c>
      <c r="D42" s="3">
        <v>15575</v>
      </c>
      <c r="E42" s="3">
        <v>17495</v>
      </c>
      <c r="F42" s="3">
        <v>19926</v>
      </c>
      <c r="G42" s="3">
        <v>23237</v>
      </c>
      <c r="H42" s="3">
        <v>24844</v>
      </c>
      <c r="I42" s="3">
        <v>29441</v>
      </c>
      <c r="J42" s="3">
        <v>31998</v>
      </c>
      <c r="K42" s="3">
        <v>33583</v>
      </c>
    </row>
    <row r="43" spans="1:11" x14ac:dyDescent="0.2">
      <c r="A43" s="4" t="s">
        <v>244</v>
      </c>
      <c r="B43" s="3">
        <v>5279</v>
      </c>
      <c r="C43" s="3">
        <v>5150</v>
      </c>
      <c r="D43" s="3">
        <v>4425</v>
      </c>
      <c r="E43" s="3">
        <v>6946</v>
      </c>
      <c r="F43" s="3">
        <v>6877</v>
      </c>
      <c r="G43" s="3">
        <v>5519</v>
      </c>
      <c r="H43" s="3">
        <v>10729</v>
      </c>
      <c r="I43" s="3">
        <v>10314</v>
      </c>
      <c r="J43" s="3">
        <v>10349</v>
      </c>
      <c r="K43" s="3">
        <v>9106</v>
      </c>
    </row>
    <row r="44" spans="1:11" x14ac:dyDescent="0.2">
      <c r="A44" s="4" t="s">
        <v>243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1:11" x14ac:dyDescent="0.2">
      <c r="A45" s="4" t="s">
        <v>242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1:11" x14ac:dyDescent="0.2">
      <c r="A46" s="4" t="s">
        <v>241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1:11" x14ac:dyDescent="0.2">
      <c r="A47" s="4" t="s">
        <v>240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1:11" x14ac:dyDescent="0.2">
      <c r="A48" s="4" t="s">
        <v>239</v>
      </c>
      <c r="B48" s="3">
        <v>4596</v>
      </c>
      <c r="C48" s="3">
        <v>4396</v>
      </c>
      <c r="D48" s="3">
        <v>3290</v>
      </c>
      <c r="E48" s="3">
        <v>5957</v>
      </c>
      <c r="F48" s="3">
        <v>5964</v>
      </c>
      <c r="G48" s="3">
        <v>4301</v>
      </c>
      <c r="H48" s="3">
        <v>7562</v>
      </c>
      <c r="I48" s="3">
        <v>6732</v>
      </c>
      <c r="J48" s="3">
        <v>6517</v>
      </c>
      <c r="K48" s="3">
        <v>5403</v>
      </c>
    </row>
    <row r="49" spans="1:11" x14ac:dyDescent="0.2">
      <c r="A49" s="4" t="s">
        <v>238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1:11" x14ac:dyDescent="0.2">
      <c r="A50" s="4" t="s">
        <v>237</v>
      </c>
      <c r="B50" s="3">
        <v>497</v>
      </c>
      <c r="C50" s="3">
        <v>468</v>
      </c>
      <c r="D50" s="3">
        <v>771</v>
      </c>
      <c r="E50" s="3">
        <v>702</v>
      </c>
      <c r="F50" s="3">
        <v>613</v>
      </c>
      <c r="G50" s="3">
        <v>852</v>
      </c>
      <c r="H50" s="3">
        <v>2558</v>
      </c>
      <c r="I50" s="3">
        <v>2642</v>
      </c>
      <c r="J50" s="3">
        <v>2482</v>
      </c>
      <c r="K50" s="3">
        <v>2426</v>
      </c>
    </row>
    <row r="51" spans="1:11" x14ac:dyDescent="0.2">
      <c r="A51" s="4" t="s">
        <v>236</v>
      </c>
      <c r="B51" s="3">
        <v>186</v>
      </c>
      <c r="C51" s="3">
        <v>286</v>
      </c>
      <c r="D51" s="3">
        <v>364</v>
      </c>
      <c r="E51" s="3">
        <v>380</v>
      </c>
      <c r="F51" s="3">
        <v>397</v>
      </c>
      <c r="G51" s="3">
        <v>395</v>
      </c>
      <c r="H51" s="3">
        <v>657</v>
      </c>
      <c r="I51" s="3">
        <v>980</v>
      </c>
      <c r="J51" s="3">
        <v>1383</v>
      </c>
      <c r="K51" s="3">
        <v>1303</v>
      </c>
    </row>
    <row r="52" spans="1:11" x14ac:dyDescent="0.2">
      <c r="A52" s="4" t="s">
        <v>60</v>
      </c>
      <c r="B52" s="3">
        <v>389</v>
      </c>
      <c r="C52" s="3">
        <v>445</v>
      </c>
      <c r="D52" s="3">
        <v>534</v>
      </c>
      <c r="E52" s="3">
        <v>515</v>
      </c>
      <c r="F52" s="3">
        <v>607</v>
      </c>
      <c r="G52" s="3">
        <v>517</v>
      </c>
      <c r="H52" s="3">
        <v>613</v>
      </c>
      <c r="I52" s="3">
        <v>681</v>
      </c>
      <c r="J52" s="3">
        <v>448</v>
      </c>
      <c r="K52" s="3">
        <v>452</v>
      </c>
    </row>
    <row r="53" spans="1:11" x14ac:dyDescent="0.2">
      <c r="A53" s="4" t="s">
        <v>235</v>
      </c>
      <c r="B53" s="3">
        <v>429</v>
      </c>
      <c r="C53" s="3">
        <v>462</v>
      </c>
      <c r="D53" s="3">
        <v>297</v>
      </c>
      <c r="E53" s="3">
        <v>312</v>
      </c>
      <c r="F53" s="3">
        <v>317</v>
      </c>
      <c r="G53" s="3">
        <v>543</v>
      </c>
      <c r="H53" s="3">
        <v>665</v>
      </c>
      <c r="I53" s="3">
        <v>754</v>
      </c>
      <c r="J53" s="3">
        <v>724</v>
      </c>
      <c r="K53" s="3">
        <v>795</v>
      </c>
    </row>
    <row r="54" spans="1:11" x14ac:dyDescent="0.2">
      <c r="A54" s="4" t="s">
        <v>234</v>
      </c>
      <c r="B54" s="3">
        <v>429</v>
      </c>
      <c r="C54" s="3">
        <v>462</v>
      </c>
      <c r="D54" s="3">
        <v>297</v>
      </c>
      <c r="E54" s="3">
        <v>312</v>
      </c>
      <c r="F54" s="3">
        <v>317</v>
      </c>
      <c r="G54" s="3">
        <v>543</v>
      </c>
      <c r="H54" s="3">
        <v>665</v>
      </c>
      <c r="I54" s="3">
        <v>754</v>
      </c>
      <c r="J54" s="3">
        <v>724</v>
      </c>
      <c r="K54" s="3">
        <v>795</v>
      </c>
    </row>
    <row r="55" spans="1:11" x14ac:dyDescent="0.2">
      <c r="A55" s="4" t="s">
        <v>233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</row>
    <row r="56" spans="1:11" x14ac:dyDescent="0.2">
      <c r="A56" s="4" t="s">
        <v>58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</row>
    <row r="57" spans="1:11" x14ac:dyDescent="0.2">
      <c r="A57" s="4" t="s">
        <v>232</v>
      </c>
      <c r="B57" s="3">
        <v>20509</v>
      </c>
      <c r="C57" s="3">
        <v>22597</v>
      </c>
      <c r="D57" s="3">
        <v>20831</v>
      </c>
      <c r="E57" s="3">
        <v>25268</v>
      </c>
      <c r="F57" s="3">
        <v>27727</v>
      </c>
      <c r="G57" s="3">
        <v>29816</v>
      </c>
      <c r="H57" s="3">
        <v>36851</v>
      </c>
      <c r="I57" s="3">
        <v>41190</v>
      </c>
      <c r="J57" s="3">
        <v>43519</v>
      </c>
      <c r="K57" s="3">
        <v>43936</v>
      </c>
    </row>
    <row r="58" spans="1:11" x14ac:dyDescent="0.2">
      <c r="A58" s="6" t="s">
        <v>231</v>
      </c>
    </row>
    <row r="59" spans="1:11" x14ac:dyDescent="0.2">
      <c r="A59" s="4" t="s">
        <v>230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1:11" x14ac:dyDescent="0.2">
      <c r="A60" s="4" t="s">
        <v>229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1:11" x14ac:dyDescent="0.2">
      <c r="A61" s="4" t="s">
        <v>228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1:11" x14ac:dyDescent="0.2">
      <c r="A62" s="4" t="s">
        <v>227</v>
      </c>
      <c r="B62" s="3">
        <v>12303</v>
      </c>
      <c r="C62" s="3">
        <v>10617</v>
      </c>
      <c r="D62" s="3">
        <v>12079</v>
      </c>
      <c r="E62" s="3">
        <v>10778</v>
      </c>
      <c r="F62" s="3">
        <v>12799</v>
      </c>
      <c r="G62" s="3">
        <v>15243</v>
      </c>
      <c r="H62" s="3">
        <v>18284</v>
      </c>
      <c r="I62" s="3">
        <v>17564</v>
      </c>
      <c r="J62" s="3">
        <v>20642</v>
      </c>
      <c r="K62" s="3">
        <v>25058</v>
      </c>
    </row>
    <row r="63" spans="1:11" x14ac:dyDescent="0.2">
      <c r="A63" s="4" t="s">
        <v>226</v>
      </c>
      <c r="B63" s="3">
        <v>2</v>
      </c>
      <c r="C63" s="3">
        <v>2</v>
      </c>
      <c r="D63" s="3">
        <v>2</v>
      </c>
      <c r="E63" s="3">
        <v>4</v>
      </c>
      <c r="F63" s="3">
        <v>4</v>
      </c>
      <c r="G63" s="3">
        <v>4</v>
      </c>
      <c r="H63" s="3">
        <v>4</v>
      </c>
      <c r="I63" s="3">
        <v>4</v>
      </c>
      <c r="J63" s="3">
        <v>2</v>
      </c>
      <c r="K63" s="3">
        <v>2</v>
      </c>
    </row>
    <row r="64" spans="1:11" x14ac:dyDescent="0.2">
      <c r="A64" s="4" t="s">
        <v>225</v>
      </c>
      <c r="B64" s="3">
        <v>4919</v>
      </c>
      <c r="C64" s="3">
        <v>5218</v>
      </c>
      <c r="D64" s="3">
        <v>5490</v>
      </c>
      <c r="E64" s="3">
        <v>5800</v>
      </c>
      <c r="F64" s="3">
        <v>6107</v>
      </c>
      <c r="G64" s="3">
        <v>6417</v>
      </c>
      <c r="H64" s="3">
        <v>6698</v>
      </c>
      <c r="I64" s="3">
        <v>7031</v>
      </c>
      <c r="J64" s="3">
        <v>6884</v>
      </c>
      <c r="K64" s="3">
        <v>7340</v>
      </c>
    </row>
    <row r="65" spans="1:11" x14ac:dyDescent="0.2">
      <c r="A65" s="4" t="s">
        <v>224</v>
      </c>
      <c r="B65" s="3">
        <v>7382</v>
      </c>
      <c r="C65" s="3">
        <v>5397</v>
      </c>
      <c r="D65" s="3">
        <v>6587</v>
      </c>
      <c r="E65" s="3">
        <v>4974</v>
      </c>
      <c r="F65" s="3">
        <v>6688</v>
      </c>
      <c r="G65" s="3">
        <v>8822</v>
      </c>
      <c r="H65" s="3">
        <v>11582</v>
      </c>
      <c r="I65" s="3">
        <v>10529</v>
      </c>
      <c r="J65" s="3">
        <v>13756</v>
      </c>
      <c r="K65" s="3">
        <v>17716</v>
      </c>
    </row>
    <row r="66" spans="1:11" x14ac:dyDescent="0.2">
      <c r="A66" s="4" t="s">
        <v>223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1:11" x14ac:dyDescent="0.2">
      <c r="A67" s="4" t="s">
        <v>52</v>
      </c>
      <c r="B67" s="3">
        <v>12303</v>
      </c>
      <c r="C67" s="3">
        <v>10617</v>
      </c>
      <c r="D67" s="3">
        <v>12079</v>
      </c>
      <c r="E67" s="3">
        <v>10778</v>
      </c>
      <c r="F67" s="3">
        <v>12799</v>
      </c>
      <c r="G67" s="3">
        <v>15243</v>
      </c>
      <c r="H67" s="3">
        <v>18284</v>
      </c>
      <c r="I67" s="3">
        <v>17564</v>
      </c>
      <c r="J67" s="3">
        <v>20642</v>
      </c>
      <c r="K67" s="3">
        <v>25058</v>
      </c>
    </row>
    <row r="68" spans="1:11" x14ac:dyDescent="0.2">
      <c r="A68" s="4" t="s">
        <v>51</v>
      </c>
      <c r="B68" s="3">
        <v>212</v>
      </c>
      <c r="C68" s="3">
        <v>226</v>
      </c>
      <c r="D68" s="3">
        <v>253</v>
      </c>
      <c r="E68" s="3">
        <v>301</v>
      </c>
      <c r="F68" s="3">
        <v>304</v>
      </c>
      <c r="G68" s="3">
        <v>341</v>
      </c>
      <c r="H68" s="3">
        <v>421</v>
      </c>
      <c r="I68" s="3">
        <v>514</v>
      </c>
      <c r="J68" s="3">
        <v>5</v>
      </c>
      <c r="K68" s="3">
        <v>0</v>
      </c>
    </row>
    <row r="69" spans="1:11" x14ac:dyDescent="0.2">
      <c r="A69" s="4" t="s">
        <v>222</v>
      </c>
      <c r="B69" s="3">
        <v>12515</v>
      </c>
      <c r="C69" s="3">
        <v>10843</v>
      </c>
      <c r="D69" s="3">
        <v>12332</v>
      </c>
      <c r="E69" s="3">
        <v>11079</v>
      </c>
      <c r="F69" s="3">
        <v>13103</v>
      </c>
      <c r="G69" s="3">
        <v>15584</v>
      </c>
      <c r="H69" s="3">
        <v>18705</v>
      </c>
      <c r="I69" s="3">
        <v>18078</v>
      </c>
      <c r="J69" s="3">
        <v>20647</v>
      </c>
      <c r="K69" s="3">
        <v>25058</v>
      </c>
    </row>
    <row r="70" spans="1:11" x14ac:dyDescent="0.2">
      <c r="A70" s="4" t="s">
        <v>221</v>
      </c>
      <c r="B70" s="3">
        <v>33024</v>
      </c>
      <c r="C70" s="3">
        <v>33440</v>
      </c>
      <c r="D70" s="3">
        <v>33163</v>
      </c>
      <c r="E70" s="3">
        <v>36347</v>
      </c>
      <c r="F70" s="3">
        <v>40830</v>
      </c>
      <c r="G70" s="3">
        <v>45400</v>
      </c>
      <c r="H70" s="3">
        <v>55556</v>
      </c>
      <c r="I70" s="3">
        <v>59268</v>
      </c>
      <c r="J70" s="3">
        <v>64166</v>
      </c>
      <c r="K70" s="3">
        <v>68994</v>
      </c>
    </row>
    <row r="71" spans="1:11" x14ac:dyDescent="0.2">
      <c r="A71" s="6"/>
    </row>
    <row r="72" spans="1:11" x14ac:dyDescent="0.2">
      <c r="A72" s="7" t="s">
        <v>220</v>
      </c>
    </row>
    <row r="73" spans="1:11" x14ac:dyDescent="0.2">
      <c r="A73" s="4" t="s">
        <v>49</v>
      </c>
      <c r="B73" s="3">
        <v>112640</v>
      </c>
      <c r="C73" s="3">
        <v>116199</v>
      </c>
      <c r="D73" s="3">
        <v>118719</v>
      </c>
      <c r="E73" s="3">
        <v>129025</v>
      </c>
      <c r="F73" s="3">
        <v>141576</v>
      </c>
      <c r="G73" s="3">
        <v>152703</v>
      </c>
      <c r="H73" s="3">
        <v>166761</v>
      </c>
      <c r="I73" s="3">
        <v>195929</v>
      </c>
      <c r="J73" s="3">
        <v>226954</v>
      </c>
      <c r="K73" s="3">
        <v>242290</v>
      </c>
    </row>
    <row r="74" spans="1:11" x14ac:dyDescent="0.2">
      <c r="A74" s="4" t="s">
        <v>48</v>
      </c>
      <c r="B74" s="3">
        <v>97429</v>
      </c>
      <c r="C74" s="3">
        <v>99938</v>
      </c>
      <c r="D74" s="3">
        <v>101646</v>
      </c>
      <c r="E74" s="3">
        <v>110563</v>
      </c>
      <c r="F74" s="3">
        <v>121715</v>
      </c>
      <c r="G74" s="3">
        <v>131394</v>
      </c>
      <c r="H74" s="3">
        <v>143186</v>
      </c>
      <c r="I74" s="3">
        <v>168903</v>
      </c>
      <c r="J74" s="3">
        <v>197482</v>
      </c>
      <c r="K74" s="3">
        <v>210509</v>
      </c>
    </row>
    <row r="75" spans="1:11" x14ac:dyDescent="0.2">
      <c r="A75" s="4" t="s">
        <v>219</v>
      </c>
      <c r="B75" s="3">
        <v>10962</v>
      </c>
      <c r="C75" s="3">
        <v>11510</v>
      </c>
      <c r="D75" s="3">
        <v>12146</v>
      </c>
      <c r="E75" s="3">
        <v>13032</v>
      </c>
      <c r="F75" s="3">
        <v>13944</v>
      </c>
      <c r="G75" s="3">
        <v>14957</v>
      </c>
      <c r="H75" s="3">
        <v>15991</v>
      </c>
      <c r="I75" s="3">
        <v>18022</v>
      </c>
      <c r="J75" s="3">
        <v>19779</v>
      </c>
      <c r="K75" s="3">
        <v>21590</v>
      </c>
    </row>
    <row r="76" spans="1:11" x14ac:dyDescent="0.2">
      <c r="A76" s="4" t="s">
        <v>45</v>
      </c>
      <c r="B76" s="3">
        <v>4249</v>
      </c>
      <c r="C76" s="3">
        <v>4751</v>
      </c>
      <c r="D76" s="3">
        <v>4927</v>
      </c>
      <c r="E76" s="3">
        <v>5430</v>
      </c>
      <c r="F76" s="3">
        <v>5917</v>
      </c>
      <c r="G76" s="3">
        <v>6352</v>
      </c>
      <c r="H76" s="3">
        <v>7584</v>
      </c>
      <c r="I76" s="3">
        <v>9004</v>
      </c>
      <c r="J76" s="3">
        <v>9693</v>
      </c>
      <c r="K76" s="3">
        <v>10191</v>
      </c>
    </row>
    <row r="77" spans="1:11" x14ac:dyDescent="0.2">
      <c r="A77" s="4" t="s">
        <v>193</v>
      </c>
      <c r="B77" s="3">
        <v>1029</v>
      </c>
      <c r="C77" s="3">
        <v>1127</v>
      </c>
      <c r="D77" s="3">
        <v>1255</v>
      </c>
      <c r="E77" s="3">
        <v>1370</v>
      </c>
      <c r="F77" s="3">
        <v>1437</v>
      </c>
      <c r="G77" s="3">
        <v>1492</v>
      </c>
      <c r="H77" s="3">
        <v>1645</v>
      </c>
      <c r="I77" s="3">
        <v>1781</v>
      </c>
      <c r="J77" s="3">
        <v>1900</v>
      </c>
      <c r="K77" s="3">
        <v>2077</v>
      </c>
    </row>
    <row r="78" spans="1:11" x14ac:dyDescent="0.2">
      <c r="A78" s="4" t="s">
        <v>218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5">
        <v>0</v>
      </c>
      <c r="I78" s="5">
        <v>0</v>
      </c>
      <c r="J78" s="5">
        <v>0</v>
      </c>
      <c r="K78" s="5">
        <v>0</v>
      </c>
    </row>
    <row r="79" spans="1:11" x14ac:dyDescent="0.2">
      <c r="A79" s="4" t="s">
        <v>217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</row>
    <row r="80" spans="1:11" x14ac:dyDescent="0.2">
      <c r="A80" s="4" t="s">
        <v>216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</row>
    <row r="81" spans="1:11" x14ac:dyDescent="0.2">
      <c r="A81" s="4" t="s">
        <v>43</v>
      </c>
      <c r="B81" s="3">
        <v>3220</v>
      </c>
      <c r="C81" s="3">
        <v>3624</v>
      </c>
      <c r="D81" s="3">
        <v>3672</v>
      </c>
      <c r="E81" s="3">
        <v>4060</v>
      </c>
      <c r="F81" s="3">
        <v>4480</v>
      </c>
      <c r="G81" s="3">
        <v>4860</v>
      </c>
      <c r="H81" s="3">
        <v>5939</v>
      </c>
      <c r="I81" s="3">
        <v>7223</v>
      </c>
      <c r="J81" s="3">
        <v>7793</v>
      </c>
      <c r="K81" s="3">
        <v>8114</v>
      </c>
    </row>
    <row r="82" spans="1:11" x14ac:dyDescent="0.2">
      <c r="A82" s="4" t="s">
        <v>42</v>
      </c>
      <c r="B82" s="3">
        <v>113</v>
      </c>
      <c r="C82" s="3">
        <v>124</v>
      </c>
      <c r="D82" s="3">
        <v>133</v>
      </c>
      <c r="E82" s="3">
        <v>134</v>
      </c>
      <c r="F82" s="3">
        <v>159</v>
      </c>
      <c r="G82" s="3">
        <v>150</v>
      </c>
      <c r="H82" s="3">
        <v>160</v>
      </c>
      <c r="I82" s="3">
        <v>171</v>
      </c>
      <c r="J82" s="3">
        <v>158</v>
      </c>
      <c r="K82" s="3">
        <v>160</v>
      </c>
    </row>
    <row r="83" spans="1:11" x14ac:dyDescent="0.2">
      <c r="A83" s="4" t="s">
        <v>215</v>
      </c>
      <c r="B83" s="3">
        <v>90</v>
      </c>
      <c r="C83" s="3">
        <v>104</v>
      </c>
      <c r="D83" s="3">
        <v>80</v>
      </c>
      <c r="E83" s="3">
        <v>62</v>
      </c>
      <c r="F83" s="3">
        <v>121</v>
      </c>
      <c r="G83" s="3">
        <v>178</v>
      </c>
      <c r="H83" s="3">
        <v>128</v>
      </c>
      <c r="I83" s="3">
        <v>143</v>
      </c>
      <c r="J83" s="3">
        <v>205</v>
      </c>
      <c r="K83" s="3">
        <v>533</v>
      </c>
    </row>
    <row r="84" spans="1:11" x14ac:dyDescent="0.2">
      <c r="A84" s="4" t="s">
        <v>214</v>
      </c>
      <c r="B84" s="3">
        <v>38</v>
      </c>
      <c r="C84" s="3">
        <v>54</v>
      </c>
      <c r="D84" s="3">
        <v>39</v>
      </c>
      <c r="E84" s="3">
        <v>12</v>
      </c>
      <c r="F84" s="3">
        <v>46</v>
      </c>
      <c r="G84" s="3">
        <v>52</v>
      </c>
      <c r="H84" s="3">
        <v>39</v>
      </c>
      <c r="I84" s="3">
        <v>102</v>
      </c>
      <c r="J84" s="3">
        <v>144</v>
      </c>
      <c r="K84" s="3">
        <v>63</v>
      </c>
    </row>
    <row r="85" spans="1:11" x14ac:dyDescent="0.2">
      <c r="A85" s="4" t="s">
        <v>213</v>
      </c>
      <c r="B85" s="3">
        <v>52</v>
      </c>
      <c r="C85" s="3">
        <v>50</v>
      </c>
      <c r="D85" s="3">
        <v>41</v>
      </c>
      <c r="E85" s="3">
        <v>50</v>
      </c>
      <c r="F85" s="3">
        <v>75</v>
      </c>
      <c r="G85" s="3">
        <v>126</v>
      </c>
      <c r="H85" s="3">
        <v>89</v>
      </c>
      <c r="I85" s="3">
        <v>41</v>
      </c>
      <c r="J85" s="3">
        <v>61</v>
      </c>
      <c r="K85" s="3">
        <v>470</v>
      </c>
    </row>
    <row r="86" spans="1:11" x14ac:dyDescent="0.2">
      <c r="A86" s="4" t="s">
        <v>40</v>
      </c>
      <c r="B86" s="3">
        <v>0</v>
      </c>
      <c r="C86" s="3">
        <v>0</v>
      </c>
      <c r="D86" s="3">
        <v>0</v>
      </c>
      <c r="E86" s="3">
        <v>51</v>
      </c>
      <c r="F86" s="3">
        <v>0</v>
      </c>
      <c r="G86" s="3">
        <v>-123</v>
      </c>
      <c r="H86" s="3">
        <v>-540</v>
      </c>
      <c r="I86" s="3">
        <v>-515</v>
      </c>
      <c r="J86" s="5">
        <v>0</v>
      </c>
      <c r="K86" s="3">
        <v>0</v>
      </c>
    </row>
    <row r="87" spans="1:11" x14ac:dyDescent="0.2">
      <c r="A87" s="4" t="s">
        <v>39</v>
      </c>
      <c r="B87" s="3">
        <v>3197</v>
      </c>
      <c r="C87" s="3">
        <v>3604</v>
      </c>
      <c r="D87" s="3">
        <v>3619</v>
      </c>
      <c r="E87" s="3">
        <v>4039</v>
      </c>
      <c r="F87" s="3">
        <v>4442</v>
      </c>
      <c r="G87" s="3">
        <v>4765</v>
      </c>
      <c r="H87" s="3">
        <v>5367</v>
      </c>
      <c r="I87" s="3">
        <v>6680</v>
      </c>
      <c r="J87" s="3">
        <v>7840</v>
      </c>
      <c r="K87" s="3">
        <v>8487</v>
      </c>
    </row>
    <row r="88" spans="1:11" x14ac:dyDescent="0.2">
      <c r="A88" s="4" t="s">
        <v>212</v>
      </c>
      <c r="B88" s="3">
        <v>2145</v>
      </c>
      <c r="C88" s="3">
        <v>2574</v>
      </c>
      <c r="D88" s="3">
        <v>2622</v>
      </c>
      <c r="E88" s="3">
        <v>2988</v>
      </c>
      <c r="F88" s="3">
        <v>3182</v>
      </c>
      <c r="G88" s="3">
        <v>3591</v>
      </c>
      <c r="H88" s="3">
        <v>4204</v>
      </c>
      <c r="I88" s="3">
        <v>4931</v>
      </c>
      <c r="J88" s="3">
        <v>5759</v>
      </c>
      <c r="K88" s="3">
        <v>6264</v>
      </c>
    </row>
    <row r="89" spans="1:11" x14ac:dyDescent="0.2">
      <c r="A89" s="4" t="s">
        <v>211</v>
      </c>
      <c r="B89" s="3">
        <v>1052</v>
      </c>
      <c r="C89" s="3">
        <v>1030</v>
      </c>
      <c r="D89" s="3">
        <v>997</v>
      </c>
      <c r="E89" s="3">
        <v>1051</v>
      </c>
      <c r="F89" s="3">
        <v>1260</v>
      </c>
      <c r="G89" s="3">
        <v>1174</v>
      </c>
      <c r="H89" s="3">
        <v>1163</v>
      </c>
      <c r="I89" s="3">
        <v>1749</v>
      </c>
      <c r="J89" s="3">
        <v>2081</v>
      </c>
      <c r="K89" s="3">
        <v>2223</v>
      </c>
    </row>
    <row r="90" spans="1:11" x14ac:dyDescent="0.2">
      <c r="A90" s="4" t="s">
        <v>38</v>
      </c>
      <c r="B90" s="3">
        <v>1109</v>
      </c>
      <c r="C90" s="3">
        <v>1195</v>
      </c>
      <c r="D90" s="3">
        <v>1243</v>
      </c>
      <c r="E90" s="3">
        <v>1325</v>
      </c>
      <c r="F90" s="3">
        <v>1263</v>
      </c>
      <c r="G90" s="3">
        <v>1061</v>
      </c>
      <c r="H90" s="3">
        <v>1308</v>
      </c>
      <c r="I90" s="3">
        <v>1601</v>
      </c>
      <c r="J90" s="3">
        <v>1925</v>
      </c>
      <c r="K90" s="3">
        <v>2195</v>
      </c>
    </row>
    <row r="91" spans="1:11" x14ac:dyDescent="0.2">
      <c r="A91" s="4" t="s">
        <v>210</v>
      </c>
      <c r="B91" s="3">
        <v>-63</v>
      </c>
      <c r="C91" s="3">
        <v>-101</v>
      </c>
      <c r="D91" s="3">
        <v>269</v>
      </c>
      <c r="E91" s="3">
        <v>-27</v>
      </c>
      <c r="F91" s="3">
        <v>-50</v>
      </c>
      <c r="G91" s="3">
        <v>150</v>
      </c>
      <c r="H91" s="3">
        <v>90</v>
      </c>
      <c r="I91" s="3">
        <v>61</v>
      </c>
      <c r="J91" s="3">
        <v>-57</v>
      </c>
      <c r="K91" s="3">
        <v>33</v>
      </c>
    </row>
    <row r="92" spans="1:11" x14ac:dyDescent="0.2">
      <c r="A92" s="4" t="s">
        <v>209</v>
      </c>
      <c r="B92" s="3">
        <v>-105</v>
      </c>
      <c r="C92" s="3">
        <v>-12</v>
      </c>
      <c r="D92" s="3">
        <v>233</v>
      </c>
      <c r="E92" s="3">
        <v>7</v>
      </c>
      <c r="F92" s="3">
        <v>-35</v>
      </c>
      <c r="G92" s="3">
        <v>222</v>
      </c>
      <c r="H92" s="3">
        <v>77</v>
      </c>
      <c r="I92" s="3">
        <v>84</v>
      </c>
      <c r="J92" s="3">
        <v>-35</v>
      </c>
      <c r="K92" s="3">
        <v>33</v>
      </c>
    </row>
    <row r="93" spans="1:11" x14ac:dyDescent="0.2">
      <c r="A93" s="4" t="s">
        <v>208</v>
      </c>
      <c r="B93" s="3">
        <v>45</v>
      </c>
      <c r="C93" s="3">
        <v>-90</v>
      </c>
      <c r="D93" s="3">
        <v>15</v>
      </c>
      <c r="E93" s="3">
        <v>-42</v>
      </c>
      <c r="F93" s="3">
        <v>-37</v>
      </c>
      <c r="G93" s="3">
        <v>-98</v>
      </c>
      <c r="H93" s="3">
        <v>5</v>
      </c>
      <c r="I93" s="3">
        <v>-34</v>
      </c>
      <c r="J93" s="3">
        <v>-17</v>
      </c>
      <c r="K93" s="3">
        <v>-10</v>
      </c>
    </row>
    <row r="94" spans="1:11" x14ac:dyDescent="0.2">
      <c r="A94" s="4" t="s">
        <v>207</v>
      </c>
      <c r="B94" s="3">
        <v>-3</v>
      </c>
      <c r="C94" s="3">
        <v>1</v>
      </c>
      <c r="D94" s="3">
        <v>21</v>
      </c>
      <c r="E94" s="3">
        <v>8</v>
      </c>
      <c r="F94" s="3">
        <v>22</v>
      </c>
      <c r="G94" s="3">
        <v>26</v>
      </c>
      <c r="H94" s="3">
        <v>8</v>
      </c>
      <c r="I94" s="3">
        <v>11</v>
      </c>
      <c r="J94" s="3">
        <v>-5</v>
      </c>
      <c r="K94" s="3">
        <v>10</v>
      </c>
    </row>
    <row r="95" spans="1:11" x14ac:dyDescent="0.2">
      <c r="A95" s="4" t="s">
        <v>206</v>
      </c>
      <c r="B95" s="3">
        <v>696</v>
      </c>
      <c r="C95" s="3">
        <v>766</v>
      </c>
      <c r="D95" s="3">
        <v>468</v>
      </c>
      <c r="E95" s="3">
        <v>802</v>
      </c>
      <c r="F95" s="3">
        <v>636</v>
      </c>
      <c r="G95" s="3">
        <v>328</v>
      </c>
      <c r="H95" s="3">
        <v>616</v>
      </c>
      <c r="I95" s="3">
        <v>718</v>
      </c>
      <c r="J95" s="3">
        <v>798</v>
      </c>
      <c r="K95" s="3">
        <v>1056</v>
      </c>
    </row>
    <row r="96" spans="1:11" x14ac:dyDescent="0.2">
      <c r="A96" s="4" t="s">
        <v>205</v>
      </c>
      <c r="B96" s="3">
        <v>369</v>
      </c>
      <c r="C96" s="3">
        <v>399</v>
      </c>
      <c r="D96" s="3">
        <v>398</v>
      </c>
      <c r="E96" s="3">
        <v>389</v>
      </c>
      <c r="F96" s="3">
        <v>487</v>
      </c>
      <c r="G96" s="3">
        <v>405</v>
      </c>
      <c r="H96" s="3">
        <v>372</v>
      </c>
      <c r="I96" s="3">
        <v>557</v>
      </c>
      <c r="J96" s="3">
        <v>851</v>
      </c>
      <c r="K96" s="3">
        <v>732</v>
      </c>
    </row>
    <row r="97" spans="1:11" x14ac:dyDescent="0.2">
      <c r="A97" s="4" t="s">
        <v>204</v>
      </c>
      <c r="B97" s="3">
        <v>107</v>
      </c>
      <c r="C97" s="3">
        <v>131</v>
      </c>
      <c r="D97" s="3">
        <v>108</v>
      </c>
      <c r="E97" s="3">
        <v>161</v>
      </c>
      <c r="F97" s="3">
        <v>190</v>
      </c>
      <c r="G97" s="3">
        <v>178</v>
      </c>
      <c r="H97" s="3">
        <v>230</v>
      </c>
      <c r="I97" s="3">
        <v>265</v>
      </c>
      <c r="J97" s="3">
        <v>333</v>
      </c>
      <c r="K97" s="3">
        <v>374</v>
      </c>
    </row>
    <row r="98" spans="1:11" x14ac:dyDescent="0.2">
      <c r="A98" s="4" t="s">
        <v>203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1:11" x14ac:dyDescent="0.2">
      <c r="A99" s="4" t="s">
        <v>37</v>
      </c>
      <c r="B99" s="3">
        <v>30</v>
      </c>
      <c r="C99" s="3">
        <v>32</v>
      </c>
      <c r="D99" s="3">
        <v>26</v>
      </c>
      <c r="E99" s="3">
        <v>35</v>
      </c>
      <c r="F99" s="3">
        <v>45</v>
      </c>
      <c r="G99" s="3">
        <v>45</v>
      </c>
      <c r="H99" s="3">
        <v>57</v>
      </c>
      <c r="I99" s="3">
        <v>72</v>
      </c>
      <c r="J99" s="3">
        <v>71</v>
      </c>
      <c r="K99" s="3">
        <v>0</v>
      </c>
    </row>
    <row r="100" spans="1:11" x14ac:dyDescent="0.2">
      <c r="A100" s="4" t="s">
        <v>194</v>
      </c>
      <c r="B100" s="3">
        <v>2058</v>
      </c>
      <c r="C100" s="3">
        <v>2377</v>
      </c>
      <c r="D100" s="3">
        <v>2350</v>
      </c>
      <c r="E100" s="3">
        <v>2679</v>
      </c>
      <c r="F100" s="3">
        <v>3134</v>
      </c>
      <c r="G100" s="3">
        <v>3659</v>
      </c>
      <c r="H100" s="3">
        <v>4002</v>
      </c>
      <c r="I100" s="3">
        <v>5007</v>
      </c>
      <c r="J100" s="3">
        <v>5844</v>
      </c>
      <c r="K100" s="3">
        <v>6292</v>
      </c>
    </row>
    <row r="101" spans="1:11" x14ac:dyDescent="0.2">
      <c r="A101" s="4" t="s">
        <v>202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1:11" x14ac:dyDescent="0.2">
      <c r="A102" s="4" t="s">
        <v>201</v>
      </c>
      <c r="B102" s="3">
        <v>2058</v>
      </c>
      <c r="C102" s="3">
        <v>2377</v>
      </c>
      <c r="D102" s="3">
        <v>2350</v>
      </c>
      <c r="E102" s="3">
        <v>2679</v>
      </c>
      <c r="F102" s="3">
        <v>3134</v>
      </c>
      <c r="G102" s="3">
        <v>3659</v>
      </c>
      <c r="H102" s="3">
        <v>4002</v>
      </c>
      <c r="I102" s="3">
        <v>5007</v>
      </c>
      <c r="J102" s="3">
        <v>5844</v>
      </c>
      <c r="K102" s="3">
        <v>6292</v>
      </c>
    </row>
    <row r="103" spans="1:11" x14ac:dyDescent="0.2">
      <c r="A103" s="4" t="s">
        <v>200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</row>
    <row r="104" spans="1:11" x14ac:dyDescent="0.2">
      <c r="A104" s="4" t="s">
        <v>199</v>
      </c>
      <c r="B104" s="3">
        <v>2058</v>
      </c>
      <c r="C104" s="3">
        <v>2377</v>
      </c>
      <c r="D104" s="3">
        <v>2350</v>
      </c>
      <c r="E104" s="3">
        <v>2679</v>
      </c>
      <c r="F104" s="3">
        <v>3134</v>
      </c>
      <c r="G104" s="3">
        <v>3659</v>
      </c>
      <c r="H104" s="3">
        <v>4002</v>
      </c>
      <c r="I104" s="3">
        <v>5007</v>
      </c>
      <c r="J104" s="3">
        <v>5844</v>
      </c>
      <c r="K104" s="3">
        <v>6292</v>
      </c>
    </row>
    <row r="105" spans="1:11" x14ac:dyDescent="0.2">
      <c r="A105" s="4" t="s">
        <v>192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</row>
    <row r="106" spans="1:11" x14ac:dyDescent="0.2">
      <c r="A106" s="4" t="s">
        <v>198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</row>
    <row r="107" spans="1:11" x14ac:dyDescent="0.2">
      <c r="A107" s="4" t="s">
        <v>197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</row>
    <row r="108" spans="1:11" x14ac:dyDescent="0.2">
      <c r="A108" s="4" t="s">
        <v>196</v>
      </c>
      <c r="B108" s="3">
        <v>2058</v>
      </c>
      <c r="C108" s="3">
        <v>2377</v>
      </c>
      <c r="D108" s="3">
        <v>2350</v>
      </c>
      <c r="E108" s="3">
        <v>2679</v>
      </c>
      <c r="F108" s="3">
        <v>3134</v>
      </c>
      <c r="G108" s="3">
        <v>3659</v>
      </c>
      <c r="H108" s="3">
        <v>4002</v>
      </c>
      <c r="I108" s="3">
        <v>5007</v>
      </c>
      <c r="J108" s="3">
        <v>5844</v>
      </c>
      <c r="K108" s="3">
        <v>6292</v>
      </c>
    </row>
    <row r="109" spans="1:11" x14ac:dyDescent="0.2">
      <c r="A109" s="4" t="s">
        <v>33</v>
      </c>
      <c r="B109" s="3">
        <v>2058</v>
      </c>
      <c r="C109" s="3">
        <v>2377</v>
      </c>
      <c r="D109" s="3">
        <v>2350</v>
      </c>
      <c r="E109" s="3">
        <v>2679</v>
      </c>
      <c r="F109" s="3">
        <v>3134</v>
      </c>
      <c r="G109" s="3">
        <v>3659</v>
      </c>
      <c r="H109" s="3">
        <v>4002</v>
      </c>
      <c r="I109" s="3">
        <v>5007</v>
      </c>
      <c r="J109" s="3">
        <v>5844</v>
      </c>
      <c r="K109" s="3">
        <v>6292</v>
      </c>
    </row>
    <row r="110" spans="1:11" x14ac:dyDescent="0.2">
      <c r="A110" s="6"/>
    </row>
    <row r="111" spans="1:11" x14ac:dyDescent="0.2">
      <c r="A111" s="7" t="s">
        <v>26</v>
      </c>
    </row>
    <row r="112" spans="1:11" x14ac:dyDescent="0.2">
      <c r="A112" s="6" t="s">
        <v>195</v>
      </c>
    </row>
    <row r="113" spans="1:11" x14ac:dyDescent="0.2">
      <c r="A113" s="4" t="s">
        <v>194</v>
      </c>
      <c r="B113" s="3">
        <v>2088</v>
      </c>
      <c r="C113" s="3">
        <v>2409</v>
      </c>
      <c r="D113" s="3">
        <v>2376</v>
      </c>
      <c r="E113" s="3">
        <v>2714</v>
      </c>
      <c r="F113" s="3">
        <v>3179</v>
      </c>
      <c r="G113" s="3">
        <v>3704</v>
      </c>
      <c r="H113" s="3">
        <v>4059</v>
      </c>
      <c r="I113" s="3">
        <v>5079</v>
      </c>
      <c r="J113" s="3">
        <v>5915</v>
      </c>
      <c r="K113" s="3">
        <v>6292</v>
      </c>
    </row>
    <row r="114" spans="1:11" x14ac:dyDescent="0.2">
      <c r="A114" s="4" t="s">
        <v>193</v>
      </c>
      <c r="B114" s="3">
        <v>1029</v>
      </c>
      <c r="C114" s="3">
        <v>1127</v>
      </c>
      <c r="D114" s="3">
        <v>1255</v>
      </c>
      <c r="E114" s="3">
        <v>1370</v>
      </c>
      <c r="F114" s="3">
        <v>1437</v>
      </c>
      <c r="G114" s="3">
        <v>1492</v>
      </c>
      <c r="H114" s="3">
        <v>1645</v>
      </c>
      <c r="I114" s="3">
        <v>1781</v>
      </c>
      <c r="J114" s="3">
        <v>1900</v>
      </c>
      <c r="K114" s="3">
        <v>2077</v>
      </c>
    </row>
    <row r="115" spans="1:11" x14ac:dyDescent="0.2">
      <c r="A115" s="4" t="s">
        <v>192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</row>
    <row r="116" spans="1:11" x14ac:dyDescent="0.2">
      <c r="A116" s="4" t="s">
        <v>191</v>
      </c>
      <c r="B116" s="3">
        <v>-63</v>
      </c>
      <c r="C116" s="3">
        <v>-101</v>
      </c>
      <c r="D116" s="3">
        <v>269</v>
      </c>
      <c r="E116" s="3">
        <v>-29</v>
      </c>
      <c r="F116" s="3">
        <v>-49</v>
      </c>
      <c r="G116" s="3">
        <v>147</v>
      </c>
      <c r="H116" s="3">
        <v>104</v>
      </c>
      <c r="I116" s="3">
        <v>59</v>
      </c>
      <c r="J116" s="3">
        <v>-37</v>
      </c>
      <c r="K116" s="3">
        <v>0</v>
      </c>
    </row>
    <row r="117" spans="1:11" x14ac:dyDescent="0.2">
      <c r="A117" s="4" t="s">
        <v>190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</row>
    <row r="118" spans="1:11" x14ac:dyDescent="0.2">
      <c r="A118" s="4" t="s">
        <v>189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</row>
    <row r="119" spans="1:11" x14ac:dyDescent="0.2">
      <c r="A119" s="4" t="s">
        <v>188</v>
      </c>
      <c r="B119" s="3">
        <v>265</v>
      </c>
      <c r="C119" s="3">
        <v>303</v>
      </c>
      <c r="D119" s="3">
        <v>402</v>
      </c>
      <c r="E119" s="3">
        <v>500</v>
      </c>
      <c r="F119" s="3">
        <v>538</v>
      </c>
      <c r="G119" s="3">
        <v>604</v>
      </c>
      <c r="H119" s="3">
        <v>855</v>
      </c>
      <c r="I119" s="3">
        <v>1036</v>
      </c>
      <c r="J119" s="3">
        <v>1177</v>
      </c>
      <c r="K119" s="3">
        <v>1681</v>
      </c>
    </row>
    <row r="120" spans="1:11" x14ac:dyDescent="0.2">
      <c r="A120" s="4" t="s">
        <v>187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</row>
    <row r="121" spans="1:11" x14ac:dyDescent="0.2">
      <c r="A121" s="4" t="s">
        <v>186</v>
      </c>
      <c r="B121" s="3">
        <v>-563</v>
      </c>
      <c r="C121" s="3">
        <v>-890</v>
      </c>
      <c r="D121" s="3">
        <v>-25</v>
      </c>
      <c r="E121" s="3">
        <v>-894</v>
      </c>
      <c r="F121" s="3">
        <v>-1313</v>
      </c>
      <c r="G121" s="3">
        <v>-536</v>
      </c>
      <c r="H121" s="3">
        <v>-791</v>
      </c>
      <c r="I121" s="3">
        <v>-1892</v>
      </c>
      <c r="J121" s="3">
        <v>-4003</v>
      </c>
      <c r="K121" s="3">
        <v>1228</v>
      </c>
    </row>
    <row r="122" spans="1:11" x14ac:dyDescent="0.2">
      <c r="A122" s="4" t="s">
        <v>185</v>
      </c>
      <c r="B122" s="3">
        <v>529</v>
      </c>
      <c r="C122" s="3">
        <v>880</v>
      </c>
      <c r="D122" s="3">
        <v>-1532</v>
      </c>
      <c r="E122" s="3">
        <v>2258</v>
      </c>
      <c r="F122" s="3">
        <v>1561</v>
      </c>
      <c r="G122" s="3">
        <v>322</v>
      </c>
      <c r="H122" s="3">
        <v>2261</v>
      </c>
      <c r="I122" s="3">
        <v>1838</v>
      </c>
      <c r="J122" s="3">
        <v>1891</v>
      </c>
      <c r="K122" s="3">
        <v>-382</v>
      </c>
    </row>
    <row r="123" spans="1:11" x14ac:dyDescent="0.2">
      <c r="A123" s="4" t="s">
        <v>184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3">
        <v>0</v>
      </c>
      <c r="I123" s="3">
        <v>0</v>
      </c>
      <c r="J123" s="3">
        <v>0</v>
      </c>
      <c r="K123" s="3">
        <v>0</v>
      </c>
    </row>
    <row r="124" spans="1:11" x14ac:dyDescent="0.2">
      <c r="A124" s="4" t="s">
        <v>183</v>
      </c>
      <c r="B124" s="3">
        <v>699</v>
      </c>
      <c r="C124" s="3">
        <v>557</v>
      </c>
      <c r="D124" s="3">
        <v>547</v>
      </c>
      <c r="E124" s="3">
        <v>807</v>
      </c>
      <c r="F124" s="3">
        <v>421</v>
      </c>
      <c r="G124" s="3">
        <v>623</v>
      </c>
      <c r="H124" s="3">
        <v>728</v>
      </c>
      <c r="I124" s="3">
        <v>1057</v>
      </c>
      <c r="J124" s="3">
        <v>549</v>
      </c>
      <c r="K124" s="3">
        <v>172</v>
      </c>
    </row>
    <row r="125" spans="1:11" x14ac:dyDescent="0.2">
      <c r="A125" s="4" t="s">
        <v>23</v>
      </c>
      <c r="B125" s="3">
        <v>3984</v>
      </c>
      <c r="C125" s="3">
        <v>4285</v>
      </c>
      <c r="D125" s="3">
        <v>3292</v>
      </c>
      <c r="E125" s="3">
        <v>6726</v>
      </c>
      <c r="F125" s="3">
        <v>5774</v>
      </c>
      <c r="G125" s="3">
        <v>6356</v>
      </c>
      <c r="H125" s="3">
        <v>8861</v>
      </c>
      <c r="I125" s="3">
        <v>8958</v>
      </c>
      <c r="J125" s="3">
        <v>7392</v>
      </c>
      <c r="K125" s="3">
        <v>11068</v>
      </c>
    </row>
    <row r="126" spans="1:11" x14ac:dyDescent="0.2">
      <c r="A126" s="6" t="s">
        <v>182</v>
      </c>
    </row>
    <row r="127" spans="1:11" x14ac:dyDescent="0.2">
      <c r="A127" s="4" t="s">
        <v>181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</row>
    <row r="128" spans="1:11" x14ac:dyDescent="0.2">
      <c r="A128" s="4" t="s">
        <v>180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</row>
    <row r="129" spans="1:11" x14ac:dyDescent="0.2">
      <c r="A129" s="4" t="s">
        <v>179</v>
      </c>
      <c r="B129" s="3">
        <v>-97</v>
      </c>
      <c r="C129" s="3">
        <v>-67</v>
      </c>
      <c r="D129" s="3">
        <v>277</v>
      </c>
      <c r="E129" s="3">
        <v>106</v>
      </c>
      <c r="F129" s="3">
        <v>18</v>
      </c>
      <c r="G129" s="3">
        <v>137</v>
      </c>
      <c r="H129" s="3">
        <v>52</v>
      </c>
      <c r="I129" s="3">
        <v>115</v>
      </c>
      <c r="J129" s="3">
        <v>24</v>
      </c>
      <c r="K129" s="3">
        <v>-685</v>
      </c>
    </row>
    <row r="130" spans="1:11" x14ac:dyDescent="0.2">
      <c r="A130" s="4" t="s">
        <v>22</v>
      </c>
      <c r="B130" s="3">
        <v>1993</v>
      </c>
      <c r="C130" s="3">
        <v>2393</v>
      </c>
      <c r="D130" s="3">
        <v>2649</v>
      </c>
      <c r="E130" s="3">
        <v>2502</v>
      </c>
      <c r="F130" s="3">
        <v>2969</v>
      </c>
      <c r="G130" s="3">
        <v>2998</v>
      </c>
      <c r="H130" s="3">
        <v>2810</v>
      </c>
      <c r="I130" s="3">
        <v>3588</v>
      </c>
      <c r="J130" s="3">
        <v>3891</v>
      </c>
      <c r="K130" s="3">
        <v>4323</v>
      </c>
    </row>
    <row r="131" spans="1:11" x14ac:dyDescent="0.2">
      <c r="A131" s="4" t="s">
        <v>178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</row>
    <row r="132" spans="1:11" x14ac:dyDescent="0.2">
      <c r="A132" s="4" t="s">
        <v>20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1163</v>
      </c>
      <c r="I132" s="3">
        <v>0</v>
      </c>
      <c r="J132" s="3">
        <v>0</v>
      </c>
      <c r="K132" s="3">
        <v>0</v>
      </c>
    </row>
    <row r="133" spans="1:11" x14ac:dyDescent="0.2">
      <c r="A133" s="4" t="s">
        <v>177</v>
      </c>
      <c r="B133" s="3">
        <v>-3</v>
      </c>
      <c r="C133" s="3">
        <v>-20</v>
      </c>
      <c r="D133" s="3">
        <v>27</v>
      </c>
      <c r="E133" s="3">
        <v>30</v>
      </c>
      <c r="F133" s="3">
        <v>4</v>
      </c>
      <c r="G133" s="3">
        <v>-4</v>
      </c>
      <c r="H133" s="3">
        <v>30</v>
      </c>
      <c r="I133" s="3">
        <v>-62</v>
      </c>
      <c r="J133" s="3">
        <v>-48</v>
      </c>
      <c r="K133" s="3">
        <v>36</v>
      </c>
    </row>
    <row r="134" spans="1:11" x14ac:dyDescent="0.2">
      <c r="A134" s="4" t="s">
        <v>176</v>
      </c>
      <c r="B134" s="3">
        <v>-2093</v>
      </c>
      <c r="C134" s="3">
        <v>-2480</v>
      </c>
      <c r="D134" s="3">
        <v>-2345</v>
      </c>
      <c r="E134" s="3">
        <v>-2366</v>
      </c>
      <c r="F134" s="3">
        <v>-2947</v>
      </c>
      <c r="G134" s="3">
        <v>-2865</v>
      </c>
      <c r="H134" s="3">
        <v>-3891</v>
      </c>
      <c r="I134" s="3">
        <v>-3535</v>
      </c>
      <c r="J134" s="3">
        <v>-3915</v>
      </c>
      <c r="K134" s="3">
        <v>-4972</v>
      </c>
    </row>
    <row r="135" spans="1:11" x14ac:dyDescent="0.2">
      <c r="A135" s="6" t="s">
        <v>175</v>
      </c>
    </row>
    <row r="136" spans="1:11" x14ac:dyDescent="0.2">
      <c r="A136" s="4" t="s">
        <v>174</v>
      </c>
      <c r="B136" s="3">
        <v>38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</row>
    <row r="137" spans="1:11" x14ac:dyDescent="0.2">
      <c r="A137" s="4" t="s">
        <v>173</v>
      </c>
      <c r="B137" s="3">
        <v>498</v>
      </c>
      <c r="C137" s="3">
        <v>659</v>
      </c>
      <c r="D137" s="3">
        <v>706</v>
      </c>
      <c r="E137" s="3">
        <v>671</v>
      </c>
      <c r="F137" s="3">
        <v>545</v>
      </c>
      <c r="G137" s="3">
        <v>519</v>
      </c>
      <c r="H137" s="3">
        <v>526</v>
      </c>
      <c r="I137" s="3">
        <v>808</v>
      </c>
      <c r="J137" s="3">
        <v>802</v>
      </c>
      <c r="K137" s="3">
        <v>979</v>
      </c>
    </row>
    <row r="138" spans="1:11" x14ac:dyDescent="0.2">
      <c r="A138" s="4" t="s">
        <v>18</v>
      </c>
      <c r="B138" s="3">
        <v>584</v>
      </c>
      <c r="C138" s="3">
        <v>2865</v>
      </c>
      <c r="D138" s="3">
        <v>746</v>
      </c>
      <c r="E138" s="3">
        <v>3904</v>
      </c>
      <c r="F138" s="3">
        <v>689</v>
      </c>
      <c r="G138" s="3">
        <v>1038</v>
      </c>
      <c r="H138" s="3">
        <v>1479</v>
      </c>
      <c r="I138" s="3">
        <v>5748</v>
      </c>
      <c r="J138" s="3">
        <v>1498</v>
      </c>
      <c r="K138" s="3">
        <v>1251</v>
      </c>
    </row>
    <row r="139" spans="1:11" x14ac:dyDescent="0.2">
      <c r="A139" s="4" t="s">
        <v>172</v>
      </c>
      <c r="B139" s="3">
        <v>117</v>
      </c>
      <c r="C139" s="3">
        <v>1125</v>
      </c>
      <c r="D139" s="3">
        <v>185</v>
      </c>
      <c r="E139" s="3">
        <v>3782</v>
      </c>
      <c r="F139" s="3">
        <v>0</v>
      </c>
      <c r="G139" s="3">
        <v>298</v>
      </c>
      <c r="H139" s="3">
        <v>3992</v>
      </c>
      <c r="I139" s="3">
        <v>0</v>
      </c>
      <c r="J139" s="3">
        <v>0</v>
      </c>
      <c r="K139" s="3">
        <v>0</v>
      </c>
    </row>
    <row r="140" spans="1:11" x14ac:dyDescent="0.2">
      <c r="A140" s="4" t="s">
        <v>171</v>
      </c>
      <c r="B140" s="3">
        <v>0</v>
      </c>
      <c r="C140" s="3">
        <v>0</v>
      </c>
      <c r="D140" s="3">
        <v>1288</v>
      </c>
      <c r="E140" s="3">
        <v>2200</v>
      </c>
      <c r="F140" s="3">
        <v>86</v>
      </c>
      <c r="G140" s="3">
        <v>89</v>
      </c>
      <c r="H140" s="3">
        <v>3200</v>
      </c>
      <c r="I140" s="3">
        <v>94</v>
      </c>
      <c r="J140" s="3">
        <v>800</v>
      </c>
      <c r="K140" s="3">
        <v>366</v>
      </c>
    </row>
    <row r="141" spans="1:11" x14ac:dyDescent="0.2">
      <c r="A141" s="4" t="s">
        <v>170</v>
      </c>
      <c r="B141" s="3">
        <v>-35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3">
        <v>41</v>
      </c>
      <c r="J141" s="5">
        <v>0</v>
      </c>
      <c r="K141" s="3">
        <v>-18</v>
      </c>
    </row>
    <row r="142" spans="1:11" x14ac:dyDescent="0.2">
      <c r="A142" s="4" t="s">
        <v>169</v>
      </c>
      <c r="B142" s="3">
        <v>92</v>
      </c>
      <c r="C142" s="3">
        <v>-11</v>
      </c>
      <c r="D142" s="3">
        <v>62</v>
      </c>
      <c r="E142" s="3">
        <v>-263</v>
      </c>
      <c r="F142" s="3">
        <v>39</v>
      </c>
      <c r="G142" s="3">
        <v>201</v>
      </c>
      <c r="H142" s="3">
        <v>66</v>
      </c>
      <c r="I142" s="3">
        <v>121</v>
      </c>
      <c r="J142" s="3">
        <v>-1183</v>
      </c>
      <c r="K142" s="3">
        <v>0</v>
      </c>
    </row>
    <row r="143" spans="1:11" x14ac:dyDescent="0.2">
      <c r="A143" s="4" t="s">
        <v>168</v>
      </c>
      <c r="B143" s="3">
        <v>-786</v>
      </c>
      <c r="C143" s="3">
        <v>-2324</v>
      </c>
      <c r="D143" s="3">
        <v>-2419</v>
      </c>
      <c r="E143" s="3">
        <v>-3218</v>
      </c>
      <c r="F143" s="3">
        <v>-1281</v>
      </c>
      <c r="G143" s="3">
        <v>-1147</v>
      </c>
      <c r="H143" s="3">
        <v>-1147</v>
      </c>
      <c r="I143" s="3">
        <v>-6488</v>
      </c>
      <c r="J143" s="3">
        <v>-4283</v>
      </c>
      <c r="K143" s="3">
        <v>-2614</v>
      </c>
    </row>
    <row r="144" spans="1:11" x14ac:dyDescent="0.2">
      <c r="A144" s="4" t="s">
        <v>167</v>
      </c>
      <c r="B144" s="3">
        <v>-11</v>
      </c>
      <c r="C144" s="3">
        <v>-418</v>
      </c>
      <c r="D144" s="3">
        <v>50</v>
      </c>
      <c r="E144" s="3">
        <v>25</v>
      </c>
      <c r="F144" s="3">
        <v>-37</v>
      </c>
      <c r="G144" s="3">
        <v>-15</v>
      </c>
      <c r="H144" s="3">
        <v>70</v>
      </c>
      <c r="I144" s="3">
        <v>46</v>
      </c>
      <c r="J144" s="3">
        <v>-249</v>
      </c>
      <c r="K144" s="3">
        <v>15</v>
      </c>
    </row>
    <row r="145" spans="1:11" x14ac:dyDescent="0.2">
      <c r="A145" s="4" t="s">
        <v>166</v>
      </c>
      <c r="B145" s="3">
        <v>1094</v>
      </c>
      <c r="C145" s="3">
        <v>-937</v>
      </c>
      <c r="D145" s="3">
        <v>-1422</v>
      </c>
      <c r="E145" s="3">
        <v>1167</v>
      </c>
      <c r="F145" s="3">
        <v>1509</v>
      </c>
      <c r="G145" s="3">
        <v>2329</v>
      </c>
      <c r="H145" s="3">
        <v>3893</v>
      </c>
      <c r="I145" s="3">
        <v>-1019</v>
      </c>
      <c r="J145" s="3">
        <v>-1055</v>
      </c>
      <c r="K145" s="3">
        <v>3497</v>
      </c>
    </row>
    <row r="146" spans="1:11" x14ac:dyDescent="0.2">
      <c r="A146" s="6" t="s">
        <v>165</v>
      </c>
    </row>
    <row r="147" spans="1:11" x14ac:dyDescent="0.2">
      <c r="A147" s="4" t="s">
        <v>164</v>
      </c>
      <c r="B147" s="3">
        <v>109</v>
      </c>
      <c r="C147" s="3">
        <v>117</v>
      </c>
      <c r="D147" s="3">
        <v>123</v>
      </c>
      <c r="E147" s="3">
        <v>131</v>
      </c>
      <c r="F147" s="3">
        <v>143</v>
      </c>
      <c r="G147" s="3">
        <v>141</v>
      </c>
      <c r="H147" s="3">
        <v>124</v>
      </c>
      <c r="I147" s="3">
        <v>149</v>
      </c>
      <c r="J147" s="3">
        <v>145</v>
      </c>
      <c r="K147" s="3">
        <v>125</v>
      </c>
    </row>
    <row r="148" spans="1:11" x14ac:dyDescent="0.2">
      <c r="A148" s="4" t="s">
        <v>15</v>
      </c>
      <c r="B148" s="3">
        <v>869</v>
      </c>
      <c r="C148" s="3">
        <v>1186</v>
      </c>
      <c r="D148" s="3">
        <v>953</v>
      </c>
      <c r="E148" s="3">
        <v>1185</v>
      </c>
      <c r="F148" s="3">
        <v>1204</v>
      </c>
      <c r="G148" s="3">
        <v>1187</v>
      </c>
      <c r="H148" s="3">
        <v>1052</v>
      </c>
      <c r="I148" s="3">
        <v>1527</v>
      </c>
      <c r="J148" s="3">
        <v>1940</v>
      </c>
      <c r="K148" s="3">
        <v>2234</v>
      </c>
    </row>
    <row r="149" spans="1:11" x14ac:dyDescent="0.2">
      <c r="A149" s="6"/>
    </row>
    <row r="150" spans="1:11" x14ac:dyDescent="0.2">
      <c r="A150" s="7" t="s">
        <v>163</v>
      </c>
    </row>
    <row r="151" spans="1:11" x14ac:dyDescent="0.2">
      <c r="A151" s="4" t="s">
        <v>162</v>
      </c>
      <c r="B151" s="5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5">
        <v>0</v>
      </c>
      <c r="I151" s="3">
        <v>0</v>
      </c>
      <c r="J151" s="5">
        <v>0</v>
      </c>
      <c r="K151" s="5">
        <v>0</v>
      </c>
    </row>
    <row r="152" spans="1:11" x14ac:dyDescent="0.2">
      <c r="A152" s="4" t="s">
        <v>161</v>
      </c>
      <c r="B152" s="5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5">
        <v>0</v>
      </c>
      <c r="I152" s="3">
        <v>0</v>
      </c>
      <c r="J152" s="5">
        <v>0</v>
      </c>
      <c r="K152" s="5">
        <v>0</v>
      </c>
    </row>
    <row r="153" spans="1:11" x14ac:dyDescent="0.2">
      <c r="A153" s="4" t="s">
        <v>11</v>
      </c>
      <c r="B153" s="3">
        <v>1</v>
      </c>
      <c r="C153" s="3">
        <v>1</v>
      </c>
      <c r="D153" s="3">
        <v>1</v>
      </c>
      <c r="E153" s="3">
        <v>1</v>
      </c>
      <c r="F153" s="3">
        <v>1</v>
      </c>
      <c r="G153" s="3">
        <v>1</v>
      </c>
      <c r="H153" s="3">
        <v>1</v>
      </c>
      <c r="I153" s="3">
        <v>1</v>
      </c>
      <c r="J153" s="3">
        <v>1</v>
      </c>
      <c r="K153" s="3">
        <v>1</v>
      </c>
    </row>
    <row r="154" spans="1:11" x14ac:dyDescent="0.2">
      <c r="A154" s="4" t="s">
        <v>10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</row>
    <row r="155" spans="1:11" x14ac:dyDescent="0.2">
      <c r="A155" s="4" t="s">
        <v>160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</row>
    <row r="156" spans="1:11" x14ac:dyDescent="0.2">
      <c r="A156" s="4" t="s">
        <v>159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</row>
    <row r="157" spans="1:11" x14ac:dyDescent="0.2">
      <c r="A157" s="4" t="s">
        <v>158</v>
      </c>
      <c r="B157" s="3">
        <v>8.3149999999999995</v>
      </c>
      <c r="C157" s="3">
        <v>8.5269999999999992</v>
      </c>
      <c r="D157" s="3">
        <v>8.5719999999999992</v>
      </c>
      <c r="E157" s="3">
        <v>8.6289999999999996</v>
      </c>
      <c r="F157" s="3">
        <v>8.8290000000000006</v>
      </c>
      <c r="G157" s="3">
        <v>9.1150000000000002</v>
      </c>
      <c r="H157" s="3">
        <v>9.69</v>
      </c>
      <c r="I157" s="3">
        <v>9.9580000000000002</v>
      </c>
      <c r="J157" s="3">
        <v>10.279</v>
      </c>
      <c r="K157" s="3">
        <v>10.331</v>
      </c>
    </row>
    <row r="158" spans="1:11" x14ac:dyDescent="0.2">
      <c r="A158" s="4" t="s">
        <v>157</v>
      </c>
      <c r="B158" s="3">
        <v>524608927</v>
      </c>
      <c r="C158" s="3">
        <v>539960501</v>
      </c>
      <c r="D158" s="3">
        <v>605710308</v>
      </c>
      <c r="E158" s="3">
        <v>772854903</v>
      </c>
      <c r="F158" s="3">
        <v>580095823</v>
      </c>
      <c r="G158" s="3">
        <v>493131544</v>
      </c>
      <c r="H158" s="3">
        <v>694503412</v>
      </c>
      <c r="I158" s="3">
        <v>563097849</v>
      </c>
      <c r="J158" s="3">
        <v>622674527</v>
      </c>
      <c r="K158" s="3">
        <v>464830149</v>
      </c>
    </row>
    <row r="159" spans="1:11" x14ac:dyDescent="0.2">
      <c r="A159" s="4" t="s">
        <v>156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</row>
    <row r="160" spans="1:11" x14ac:dyDescent="0.2">
      <c r="A160" s="4" t="s">
        <v>155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</row>
    <row r="161" spans="1:11" x14ac:dyDescent="0.2">
      <c r="A161" s="4" t="s">
        <v>154</v>
      </c>
      <c r="B161" s="3">
        <v>1312</v>
      </c>
      <c r="C161" s="3">
        <v>1124</v>
      </c>
      <c r="D161" s="3">
        <v>1226</v>
      </c>
      <c r="E161" s="3">
        <v>123</v>
      </c>
      <c r="F161" s="3">
        <v>1735</v>
      </c>
      <c r="G161" s="3">
        <v>1147</v>
      </c>
      <c r="H161" s="3">
        <v>862</v>
      </c>
      <c r="I161" s="3">
        <v>183</v>
      </c>
      <c r="J161" s="3">
        <v>1341</v>
      </c>
      <c r="K161" s="3">
        <v>278</v>
      </c>
    </row>
    <row r="162" spans="1:11" x14ac:dyDescent="0.2">
      <c r="A162" s="4" t="s">
        <v>153</v>
      </c>
      <c r="B162" s="3">
        <v>1115</v>
      </c>
      <c r="C162" s="3">
        <v>1202</v>
      </c>
      <c r="D162" s="3">
        <v>130</v>
      </c>
      <c r="E162" s="3">
        <v>1733</v>
      </c>
      <c r="F162" s="3">
        <v>1127</v>
      </c>
      <c r="G162" s="3">
        <v>1338</v>
      </c>
      <c r="H162" s="3">
        <v>161</v>
      </c>
      <c r="I162" s="3">
        <v>1196</v>
      </c>
      <c r="J162" s="3">
        <v>390</v>
      </c>
      <c r="K162" s="3">
        <v>176</v>
      </c>
    </row>
    <row r="163" spans="1:11" x14ac:dyDescent="0.2">
      <c r="A163" s="4" t="s">
        <v>152</v>
      </c>
      <c r="B163" s="3">
        <v>1208</v>
      </c>
      <c r="C163" s="3">
        <v>106</v>
      </c>
      <c r="D163" s="3">
        <v>1729</v>
      </c>
      <c r="E163" s="3">
        <v>1124</v>
      </c>
      <c r="F163" s="3">
        <v>1336</v>
      </c>
      <c r="G163" s="3">
        <v>133</v>
      </c>
      <c r="H163" s="3">
        <v>1177</v>
      </c>
      <c r="I163" s="3">
        <v>295</v>
      </c>
      <c r="J163" s="3">
        <v>200</v>
      </c>
      <c r="K163" s="3">
        <v>2341</v>
      </c>
    </row>
    <row r="164" spans="1:11" x14ac:dyDescent="0.2">
      <c r="A164" s="4" t="s">
        <v>151</v>
      </c>
      <c r="B164" s="3">
        <v>113</v>
      </c>
      <c r="C164" s="3">
        <v>1722</v>
      </c>
      <c r="D164" s="3">
        <v>132</v>
      </c>
      <c r="E164" s="3">
        <v>1333</v>
      </c>
      <c r="F164" s="3">
        <v>126</v>
      </c>
      <c r="G164" s="3">
        <v>1152</v>
      </c>
      <c r="H164" s="3">
        <v>276</v>
      </c>
      <c r="I164" s="3">
        <v>174</v>
      </c>
      <c r="J164" s="3">
        <v>2338</v>
      </c>
      <c r="K164" s="3">
        <v>92</v>
      </c>
    </row>
    <row r="165" spans="1:11" x14ac:dyDescent="0.2">
      <c r="A165" s="4" t="s">
        <v>150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</row>
    <row r="166" spans="1:11" x14ac:dyDescent="0.2">
      <c r="A166" s="4" t="s">
        <v>149</v>
      </c>
      <c r="B166" s="3">
        <v>186</v>
      </c>
      <c r="C166" s="3">
        <v>286</v>
      </c>
      <c r="D166" s="3">
        <v>364</v>
      </c>
      <c r="E166" s="3">
        <v>380</v>
      </c>
      <c r="F166" s="3">
        <v>397</v>
      </c>
      <c r="G166" s="3">
        <v>395</v>
      </c>
      <c r="H166" s="3">
        <v>0</v>
      </c>
      <c r="I166" s="3">
        <v>0</v>
      </c>
      <c r="J166" s="3">
        <v>1383</v>
      </c>
      <c r="K166" s="3">
        <v>1303</v>
      </c>
    </row>
    <row r="167" spans="1:11" x14ac:dyDescent="0.2">
      <c r="A167" s="4" t="s">
        <v>148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-29</v>
      </c>
      <c r="H167" s="3">
        <v>-48</v>
      </c>
      <c r="I167" s="3">
        <v>-40</v>
      </c>
      <c r="J167" s="3">
        <v>-33</v>
      </c>
      <c r="K167" s="3">
        <v>-26</v>
      </c>
    </row>
    <row r="168" spans="1:11" x14ac:dyDescent="0.2">
      <c r="A168" s="4" t="s">
        <v>9</v>
      </c>
      <c r="B168" s="3">
        <v>1.33</v>
      </c>
      <c r="C168" s="3">
        <v>6.51</v>
      </c>
      <c r="D168" s="3">
        <v>1.7</v>
      </c>
      <c r="E168" s="3">
        <v>8.9</v>
      </c>
      <c r="F168" s="3">
        <v>2.14</v>
      </c>
      <c r="G168" s="3">
        <v>2.44</v>
      </c>
      <c r="H168" s="3">
        <v>2.7</v>
      </c>
      <c r="I168" s="3">
        <v>12.98</v>
      </c>
      <c r="J168" s="3">
        <v>3.38</v>
      </c>
      <c r="K168" s="3">
        <v>3.84</v>
      </c>
    </row>
    <row r="169" spans="1:11" x14ac:dyDescent="0.2">
      <c r="A169" s="4" t="s">
        <v>8</v>
      </c>
      <c r="B169" s="3">
        <v>584</v>
      </c>
      <c r="C169" s="3">
        <v>2865</v>
      </c>
      <c r="D169" s="3">
        <v>746</v>
      </c>
      <c r="E169" s="3">
        <v>3945</v>
      </c>
      <c r="F169" s="3">
        <v>936</v>
      </c>
      <c r="G169" s="3">
        <v>1057</v>
      </c>
      <c r="H169" s="3">
        <v>1193</v>
      </c>
      <c r="I169" s="3">
        <v>5748</v>
      </c>
      <c r="J169" s="3">
        <v>1498</v>
      </c>
      <c r="K169" s="3">
        <v>1698</v>
      </c>
    </row>
    <row r="170" spans="1:11" x14ac:dyDescent="0.2">
      <c r="A170" s="4" t="s">
        <v>7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</row>
    <row r="171" spans="1:11" x14ac:dyDescent="0.2">
      <c r="A171" s="4" t="s">
        <v>147</v>
      </c>
      <c r="B171" s="3">
        <v>195</v>
      </c>
      <c r="C171" s="3">
        <v>205</v>
      </c>
      <c r="D171" s="3">
        <v>218</v>
      </c>
      <c r="E171" s="3">
        <v>231</v>
      </c>
      <c r="F171" s="3">
        <v>245</v>
      </c>
      <c r="G171" s="3">
        <v>254</v>
      </c>
      <c r="H171" s="3">
        <v>273</v>
      </c>
      <c r="I171" s="3">
        <v>288</v>
      </c>
      <c r="J171" s="3">
        <v>304</v>
      </c>
      <c r="K171" s="3">
        <v>316</v>
      </c>
    </row>
    <row r="172" spans="1:11" x14ac:dyDescent="0.2">
      <c r="A172" s="4" t="s">
        <v>146</v>
      </c>
      <c r="B172" s="3">
        <v>33024</v>
      </c>
      <c r="C172" s="3">
        <v>33440</v>
      </c>
      <c r="D172" s="3">
        <v>33163</v>
      </c>
      <c r="E172" s="3">
        <v>36347</v>
      </c>
      <c r="F172" s="3">
        <v>40830</v>
      </c>
      <c r="G172" s="3">
        <v>45400</v>
      </c>
      <c r="H172" s="3">
        <v>55556</v>
      </c>
      <c r="I172" s="3">
        <v>59268</v>
      </c>
      <c r="J172" s="3">
        <v>64166</v>
      </c>
      <c r="K172" s="3">
        <v>68994</v>
      </c>
    </row>
    <row r="173" spans="1:11" x14ac:dyDescent="0.2">
      <c r="A173" s="4" t="s">
        <v>145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</row>
    <row r="174" spans="1:11" x14ac:dyDescent="0.2">
      <c r="A174" s="4" t="s">
        <v>144</v>
      </c>
      <c r="B174" s="3">
        <v>26</v>
      </c>
      <c r="C174" s="3">
        <v>47</v>
      </c>
      <c r="D174" s="3">
        <v>28</v>
      </c>
      <c r="E174" s="3">
        <v>-5</v>
      </c>
      <c r="F174" s="3">
        <v>23</v>
      </c>
      <c r="G174" s="3">
        <v>27</v>
      </c>
      <c r="H174" s="3">
        <v>7</v>
      </c>
      <c r="I174" s="3">
        <v>56</v>
      </c>
      <c r="J174" s="3">
        <v>106</v>
      </c>
      <c r="K174" s="3">
        <v>29</v>
      </c>
    </row>
    <row r="175" spans="1:11" x14ac:dyDescent="0.2">
      <c r="A175" s="4" t="s">
        <v>143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3">
        <v>0</v>
      </c>
      <c r="I175" s="3">
        <v>0</v>
      </c>
      <c r="J175" s="3">
        <v>0</v>
      </c>
      <c r="K175" s="3">
        <v>0</v>
      </c>
    </row>
    <row r="176" spans="1:11" x14ac:dyDescent="0.2">
      <c r="A176" s="4" t="s">
        <v>142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</row>
    <row r="177" spans="1:11" x14ac:dyDescent="0.2">
      <c r="A177" s="4" t="s">
        <v>141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</row>
    <row r="178" spans="1:11" x14ac:dyDescent="0.2">
      <c r="A178" s="4" t="s">
        <v>61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</row>
    <row r="179" spans="1:11" x14ac:dyDescent="0.2">
      <c r="A179" s="4" t="s">
        <v>140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</row>
    <row r="180" spans="1:11" x14ac:dyDescent="0.2">
      <c r="A180" s="4" t="s">
        <v>139</v>
      </c>
      <c r="B180" s="3">
        <v>109</v>
      </c>
      <c r="C180" s="3">
        <v>82</v>
      </c>
      <c r="D180" s="5">
        <v>0</v>
      </c>
      <c r="E180" s="3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</row>
    <row r="181" spans="1:11" x14ac:dyDescent="0.2">
      <c r="A181" s="4" t="s">
        <v>138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</row>
    <row r="182" spans="1:11" x14ac:dyDescent="0.2">
      <c r="A182" s="4" t="s">
        <v>137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</row>
    <row r="183" spans="1:11" x14ac:dyDescent="0.2">
      <c r="A183" s="4" t="s">
        <v>6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</row>
    <row r="184" spans="1:11" x14ac:dyDescent="0.2">
      <c r="A184" s="4" t="s">
        <v>5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</row>
    <row r="185" spans="1:11" x14ac:dyDescent="0.2">
      <c r="A185" s="4" t="s">
        <v>136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3">
        <v>3380</v>
      </c>
      <c r="I185" s="3">
        <v>3890</v>
      </c>
      <c r="J185" s="3">
        <v>4394</v>
      </c>
      <c r="K185" s="3">
        <v>4038</v>
      </c>
    </row>
    <row r="186" spans="1:11" x14ac:dyDescent="0.2">
      <c r="A186" s="4" t="s">
        <v>4</v>
      </c>
      <c r="B186" s="3">
        <v>141.75</v>
      </c>
      <c r="C186" s="3">
        <v>161.5</v>
      </c>
      <c r="D186" s="3">
        <v>160.11000000000001</v>
      </c>
      <c r="E186" s="3">
        <v>186.12</v>
      </c>
      <c r="F186" s="3">
        <v>203.71</v>
      </c>
      <c r="G186" s="3">
        <v>293.92</v>
      </c>
      <c r="H186" s="3">
        <v>376.78</v>
      </c>
      <c r="I186" s="3">
        <v>567.70000000000005</v>
      </c>
      <c r="J186" s="3">
        <v>456.5</v>
      </c>
      <c r="K186" s="3">
        <v>660.08</v>
      </c>
    </row>
    <row r="187" spans="1:11" x14ac:dyDescent="0.2">
      <c r="A187" s="4" t="s">
        <v>135</v>
      </c>
      <c r="B187" s="3">
        <v>146.82</v>
      </c>
      <c r="C187" s="3">
        <v>169.73</v>
      </c>
      <c r="D187" s="3">
        <v>169.59</v>
      </c>
      <c r="E187" s="3">
        <v>195.35</v>
      </c>
      <c r="F187" s="3">
        <v>245.16</v>
      </c>
      <c r="G187" s="3">
        <v>307.33999999999997</v>
      </c>
      <c r="H187" s="3">
        <v>393.15</v>
      </c>
      <c r="I187" s="3">
        <v>571.48990000000003</v>
      </c>
      <c r="J187" s="3">
        <v>612.27</v>
      </c>
      <c r="K187" s="3">
        <v>681.91</v>
      </c>
    </row>
    <row r="188" spans="1:11" x14ac:dyDescent="0.2">
      <c r="A188" s="4" t="s">
        <v>134</v>
      </c>
      <c r="B188" s="3">
        <v>109.5</v>
      </c>
      <c r="C188" s="3">
        <v>117.03</v>
      </c>
      <c r="D188" s="3">
        <v>138.57</v>
      </c>
      <c r="E188" s="3">
        <v>150</v>
      </c>
      <c r="F188" s="3">
        <v>175.79</v>
      </c>
      <c r="G188" s="3">
        <v>199.85</v>
      </c>
      <c r="H188" s="3">
        <v>271.27999999999997</v>
      </c>
      <c r="I188" s="3">
        <v>307</v>
      </c>
      <c r="J188" s="3">
        <v>406.51010000000002</v>
      </c>
      <c r="K188" s="3">
        <v>447.9</v>
      </c>
    </row>
    <row r="189" spans="1:11" x14ac:dyDescent="0.2">
      <c r="A189" s="4" t="s">
        <v>3</v>
      </c>
      <c r="B189" s="3">
        <v>121.08</v>
      </c>
      <c r="C189" s="3">
        <v>140.05000000000001</v>
      </c>
      <c r="D189" s="3">
        <v>162.09</v>
      </c>
      <c r="E189" s="3">
        <v>156.74</v>
      </c>
      <c r="F189" s="3">
        <v>233.13</v>
      </c>
      <c r="G189" s="3">
        <v>294.76</v>
      </c>
      <c r="H189" s="3">
        <v>347.66</v>
      </c>
      <c r="I189" s="3">
        <v>455.49</v>
      </c>
      <c r="J189" s="3">
        <v>522.1</v>
      </c>
      <c r="K189" s="3">
        <v>549.28</v>
      </c>
    </row>
    <row r="190" spans="1:11" x14ac:dyDescent="0.2">
      <c r="A190" s="4" t="s">
        <v>2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</row>
    <row r="191" spans="1:11" x14ac:dyDescent="0.2">
      <c r="A191" s="4" t="s">
        <v>133</v>
      </c>
      <c r="B191" s="3">
        <v>196</v>
      </c>
      <c r="C191" s="3">
        <v>187</v>
      </c>
      <c r="D191" s="3">
        <v>200</v>
      </c>
      <c r="E191" s="3">
        <v>216</v>
      </c>
      <c r="F191" s="3">
        <v>227</v>
      </c>
      <c r="G191" s="3">
        <v>239</v>
      </c>
      <c r="H191" s="3">
        <v>273</v>
      </c>
      <c r="I191" s="3">
        <v>260</v>
      </c>
      <c r="J191" s="3">
        <v>277</v>
      </c>
      <c r="K191" s="3">
        <v>277</v>
      </c>
    </row>
    <row r="192" spans="1:11" x14ac:dyDescent="0.2">
      <c r="A192" s="4" t="s">
        <v>132</v>
      </c>
      <c r="B192" s="3">
        <v>194</v>
      </c>
      <c r="C192" s="3">
        <v>183</v>
      </c>
      <c r="D192" s="3">
        <v>195</v>
      </c>
      <c r="E192" s="3">
        <v>223</v>
      </c>
      <c r="F192" s="3">
        <v>214</v>
      </c>
      <c r="G192" s="3">
        <v>229</v>
      </c>
      <c r="H192" s="3">
        <v>253</v>
      </c>
      <c r="I192" s="3">
        <v>273</v>
      </c>
      <c r="J192" s="3">
        <v>256</v>
      </c>
      <c r="K192" s="3">
        <v>230</v>
      </c>
    </row>
    <row r="193" spans="1:11" x14ac:dyDescent="0.2">
      <c r="A193" s="4" t="s">
        <v>131</v>
      </c>
      <c r="B193" s="3">
        <v>188</v>
      </c>
      <c r="C193" s="3">
        <v>176</v>
      </c>
      <c r="D193" s="3">
        <v>184</v>
      </c>
      <c r="E193" s="3">
        <v>206</v>
      </c>
      <c r="F193" s="3">
        <v>193</v>
      </c>
      <c r="G193" s="3">
        <v>202</v>
      </c>
      <c r="H193" s="3">
        <v>246</v>
      </c>
      <c r="I193" s="3">
        <v>232</v>
      </c>
      <c r="J193" s="3">
        <v>210</v>
      </c>
      <c r="K193" s="3">
        <v>226</v>
      </c>
    </row>
    <row r="194" spans="1:11" x14ac:dyDescent="0.2">
      <c r="A194" s="4" t="s">
        <v>130</v>
      </c>
      <c r="B194" s="3">
        <v>182</v>
      </c>
      <c r="C194" s="3">
        <v>166</v>
      </c>
      <c r="D194" s="3">
        <v>171</v>
      </c>
      <c r="E194" s="3">
        <v>177</v>
      </c>
      <c r="F194" s="3">
        <v>183</v>
      </c>
      <c r="G194" s="3">
        <v>193</v>
      </c>
      <c r="H194" s="3">
        <v>212</v>
      </c>
      <c r="I194" s="3">
        <v>191</v>
      </c>
      <c r="J194" s="3">
        <v>207</v>
      </c>
      <c r="K194" s="3">
        <v>206</v>
      </c>
    </row>
    <row r="195" spans="1:11" x14ac:dyDescent="0.2">
      <c r="A195" s="4" t="s">
        <v>129</v>
      </c>
      <c r="B195" s="3">
        <v>171</v>
      </c>
      <c r="C195" s="3">
        <v>155</v>
      </c>
      <c r="D195" s="3">
        <v>166</v>
      </c>
      <c r="E195" s="3">
        <v>168</v>
      </c>
      <c r="F195" s="3">
        <v>175</v>
      </c>
      <c r="G195" s="3">
        <v>181</v>
      </c>
      <c r="H195" s="3">
        <v>176</v>
      </c>
      <c r="I195" s="3">
        <v>192</v>
      </c>
      <c r="J195" s="3">
        <v>186</v>
      </c>
      <c r="K195" s="3">
        <v>191</v>
      </c>
    </row>
    <row r="196" spans="1:11" x14ac:dyDescent="0.2">
      <c r="A196" s="4" t="s">
        <v>1</v>
      </c>
      <c r="B196" s="3">
        <v>230</v>
      </c>
      <c r="C196" s="3">
        <v>252</v>
      </c>
      <c r="D196" s="3">
        <v>250</v>
      </c>
      <c r="E196" s="3">
        <v>258</v>
      </c>
      <c r="F196" s="3">
        <v>265</v>
      </c>
      <c r="G196" s="3">
        <v>268</v>
      </c>
      <c r="H196" s="3">
        <v>339</v>
      </c>
      <c r="I196" s="3">
        <v>447</v>
      </c>
      <c r="J196" s="3">
        <v>454</v>
      </c>
      <c r="K196" s="3">
        <v>469</v>
      </c>
    </row>
    <row r="197" spans="1:11" x14ac:dyDescent="0.2">
      <c r="A197" s="4" t="s">
        <v>128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</row>
    <row r="198" spans="1:11" x14ac:dyDescent="0.2">
      <c r="A198" s="4" t="s">
        <v>0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</row>
    <row r="199" spans="1:11" x14ac:dyDescent="0.2">
      <c r="A199" s="4" t="s">
        <v>127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</row>
    <row r="200" spans="1:11" x14ac:dyDescent="0.2">
      <c r="A200" s="4" t="s">
        <v>126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</row>
    <row r="201" spans="1:11" x14ac:dyDescent="0.2">
      <c r="A201" s="4" t="s">
        <v>125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</row>
    <row r="202" spans="1:11" x14ac:dyDescent="0.2">
      <c r="A202" s="4" t="s">
        <v>124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</row>
    <row r="203" spans="1:11" x14ac:dyDescent="0.2">
      <c r="A203" s="6"/>
    </row>
    <row r="204" spans="1:11" x14ac:dyDescent="0.2">
      <c r="A204" s="7" t="s">
        <v>123</v>
      </c>
    </row>
    <row r="205" spans="1:11" x14ac:dyDescent="0.2">
      <c r="A205" s="4" t="s">
        <v>122</v>
      </c>
      <c r="B205" s="3">
        <v>1044</v>
      </c>
      <c r="C205" s="3">
        <v>1105</v>
      </c>
      <c r="D205" s="3">
        <v>1124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</row>
    <row r="206" spans="1:11" x14ac:dyDescent="0.2">
      <c r="A206" s="4" t="s">
        <v>121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</row>
    <row r="207" spans="1:11" x14ac:dyDescent="0.2">
      <c r="A207" s="4" t="s">
        <v>120</v>
      </c>
      <c r="B207" s="3">
        <v>104</v>
      </c>
      <c r="C207" s="3">
        <v>119</v>
      </c>
      <c r="D207" s="3">
        <v>128</v>
      </c>
      <c r="E207" s="3">
        <v>1432</v>
      </c>
      <c r="F207" s="3">
        <v>1669</v>
      </c>
      <c r="G207" s="3">
        <v>1535</v>
      </c>
      <c r="H207" s="3">
        <v>1550</v>
      </c>
      <c r="I207" s="3">
        <v>1803</v>
      </c>
      <c r="J207" s="3">
        <v>2241</v>
      </c>
      <c r="K207" s="3">
        <v>2285</v>
      </c>
    </row>
    <row r="208" spans="1:11" x14ac:dyDescent="0.2">
      <c r="A208" s="4" t="s">
        <v>84</v>
      </c>
      <c r="B208" s="3">
        <v>1148</v>
      </c>
      <c r="C208" s="3">
        <v>1224</v>
      </c>
      <c r="D208" s="3">
        <v>1252</v>
      </c>
      <c r="E208" s="3">
        <v>1432</v>
      </c>
      <c r="F208" s="3">
        <v>1669</v>
      </c>
      <c r="G208" s="3">
        <v>1535</v>
      </c>
      <c r="H208" s="3">
        <v>1550</v>
      </c>
      <c r="I208" s="3">
        <v>1803</v>
      </c>
      <c r="J208" s="3">
        <v>2241</v>
      </c>
      <c r="K208" s="3">
        <v>2285</v>
      </c>
    </row>
    <row r="209" spans="1:11" x14ac:dyDescent="0.2">
      <c r="A209" s="4" t="s">
        <v>119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</row>
    <row r="210" spans="1:11" x14ac:dyDescent="0.2">
      <c r="A210" s="4" t="s">
        <v>118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</row>
    <row r="211" spans="1:11" x14ac:dyDescent="0.2">
      <c r="A211" s="4" t="s">
        <v>117</v>
      </c>
      <c r="B211" s="3">
        <v>8456</v>
      </c>
      <c r="C211" s="3">
        <v>8908</v>
      </c>
      <c r="D211" s="3">
        <v>8969</v>
      </c>
      <c r="E211" s="3">
        <v>9834</v>
      </c>
      <c r="F211" s="3">
        <v>11040</v>
      </c>
      <c r="G211" s="3">
        <v>11395</v>
      </c>
      <c r="H211" s="3">
        <v>12242</v>
      </c>
      <c r="I211" s="3">
        <v>14215</v>
      </c>
      <c r="J211" s="3">
        <v>17907</v>
      </c>
      <c r="K211" s="3">
        <v>16651</v>
      </c>
    </row>
    <row r="212" spans="1:11" x14ac:dyDescent="0.2">
      <c r="A212" s="4" t="s">
        <v>116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</row>
    <row r="213" spans="1:11" x14ac:dyDescent="0.2">
      <c r="A213" s="4" t="s">
        <v>83</v>
      </c>
      <c r="B213" s="3">
        <v>8456</v>
      </c>
      <c r="C213" s="3">
        <v>8908</v>
      </c>
      <c r="D213" s="3">
        <v>8969</v>
      </c>
      <c r="E213" s="3">
        <v>9834</v>
      </c>
      <c r="F213" s="3">
        <v>11040</v>
      </c>
      <c r="G213" s="3">
        <v>11395</v>
      </c>
      <c r="H213" s="3">
        <v>12242</v>
      </c>
      <c r="I213" s="3">
        <v>14215</v>
      </c>
      <c r="J213" s="3">
        <v>17907</v>
      </c>
      <c r="K213" s="3">
        <v>16651</v>
      </c>
    </row>
    <row r="214" spans="1:11" x14ac:dyDescent="0.2">
      <c r="A214" s="4" t="s">
        <v>115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</row>
    <row r="215" spans="1:11" x14ac:dyDescent="0.2">
      <c r="A215" s="4" t="s">
        <v>114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</row>
    <row r="216" spans="1:11" x14ac:dyDescent="0.2">
      <c r="A216" s="4" t="s">
        <v>113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</row>
    <row r="217" spans="1:11" x14ac:dyDescent="0.2">
      <c r="A217" s="4" t="s">
        <v>112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</row>
    <row r="218" spans="1:11" x14ac:dyDescent="0.2">
      <c r="A218" s="4" t="s">
        <v>111</v>
      </c>
      <c r="B218" s="3">
        <v>4596</v>
      </c>
      <c r="C218" s="3">
        <v>4396</v>
      </c>
      <c r="D218" s="3">
        <v>3290</v>
      </c>
      <c r="E218" s="3">
        <v>5957</v>
      </c>
      <c r="F218" s="3">
        <v>5964</v>
      </c>
      <c r="G218" s="3">
        <v>4301</v>
      </c>
      <c r="H218" s="3">
        <v>7562</v>
      </c>
      <c r="I218" s="3">
        <v>6732</v>
      </c>
      <c r="J218" s="3">
        <v>6517</v>
      </c>
      <c r="K218" s="3">
        <v>5403</v>
      </c>
    </row>
    <row r="219" spans="1:11" x14ac:dyDescent="0.2">
      <c r="A219" s="4" t="s">
        <v>110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</row>
    <row r="220" spans="1:11" x14ac:dyDescent="0.2">
      <c r="A220" s="4" t="s">
        <v>109</v>
      </c>
      <c r="B220" s="3">
        <v>497</v>
      </c>
      <c r="C220" s="3">
        <v>468</v>
      </c>
      <c r="D220" s="3">
        <v>771</v>
      </c>
      <c r="E220" s="3">
        <v>702</v>
      </c>
      <c r="F220" s="3">
        <v>613</v>
      </c>
      <c r="G220" s="3">
        <v>852</v>
      </c>
      <c r="H220" s="3">
        <v>2558</v>
      </c>
      <c r="I220" s="3">
        <v>2642</v>
      </c>
      <c r="J220" s="3">
        <v>2482</v>
      </c>
      <c r="K220" s="3">
        <v>2426</v>
      </c>
    </row>
    <row r="221" spans="1:11" x14ac:dyDescent="0.2">
      <c r="A221" s="4" t="s">
        <v>108</v>
      </c>
      <c r="B221" s="3">
        <v>186</v>
      </c>
      <c r="C221" s="3">
        <v>286</v>
      </c>
      <c r="D221" s="3">
        <v>364</v>
      </c>
      <c r="E221" s="3">
        <v>380</v>
      </c>
      <c r="F221" s="3">
        <v>397</v>
      </c>
      <c r="G221" s="3">
        <v>395</v>
      </c>
      <c r="H221" s="3">
        <v>657</v>
      </c>
      <c r="I221" s="3">
        <v>980</v>
      </c>
      <c r="J221" s="3">
        <v>1383</v>
      </c>
      <c r="K221" s="3">
        <v>1303</v>
      </c>
    </row>
    <row r="222" spans="1:11" x14ac:dyDescent="0.2">
      <c r="A222" s="4" t="s">
        <v>107</v>
      </c>
      <c r="B222" s="3">
        <v>5279</v>
      </c>
      <c r="C222" s="3">
        <v>5150</v>
      </c>
      <c r="D222" s="3">
        <v>4425</v>
      </c>
      <c r="E222" s="3">
        <v>6946</v>
      </c>
      <c r="F222" s="3">
        <v>6877</v>
      </c>
      <c r="G222" s="3">
        <v>5519</v>
      </c>
      <c r="H222" s="3">
        <v>10729</v>
      </c>
      <c r="I222" s="3">
        <v>10314</v>
      </c>
      <c r="J222" s="3">
        <v>10349</v>
      </c>
      <c r="K222" s="3">
        <v>9106</v>
      </c>
    </row>
    <row r="223" spans="1:11" x14ac:dyDescent="0.2">
      <c r="A223" s="6" t="s">
        <v>106</v>
      </c>
    </row>
    <row r="224" spans="1:11" x14ac:dyDescent="0.2">
      <c r="A224" s="4" t="s">
        <v>104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</row>
    <row r="225" spans="1:11" x14ac:dyDescent="0.2">
      <c r="A225" s="4" t="s">
        <v>22</v>
      </c>
      <c r="B225" s="3">
        <v>1993</v>
      </c>
      <c r="C225" s="3">
        <v>2393</v>
      </c>
      <c r="D225" s="3">
        <v>2649</v>
      </c>
      <c r="E225" s="3">
        <v>2502</v>
      </c>
      <c r="F225" s="3">
        <v>2969</v>
      </c>
      <c r="G225" s="3">
        <v>2998</v>
      </c>
      <c r="H225" s="3">
        <v>2810</v>
      </c>
      <c r="I225" s="3">
        <v>3588</v>
      </c>
      <c r="J225" s="3">
        <v>3891</v>
      </c>
      <c r="K225" s="3">
        <v>4323</v>
      </c>
    </row>
    <row r="226" spans="1:11" x14ac:dyDescent="0.2">
      <c r="A226" s="4" t="s">
        <v>101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</row>
    <row r="227" spans="1:11" x14ac:dyDescent="0.2">
      <c r="A227" s="4" t="s">
        <v>100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</row>
    <row r="228" spans="1:11" x14ac:dyDescent="0.2">
      <c r="A228" s="4" t="s">
        <v>99</v>
      </c>
      <c r="B228" s="3">
        <v>22675</v>
      </c>
      <c r="C228" s="3">
        <v>23664</v>
      </c>
      <c r="D228" s="3">
        <v>26167</v>
      </c>
      <c r="E228" s="3">
        <v>28341</v>
      </c>
      <c r="F228" s="3">
        <v>30714</v>
      </c>
      <c r="G228" s="3">
        <v>32626</v>
      </c>
      <c r="H228" s="3">
        <v>38083</v>
      </c>
      <c r="I228" s="3">
        <v>41548</v>
      </c>
      <c r="J228" s="3">
        <v>44326</v>
      </c>
      <c r="K228" s="3">
        <v>47407</v>
      </c>
    </row>
    <row r="229" spans="1:11" x14ac:dyDescent="0.2">
      <c r="A229" s="6" t="s">
        <v>105</v>
      </c>
    </row>
    <row r="230" spans="1:11" x14ac:dyDescent="0.2">
      <c r="A230" s="4" t="s">
        <v>104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</row>
    <row r="231" spans="1:11" x14ac:dyDescent="0.2">
      <c r="A231" s="4" t="s">
        <v>103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</row>
    <row r="232" spans="1:11" x14ac:dyDescent="0.2">
      <c r="A232" s="4" t="s">
        <v>102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</row>
    <row r="233" spans="1:11" x14ac:dyDescent="0.2">
      <c r="A233" s="4" t="s">
        <v>101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</row>
    <row r="234" spans="1:11" x14ac:dyDescent="0.2">
      <c r="A234" s="4" t="s">
        <v>100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</row>
    <row r="235" spans="1:11" x14ac:dyDescent="0.2">
      <c r="A235" s="4" t="s">
        <v>99</v>
      </c>
      <c r="B235" s="3">
        <v>7845</v>
      </c>
      <c r="C235" s="3">
        <v>8263</v>
      </c>
      <c r="D235" s="3">
        <v>9124</v>
      </c>
      <c r="E235" s="3">
        <v>10180</v>
      </c>
      <c r="F235" s="3">
        <v>11033</v>
      </c>
      <c r="G235" s="3">
        <v>11736</v>
      </c>
      <c r="H235" s="3">
        <v>12896</v>
      </c>
      <c r="I235" s="3">
        <v>14166</v>
      </c>
      <c r="J235" s="3">
        <v>15286</v>
      </c>
      <c r="K235" s="3">
        <v>16685</v>
      </c>
    </row>
    <row r="236" spans="1:11" x14ac:dyDescent="0.2">
      <c r="A236" s="4" t="s">
        <v>98</v>
      </c>
      <c r="B236" s="3">
        <v>-105</v>
      </c>
      <c r="C236" s="3">
        <v>-12</v>
      </c>
      <c r="D236" s="3">
        <v>233</v>
      </c>
      <c r="E236" s="3">
        <v>7</v>
      </c>
      <c r="F236" s="3">
        <v>-35</v>
      </c>
      <c r="G236" s="3">
        <v>222</v>
      </c>
      <c r="H236" s="3">
        <v>77</v>
      </c>
      <c r="I236" s="3">
        <v>84</v>
      </c>
      <c r="J236" s="3">
        <v>-35</v>
      </c>
      <c r="K236" s="3">
        <v>33</v>
      </c>
    </row>
    <row r="237" spans="1:11" x14ac:dyDescent="0.2">
      <c r="A237" s="4" t="s">
        <v>97</v>
      </c>
      <c r="B237" s="3">
        <v>45</v>
      </c>
      <c r="C237" s="3">
        <v>-90</v>
      </c>
      <c r="D237" s="3">
        <v>15</v>
      </c>
      <c r="E237" s="3">
        <v>-42</v>
      </c>
      <c r="F237" s="3">
        <v>-37</v>
      </c>
      <c r="G237" s="3">
        <v>-98</v>
      </c>
      <c r="H237" s="3">
        <v>5</v>
      </c>
      <c r="I237" s="3">
        <v>-34</v>
      </c>
      <c r="J237" s="3">
        <v>-17</v>
      </c>
      <c r="K237" s="3">
        <v>-10</v>
      </c>
    </row>
    <row r="238" spans="1:11" x14ac:dyDescent="0.2">
      <c r="A238" s="4" t="s">
        <v>96</v>
      </c>
      <c r="B238" s="3">
        <v>-3</v>
      </c>
      <c r="C238" s="3">
        <v>1</v>
      </c>
      <c r="D238" s="3">
        <v>21</v>
      </c>
      <c r="E238" s="3">
        <v>8</v>
      </c>
      <c r="F238" s="3">
        <v>22</v>
      </c>
      <c r="G238" s="3">
        <v>26</v>
      </c>
      <c r="H238" s="3">
        <v>8</v>
      </c>
      <c r="I238" s="3">
        <v>11</v>
      </c>
      <c r="J238" s="3">
        <v>-5</v>
      </c>
      <c r="K238" s="3">
        <v>10</v>
      </c>
    </row>
    <row r="239" spans="1:11" x14ac:dyDescent="0.2">
      <c r="A239" s="4" t="s">
        <v>95</v>
      </c>
      <c r="B239" s="3">
        <v>696</v>
      </c>
      <c r="C239" s="3">
        <v>766</v>
      </c>
      <c r="D239" s="3">
        <v>468</v>
      </c>
      <c r="E239" s="3">
        <v>802</v>
      </c>
      <c r="F239" s="3">
        <v>636</v>
      </c>
      <c r="G239" s="3">
        <v>328</v>
      </c>
      <c r="H239" s="3">
        <v>616</v>
      </c>
      <c r="I239" s="3">
        <v>718</v>
      </c>
      <c r="J239" s="3">
        <v>798</v>
      </c>
      <c r="K239" s="3">
        <v>1056</v>
      </c>
    </row>
    <row r="240" spans="1:11" x14ac:dyDescent="0.2">
      <c r="A240" s="4" t="s">
        <v>94</v>
      </c>
      <c r="B240" s="3">
        <v>369</v>
      </c>
      <c r="C240" s="3">
        <v>399</v>
      </c>
      <c r="D240" s="3">
        <v>398</v>
      </c>
      <c r="E240" s="3">
        <v>389</v>
      </c>
      <c r="F240" s="3">
        <v>487</v>
      </c>
      <c r="G240" s="3">
        <v>405</v>
      </c>
      <c r="H240" s="3">
        <v>372</v>
      </c>
      <c r="I240" s="3">
        <v>557</v>
      </c>
      <c r="J240" s="3">
        <v>851</v>
      </c>
      <c r="K240" s="3">
        <v>732</v>
      </c>
    </row>
    <row r="241" spans="1:11" x14ac:dyDescent="0.2">
      <c r="A241" s="4" t="s">
        <v>93</v>
      </c>
      <c r="B241" s="3">
        <v>107</v>
      </c>
      <c r="C241" s="3">
        <v>131</v>
      </c>
      <c r="D241" s="3">
        <v>108</v>
      </c>
      <c r="E241" s="3">
        <v>161</v>
      </c>
      <c r="F241" s="3">
        <v>190</v>
      </c>
      <c r="G241" s="3">
        <v>178</v>
      </c>
      <c r="H241" s="3">
        <v>230</v>
      </c>
      <c r="I241" s="3">
        <v>265</v>
      </c>
      <c r="J241" s="3">
        <v>333</v>
      </c>
      <c r="K241" s="3">
        <v>374</v>
      </c>
    </row>
    <row r="242" spans="1:11" x14ac:dyDescent="0.2">
      <c r="A242" s="4" t="s">
        <v>92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</row>
    <row r="243" spans="1:11" x14ac:dyDescent="0.2">
      <c r="A243" s="4" t="s">
        <v>38</v>
      </c>
      <c r="B243" s="3">
        <v>1109</v>
      </c>
      <c r="C243" s="3">
        <v>1195</v>
      </c>
      <c r="D243" s="3">
        <v>1243</v>
      </c>
      <c r="E243" s="3">
        <v>1325</v>
      </c>
      <c r="F243" s="3">
        <v>1263</v>
      </c>
      <c r="G243" s="3">
        <v>1061</v>
      </c>
      <c r="H243" s="3">
        <v>1308</v>
      </c>
      <c r="I243" s="3">
        <v>1601</v>
      </c>
      <c r="J243" s="3">
        <v>1925</v>
      </c>
      <c r="K243" s="3">
        <v>2195</v>
      </c>
    </row>
    <row r="244" spans="1:11" x14ac:dyDescent="0.2">
      <c r="A244" s="6" t="s">
        <v>91</v>
      </c>
    </row>
    <row r="245" spans="1:11" x14ac:dyDescent="0.2">
      <c r="A245" s="4" t="s">
        <v>90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</row>
    <row r="246" spans="1:11" x14ac:dyDescent="0.2">
      <c r="A246" s="4" t="s">
        <v>57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</row>
    <row r="247" spans="1:11" x14ac:dyDescent="0.2">
      <c r="A247" s="4" t="s">
        <v>89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</row>
    <row r="248" spans="1:11" x14ac:dyDescent="0.2">
      <c r="A248" s="4" t="s">
        <v>88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</row>
    <row r="249" spans="1:11" x14ac:dyDescent="0.2">
      <c r="A249" s="4" t="s">
        <v>87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</row>
    <row r="250" spans="1:11" x14ac:dyDescent="0.2">
      <c r="A250" s="6"/>
    </row>
    <row r="251" spans="1:11" x14ac:dyDescent="0.2">
      <c r="A251" s="7" t="s">
        <v>86</v>
      </c>
    </row>
    <row r="252" spans="1:11" x14ac:dyDescent="0.2">
      <c r="A252" s="4" t="s">
        <v>85</v>
      </c>
      <c r="B252" s="3">
        <v>7315</v>
      </c>
      <c r="C252" s="3">
        <v>6419</v>
      </c>
      <c r="D252" s="3">
        <v>4729</v>
      </c>
      <c r="E252" s="3">
        <v>5779</v>
      </c>
      <c r="F252" s="3">
        <v>7259</v>
      </c>
      <c r="G252" s="3">
        <v>9444</v>
      </c>
      <c r="H252" s="3">
        <v>13305</v>
      </c>
      <c r="I252" s="3">
        <v>12175</v>
      </c>
      <c r="J252" s="3">
        <v>11049</v>
      </c>
      <c r="K252" s="3">
        <v>15234</v>
      </c>
    </row>
    <row r="253" spans="1:11" x14ac:dyDescent="0.2">
      <c r="A253" s="4" t="s">
        <v>84</v>
      </c>
      <c r="B253" s="3">
        <v>1148</v>
      </c>
      <c r="C253" s="3">
        <v>1224</v>
      </c>
      <c r="D253" s="3">
        <v>1252</v>
      </c>
      <c r="E253" s="3">
        <v>1432</v>
      </c>
      <c r="F253" s="3">
        <v>1669</v>
      </c>
      <c r="G253" s="3">
        <v>1535</v>
      </c>
      <c r="H253" s="3">
        <v>1550</v>
      </c>
      <c r="I253" s="3">
        <v>1803</v>
      </c>
      <c r="J253" s="3">
        <v>2241</v>
      </c>
      <c r="K253" s="3">
        <v>2285</v>
      </c>
    </row>
    <row r="254" spans="1:11" x14ac:dyDescent="0.2">
      <c r="A254" s="4" t="s">
        <v>83</v>
      </c>
      <c r="B254" s="3">
        <v>8456</v>
      </c>
      <c r="C254" s="3">
        <v>8908</v>
      </c>
      <c r="D254" s="3">
        <v>8969</v>
      </c>
      <c r="E254" s="3">
        <v>9834</v>
      </c>
      <c r="F254" s="3">
        <v>11040</v>
      </c>
      <c r="G254" s="3">
        <v>11395</v>
      </c>
      <c r="H254" s="3">
        <v>12242</v>
      </c>
      <c r="I254" s="3">
        <v>14215</v>
      </c>
      <c r="J254" s="3">
        <v>17907</v>
      </c>
      <c r="K254" s="3">
        <v>16651</v>
      </c>
    </row>
    <row r="255" spans="1:11" x14ac:dyDescent="0.2">
      <c r="A255" s="4" t="s">
        <v>82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</row>
    <row r="256" spans="1:11" x14ac:dyDescent="0.2">
      <c r="A256" s="4" t="s">
        <v>81</v>
      </c>
      <c r="B256" s="3">
        <v>669</v>
      </c>
      <c r="C256" s="3">
        <v>748</v>
      </c>
      <c r="D256" s="3">
        <v>268</v>
      </c>
      <c r="E256" s="3">
        <v>272</v>
      </c>
      <c r="F256" s="3">
        <v>321</v>
      </c>
      <c r="G256" s="3">
        <v>1111</v>
      </c>
      <c r="H256" s="3">
        <v>1023</v>
      </c>
      <c r="I256" s="3">
        <v>1312</v>
      </c>
      <c r="J256" s="3">
        <v>1499</v>
      </c>
      <c r="K256" s="3">
        <v>1709</v>
      </c>
    </row>
    <row r="257" spans="1:11" x14ac:dyDescent="0.2">
      <c r="A257" s="4" t="s">
        <v>80</v>
      </c>
      <c r="B257" s="3">
        <v>17588</v>
      </c>
      <c r="C257" s="3">
        <v>17299</v>
      </c>
      <c r="D257" s="3">
        <v>15218</v>
      </c>
      <c r="E257" s="3">
        <v>17317</v>
      </c>
      <c r="F257" s="3">
        <v>20289</v>
      </c>
      <c r="G257" s="3">
        <v>23485</v>
      </c>
      <c r="H257" s="3">
        <v>28120</v>
      </c>
      <c r="I257" s="3">
        <v>29505</v>
      </c>
      <c r="J257" s="3">
        <v>32696</v>
      </c>
      <c r="K257" s="3">
        <v>35879</v>
      </c>
    </row>
    <row r="258" spans="1:11" x14ac:dyDescent="0.2">
      <c r="A258" s="4" t="s">
        <v>79</v>
      </c>
      <c r="B258" s="3">
        <v>22675</v>
      </c>
      <c r="C258" s="3">
        <v>23664</v>
      </c>
      <c r="D258" s="3">
        <v>26167</v>
      </c>
      <c r="E258" s="3">
        <v>28341</v>
      </c>
      <c r="F258" s="3">
        <v>30714</v>
      </c>
      <c r="G258" s="3">
        <v>32626</v>
      </c>
      <c r="H258" s="3">
        <v>38083</v>
      </c>
      <c r="I258" s="3">
        <v>41548</v>
      </c>
      <c r="J258" s="3">
        <v>44326</v>
      </c>
      <c r="K258" s="3">
        <v>47407</v>
      </c>
    </row>
    <row r="259" spans="1:11" x14ac:dyDescent="0.2">
      <c r="A259" s="4" t="s">
        <v>78</v>
      </c>
      <c r="B259" s="3">
        <v>7845</v>
      </c>
      <c r="C259" s="3">
        <v>8263</v>
      </c>
      <c r="D259" s="3">
        <v>9124</v>
      </c>
      <c r="E259" s="3">
        <v>10180</v>
      </c>
      <c r="F259" s="3">
        <v>11033</v>
      </c>
      <c r="G259" s="3">
        <v>11736</v>
      </c>
      <c r="H259" s="3">
        <v>12896</v>
      </c>
      <c r="I259" s="3">
        <v>14166</v>
      </c>
      <c r="J259" s="3">
        <v>15286</v>
      </c>
      <c r="K259" s="3">
        <v>16685</v>
      </c>
    </row>
    <row r="260" spans="1:11" x14ac:dyDescent="0.2">
      <c r="A260" s="4" t="s">
        <v>77</v>
      </c>
      <c r="B260" s="3">
        <v>14830</v>
      </c>
      <c r="C260" s="3">
        <v>15401</v>
      </c>
      <c r="D260" s="3">
        <v>17043</v>
      </c>
      <c r="E260" s="3">
        <v>18161</v>
      </c>
      <c r="F260" s="3">
        <v>19681</v>
      </c>
      <c r="G260" s="3">
        <v>20890</v>
      </c>
      <c r="H260" s="3">
        <v>25187</v>
      </c>
      <c r="I260" s="3">
        <v>27382</v>
      </c>
      <c r="J260" s="3">
        <v>29040</v>
      </c>
      <c r="K260" s="3">
        <v>30722</v>
      </c>
    </row>
    <row r="261" spans="1:11" x14ac:dyDescent="0.2">
      <c r="A261" s="4" t="s">
        <v>76</v>
      </c>
      <c r="B261" s="3">
        <v>0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</row>
    <row r="262" spans="1:11" x14ac:dyDescent="0.2">
      <c r="A262" s="4" t="s">
        <v>75</v>
      </c>
      <c r="B262" s="5">
        <v>0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</row>
    <row r="263" spans="1:11" x14ac:dyDescent="0.2">
      <c r="A263" s="4" t="s">
        <v>74</v>
      </c>
      <c r="B263" s="5">
        <v>0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988</v>
      </c>
      <c r="I263" s="3">
        <v>996</v>
      </c>
      <c r="J263" s="3">
        <v>993</v>
      </c>
      <c r="K263" s="3">
        <v>994</v>
      </c>
    </row>
    <row r="264" spans="1:11" x14ac:dyDescent="0.2">
      <c r="A264" s="4" t="s">
        <v>73</v>
      </c>
      <c r="B264" s="5">
        <v>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</row>
    <row r="265" spans="1:11" x14ac:dyDescent="0.2">
      <c r="A265" s="4" t="s">
        <v>72</v>
      </c>
      <c r="B265" s="3">
        <v>606</v>
      </c>
      <c r="C265" s="3">
        <v>740</v>
      </c>
      <c r="D265" s="3">
        <v>902</v>
      </c>
      <c r="E265" s="3">
        <v>869</v>
      </c>
      <c r="F265" s="3">
        <v>860</v>
      </c>
      <c r="G265" s="3">
        <v>1025</v>
      </c>
      <c r="H265" s="3">
        <v>1261</v>
      </c>
      <c r="I265" s="3">
        <v>1385</v>
      </c>
      <c r="J265" s="3">
        <v>1437</v>
      </c>
      <c r="K265" s="3">
        <v>1399</v>
      </c>
    </row>
    <row r="266" spans="1:11" x14ac:dyDescent="0.2">
      <c r="A266" s="4" t="s">
        <v>71</v>
      </c>
      <c r="B266" s="3">
        <v>33024</v>
      </c>
      <c r="C266" s="3">
        <v>33440</v>
      </c>
      <c r="D266" s="3">
        <v>33163</v>
      </c>
      <c r="E266" s="3">
        <v>36347</v>
      </c>
      <c r="F266" s="3">
        <v>40830</v>
      </c>
      <c r="G266" s="3">
        <v>45400</v>
      </c>
      <c r="H266" s="3">
        <v>55556</v>
      </c>
      <c r="I266" s="3">
        <v>59268</v>
      </c>
      <c r="J266" s="3">
        <v>64166</v>
      </c>
      <c r="K266" s="3">
        <v>68994</v>
      </c>
    </row>
    <row r="267" spans="1:11" x14ac:dyDescent="0.2">
      <c r="A267" s="4" t="s">
        <v>70</v>
      </c>
      <c r="B267" s="3">
        <v>8491</v>
      </c>
      <c r="C267" s="3">
        <v>9011</v>
      </c>
      <c r="D267" s="3">
        <v>7612</v>
      </c>
      <c r="E267" s="3">
        <v>9608</v>
      </c>
      <c r="F267" s="3">
        <v>11237</v>
      </c>
      <c r="G267" s="3">
        <v>11679</v>
      </c>
      <c r="H267" s="3">
        <v>14172</v>
      </c>
      <c r="I267" s="3">
        <v>16278</v>
      </c>
      <c r="J267" s="3">
        <v>17848</v>
      </c>
      <c r="K267" s="3">
        <v>17483</v>
      </c>
    </row>
    <row r="268" spans="1:11" x14ac:dyDescent="0.2">
      <c r="A268" s="4" t="s">
        <v>69</v>
      </c>
      <c r="B268" s="3">
        <v>0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</row>
    <row r="269" spans="1:11" x14ac:dyDescent="0.2">
      <c r="A269" s="4" t="s">
        <v>68</v>
      </c>
      <c r="B269" s="3">
        <v>3446</v>
      </c>
      <c r="C269" s="3">
        <v>3281</v>
      </c>
      <c r="D269" s="3">
        <v>3498</v>
      </c>
      <c r="E269" s="3">
        <v>3664</v>
      </c>
      <c r="F269" s="3">
        <v>4051</v>
      </c>
      <c r="G269" s="3">
        <v>4356</v>
      </c>
      <c r="H269" s="3">
        <v>4998</v>
      </c>
      <c r="I269" s="3">
        <v>5761</v>
      </c>
      <c r="J269" s="3">
        <v>6292</v>
      </c>
      <c r="K269" s="3">
        <v>6428</v>
      </c>
    </row>
    <row r="270" spans="1:11" x14ac:dyDescent="0.2">
      <c r="A270" s="4" t="s">
        <v>67</v>
      </c>
      <c r="B270" s="3">
        <v>136</v>
      </c>
      <c r="C270" s="3">
        <v>491</v>
      </c>
      <c r="D270" s="3">
        <v>532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</row>
    <row r="271" spans="1:11" x14ac:dyDescent="0.2">
      <c r="A271" s="4" t="s">
        <v>66</v>
      </c>
      <c r="B271" s="3">
        <v>7</v>
      </c>
      <c r="C271" s="3">
        <v>1293</v>
      </c>
      <c r="D271" s="3">
        <v>1110</v>
      </c>
      <c r="E271" s="3">
        <v>93</v>
      </c>
      <c r="F271" s="3">
        <v>97</v>
      </c>
      <c r="G271" s="3">
        <v>1725</v>
      </c>
      <c r="H271" s="3">
        <v>357</v>
      </c>
      <c r="I271" s="3">
        <v>1093</v>
      </c>
      <c r="J271" s="3">
        <v>557</v>
      </c>
      <c r="K271" s="3">
        <v>1430</v>
      </c>
    </row>
    <row r="272" spans="1:11" x14ac:dyDescent="0.2">
      <c r="A272" s="4" t="s">
        <v>65</v>
      </c>
      <c r="B272" s="3">
        <v>5778</v>
      </c>
      <c r="C272" s="3">
        <v>5745</v>
      </c>
      <c r="D272" s="3">
        <v>6321</v>
      </c>
      <c r="E272" s="3">
        <v>7794</v>
      </c>
      <c r="F272" s="3">
        <v>8592</v>
      </c>
      <c r="G272" s="3">
        <v>9833</v>
      </c>
      <c r="H272" s="3">
        <v>10315</v>
      </c>
      <c r="I272" s="3">
        <v>12070</v>
      </c>
      <c r="J272" s="3">
        <v>13593</v>
      </c>
      <c r="K272" s="3">
        <v>14670</v>
      </c>
    </row>
    <row r="273" spans="1:11" x14ac:dyDescent="0.2">
      <c r="A273" s="4" t="s">
        <v>64</v>
      </c>
      <c r="B273" s="3">
        <v>14412</v>
      </c>
      <c r="C273" s="3">
        <v>16540</v>
      </c>
      <c r="D273" s="3">
        <v>15575</v>
      </c>
      <c r="E273" s="3">
        <v>17495</v>
      </c>
      <c r="F273" s="3">
        <v>19926</v>
      </c>
      <c r="G273" s="3">
        <v>23237</v>
      </c>
      <c r="H273" s="3">
        <v>24844</v>
      </c>
      <c r="I273" s="3">
        <v>29441</v>
      </c>
      <c r="J273" s="3">
        <v>31998</v>
      </c>
      <c r="K273" s="3">
        <v>33583</v>
      </c>
    </row>
    <row r="274" spans="1:11" x14ac:dyDescent="0.2">
      <c r="A274" s="4" t="s">
        <v>63</v>
      </c>
      <c r="B274" s="3">
        <v>5279</v>
      </c>
      <c r="C274" s="3">
        <v>5150</v>
      </c>
      <c r="D274" s="3">
        <v>4425</v>
      </c>
      <c r="E274" s="3">
        <v>6946</v>
      </c>
      <c r="F274" s="3">
        <v>6877</v>
      </c>
      <c r="G274" s="3">
        <v>5519</v>
      </c>
      <c r="H274" s="3">
        <v>10729</v>
      </c>
      <c r="I274" s="3">
        <v>10314</v>
      </c>
      <c r="J274" s="3">
        <v>10349</v>
      </c>
      <c r="K274" s="3">
        <v>9106</v>
      </c>
    </row>
    <row r="275" spans="1:11" x14ac:dyDescent="0.2">
      <c r="A275" s="4" t="s">
        <v>62</v>
      </c>
      <c r="B275" s="3">
        <v>429</v>
      </c>
      <c r="C275" s="3">
        <v>462</v>
      </c>
      <c r="D275" s="3">
        <v>297</v>
      </c>
      <c r="E275" s="3">
        <v>312</v>
      </c>
      <c r="F275" s="3">
        <v>317</v>
      </c>
      <c r="G275" s="3">
        <v>543</v>
      </c>
      <c r="H275" s="3">
        <v>665</v>
      </c>
      <c r="I275" s="3">
        <v>754</v>
      </c>
      <c r="J275" s="3">
        <v>724</v>
      </c>
      <c r="K275" s="3">
        <v>795</v>
      </c>
    </row>
    <row r="276" spans="1:11" x14ac:dyDescent="0.2">
      <c r="A276" s="4" t="s">
        <v>61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</row>
    <row r="277" spans="1:11" x14ac:dyDescent="0.2">
      <c r="A277" s="4" t="s">
        <v>60</v>
      </c>
      <c r="B277" s="3">
        <v>389</v>
      </c>
      <c r="C277" s="3">
        <v>445</v>
      </c>
      <c r="D277" s="3">
        <v>534</v>
      </c>
      <c r="E277" s="3">
        <v>515</v>
      </c>
      <c r="F277" s="3">
        <v>607</v>
      </c>
      <c r="G277" s="3">
        <v>517</v>
      </c>
      <c r="H277" s="3">
        <v>613</v>
      </c>
      <c r="I277" s="3">
        <v>681</v>
      </c>
      <c r="J277" s="3">
        <v>448</v>
      </c>
      <c r="K277" s="3">
        <v>452</v>
      </c>
    </row>
    <row r="278" spans="1:11" x14ac:dyDescent="0.2">
      <c r="A278" s="4" t="s">
        <v>59</v>
      </c>
      <c r="B278" s="3">
        <v>20509</v>
      </c>
      <c r="C278" s="3">
        <v>22597</v>
      </c>
      <c r="D278" s="3">
        <v>20831</v>
      </c>
      <c r="E278" s="3">
        <v>25268</v>
      </c>
      <c r="F278" s="3">
        <v>27727</v>
      </c>
      <c r="G278" s="3">
        <v>29816</v>
      </c>
      <c r="H278" s="3">
        <v>36851</v>
      </c>
      <c r="I278" s="3">
        <v>41190</v>
      </c>
      <c r="J278" s="3">
        <v>43519</v>
      </c>
      <c r="K278" s="3">
        <v>43936</v>
      </c>
    </row>
    <row r="279" spans="1:11" x14ac:dyDescent="0.2">
      <c r="A279" s="4" t="s">
        <v>58</v>
      </c>
      <c r="B279" s="3">
        <v>0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</row>
    <row r="280" spans="1:11" x14ac:dyDescent="0.2">
      <c r="A280" s="4" t="s">
        <v>57</v>
      </c>
      <c r="B280" s="3">
        <v>0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</row>
    <row r="281" spans="1:11" x14ac:dyDescent="0.2">
      <c r="A281" s="4" t="s">
        <v>56</v>
      </c>
      <c r="B281" s="3">
        <v>2</v>
      </c>
      <c r="C281" s="3">
        <v>2</v>
      </c>
      <c r="D281" s="3">
        <v>2</v>
      </c>
      <c r="E281" s="3">
        <v>4</v>
      </c>
      <c r="F281" s="3">
        <v>4</v>
      </c>
      <c r="G281" s="3">
        <v>4</v>
      </c>
      <c r="H281" s="3">
        <v>4</v>
      </c>
      <c r="I281" s="3">
        <v>4</v>
      </c>
      <c r="J281" s="3">
        <v>2</v>
      </c>
      <c r="K281" s="3">
        <v>2</v>
      </c>
    </row>
    <row r="282" spans="1:11" x14ac:dyDescent="0.2">
      <c r="A282" s="4" t="s">
        <v>55</v>
      </c>
      <c r="B282" s="3">
        <v>4919</v>
      </c>
      <c r="C282" s="3">
        <v>5218</v>
      </c>
      <c r="D282" s="3">
        <v>5490</v>
      </c>
      <c r="E282" s="3">
        <v>5800</v>
      </c>
      <c r="F282" s="3">
        <v>6107</v>
      </c>
      <c r="G282" s="3">
        <v>6417</v>
      </c>
      <c r="H282" s="3">
        <v>6698</v>
      </c>
      <c r="I282" s="3">
        <v>7031</v>
      </c>
      <c r="J282" s="3">
        <v>6884</v>
      </c>
      <c r="K282" s="3">
        <v>7340</v>
      </c>
    </row>
    <row r="283" spans="1:11" x14ac:dyDescent="0.2">
      <c r="A283" s="4" t="s">
        <v>54</v>
      </c>
      <c r="B283" s="3">
        <v>7382</v>
      </c>
      <c r="C283" s="3">
        <v>5397</v>
      </c>
      <c r="D283" s="3">
        <v>6587</v>
      </c>
      <c r="E283" s="3">
        <v>4974</v>
      </c>
      <c r="F283" s="3">
        <v>6688</v>
      </c>
      <c r="G283" s="3">
        <v>8822</v>
      </c>
      <c r="H283" s="3">
        <v>11582</v>
      </c>
      <c r="I283" s="3">
        <v>10529</v>
      </c>
      <c r="J283" s="3">
        <v>13756</v>
      </c>
      <c r="K283" s="3">
        <v>17716</v>
      </c>
    </row>
    <row r="284" spans="1:11" x14ac:dyDescent="0.2">
      <c r="A284" s="4" t="s">
        <v>53</v>
      </c>
      <c r="B284" s="3">
        <v>0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</row>
    <row r="285" spans="1:11" x14ac:dyDescent="0.2">
      <c r="A285" s="4" t="s">
        <v>52</v>
      </c>
      <c r="B285" s="3">
        <v>12303</v>
      </c>
      <c r="C285" s="3">
        <v>10617</v>
      </c>
      <c r="D285" s="3">
        <v>12079</v>
      </c>
      <c r="E285" s="3">
        <v>10778</v>
      </c>
      <c r="F285" s="3">
        <v>12799</v>
      </c>
      <c r="G285" s="3">
        <v>15243</v>
      </c>
      <c r="H285" s="3">
        <v>18284</v>
      </c>
      <c r="I285" s="3">
        <v>17564</v>
      </c>
      <c r="J285" s="3">
        <v>20642</v>
      </c>
      <c r="K285" s="3">
        <v>25058</v>
      </c>
    </row>
    <row r="286" spans="1:11" x14ac:dyDescent="0.2">
      <c r="A286" s="4" t="s">
        <v>51</v>
      </c>
      <c r="B286" s="3">
        <v>212</v>
      </c>
      <c r="C286" s="3">
        <v>226</v>
      </c>
      <c r="D286" s="3">
        <v>253</v>
      </c>
      <c r="E286" s="3">
        <v>301</v>
      </c>
      <c r="F286" s="3">
        <v>304</v>
      </c>
      <c r="G286" s="3">
        <v>341</v>
      </c>
      <c r="H286" s="3">
        <v>421</v>
      </c>
      <c r="I286" s="3">
        <v>514</v>
      </c>
      <c r="J286" s="3">
        <v>5</v>
      </c>
      <c r="K286" s="3">
        <v>0</v>
      </c>
    </row>
    <row r="287" spans="1:11" x14ac:dyDescent="0.2">
      <c r="A287" s="4" t="s">
        <v>50</v>
      </c>
      <c r="B287" s="3">
        <v>12515</v>
      </c>
      <c r="C287" s="3">
        <v>10843</v>
      </c>
      <c r="D287" s="3">
        <v>12332</v>
      </c>
      <c r="E287" s="3">
        <v>11079</v>
      </c>
      <c r="F287" s="3">
        <v>13103</v>
      </c>
      <c r="G287" s="3">
        <v>15584</v>
      </c>
      <c r="H287" s="3">
        <v>18705</v>
      </c>
      <c r="I287" s="3">
        <v>18078</v>
      </c>
      <c r="J287" s="3">
        <v>20647</v>
      </c>
      <c r="K287" s="3">
        <v>25058</v>
      </c>
    </row>
    <row r="288" spans="1:11" x14ac:dyDescent="0.2">
      <c r="A288" s="4" t="s">
        <v>49</v>
      </c>
      <c r="B288" s="3">
        <v>112640</v>
      </c>
      <c r="C288" s="3">
        <v>116199</v>
      </c>
      <c r="D288" s="3">
        <v>118719</v>
      </c>
      <c r="E288" s="3">
        <v>129025</v>
      </c>
      <c r="F288" s="3">
        <v>141576</v>
      </c>
      <c r="G288" s="3">
        <v>152703</v>
      </c>
      <c r="H288" s="3">
        <v>166761</v>
      </c>
      <c r="I288" s="3">
        <v>195929</v>
      </c>
      <c r="J288" s="3">
        <v>226954</v>
      </c>
      <c r="K288" s="3">
        <v>242290</v>
      </c>
    </row>
    <row r="289" spans="1:11" x14ac:dyDescent="0.2">
      <c r="A289" s="4" t="s">
        <v>48</v>
      </c>
      <c r="B289" s="3">
        <v>97429</v>
      </c>
      <c r="C289" s="3">
        <v>99938</v>
      </c>
      <c r="D289" s="3">
        <v>101646</v>
      </c>
      <c r="E289" s="3">
        <v>110563</v>
      </c>
      <c r="F289" s="3">
        <v>121715</v>
      </c>
      <c r="G289" s="3">
        <v>131394</v>
      </c>
      <c r="H289" s="3">
        <v>143186</v>
      </c>
      <c r="I289" s="3">
        <v>168903</v>
      </c>
      <c r="J289" s="3">
        <v>197482</v>
      </c>
      <c r="K289" s="3">
        <v>210509</v>
      </c>
    </row>
    <row r="290" spans="1:11" x14ac:dyDescent="0.2">
      <c r="A290" s="4" t="s">
        <v>47</v>
      </c>
      <c r="B290" s="3">
        <v>0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</row>
    <row r="291" spans="1:11" x14ac:dyDescent="0.2">
      <c r="A291" s="4" t="s">
        <v>46</v>
      </c>
      <c r="B291" s="3">
        <v>10962</v>
      </c>
      <c r="C291" s="3">
        <v>11510</v>
      </c>
      <c r="D291" s="3">
        <v>12146</v>
      </c>
      <c r="E291" s="3">
        <v>13032</v>
      </c>
      <c r="F291" s="3">
        <v>13944</v>
      </c>
      <c r="G291" s="3">
        <v>14957</v>
      </c>
      <c r="H291" s="3">
        <v>15991</v>
      </c>
      <c r="I291" s="3">
        <v>18022</v>
      </c>
      <c r="J291" s="3">
        <v>19779</v>
      </c>
      <c r="K291" s="3">
        <v>21590</v>
      </c>
    </row>
    <row r="292" spans="1:11" x14ac:dyDescent="0.2">
      <c r="A292" s="4" t="s">
        <v>45</v>
      </c>
      <c r="B292" s="3">
        <v>4249</v>
      </c>
      <c r="C292" s="3">
        <v>4751</v>
      </c>
      <c r="D292" s="3">
        <v>4927</v>
      </c>
      <c r="E292" s="3">
        <v>5430</v>
      </c>
      <c r="F292" s="3">
        <v>5917</v>
      </c>
      <c r="G292" s="3">
        <v>6352</v>
      </c>
      <c r="H292" s="3">
        <v>7584</v>
      </c>
      <c r="I292" s="3">
        <v>9004</v>
      </c>
      <c r="J292" s="3">
        <v>9693</v>
      </c>
      <c r="K292" s="3">
        <v>10191</v>
      </c>
    </row>
    <row r="293" spans="1:11" x14ac:dyDescent="0.2">
      <c r="A293" s="4" t="s">
        <v>44</v>
      </c>
      <c r="B293" s="3">
        <v>1029</v>
      </c>
      <c r="C293" s="3">
        <v>1127</v>
      </c>
      <c r="D293" s="3">
        <v>1255</v>
      </c>
      <c r="E293" s="3">
        <v>1370</v>
      </c>
      <c r="F293" s="3">
        <v>1437</v>
      </c>
      <c r="G293" s="3">
        <v>1492</v>
      </c>
      <c r="H293" s="3">
        <v>1645</v>
      </c>
      <c r="I293" s="3">
        <v>1781</v>
      </c>
      <c r="J293" s="3">
        <v>1900</v>
      </c>
      <c r="K293" s="3">
        <v>2077</v>
      </c>
    </row>
    <row r="294" spans="1:11" x14ac:dyDescent="0.2">
      <c r="A294" s="4" t="s">
        <v>43</v>
      </c>
      <c r="B294" s="3">
        <v>3220</v>
      </c>
      <c r="C294" s="3">
        <v>3624</v>
      </c>
      <c r="D294" s="3">
        <v>3672</v>
      </c>
      <c r="E294" s="3">
        <v>4060</v>
      </c>
      <c r="F294" s="3">
        <v>4480</v>
      </c>
      <c r="G294" s="3">
        <v>4860</v>
      </c>
      <c r="H294" s="3">
        <v>5939</v>
      </c>
      <c r="I294" s="3">
        <v>7223</v>
      </c>
      <c r="J294" s="3">
        <v>7793</v>
      </c>
      <c r="K294" s="3">
        <v>8114</v>
      </c>
    </row>
    <row r="295" spans="1:11" x14ac:dyDescent="0.2">
      <c r="A295" s="4" t="s">
        <v>42</v>
      </c>
      <c r="B295" s="3">
        <v>113</v>
      </c>
      <c r="C295" s="3">
        <v>124</v>
      </c>
      <c r="D295" s="3">
        <v>133</v>
      </c>
      <c r="E295" s="3">
        <v>134</v>
      </c>
      <c r="F295" s="3">
        <v>159</v>
      </c>
      <c r="G295" s="3">
        <v>150</v>
      </c>
      <c r="H295" s="3">
        <v>160</v>
      </c>
      <c r="I295" s="3">
        <v>171</v>
      </c>
      <c r="J295" s="3">
        <v>158</v>
      </c>
      <c r="K295" s="3">
        <v>160</v>
      </c>
    </row>
    <row r="296" spans="1:11" x14ac:dyDescent="0.2">
      <c r="A296" s="4" t="s">
        <v>41</v>
      </c>
      <c r="B296" s="3">
        <v>90</v>
      </c>
      <c r="C296" s="3">
        <v>104</v>
      </c>
      <c r="D296" s="3">
        <v>80</v>
      </c>
      <c r="E296" s="3">
        <v>62</v>
      </c>
      <c r="F296" s="3">
        <v>121</v>
      </c>
      <c r="G296" s="3">
        <v>178</v>
      </c>
      <c r="H296" s="3">
        <v>128</v>
      </c>
      <c r="I296" s="3">
        <v>143</v>
      </c>
      <c r="J296" s="3">
        <v>205</v>
      </c>
      <c r="K296" s="3">
        <v>533</v>
      </c>
    </row>
    <row r="297" spans="1:11" x14ac:dyDescent="0.2">
      <c r="A297" s="4" t="s">
        <v>40</v>
      </c>
      <c r="B297" s="3">
        <v>0</v>
      </c>
      <c r="C297" s="3">
        <v>0</v>
      </c>
      <c r="D297" s="3">
        <v>0</v>
      </c>
      <c r="E297" s="3">
        <v>51</v>
      </c>
      <c r="F297" s="3">
        <v>0</v>
      </c>
      <c r="G297" s="3">
        <v>-123</v>
      </c>
      <c r="H297" s="3">
        <v>-540</v>
      </c>
      <c r="I297" s="3">
        <v>-515</v>
      </c>
      <c r="J297" s="5">
        <v>0</v>
      </c>
      <c r="K297" s="3">
        <v>0</v>
      </c>
    </row>
    <row r="298" spans="1:11" x14ac:dyDescent="0.2">
      <c r="A298" s="4" t="s">
        <v>39</v>
      </c>
      <c r="B298" s="3">
        <v>3197</v>
      </c>
      <c r="C298" s="3">
        <v>3604</v>
      </c>
      <c r="D298" s="3">
        <v>3619</v>
      </c>
      <c r="E298" s="3">
        <v>4039</v>
      </c>
      <c r="F298" s="3">
        <v>4442</v>
      </c>
      <c r="G298" s="3">
        <v>4765</v>
      </c>
      <c r="H298" s="3">
        <v>5367</v>
      </c>
      <c r="I298" s="3">
        <v>6680</v>
      </c>
      <c r="J298" s="3">
        <v>7840</v>
      </c>
      <c r="K298" s="3">
        <v>8487</v>
      </c>
    </row>
    <row r="299" spans="1:11" x14ac:dyDescent="0.2">
      <c r="A299" s="4" t="s">
        <v>38</v>
      </c>
      <c r="B299" s="3">
        <v>1109</v>
      </c>
      <c r="C299" s="3">
        <v>1195</v>
      </c>
      <c r="D299" s="3">
        <v>1243</v>
      </c>
      <c r="E299" s="3">
        <v>1325</v>
      </c>
      <c r="F299" s="3">
        <v>1263</v>
      </c>
      <c r="G299" s="3">
        <v>1061</v>
      </c>
      <c r="H299" s="3">
        <v>1308</v>
      </c>
      <c r="I299" s="3">
        <v>1601</v>
      </c>
      <c r="J299" s="3">
        <v>1925</v>
      </c>
      <c r="K299" s="3">
        <v>2195</v>
      </c>
    </row>
    <row r="300" spans="1:11" x14ac:dyDescent="0.2">
      <c r="A300" s="4" t="s">
        <v>37</v>
      </c>
      <c r="B300" s="3">
        <v>30</v>
      </c>
      <c r="C300" s="3">
        <v>32</v>
      </c>
      <c r="D300" s="3">
        <v>26</v>
      </c>
      <c r="E300" s="3">
        <v>35</v>
      </c>
      <c r="F300" s="3">
        <v>45</v>
      </c>
      <c r="G300" s="3">
        <v>45</v>
      </c>
      <c r="H300" s="3">
        <v>57</v>
      </c>
      <c r="I300" s="3">
        <v>72</v>
      </c>
      <c r="J300" s="3">
        <v>71</v>
      </c>
      <c r="K300" s="3">
        <v>0</v>
      </c>
    </row>
    <row r="301" spans="1:11" x14ac:dyDescent="0.2">
      <c r="A301" s="4" t="s">
        <v>36</v>
      </c>
      <c r="B301" s="3">
        <v>2058</v>
      </c>
      <c r="C301" s="3">
        <v>2377</v>
      </c>
      <c r="D301" s="3">
        <v>2350</v>
      </c>
      <c r="E301" s="3">
        <v>2679</v>
      </c>
      <c r="F301" s="3">
        <v>3134</v>
      </c>
      <c r="G301" s="3">
        <v>3659</v>
      </c>
      <c r="H301" s="3">
        <v>4002</v>
      </c>
      <c r="I301" s="3">
        <v>5007</v>
      </c>
      <c r="J301" s="3">
        <v>5844</v>
      </c>
      <c r="K301" s="3">
        <v>6292</v>
      </c>
    </row>
    <row r="302" spans="1:11" x14ac:dyDescent="0.2">
      <c r="A302" s="4" t="s">
        <v>35</v>
      </c>
      <c r="B302" s="3">
        <v>0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</row>
    <row r="303" spans="1:11" x14ac:dyDescent="0.2">
      <c r="A303" s="4" t="s">
        <v>34</v>
      </c>
      <c r="B303" s="3">
        <v>0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</row>
    <row r="304" spans="1:11" x14ac:dyDescent="0.2">
      <c r="A304" s="4" t="s">
        <v>33</v>
      </c>
      <c r="B304" s="3">
        <v>2058</v>
      </c>
      <c r="C304" s="3">
        <v>2377</v>
      </c>
      <c r="D304" s="3">
        <v>2350</v>
      </c>
      <c r="E304" s="3">
        <v>2679</v>
      </c>
      <c r="F304" s="3">
        <v>3134</v>
      </c>
      <c r="G304" s="3">
        <v>3659</v>
      </c>
      <c r="H304" s="3">
        <v>4002</v>
      </c>
      <c r="I304" s="3">
        <v>5007</v>
      </c>
      <c r="J304" s="3">
        <v>5844</v>
      </c>
      <c r="K304" s="3">
        <v>6292</v>
      </c>
    </row>
    <row r="305" spans="1:11" x14ac:dyDescent="0.2">
      <c r="A305" s="4" t="s">
        <v>32</v>
      </c>
      <c r="B305" s="3">
        <v>0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</row>
    <row r="306" spans="1:11" x14ac:dyDescent="0.2">
      <c r="A306" s="4" t="s">
        <v>31</v>
      </c>
      <c r="B306" s="3">
        <v>4.6900000000000004</v>
      </c>
      <c r="C306" s="3">
        <v>5.41</v>
      </c>
      <c r="D306" s="3">
        <v>5.36</v>
      </c>
      <c r="E306" s="3">
        <v>6.11</v>
      </c>
      <c r="F306" s="3">
        <v>7.15</v>
      </c>
      <c r="G306" s="3">
        <v>8.32</v>
      </c>
      <c r="H306" s="3">
        <v>9.0500000000000007</v>
      </c>
      <c r="I306" s="3">
        <v>11.3</v>
      </c>
      <c r="J306" s="3">
        <v>13.17</v>
      </c>
      <c r="K306" s="3">
        <v>14.18</v>
      </c>
    </row>
    <row r="307" spans="1:11" x14ac:dyDescent="0.2">
      <c r="A307" s="4" t="s">
        <v>30</v>
      </c>
      <c r="B307" s="3">
        <v>4.6900000000000004</v>
      </c>
      <c r="C307" s="3">
        <v>5.41</v>
      </c>
      <c r="D307" s="3">
        <v>5.36</v>
      </c>
      <c r="E307" s="3">
        <v>6.11</v>
      </c>
      <c r="F307" s="3">
        <v>7.15</v>
      </c>
      <c r="G307" s="3">
        <v>8.32</v>
      </c>
      <c r="H307" s="3">
        <v>9.0500000000000007</v>
      </c>
      <c r="I307" s="3">
        <v>11.3</v>
      </c>
      <c r="J307" s="3">
        <v>13.17</v>
      </c>
      <c r="K307" s="3">
        <v>14.18</v>
      </c>
    </row>
    <row r="308" spans="1:11" x14ac:dyDescent="0.2">
      <c r="A308" s="4" t="s">
        <v>29</v>
      </c>
      <c r="B308" s="3">
        <v>4.6500000000000004</v>
      </c>
      <c r="C308" s="3">
        <v>5.37</v>
      </c>
      <c r="D308" s="3">
        <v>5.33</v>
      </c>
      <c r="E308" s="3">
        <v>6.08</v>
      </c>
      <c r="F308" s="3">
        <v>7.09</v>
      </c>
      <c r="G308" s="3">
        <v>8.26</v>
      </c>
      <c r="H308" s="3">
        <v>9.02</v>
      </c>
      <c r="I308" s="3">
        <v>11.27</v>
      </c>
      <c r="J308" s="3">
        <v>13.14</v>
      </c>
      <c r="K308" s="3">
        <v>14.16</v>
      </c>
    </row>
    <row r="309" spans="1:11" x14ac:dyDescent="0.2">
      <c r="A309" s="4" t="s">
        <v>28</v>
      </c>
      <c r="B309" s="3">
        <v>4.6500000000000004</v>
      </c>
      <c r="C309" s="3">
        <v>5.37</v>
      </c>
      <c r="D309" s="3">
        <v>5.33</v>
      </c>
      <c r="E309" s="3">
        <v>6.08</v>
      </c>
      <c r="F309" s="3">
        <v>7.09</v>
      </c>
      <c r="G309" s="3">
        <v>8.26</v>
      </c>
      <c r="H309" s="3">
        <v>9.02</v>
      </c>
      <c r="I309" s="3">
        <v>11.27</v>
      </c>
      <c r="J309" s="3">
        <v>13.14</v>
      </c>
      <c r="K309" s="3">
        <v>14.16</v>
      </c>
    </row>
    <row r="310" spans="1:11" x14ac:dyDescent="0.2">
      <c r="A310" s="4" t="s">
        <v>27</v>
      </c>
      <c r="B310" s="3">
        <v>438.69299999999998</v>
      </c>
      <c r="C310" s="3">
        <v>439.45499999999998</v>
      </c>
      <c r="D310" s="3">
        <v>438.58499999999998</v>
      </c>
      <c r="E310" s="3">
        <v>438.43700000000001</v>
      </c>
      <c r="F310" s="3">
        <v>438.51499999999999</v>
      </c>
      <c r="G310" s="3">
        <v>439.755</v>
      </c>
      <c r="H310" s="3">
        <v>442.29700000000003</v>
      </c>
      <c r="I310" s="3">
        <v>443.089</v>
      </c>
      <c r="J310" s="3">
        <v>443.65100000000001</v>
      </c>
      <c r="K310" s="3">
        <v>443.85399999999998</v>
      </c>
    </row>
    <row r="311" spans="1:11" x14ac:dyDescent="0.2">
      <c r="A311" s="6" t="s">
        <v>26</v>
      </c>
    </row>
    <row r="312" spans="1:11" x14ac:dyDescent="0.2">
      <c r="A312" s="4" t="s">
        <v>25</v>
      </c>
      <c r="B312" s="3">
        <v>442.48500000000001</v>
      </c>
      <c r="C312" s="3">
        <v>442.71600000000001</v>
      </c>
      <c r="D312" s="3">
        <v>441.26299999999998</v>
      </c>
      <c r="E312" s="3">
        <v>440.93700000000001</v>
      </c>
      <c r="F312" s="3">
        <v>441.834</v>
      </c>
      <c r="G312" s="3">
        <v>442.923</v>
      </c>
      <c r="H312" s="3">
        <v>443.90100000000001</v>
      </c>
      <c r="I312" s="3">
        <v>444.346</v>
      </c>
      <c r="J312" s="3">
        <v>444.75700000000001</v>
      </c>
      <c r="K312" s="3">
        <v>444.452</v>
      </c>
    </row>
    <row r="313" spans="1:11" x14ac:dyDescent="0.2">
      <c r="A313" s="4" t="s">
        <v>24</v>
      </c>
      <c r="B313" s="3">
        <v>437.68299999999999</v>
      </c>
      <c r="C313" s="3">
        <v>437.952</v>
      </c>
      <c r="D313" s="3">
        <v>437.524</v>
      </c>
      <c r="E313" s="3">
        <v>437.20400000000001</v>
      </c>
      <c r="F313" s="3">
        <v>438.18900000000002</v>
      </c>
      <c r="G313" s="3">
        <v>439.625</v>
      </c>
      <c r="H313" s="3">
        <v>441.255</v>
      </c>
      <c r="I313" s="3">
        <v>441.82499999999999</v>
      </c>
      <c r="J313" s="3">
        <v>442.66399999999999</v>
      </c>
      <c r="K313" s="3">
        <v>442.79300000000001</v>
      </c>
    </row>
    <row r="314" spans="1:11" x14ac:dyDescent="0.2">
      <c r="A314" s="4" t="s">
        <v>23</v>
      </c>
      <c r="B314" s="3">
        <v>3984</v>
      </c>
      <c r="C314" s="3">
        <v>4285</v>
      </c>
      <c r="D314" s="3">
        <v>3292</v>
      </c>
      <c r="E314" s="3">
        <v>6726</v>
      </c>
      <c r="F314" s="3">
        <v>5774</v>
      </c>
      <c r="G314" s="3">
        <v>6356</v>
      </c>
      <c r="H314" s="3">
        <v>8861</v>
      </c>
      <c r="I314" s="3">
        <v>8958</v>
      </c>
      <c r="J314" s="3">
        <v>7392</v>
      </c>
      <c r="K314" s="3">
        <v>11068</v>
      </c>
    </row>
    <row r="315" spans="1:11" x14ac:dyDescent="0.2">
      <c r="A315" s="4" t="s">
        <v>22</v>
      </c>
      <c r="B315" s="3">
        <v>1993</v>
      </c>
      <c r="C315" s="3">
        <v>2393</v>
      </c>
      <c r="D315" s="3">
        <v>2649</v>
      </c>
      <c r="E315" s="3">
        <v>2502</v>
      </c>
      <c r="F315" s="3">
        <v>2969</v>
      </c>
      <c r="G315" s="3">
        <v>2998</v>
      </c>
      <c r="H315" s="3">
        <v>2810</v>
      </c>
      <c r="I315" s="3">
        <v>3588</v>
      </c>
      <c r="J315" s="3">
        <v>3891</v>
      </c>
      <c r="K315" s="3">
        <v>4323</v>
      </c>
    </row>
    <row r="316" spans="1:11" x14ac:dyDescent="0.2">
      <c r="A316" s="4" t="s">
        <v>21</v>
      </c>
      <c r="B316" s="3">
        <v>0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</row>
    <row r="317" spans="1:11" x14ac:dyDescent="0.2">
      <c r="A317" s="4" t="s">
        <v>20</v>
      </c>
      <c r="B317" s="3">
        <v>0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1163</v>
      </c>
      <c r="I317" s="3">
        <v>0</v>
      </c>
      <c r="J317" s="3">
        <v>0</v>
      </c>
      <c r="K317" s="3">
        <v>0</v>
      </c>
    </row>
    <row r="318" spans="1:11" x14ac:dyDescent="0.2">
      <c r="A318" s="4" t="s">
        <v>19</v>
      </c>
      <c r="B318" s="3">
        <v>-2093</v>
      </c>
      <c r="C318" s="3">
        <v>-2480</v>
      </c>
      <c r="D318" s="3">
        <v>-2345</v>
      </c>
      <c r="E318" s="3">
        <v>-2366</v>
      </c>
      <c r="F318" s="3">
        <v>-2947</v>
      </c>
      <c r="G318" s="3">
        <v>-2865</v>
      </c>
      <c r="H318" s="3">
        <v>-3891</v>
      </c>
      <c r="I318" s="3">
        <v>-3535</v>
      </c>
      <c r="J318" s="3">
        <v>-3915</v>
      </c>
      <c r="K318" s="3">
        <v>-4972</v>
      </c>
    </row>
    <row r="319" spans="1:11" x14ac:dyDescent="0.2">
      <c r="A319" s="4" t="s">
        <v>18</v>
      </c>
      <c r="B319" s="3">
        <v>584</v>
      </c>
      <c r="C319" s="3">
        <v>2865</v>
      </c>
      <c r="D319" s="3">
        <v>746</v>
      </c>
      <c r="E319" s="3">
        <v>3904</v>
      </c>
      <c r="F319" s="3">
        <v>689</v>
      </c>
      <c r="G319" s="3">
        <v>1038</v>
      </c>
      <c r="H319" s="3">
        <v>1479</v>
      </c>
      <c r="I319" s="3">
        <v>5748</v>
      </c>
      <c r="J319" s="3">
        <v>1498</v>
      </c>
      <c r="K319" s="3">
        <v>1251</v>
      </c>
    </row>
    <row r="320" spans="1:11" x14ac:dyDescent="0.2">
      <c r="A320" s="6" t="s">
        <v>17</v>
      </c>
    </row>
    <row r="321" spans="1:11" x14ac:dyDescent="0.2">
      <c r="A321" s="4" t="s">
        <v>16</v>
      </c>
      <c r="B321" s="3">
        <v>109</v>
      </c>
      <c r="C321" s="3">
        <v>117</v>
      </c>
      <c r="D321" s="3">
        <v>123</v>
      </c>
      <c r="E321" s="3">
        <v>131</v>
      </c>
      <c r="F321" s="3">
        <v>143</v>
      </c>
      <c r="G321" s="3">
        <v>141</v>
      </c>
      <c r="H321" s="3">
        <v>124</v>
      </c>
      <c r="I321" s="3">
        <v>149</v>
      </c>
      <c r="J321" s="3">
        <v>145</v>
      </c>
      <c r="K321" s="3">
        <v>125</v>
      </c>
    </row>
    <row r="322" spans="1:11" x14ac:dyDescent="0.2">
      <c r="A322" s="4" t="s">
        <v>15</v>
      </c>
      <c r="B322" s="3">
        <v>869</v>
      </c>
      <c r="C322" s="3">
        <v>1186</v>
      </c>
      <c r="D322" s="3">
        <v>953</v>
      </c>
      <c r="E322" s="3">
        <v>1185</v>
      </c>
      <c r="F322" s="3">
        <v>1204</v>
      </c>
      <c r="G322" s="3">
        <v>1187</v>
      </c>
      <c r="H322" s="3">
        <v>1052</v>
      </c>
      <c r="I322" s="3">
        <v>1527</v>
      </c>
      <c r="J322" s="3">
        <v>1940</v>
      </c>
      <c r="K322" s="3">
        <v>2234</v>
      </c>
    </row>
    <row r="323" spans="1:11" x14ac:dyDescent="0.2">
      <c r="A323" s="4" t="s">
        <v>14</v>
      </c>
      <c r="B323" s="5">
        <v>0</v>
      </c>
      <c r="C323" s="5">
        <v>0</v>
      </c>
      <c r="D323" s="5">
        <v>0</v>
      </c>
      <c r="E323" s="5">
        <v>0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</row>
    <row r="324" spans="1:11" x14ac:dyDescent="0.2">
      <c r="A324" s="4" t="s">
        <v>13</v>
      </c>
      <c r="B324" s="3">
        <v>-35</v>
      </c>
      <c r="C324" s="5">
        <v>0</v>
      </c>
      <c r="D324" s="5">
        <v>0</v>
      </c>
      <c r="E324" s="5">
        <v>0</v>
      </c>
      <c r="F324" s="5">
        <v>0</v>
      </c>
      <c r="G324" s="5">
        <v>0</v>
      </c>
      <c r="H324" s="5">
        <v>0</v>
      </c>
      <c r="I324" s="3">
        <v>41</v>
      </c>
      <c r="J324" s="5">
        <v>0</v>
      </c>
      <c r="K324" s="3">
        <v>-18</v>
      </c>
    </row>
    <row r="325" spans="1:11" x14ac:dyDescent="0.2">
      <c r="A325" s="4" t="s">
        <v>12</v>
      </c>
      <c r="B325" s="5">
        <v>0</v>
      </c>
      <c r="C325" s="5">
        <v>0</v>
      </c>
      <c r="D325" s="5">
        <v>0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</row>
    <row r="326" spans="1:11" x14ac:dyDescent="0.2">
      <c r="A326" s="4" t="s">
        <v>11</v>
      </c>
      <c r="B326" s="3">
        <v>1</v>
      </c>
      <c r="C326" s="3">
        <v>1</v>
      </c>
      <c r="D326" s="3">
        <v>1</v>
      </c>
      <c r="E326" s="3">
        <v>1</v>
      </c>
      <c r="F326" s="3">
        <v>1</v>
      </c>
      <c r="G326" s="3">
        <v>1</v>
      </c>
      <c r="H326" s="3">
        <v>1</v>
      </c>
      <c r="I326" s="3">
        <v>1</v>
      </c>
      <c r="J326" s="3">
        <v>1</v>
      </c>
      <c r="K326" s="3">
        <v>1</v>
      </c>
    </row>
    <row r="327" spans="1:11" x14ac:dyDescent="0.2">
      <c r="A327" s="4" t="s">
        <v>10</v>
      </c>
      <c r="B327" s="5">
        <v>0</v>
      </c>
      <c r="C327" s="5">
        <v>0</v>
      </c>
      <c r="D327" s="5">
        <v>0</v>
      </c>
      <c r="E327" s="5">
        <v>0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</row>
    <row r="328" spans="1:11" x14ac:dyDescent="0.2">
      <c r="A328" s="4" t="s">
        <v>9</v>
      </c>
      <c r="B328" s="3">
        <v>1.33</v>
      </c>
      <c r="C328" s="3">
        <v>6.51</v>
      </c>
      <c r="D328" s="3">
        <v>1.7</v>
      </c>
      <c r="E328" s="3">
        <v>8.9</v>
      </c>
      <c r="F328" s="3">
        <v>2.14</v>
      </c>
      <c r="G328" s="3">
        <v>2.44</v>
      </c>
      <c r="H328" s="3">
        <v>2.7</v>
      </c>
      <c r="I328" s="3">
        <v>12.98</v>
      </c>
      <c r="J328" s="3">
        <v>3.38</v>
      </c>
      <c r="K328" s="3">
        <v>3.84</v>
      </c>
    </row>
    <row r="329" spans="1:11" x14ac:dyDescent="0.2">
      <c r="A329" s="4" t="s">
        <v>8</v>
      </c>
      <c r="B329" s="3">
        <v>584</v>
      </c>
      <c r="C329" s="3">
        <v>2865</v>
      </c>
      <c r="D329" s="3">
        <v>746</v>
      </c>
      <c r="E329" s="3">
        <v>3945</v>
      </c>
      <c r="F329" s="3">
        <v>936</v>
      </c>
      <c r="G329" s="3">
        <v>1057</v>
      </c>
      <c r="H329" s="3">
        <v>1193</v>
      </c>
      <c r="I329" s="3">
        <v>5748</v>
      </c>
      <c r="J329" s="3">
        <v>1498</v>
      </c>
      <c r="K329" s="3">
        <v>1698</v>
      </c>
    </row>
    <row r="330" spans="1:11" x14ac:dyDescent="0.2">
      <c r="A330" s="4" t="s">
        <v>7</v>
      </c>
      <c r="B330" s="3">
        <v>0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</row>
    <row r="331" spans="1:11" x14ac:dyDescent="0.2">
      <c r="A331" s="4" t="s">
        <v>6</v>
      </c>
      <c r="B331" s="3">
        <v>0</v>
      </c>
      <c r="C331" s="3">
        <v>0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</row>
    <row r="332" spans="1:11" x14ac:dyDescent="0.2">
      <c r="A332" s="4" t="s">
        <v>5</v>
      </c>
      <c r="B332" s="3">
        <v>0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</row>
    <row r="333" spans="1:11" x14ac:dyDescent="0.2">
      <c r="A333" s="4" t="s">
        <v>4</v>
      </c>
      <c r="B333" s="3">
        <v>141.75</v>
      </c>
      <c r="C333" s="3">
        <v>161.5</v>
      </c>
      <c r="D333" s="3">
        <v>160.11000000000001</v>
      </c>
      <c r="E333" s="3">
        <v>186.12</v>
      </c>
      <c r="F333" s="3">
        <v>203.71</v>
      </c>
      <c r="G333" s="3">
        <v>293.92</v>
      </c>
      <c r="H333" s="3">
        <v>376.78</v>
      </c>
      <c r="I333" s="3">
        <v>567.70000000000005</v>
      </c>
      <c r="J333" s="3">
        <v>456.5</v>
      </c>
      <c r="K333" s="3">
        <v>660.08</v>
      </c>
    </row>
    <row r="334" spans="1:11" x14ac:dyDescent="0.2">
      <c r="A334" s="4" t="s">
        <v>3</v>
      </c>
      <c r="B334" s="3">
        <v>121.08</v>
      </c>
      <c r="C334" s="3">
        <v>140.05000000000001</v>
      </c>
      <c r="D334" s="3">
        <v>162.09</v>
      </c>
      <c r="E334" s="3">
        <v>156.74</v>
      </c>
      <c r="F334" s="3">
        <v>233.13</v>
      </c>
      <c r="G334" s="3">
        <v>294.76</v>
      </c>
      <c r="H334" s="3">
        <v>347.66</v>
      </c>
      <c r="I334" s="3">
        <v>455.49</v>
      </c>
      <c r="J334" s="3">
        <v>522.1</v>
      </c>
      <c r="K334" s="3">
        <v>549.28</v>
      </c>
    </row>
    <row r="335" spans="1:11" x14ac:dyDescent="0.2">
      <c r="A335" s="4" t="s">
        <v>2</v>
      </c>
      <c r="B335" s="5">
        <v>0</v>
      </c>
      <c r="C335" s="5">
        <v>0</v>
      </c>
      <c r="D335" s="5">
        <v>0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</row>
    <row r="336" spans="1:11" x14ac:dyDescent="0.2">
      <c r="A336" s="4" t="s">
        <v>1</v>
      </c>
      <c r="B336" s="3">
        <v>230</v>
      </c>
      <c r="C336" s="3">
        <v>252</v>
      </c>
      <c r="D336" s="3">
        <v>250</v>
      </c>
      <c r="E336" s="3">
        <v>258</v>
      </c>
      <c r="F336" s="3">
        <v>265</v>
      </c>
      <c r="G336" s="3">
        <v>268</v>
      </c>
      <c r="H336" s="3">
        <v>339</v>
      </c>
      <c r="I336" s="3">
        <v>447</v>
      </c>
      <c r="J336" s="3">
        <v>454</v>
      </c>
      <c r="K336" s="3">
        <v>469</v>
      </c>
    </row>
    <row r="337" spans="1:11" x14ac:dyDescent="0.2">
      <c r="A337" s="4" t="s">
        <v>0</v>
      </c>
      <c r="B337" s="3">
        <v>0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</row>
    <row r="1000" spans="648:648" ht="15" x14ac:dyDescent="0.2">
      <c r="XX1000" s="2">
        <v>117383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C07DB-C1B9-4026-909B-3D737462B024}">
  <dimension ref="A1:XX1000"/>
  <sheetViews>
    <sheetView topLeftCell="L1" zoomScale="70" zoomScaleNormal="70" workbookViewId="0">
      <selection activeCell="AB3" sqref="AB3"/>
    </sheetView>
  </sheetViews>
  <sheetFormatPr defaultColWidth="7.75" defaultRowHeight="12.75" x14ac:dyDescent="0.2"/>
  <cols>
    <col min="1" max="1" width="61.625" style="9" bestFit="1" customWidth="1"/>
    <col min="2" max="2" width="11.25" style="9" customWidth="1"/>
    <col min="3" max="4" width="9.75" style="9" customWidth="1"/>
    <col min="5" max="5" width="10.625" style="9" customWidth="1"/>
    <col min="6" max="6" width="13.375" style="9" customWidth="1"/>
    <col min="7" max="12" width="9.75" style="9" bestFit="1" customWidth="1"/>
    <col min="13" max="13" width="12.625" style="9" bestFit="1" customWidth="1"/>
    <col min="14" max="14" width="7.75" style="9"/>
    <col min="15" max="15" width="61.625" style="9" bestFit="1" customWidth="1"/>
    <col min="16" max="16" width="9.625" style="9" bestFit="1" customWidth="1"/>
    <col min="17" max="20" width="9.625" style="9" customWidth="1"/>
    <col min="21" max="22" width="8" style="9" customWidth="1"/>
    <col min="23" max="23" width="8.125" style="9" customWidth="1"/>
    <col min="24" max="24" width="8.25" style="9" customWidth="1"/>
    <col min="25" max="25" width="8.625" style="9" customWidth="1"/>
    <col min="26" max="26" width="9" style="9" customWidth="1"/>
    <col min="27" max="27" width="8.875" style="9" bestFit="1" customWidth="1"/>
    <col min="28" max="28" width="11.5" style="9" customWidth="1"/>
    <col min="29" max="29" width="9.125" style="9" customWidth="1"/>
    <col min="30" max="30" width="13.5" style="9" customWidth="1"/>
    <col min="31" max="31" width="8.75" style="9" customWidth="1"/>
    <col min="32" max="16384" width="7.75" style="9"/>
  </cols>
  <sheetData>
    <row r="1" spans="1:30" ht="16.5" thickBot="1" x14ac:dyDescent="0.3">
      <c r="A1" s="274" t="s">
        <v>281</v>
      </c>
      <c r="B1" s="275" t="s">
        <v>280</v>
      </c>
      <c r="C1" s="274" t="s">
        <v>366</v>
      </c>
      <c r="D1" s="273" t="s">
        <v>278</v>
      </c>
      <c r="E1" s="272"/>
      <c r="F1" s="265"/>
      <c r="I1" s="11"/>
      <c r="J1" s="11"/>
      <c r="K1" s="11" t="s">
        <v>365</v>
      </c>
      <c r="L1" s="11"/>
      <c r="M1" s="11"/>
      <c r="N1" s="11"/>
      <c r="O1" s="59"/>
      <c r="P1" s="271"/>
      <c r="Q1" s="271"/>
      <c r="R1" s="271"/>
      <c r="S1" s="271"/>
      <c r="T1" s="271"/>
      <c r="U1" s="270"/>
      <c r="V1" s="270"/>
      <c r="W1" s="270"/>
      <c r="X1" s="270"/>
      <c r="Y1" s="270"/>
      <c r="Z1" s="269"/>
      <c r="AA1" s="268"/>
      <c r="AB1" s="267" t="s">
        <v>292</v>
      </c>
      <c r="AC1" s="266"/>
      <c r="AD1" s="266"/>
    </row>
    <row r="2" spans="1:30" ht="16.5" thickBot="1" x14ac:dyDescent="0.3">
      <c r="A2" s="264"/>
      <c r="B2" s="265"/>
      <c r="C2" s="265"/>
      <c r="D2" s="265"/>
      <c r="E2" s="265"/>
      <c r="F2" s="265"/>
      <c r="G2" s="264"/>
      <c r="H2" s="263"/>
      <c r="I2" s="11"/>
      <c r="J2" s="11"/>
      <c r="K2" s="11"/>
      <c r="L2" s="11"/>
      <c r="M2" s="11"/>
      <c r="N2" s="11"/>
      <c r="O2" s="53"/>
      <c r="P2" s="52" t="s">
        <v>307</v>
      </c>
      <c r="Q2" s="51">
        <v>-9</v>
      </c>
      <c r="R2" s="51">
        <v>-8</v>
      </c>
      <c r="S2" s="51">
        <v>-7</v>
      </c>
      <c r="T2" s="51">
        <v>-6</v>
      </c>
      <c r="U2" s="51">
        <v>-5</v>
      </c>
      <c r="V2" s="51">
        <v>-4</v>
      </c>
      <c r="W2" s="51">
        <v>-3</v>
      </c>
      <c r="X2" s="51">
        <v>-2</v>
      </c>
      <c r="Y2" s="51">
        <v>-1</v>
      </c>
      <c r="Z2" s="51">
        <v>0</v>
      </c>
      <c r="AA2" s="49" t="s">
        <v>289</v>
      </c>
      <c r="AB2" s="48" t="s">
        <v>288</v>
      </c>
      <c r="AC2" s="47" t="s">
        <v>287</v>
      </c>
      <c r="AD2" s="48" t="s">
        <v>364</v>
      </c>
    </row>
    <row r="3" spans="1:30" ht="16.5" thickBot="1" x14ac:dyDescent="0.3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92" t="s">
        <v>359</v>
      </c>
      <c r="P3" s="91"/>
      <c r="Q3" s="91"/>
      <c r="R3" s="262">
        <v>3.1596235795454453E-2</v>
      </c>
      <c r="S3" s="261">
        <v>2.1686933622492521E-2</v>
      </c>
      <c r="T3" s="261">
        <v>8.6810030407937999E-2</v>
      </c>
      <c r="U3" s="261">
        <v>9.7275721759348954E-2</v>
      </c>
      <c r="V3" s="261">
        <v>7.8593829462620723E-2</v>
      </c>
      <c r="W3" s="261">
        <v>9.2061059704131587E-2</v>
      </c>
      <c r="X3" s="261">
        <v>0.17490900150514799</v>
      </c>
      <c r="Y3" s="261">
        <v>0.15834817714580285</v>
      </c>
      <c r="Z3" s="261">
        <v>6.7573164606043568E-2</v>
      </c>
      <c r="AA3" s="260">
        <v>8.9872683778775622E-2</v>
      </c>
      <c r="AB3" s="258">
        <v>8.7465459840191453E-2</v>
      </c>
      <c r="AC3" s="259">
        <v>6.7573164606043568E-2</v>
      </c>
      <c r="AD3" s="258">
        <v>8.8830597187475172E-2</v>
      </c>
    </row>
    <row r="4" spans="1:30" ht="16.5" thickBot="1" x14ac:dyDescent="0.3">
      <c r="A4" s="11"/>
      <c r="B4" s="257" t="s">
        <v>363</v>
      </c>
      <c r="C4" s="256">
        <v>41882</v>
      </c>
      <c r="D4" s="255">
        <v>42247</v>
      </c>
      <c r="E4" s="255">
        <v>42613</v>
      </c>
      <c r="F4" s="255">
        <v>42978</v>
      </c>
      <c r="G4" s="255">
        <v>43343</v>
      </c>
      <c r="H4" s="255">
        <v>43708</v>
      </c>
      <c r="I4" s="255">
        <v>44074</v>
      </c>
      <c r="J4" s="255">
        <v>44439</v>
      </c>
      <c r="K4" s="255">
        <v>44804</v>
      </c>
      <c r="L4" s="254">
        <v>45169</v>
      </c>
      <c r="M4" s="24" t="s">
        <v>362</v>
      </c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 ht="15.75" x14ac:dyDescent="0.25">
      <c r="A5" s="59"/>
      <c r="B5" s="58" t="s">
        <v>294</v>
      </c>
      <c r="C5" s="253">
        <v>2014</v>
      </c>
      <c r="D5" s="253">
        <v>2015</v>
      </c>
      <c r="E5" s="253">
        <v>2016</v>
      </c>
      <c r="F5" s="253">
        <v>2017</v>
      </c>
      <c r="G5" s="253">
        <v>2018</v>
      </c>
      <c r="H5" s="253">
        <v>2019</v>
      </c>
      <c r="I5" s="253">
        <v>2020</v>
      </c>
      <c r="J5" s="253">
        <v>2021</v>
      </c>
      <c r="K5" s="253">
        <v>2022</v>
      </c>
      <c r="L5" s="253">
        <v>2023</v>
      </c>
      <c r="M5" s="11"/>
      <c r="N5" s="11"/>
      <c r="O5" s="59"/>
      <c r="P5" s="58" t="s">
        <v>294</v>
      </c>
      <c r="Q5" s="57">
        <v>2014</v>
      </c>
      <c r="R5" s="57">
        <v>2015</v>
      </c>
      <c r="S5" s="57">
        <v>2016</v>
      </c>
      <c r="T5" s="57">
        <v>2017</v>
      </c>
      <c r="U5" s="57">
        <v>2018</v>
      </c>
      <c r="V5" s="57">
        <v>2019</v>
      </c>
      <c r="W5" s="57">
        <v>2020</v>
      </c>
      <c r="X5" s="57">
        <v>2021</v>
      </c>
      <c r="Y5" s="57">
        <v>2022</v>
      </c>
      <c r="Z5" s="57">
        <v>2023</v>
      </c>
      <c r="AA5" s="56" t="s">
        <v>293</v>
      </c>
      <c r="AB5" s="55" t="s">
        <v>292</v>
      </c>
      <c r="AC5" s="54" t="s">
        <v>291</v>
      </c>
      <c r="AD5" s="11"/>
    </row>
    <row r="6" spans="1:30" ht="15.75" x14ac:dyDescent="0.25">
      <c r="A6" s="53" t="s">
        <v>361</v>
      </c>
      <c r="B6" s="52" t="s">
        <v>307</v>
      </c>
      <c r="C6" s="51">
        <v>-9</v>
      </c>
      <c r="D6" s="51">
        <v>-8</v>
      </c>
      <c r="E6" s="51">
        <v>-7</v>
      </c>
      <c r="F6" s="51">
        <v>-6</v>
      </c>
      <c r="G6" s="51">
        <v>-5</v>
      </c>
      <c r="H6" s="51">
        <v>-4</v>
      </c>
      <c r="I6" s="51">
        <v>-3</v>
      </c>
      <c r="J6" s="51">
        <v>-2</v>
      </c>
      <c r="K6" s="51">
        <v>-1</v>
      </c>
      <c r="L6" s="50">
        <v>0</v>
      </c>
      <c r="M6" s="11"/>
      <c r="N6" s="11"/>
      <c r="O6" s="53" t="s">
        <v>360</v>
      </c>
      <c r="P6" s="52"/>
      <c r="Q6" s="51">
        <v>-9</v>
      </c>
      <c r="R6" s="51">
        <v>-8</v>
      </c>
      <c r="S6" s="51">
        <v>-7</v>
      </c>
      <c r="T6" s="51">
        <v>-6</v>
      </c>
      <c r="U6" s="51">
        <v>-5</v>
      </c>
      <c r="V6" s="51">
        <v>-4</v>
      </c>
      <c r="W6" s="51">
        <v>-3</v>
      </c>
      <c r="X6" s="51">
        <v>-2</v>
      </c>
      <c r="Y6" s="51">
        <v>-1</v>
      </c>
      <c r="Z6" s="50">
        <v>0</v>
      </c>
      <c r="AA6" s="49" t="s">
        <v>289</v>
      </c>
      <c r="AB6" s="48" t="s">
        <v>288</v>
      </c>
      <c r="AC6" s="47" t="s">
        <v>287</v>
      </c>
      <c r="AD6" s="11"/>
    </row>
    <row r="7" spans="1:30" ht="16.5" thickBot="1" x14ac:dyDescent="0.3">
      <c r="A7" s="86"/>
      <c r="B7" s="202"/>
      <c r="C7" s="202"/>
      <c r="D7" s="202"/>
      <c r="E7" s="202"/>
      <c r="F7" s="202"/>
      <c r="G7" s="202"/>
      <c r="H7" s="202"/>
      <c r="I7" s="202"/>
      <c r="J7" s="202"/>
      <c r="K7" s="202"/>
      <c r="L7" s="252"/>
      <c r="M7" s="200"/>
      <c r="N7" s="200"/>
      <c r="O7" s="32"/>
      <c r="P7" s="162"/>
      <c r="Q7" s="162"/>
      <c r="R7" s="162"/>
      <c r="S7" s="162"/>
      <c r="T7" s="162"/>
      <c r="U7" s="101"/>
      <c r="V7" s="185"/>
      <c r="W7" s="185"/>
      <c r="X7" s="185"/>
      <c r="Y7" s="185"/>
      <c r="Z7" s="184"/>
      <c r="AA7" s="127"/>
      <c r="AB7" s="126"/>
      <c r="AC7" s="125"/>
      <c r="AD7" s="200"/>
    </row>
    <row r="8" spans="1:30" ht="15.75" x14ac:dyDescent="0.25">
      <c r="A8" s="251" t="s">
        <v>359</v>
      </c>
      <c r="B8" s="202"/>
      <c r="C8" s="34">
        <v>112640</v>
      </c>
      <c r="D8" s="34">
        <v>116199</v>
      </c>
      <c r="E8" s="34">
        <v>118719</v>
      </c>
      <c r="F8" s="34">
        <v>129025</v>
      </c>
      <c r="G8" s="34">
        <v>141576</v>
      </c>
      <c r="H8" s="34">
        <v>152703</v>
      </c>
      <c r="I8" s="34">
        <v>166761</v>
      </c>
      <c r="J8" s="34">
        <v>195929</v>
      </c>
      <c r="K8" s="34">
        <v>226954</v>
      </c>
      <c r="L8" s="33">
        <v>242290</v>
      </c>
      <c r="M8" s="200"/>
      <c r="N8" s="200"/>
      <c r="O8" s="250" t="s">
        <v>359</v>
      </c>
      <c r="P8" s="185"/>
      <c r="Q8" s="42">
        <v>1</v>
      </c>
      <c r="R8" s="41">
        <v>1</v>
      </c>
      <c r="S8" s="41">
        <v>1</v>
      </c>
      <c r="T8" s="41">
        <v>1</v>
      </c>
      <c r="U8" s="41">
        <v>1</v>
      </c>
      <c r="V8" s="41">
        <v>1</v>
      </c>
      <c r="W8" s="41">
        <v>1</v>
      </c>
      <c r="X8" s="41">
        <v>1</v>
      </c>
      <c r="Y8" s="41">
        <v>1</v>
      </c>
      <c r="Z8" s="40">
        <v>1</v>
      </c>
      <c r="AA8" s="39">
        <v>1</v>
      </c>
      <c r="AB8" s="38">
        <v>1</v>
      </c>
      <c r="AC8" s="37">
        <v>1</v>
      </c>
      <c r="AD8" s="200"/>
    </row>
    <row r="9" spans="1:30" ht="15.75" x14ac:dyDescent="0.25">
      <c r="A9" s="248" t="s">
        <v>358</v>
      </c>
      <c r="B9" s="215"/>
      <c r="C9" s="133">
        <v>97429</v>
      </c>
      <c r="D9" s="133">
        <v>99938</v>
      </c>
      <c r="E9" s="133">
        <v>101646</v>
      </c>
      <c r="F9" s="133">
        <v>110563</v>
      </c>
      <c r="G9" s="133">
        <v>121715</v>
      </c>
      <c r="H9" s="133">
        <v>131394</v>
      </c>
      <c r="I9" s="133">
        <v>143186</v>
      </c>
      <c r="J9" s="133">
        <v>168903</v>
      </c>
      <c r="K9" s="133">
        <v>197482</v>
      </c>
      <c r="L9" s="132">
        <v>210509</v>
      </c>
      <c r="M9" s="200"/>
      <c r="N9" s="200"/>
      <c r="O9" s="247" t="s">
        <v>358</v>
      </c>
      <c r="P9" s="249"/>
      <c r="Q9" s="30">
        <v>0.86495916193181821</v>
      </c>
      <c r="R9" s="29">
        <v>0.86005903665263905</v>
      </c>
      <c r="S9" s="29">
        <v>0.85618982639678565</v>
      </c>
      <c r="T9" s="29">
        <v>0.85691145126913393</v>
      </c>
      <c r="U9" s="29">
        <v>0.85971492343335032</v>
      </c>
      <c r="V9" s="29">
        <v>0.86045460796448003</v>
      </c>
      <c r="W9" s="29">
        <v>0.85863001541127726</v>
      </c>
      <c r="X9" s="29">
        <v>0.8620622776618061</v>
      </c>
      <c r="Y9" s="29">
        <v>0.87014108585880834</v>
      </c>
      <c r="Z9" s="28">
        <v>0.86883074002228733</v>
      </c>
      <c r="AA9" s="214">
        <v>0.86179531266023868</v>
      </c>
      <c r="AB9" s="213">
        <v>0.8614527767933492</v>
      </c>
      <c r="AC9" s="212">
        <v>0.86883074002228733</v>
      </c>
      <c r="AD9" s="200"/>
    </row>
    <row r="10" spans="1:30" ht="15.75" x14ac:dyDescent="0.25">
      <c r="A10" s="245" t="s">
        <v>47</v>
      </c>
      <c r="B10" s="211"/>
      <c r="C10" s="210">
        <v>15211</v>
      </c>
      <c r="D10" s="210">
        <v>16261</v>
      </c>
      <c r="E10" s="210">
        <v>17073</v>
      </c>
      <c r="F10" s="210">
        <v>18462</v>
      </c>
      <c r="G10" s="210">
        <v>19861</v>
      </c>
      <c r="H10" s="210">
        <v>21309</v>
      </c>
      <c r="I10" s="210">
        <v>23575</v>
      </c>
      <c r="J10" s="210">
        <v>27026</v>
      </c>
      <c r="K10" s="210">
        <v>29472</v>
      </c>
      <c r="L10" s="209">
        <v>31781</v>
      </c>
      <c r="M10" s="200"/>
      <c r="N10" s="200"/>
      <c r="O10" s="244" t="s">
        <v>47</v>
      </c>
      <c r="P10" s="129"/>
      <c r="Q10" s="208">
        <v>0.13504083806818182</v>
      </c>
      <c r="R10" s="207">
        <v>0.139940963347361</v>
      </c>
      <c r="S10" s="207">
        <v>0.14381017360321433</v>
      </c>
      <c r="T10" s="207">
        <v>0.1430885487308661</v>
      </c>
      <c r="U10" s="207">
        <v>0.14028507656664971</v>
      </c>
      <c r="V10" s="207">
        <v>0.13954539203551994</v>
      </c>
      <c r="W10" s="207">
        <v>0.14136998458872277</v>
      </c>
      <c r="X10" s="207">
        <v>0.13793772233819393</v>
      </c>
      <c r="Y10" s="207">
        <v>0.12985891414119161</v>
      </c>
      <c r="Z10" s="206">
        <v>0.13116925997771267</v>
      </c>
      <c r="AA10" s="205">
        <v>0.13820468733976141</v>
      </c>
      <c r="AB10" s="204">
        <v>0.13854722320665103</v>
      </c>
      <c r="AC10" s="203">
        <v>0.13116925997771267</v>
      </c>
      <c r="AD10" s="200"/>
    </row>
    <row r="11" spans="1:30" ht="15.75" x14ac:dyDescent="0.25">
      <c r="A11" s="248" t="s">
        <v>357</v>
      </c>
      <c r="B11" s="215"/>
      <c r="C11" s="133">
        <v>10962</v>
      </c>
      <c r="D11" s="133">
        <v>11510</v>
      </c>
      <c r="E11" s="133">
        <v>12146</v>
      </c>
      <c r="F11" s="133">
        <v>13032</v>
      </c>
      <c r="G11" s="133">
        <v>13944</v>
      </c>
      <c r="H11" s="133">
        <v>14957</v>
      </c>
      <c r="I11" s="133">
        <v>15991</v>
      </c>
      <c r="J11" s="133">
        <v>18022</v>
      </c>
      <c r="K11" s="133">
        <v>19779</v>
      </c>
      <c r="L11" s="132">
        <v>21590</v>
      </c>
      <c r="M11" s="200"/>
      <c r="N11" s="200"/>
      <c r="O11" s="247" t="s">
        <v>357</v>
      </c>
      <c r="P11" s="197"/>
      <c r="Q11" s="30">
        <v>9.7318892045454547E-2</v>
      </c>
      <c r="R11" s="29">
        <v>9.9054208728130186E-2</v>
      </c>
      <c r="S11" s="29">
        <v>0.10230881324809003</v>
      </c>
      <c r="T11" s="29">
        <v>0.10100368145708197</v>
      </c>
      <c r="U11" s="29">
        <v>9.8491269706729959E-2</v>
      </c>
      <c r="V11" s="29">
        <v>9.7948304879406423E-2</v>
      </c>
      <c r="W11" s="29">
        <v>9.5891725283489548E-2</v>
      </c>
      <c r="X11" s="29">
        <v>9.198229971060945E-2</v>
      </c>
      <c r="Y11" s="29">
        <v>8.7149818906033821E-2</v>
      </c>
      <c r="Z11" s="28">
        <v>8.910809360683479E-2</v>
      </c>
      <c r="AA11" s="214">
        <v>9.6025710757186064E-2</v>
      </c>
      <c r="AB11" s="213">
        <v>9.6349809427217104E-2</v>
      </c>
      <c r="AC11" s="212">
        <v>8.910809360683479E-2</v>
      </c>
      <c r="AD11" s="200"/>
    </row>
    <row r="12" spans="1:30" ht="15.75" x14ac:dyDescent="0.25">
      <c r="A12" s="245" t="s">
        <v>356</v>
      </c>
      <c r="B12" s="211"/>
      <c r="C12" s="210">
        <v>4249</v>
      </c>
      <c r="D12" s="210">
        <v>4751</v>
      </c>
      <c r="E12" s="210">
        <v>4927</v>
      </c>
      <c r="F12" s="210">
        <v>5430</v>
      </c>
      <c r="G12" s="210">
        <v>5917</v>
      </c>
      <c r="H12" s="210">
        <v>6352</v>
      </c>
      <c r="I12" s="210">
        <v>7584</v>
      </c>
      <c r="J12" s="210">
        <v>9004</v>
      </c>
      <c r="K12" s="210">
        <v>9693</v>
      </c>
      <c r="L12" s="209">
        <v>10191</v>
      </c>
      <c r="M12" s="200"/>
      <c r="N12" s="200"/>
      <c r="O12" s="244" t="s">
        <v>356</v>
      </c>
      <c r="P12" s="129"/>
      <c r="Q12" s="208">
        <v>3.7721946022727271E-2</v>
      </c>
      <c r="R12" s="207">
        <v>4.0886754619230803E-2</v>
      </c>
      <c r="S12" s="207">
        <v>4.1501360355124285E-2</v>
      </c>
      <c r="T12" s="207">
        <v>4.2084867273784153E-2</v>
      </c>
      <c r="U12" s="207">
        <v>4.1793806859919763E-2</v>
      </c>
      <c r="V12" s="207">
        <v>4.1597087156113502E-2</v>
      </c>
      <c r="W12" s="207">
        <v>4.5478259305233235E-2</v>
      </c>
      <c r="X12" s="207">
        <v>4.595542262758448E-2</v>
      </c>
      <c r="Y12" s="207">
        <v>4.2709095235157785E-2</v>
      </c>
      <c r="Z12" s="206">
        <v>4.2061166370877874E-2</v>
      </c>
      <c r="AA12" s="205">
        <v>4.2178976582575314E-2</v>
      </c>
      <c r="AB12" s="204">
        <v>4.2264049646930174E-2</v>
      </c>
      <c r="AC12" s="203">
        <v>4.2061166370877874E-2</v>
      </c>
      <c r="AD12" s="200"/>
    </row>
    <row r="13" spans="1:30" ht="15.75" x14ac:dyDescent="0.25">
      <c r="A13" s="248" t="s">
        <v>355</v>
      </c>
      <c r="B13" s="215"/>
      <c r="C13" s="133">
        <v>1029</v>
      </c>
      <c r="D13" s="133">
        <v>1127</v>
      </c>
      <c r="E13" s="133">
        <v>1255</v>
      </c>
      <c r="F13" s="133">
        <v>1370</v>
      </c>
      <c r="G13" s="133">
        <v>1437</v>
      </c>
      <c r="H13" s="133">
        <v>1492</v>
      </c>
      <c r="I13" s="133">
        <v>1645</v>
      </c>
      <c r="J13" s="133">
        <v>1781</v>
      </c>
      <c r="K13" s="133">
        <v>1900</v>
      </c>
      <c r="L13" s="132">
        <v>2077</v>
      </c>
      <c r="M13" s="200"/>
      <c r="N13" s="200"/>
      <c r="O13" s="247" t="s">
        <v>355</v>
      </c>
      <c r="P13" s="197"/>
      <c r="Q13" s="30">
        <v>9.1352982954545463E-3</v>
      </c>
      <c r="R13" s="29">
        <v>9.6988786478368998E-3</v>
      </c>
      <c r="S13" s="29">
        <v>1.0571180687168861E-2</v>
      </c>
      <c r="T13" s="29">
        <v>1.0618097267971324E-2</v>
      </c>
      <c r="U13" s="29">
        <v>1.0150025428038651E-2</v>
      </c>
      <c r="V13" s="29">
        <v>9.7706004466185988E-3</v>
      </c>
      <c r="W13" s="29">
        <v>9.8644167401250888E-3</v>
      </c>
      <c r="X13" s="29">
        <v>9.0900275099653448E-3</v>
      </c>
      <c r="Y13" s="29">
        <v>8.3717405289177541E-3</v>
      </c>
      <c r="Z13" s="28">
        <v>8.5723719509678484E-3</v>
      </c>
      <c r="AA13" s="214">
        <v>9.5842637503064931E-3</v>
      </c>
      <c r="AB13" s="213">
        <v>9.6065999632719817E-3</v>
      </c>
      <c r="AC13" s="212">
        <v>8.5723719509678484E-3</v>
      </c>
      <c r="AD13" s="246"/>
    </row>
    <row r="14" spans="1:30" ht="15.75" x14ac:dyDescent="0.25">
      <c r="A14" s="245" t="s">
        <v>354</v>
      </c>
      <c r="B14" s="211"/>
      <c r="C14" s="210">
        <v>3220</v>
      </c>
      <c r="D14" s="210">
        <v>3624</v>
      </c>
      <c r="E14" s="210">
        <v>3672</v>
      </c>
      <c r="F14" s="210">
        <v>4060</v>
      </c>
      <c r="G14" s="210">
        <v>4480</v>
      </c>
      <c r="H14" s="210">
        <v>4860</v>
      </c>
      <c r="I14" s="210">
        <v>5939</v>
      </c>
      <c r="J14" s="210">
        <v>7223</v>
      </c>
      <c r="K14" s="210">
        <v>7793</v>
      </c>
      <c r="L14" s="209">
        <v>8114</v>
      </c>
      <c r="M14" s="200"/>
      <c r="N14" s="200"/>
      <c r="O14" s="244" t="s">
        <v>354</v>
      </c>
      <c r="P14" s="129"/>
      <c r="Q14" s="208">
        <v>2.8586647727272728E-2</v>
      </c>
      <c r="R14" s="207">
        <v>3.1187875971393903E-2</v>
      </c>
      <c r="S14" s="207">
        <v>3.0930179667955426E-2</v>
      </c>
      <c r="T14" s="207">
        <v>3.1466770005812827E-2</v>
      </c>
      <c r="U14" s="207">
        <v>3.164378143188111E-2</v>
      </c>
      <c r="V14" s="207">
        <v>3.1826486709494901E-2</v>
      </c>
      <c r="W14" s="207">
        <v>3.5613842565108147E-2</v>
      </c>
      <c r="X14" s="207">
        <v>3.6865395117619139E-2</v>
      </c>
      <c r="Y14" s="207">
        <v>3.4337354706240032E-2</v>
      </c>
      <c r="Z14" s="206">
        <v>3.3488794419910026E-2</v>
      </c>
      <c r="AA14" s="205">
        <v>3.2594712832268828E-2</v>
      </c>
      <c r="AB14" s="204">
        <v>3.2561885684724554E-2</v>
      </c>
      <c r="AC14" s="203">
        <v>3.3488794419910026E-2</v>
      </c>
      <c r="AD14" s="200"/>
    </row>
    <row r="15" spans="1:30" ht="15.75" x14ac:dyDescent="0.25">
      <c r="A15" s="86" t="s">
        <v>353</v>
      </c>
      <c r="B15" s="202"/>
      <c r="C15" s="34">
        <v>113</v>
      </c>
      <c r="D15" s="34">
        <v>124</v>
      </c>
      <c r="E15" s="34">
        <v>133</v>
      </c>
      <c r="F15" s="34">
        <v>134</v>
      </c>
      <c r="G15" s="34">
        <v>159</v>
      </c>
      <c r="H15" s="34">
        <v>150</v>
      </c>
      <c r="I15" s="34">
        <v>160</v>
      </c>
      <c r="J15" s="34">
        <v>171</v>
      </c>
      <c r="K15" s="34">
        <v>158</v>
      </c>
      <c r="L15" s="33">
        <v>160</v>
      </c>
      <c r="M15" s="200"/>
      <c r="N15" s="200"/>
      <c r="O15" s="32" t="s">
        <v>353</v>
      </c>
      <c r="P15" s="129"/>
      <c r="Q15" s="69">
        <v>1.0031960227272728E-3</v>
      </c>
      <c r="R15" s="68">
        <v>1.0671348290432793E-3</v>
      </c>
      <c r="S15" s="68">
        <v>1.1202924552935925E-3</v>
      </c>
      <c r="T15" s="68">
        <v>1.0385584189110638E-3</v>
      </c>
      <c r="U15" s="68">
        <v>1.1230717070689947E-3</v>
      </c>
      <c r="V15" s="68">
        <v>9.8229897251527485E-4</v>
      </c>
      <c r="W15" s="68">
        <v>9.5945694736778982E-4</v>
      </c>
      <c r="X15" s="68">
        <v>8.7276513430885674E-4</v>
      </c>
      <c r="Y15" s="68">
        <v>6.9617631766789748E-4</v>
      </c>
      <c r="Z15" s="67">
        <v>6.6036567749391221E-4</v>
      </c>
      <c r="AA15" s="27">
        <v>9.523316482397935E-4</v>
      </c>
      <c r="AB15" s="26">
        <v>9.6748488722937841E-4</v>
      </c>
      <c r="AC15" s="25">
        <v>6.6036567749391221E-4</v>
      </c>
      <c r="AD15" s="200"/>
    </row>
    <row r="16" spans="1:30" ht="15.75" x14ac:dyDescent="0.25">
      <c r="A16" s="86" t="s">
        <v>215</v>
      </c>
      <c r="B16" s="202"/>
      <c r="C16" s="34">
        <v>90</v>
      </c>
      <c r="D16" s="34">
        <v>104</v>
      </c>
      <c r="E16" s="34">
        <v>80</v>
      </c>
      <c r="F16" s="34">
        <v>62</v>
      </c>
      <c r="G16" s="34">
        <v>121</v>
      </c>
      <c r="H16" s="34">
        <v>178</v>
      </c>
      <c r="I16" s="34">
        <v>128</v>
      </c>
      <c r="J16" s="34">
        <v>143</v>
      </c>
      <c r="K16" s="34">
        <v>205</v>
      </c>
      <c r="L16" s="33">
        <v>533</v>
      </c>
      <c r="M16" s="200"/>
      <c r="N16" s="200"/>
      <c r="O16" s="32" t="s">
        <v>215</v>
      </c>
      <c r="P16" s="129"/>
      <c r="Q16" s="69">
        <v>7.9900568181818187E-4</v>
      </c>
      <c r="R16" s="68">
        <v>8.9501630822984703E-4</v>
      </c>
      <c r="S16" s="68">
        <v>6.738601234848676E-4</v>
      </c>
      <c r="T16" s="68">
        <v>4.8052702964541754E-4</v>
      </c>
      <c r="U16" s="68">
        <v>8.5466463242357465E-4</v>
      </c>
      <c r="V16" s="68">
        <v>1.1656614473847928E-3</v>
      </c>
      <c r="W16" s="68">
        <v>7.675655578942319E-4</v>
      </c>
      <c r="X16" s="68">
        <v>7.2985622342787437E-4</v>
      </c>
      <c r="Y16" s="68">
        <v>9.0326674127796827E-4</v>
      </c>
      <c r="Z16" s="67">
        <v>2.199843163151595E-3</v>
      </c>
      <c r="AA16" s="27">
        <v>9.469266908738352E-4</v>
      </c>
      <c r="AB16" s="26">
        <v>8.4861208949266751E-4</v>
      </c>
      <c r="AC16" s="25">
        <v>2.199843163151595E-3</v>
      </c>
      <c r="AD16" s="200"/>
    </row>
    <row r="17" spans="1:29" ht="15.75" x14ac:dyDescent="0.25">
      <c r="A17" s="243" t="s">
        <v>40</v>
      </c>
      <c r="B17" s="215"/>
      <c r="C17" s="133">
        <v>0</v>
      </c>
      <c r="D17" s="133">
        <v>0</v>
      </c>
      <c r="E17" s="133">
        <v>0</v>
      </c>
      <c r="F17" s="133">
        <v>51</v>
      </c>
      <c r="G17" s="133">
        <v>0</v>
      </c>
      <c r="H17" s="133">
        <v>-123</v>
      </c>
      <c r="I17" s="133">
        <v>-540</v>
      </c>
      <c r="J17" s="133">
        <v>-515</v>
      </c>
      <c r="K17" s="133">
        <v>0</v>
      </c>
      <c r="L17" s="132">
        <v>0</v>
      </c>
      <c r="M17" s="200"/>
      <c r="N17" s="200"/>
      <c r="O17" s="161" t="s">
        <v>40</v>
      </c>
      <c r="P17" s="197"/>
      <c r="Q17" s="30">
        <v>0</v>
      </c>
      <c r="R17" s="29">
        <v>0</v>
      </c>
      <c r="S17" s="29">
        <v>0</v>
      </c>
      <c r="T17" s="29">
        <v>3.9527223406316604E-4</v>
      </c>
      <c r="U17" s="29">
        <v>0</v>
      </c>
      <c r="V17" s="29">
        <v>-8.0548515746252532E-4</v>
      </c>
      <c r="W17" s="29">
        <v>-3.2381671973662905E-3</v>
      </c>
      <c r="X17" s="29">
        <v>-2.6285031822752118E-3</v>
      </c>
      <c r="Y17" s="29">
        <v>0</v>
      </c>
      <c r="Z17" s="28">
        <v>0</v>
      </c>
      <c r="AA17" s="214">
        <v>-6.2768833030408622E-4</v>
      </c>
      <c r="AB17" s="213">
        <v>-4.2924854246721716E-4</v>
      </c>
      <c r="AC17" s="212">
        <v>0</v>
      </c>
    </row>
    <row r="18" spans="1:29" ht="15.75" x14ac:dyDescent="0.25">
      <c r="A18" s="242" t="s">
        <v>352</v>
      </c>
      <c r="B18" s="211"/>
      <c r="C18" s="210">
        <v>3197</v>
      </c>
      <c r="D18" s="210">
        <v>3604</v>
      </c>
      <c r="E18" s="210">
        <v>3619</v>
      </c>
      <c r="F18" s="210">
        <v>4039</v>
      </c>
      <c r="G18" s="210">
        <v>4442</v>
      </c>
      <c r="H18" s="210">
        <v>4765</v>
      </c>
      <c r="I18" s="210">
        <v>5367</v>
      </c>
      <c r="J18" s="210">
        <v>6680</v>
      </c>
      <c r="K18" s="210">
        <v>7840</v>
      </c>
      <c r="L18" s="209">
        <v>8487</v>
      </c>
      <c r="M18" s="200"/>
      <c r="N18" s="200"/>
      <c r="O18" s="241" t="s">
        <v>352</v>
      </c>
      <c r="P18" s="129"/>
      <c r="Q18" s="208">
        <v>2.8382457386363635E-2</v>
      </c>
      <c r="R18" s="207">
        <v>3.101575745058047E-2</v>
      </c>
      <c r="S18" s="207">
        <v>3.0483747336146699E-2</v>
      </c>
      <c r="T18" s="207">
        <v>3.1304010850610346E-2</v>
      </c>
      <c r="U18" s="207">
        <v>3.137537435723569E-2</v>
      </c>
      <c r="V18" s="207">
        <v>3.1204364026901896E-2</v>
      </c>
      <c r="W18" s="207">
        <v>3.21837839782683E-2</v>
      </c>
      <c r="X18" s="207">
        <v>3.409398302446294E-2</v>
      </c>
      <c r="Y18" s="207">
        <v>3.4544445129850103E-2</v>
      </c>
      <c r="Z18" s="206">
        <v>3.5028271905567711E-2</v>
      </c>
      <c r="AA18" s="205">
        <v>3.1961619544598786E-2</v>
      </c>
      <c r="AB18" s="204">
        <v>3.202568326925706E-2</v>
      </c>
      <c r="AC18" s="203">
        <v>3.5028271905567711E-2</v>
      </c>
    </row>
    <row r="19" spans="1:29" ht="15.75" x14ac:dyDescent="0.25">
      <c r="A19" s="243" t="s">
        <v>351</v>
      </c>
      <c r="B19" s="215"/>
      <c r="C19" s="133">
        <v>1109</v>
      </c>
      <c r="D19" s="133">
        <v>1195</v>
      </c>
      <c r="E19" s="133">
        <v>1243</v>
      </c>
      <c r="F19" s="133">
        <v>1325</v>
      </c>
      <c r="G19" s="133">
        <v>1263</v>
      </c>
      <c r="H19" s="133">
        <v>1061</v>
      </c>
      <c r="I19" s="133">
        <v>1308</v>
      </c>
      <c r="J19" s="133">
        <v>1601</v>
      </c>
      <c r="K19" s="133">
        <v>1925</v>
      </c>
      <c r="L19" s="132">
        <v>2195</v>
      </c>
      <c r="M19" s="200"/>
      <c r="N19" s="200"/>
      <c r="O19" s="161" t="s">
        <v>351</v>
      </c>
      <c r="P19" s="197"/>
      <c r="Q19" s="30">
        <v>9.8455255681818184E-3</v>
      </c>
      <c r="R19" s="29">
        <v>1.0284081618602569E-2</v>
      </c>
      <c r="S19" s="29">
        <v>1.0470101668646131E-2</v>
      </c>
      <c r="T19" s="29">
        <v>1.0269327649680294E-2</v>
      </c>
      <c r="U19" s="29">
        <v>8.9210035599254119E-3</v>
      </c>
      <c r="V19" s="29">
        <v>6.9481280655913765E-3</v>
      </c>
      <c r="W19" s="29">
        <v>7.8435605447316811E-3</v>
      </c>
      <c r="X19" s="29">
        <v>8.1713273685876005E-3</v>
      </c>
      <c r="Y19" s="29">
        <v>8.4818950095614087E-3</v>
      </c>
      <c r="Z19" s="28">
        <v>9.0593916381196092E-3</v>
      </c>
      <c r="AA19" s="214">
        <v>9.0294342691627887E-3</v>
      </c>
      <c r="AB19" s="213">
        <v>9.1095141196737978E-3</v>
      </c>
      <c r="AC19" s="212">
        <v>9.0593916381196092E-3</v>
      </c>
    </row>
    <row r="20" spans="1:29" ht="15.75" x14ac:dyDescent="0.25">
      <c r="A20" s="86" t="s">
        <v>320</v>
      </c>
      <c r="B20" s="202"/>
      <c r="C20" s="34">
        <v>2088</v>
      </c>
      <c r="D20" s="34">
        <v>2409</v>
      </c>
      <c r="E20" s="34">
        <v>2376</v>
      </c>
      <c r="F20" s="34">
        <v>2714</v>
      </c>
      <c r="G20" s="34">
        <v>3179</v>
      </c>
      <c r="H20" s="34">
        <v>3704</v>
      </c>
      <c r="I20" s="34">
        <v>4059</v>
      </c>
      <c r="J20" s="34">
        <v>5079</v>
      </c>
      <c r="K20" s="34">
        <v>5915</v>
      </c>
      <c r="L20" s="33">
        <v>6292</v>
      </c>
      <c r="M20" s="200"/>
      <c r="N20" s="200"/>
      <c r="O20" s="32" t="s">
        <v>320</v>
      </c>
      <c r="P20" s="129"/>
      <c r="Q20" s="69">
        <v>1.8536931818181817E-2</v>
      </c>
      <c r="R20" s="68">
        <v>2.0731675831977901E-2</v>
      </c>
      <c r="S20" s="68">
        <v>2.0013645667500569E-2</v>
      </c>
      <c r="T20" s="68">
        <v>2.1034683200930052E-2</v>
      </c>
      <c r="U20" s="68">
        <v>2.2454370797310278E-2</v>
      </c>
      <c r="V20" s="68">
        <v>2.4256235961310518E-2</v>
      </c>
      <c r="W20" s="68">
        <v>2.4340223433536617E-2</v>
      </c>
      <c r="X20" s="68">
        <v>2.5922655655875343E-2</v>
      </c>
      <c r="Y20" s="68">
        <v>2.6062550120288693E-2</v>
      </c>
      <c r="Z20" s="67">
        <v>2.5968880267448098E-2</v>
      </c>
      <c r="AA20" s="27">
        <v>2.2932185275435984E-2</v>
      </c>
      <c r="AB20" s="26">
        <v>2.3090296351986169E-2</v>
      </c>
      <c r="AC20" s="25">
        <v>2.5968880267448098E-2</v>
      </c>
    </row>
    <row r="21" spans="1:29" ht="15.75" x14ac:dyDescent="0.25">
      <c r="A21" s="243" t="s">
        <v>350</v>
      </c>
      <c r="B21" s="215"/>
      <c r="C21" s="133">
        <v>30</v>
      </c>
      <c r="D21" s="133">
        <v>32</v>
      </c>
      <c r="E21" s="133">
        <v>26</v>
      </c>
      <c r="F21" s="133">
        <v>35</v>
      </c>
      <c r="G21" s="133">
        <v>45</v>
      </c>
      <c r="H21" s="133">
        <v>45</v>
      </c>
      <c r="I21" s="133">
        <v>57</v>
      </c>
      <c r="J21" s="133">
        <v>72</v>
      </c>
      <c r="K21" s="133">
        <v>71</v>
      </c>
      <c r="L21" s="132">
        <v>0</v>
      </c>
      <c r="M21" s="200"/>
      <c r="N21" s="200"/>
      <c r="O21" s="161" t="s">
        <v>350</v>
      </c>
      <c r="P21" s="197"/>
      <c r="Q21" s="30">
        <v>2.6633522727272725E-4</v>
      </c>
      <c r="R21" s="29">
        <v>2.753896333014914E-4</v>
      </c>
      <c r="S21" s="29">
        <v>2.1900454013258199E-4</v>
      </c>
      <c r="T21" s="29">
        <v>2.7126525867080025E-4</v>
      </c>
      <c r="U21" s="29">
        <v>3.1785048313273434E-4</v>
      </c>
      <c r="V21" s="29">
        <v>2.9468969175458243E-4</v>
      </c>
      <c r="W21" s="29">
        <v>3.418065374997751E-4</v>
      </c>
      <c r="X21" s="29">
        <v>3.6748005655109757E-4</v>
      </c>
      <c r="Y21" s="29">
        <v>3.1283872502797924E-4</v>
      </c>
      <c r="Z21" s="28">
        <v>0</v>
      </c>
      <c r="AA21" s="214">
        <v>2.6666601533437693E-4</v>
      </c>
      <c r="AB21" s="213">
        <v>2.87397512099084E-4</v>
      </c>
      <c r="AC21" s="212">
        <v>0</v>
      </c>
    </row>
    <row r="22" spans="1:29" ht="15.75" x14ac:dyDescent="0.25">
      <c r="A22" s="242" t="s">
        <v>194</v>
      </c>
      <c r="B22" s="211"/>
      <c r="C22" s="210">
        <v>2058</v>
      </c>
      <c r="D22" s="210">
        <v>2377</v>
      </c>
      <c r="E22" s="210">
        <v>2350</v>
      </c>
      <c r="F22" s="210">
        <v>2679</v>
      </c>
      <c r="G22" s="210">
        <v>3134</v>
      </c>
      <c r="H22" s="210">
        <v>3659</v>
      </c>
      <c r="I22" s="210">
        <v>4002</v>
      </c>
      <c r="J22" s="210">
        <v>5007</v>
      </c>
      <c r="K22" s="210">
        <v>5844</v>
      </c>
      <c r="L22" s="209">
        <v>6292</v>
      </c>
      <c r="M22" s="200"/>
      <c r="N22" s="200"/>
      <c r="O22" s="241" t="s">
        <v>194</v>
      </c>
      <c r="P22" s="129"/>
      <c r="Q22" s="208">
        <v>1.8270596590909093E-2</v>
      </c>
      <c r="R22" s="207">
        <v>2.0456286198676409E-2</v>
      </c>
      <c r="S22" s="207">
        <v>1.9794641127367986E-2</v>
      </c>
      <c r="T22" s="207">
        <v>2.0763417942259253E-2</v>
      </c>
      <c r="U22" s="207">
        <v>2.2136520314177545E-2</v>
      </c>
      <c r="V22" s="207">
        <v>2.3961546269555937E-2</v>
      </c>
      <c r="W22" s="207">
        <v>2.3998416896036844E-2</v>
      </c>
      <c r="X22" s="207">
        <v>2.5555175599324246E-2</v>
      </c>
      <c r="Y22" s="207">
        <v>2.5749711395260715E-2</v>
      </c>
      <c r="Z22" s="206">
        <v>2.5968880267448098E-2</v>
      </c>
      <c r="AA22" s="205">
        <v>2.2665519260101612E-2</v>
      </c>
      <c r="AB22" s="204">
        <v>2.2801964467832368E-2</v>
      </c>
      <c r="AC22" s="203">
        <v>2.5968880267448098E-2</v>
      </c>
    </row>
    <row r="23" spans="1:29" ht="15.75" x14ac:dyDescent="0.25">
      <c r="A23" s="86" t="s">
        <v>192</v>
      </c>
      <c r="B23" s="202"/>
      <c r="C23" s="34">
        <v>0</v>
      </c>
      <c r="D23" s="34">
        <v>0</v>
      </c>
      <c r="E23" s="34">
        <v>0</v>
      </c>
      <c r="F23" s="34">
        <v>0</v>
      </c>
      <c r="G23" s="34">
        <v>0</v>
      </c>
      <c r="H23" s="34">
        <v>0</v>
      </c>
      <c r="I23" s="34">
        <v>0</v>
      </c>
      <c r="J23" s="34">
        <v>0</v>
      </c>
      <c r="K23" s="34">
        <v>0</v>
      </c>
      <c r="L23" s="33">
        <v>0</v>
      </c>
      <c r="M23" s="200"/>
      <c r="N23" s="200"/>
      <c r="O23" s="32" t="s">
        <v>192</v>
      </c>
      <c r="P23" s="129"/>
      <c r="Q23" s="30">
        <v>0</v>
      </c>
      <c r="R23" s="29">
        <v>0</v>
      </c>
      <c r="S23" s="29">
        <v>0</v>
      </c>
      <c r="T23" s="29">
        <v>0</v>
      </c>
      <c r="U23" s="29">
        <v>0</v>
      </c>
      <c r="V23" s="29">
        <v>0</v>
      </c>
      <c r="W23" s="29">
        <v>0</v>
      </c>
      <c r="X23" s="29">
        <v>0</v>
      </c>
      <c r="Y23" s="29">
        <v>0</v>
      </c>
      <c r="Z23" s="28">
        <v>0</v>
      </c>
      <c r="AA23" s="27">
        <v>0</v>
      </c>
      <c r="AB23" s="26">
        <v>0</v>
      </c>
      <c r="AC23" s="25">
        <v>0</v>
      </c>
    </row>
    <row r="24" spans="1:29" ht="16.5" thickBot="1" x14ac:dyDescent="0.3">
      <c r="A24" s="240" t="s">
        <v>33</v>
      </c>
      <c r="B24" s="218"/>
      <c r="C24" s="115">
        <v>2058</v>
      </c>
      <c r="D24" s="115">
        <v>2377</v>
      </c>
      <c r="E24" s="115">
        <v>2350</v>
      </c>
      <c r="F24" s="115">
        <v>2679</v>
      </c>
      <c r="G24" s="115">
        <v>3134</v>
      </c>
      <c r="H24" s="115">
        <v>3659</v>
      </c>
      <c r="I24" s="115">
        <v>4002</v>
      </c>
      <c r="J24" s="115">
        <v>5007</v>
      </c>
      <c r="K24" s="115">
        <v>5844</v>
      </c>
      <c r="L24" s="114">
        <v>6292</v>
      </c>
      <c r="M24" s="200"/>
      <c r="N24" s="200"/>
      <c r="O24" s="239" t="s">
        <v>33</v>
      </c>
      <c r="P24" s="112"/>
      <c r="Q24" s="111">
        <v>1.8270596590909093E-2</v>
      </c>
      <c r="R24" s="110">
        <v>2.0456286198676409E-2</v>
      </c>
      <c r="S24" s="110">
        <v>1.9794641127367986E-2</v>
      </c>
      <c r="T24" s="110">
        <v>2.0763417942259253E-2</v>
      </c>
      <c r="U24" s="110">
        <v>2.2136520314177545E-2</v>
      </c>
      <c r="V24" s="110">
        <v>2.3961546269555937E-2</v>
      </c>
      <c r="W24" s="110">
        <v>2.3998416896036844E-2</v>
      </c>
      <c r="X24" s="110">
        <v>2.5555175599324246E-2</v>
      </c>
      <c r="Y24" s="110">
        <v>2.5749711395260715E-2</v>
      </c>
      <c r="Z24" s="109">
        <v>2.5968880267448098E-2</v>
      </c>
      <c r="AA24" s="108">
        <v>2.2665519260101612E-2</v>
      </c>
      <c r="AB24" s="107">
        <v>2.2801964467832368E-2</v>
      </c>
      <c r="AC24" s="106">
        <v>2.5968880267448098E-2</v>
      </c>
    </row>
    <row r="25" spans="1:29" ht="16.5" thickTop="1" x14ac:dyDescent="0.25">
      <c r="A25" s="86" t="s">
        <v>349</v>
      </c>
      <c r="B25" s="202"/>
      <c r="C25" s="34">
        <v>2058</v>
      </c>
      <c r="D25" s="34">
        <v>2377</v>
      </c>
      <c r="E25" s="34">
        <v>2350</v>
      </c>
      <c r="F25" s="34">
        <v>2679</v>
      </c>
      <c r="G25" s="34">
        <v>3134</v>
      </c>
      <c r="H25" s="34">
        <v>3659</v>
      </c>
      <c r="I25" s="34">
        <v>4002</v>
      </c>
      <c r="J25" s="34">
        <v>5007</v>
      </c>
      <c r="K25" s="34">
        <v>5844</v>
      </c>
      <c r="L25" s="33">
        <v>6292</v>
      </c>
      <c r="M25" s="200"/>
      <c r="N25" s="200"/>
      <c r="O25" s="32"/>
      <c r="P25" s="185"/>
      <c r="Q25" s="185"/>
      <c r="R25" s="185"/>
      <c r="S25" s="185"/>
      <c r="T25" s="185"/>
      <c r="U25" s="129"/>
      <c r="V25" s="129"/>
      <c r="W25" s="129"/>
      <c r="X25" s="129"/>
      <c r="Y25" s="129"/>
      <c r="Z25" s="128"/>
      <c r="AA25" s="127"/>
      <c r="AB25" s="126"/>
      <c r="AC25" s="125"/>
    </row>
    <row r="26" spans="1:29" ht="16.5" thickBot="1" x14ac:dyDescent="0.3">
      <c r="A26" s="177" t="s">
        <v>348</v>
      </c>
      <c r="B26" s="238"/>
      <c r="C26" s="238" t="b">
        <v>1</v>
      </c>
      <c r="D26" s="238" t="b">
        <v>1</v>
      </c>
      <c r="E26" s="238" t="b">
        <v>1</v>
      </c>
      <c r="F26" s="238" t="b">
        <v>1</v>
      </c>
      <c r="G26" s="238" t="b">
        <v>1</v>
      </c>
      <c r="H26" s="238" t="b">
        <v>1</v>
      </c>
      <c r="I26" s="238" t="b">
        <v>1</v>
      </c>
      <c r="J26" s="238" t="b">
        <v>1</v>
      </c>
      <c r="K26" s="238" t="b">
        <v>1</v>
      </c>
      <c r="L26" s="237" t="b">
        <v>1</v>
      </c>
      <c r="M26" s="200"/>
      <c r="N26" s="200"/>
      <c r="O26" s="92"/>
      <c r="P26" s="235"/>
      <c r="Q26" s="235"/>
      <c r="R26" s="235"/>
      <c r="S26" s="235"/>
      <c r="T26" s="235"/>
      <c r="U26" s="235"/>
      <c r="V26" s="235"/>
      <c r="W26" s="235"/>
      <c r="X26" s="235"/>
      <c r="Y26" s="235"/>
      <c r="Z26" s="234"/>
      <c r="AA26" s="236"/>
      <c r="AB26" s="235"/>
      <c r="AC26" s="234"/>
    </row>
    <row r="27" spans="1:29" ht="15.75" x14ac:dyDescent="0.25">
      <c r="A27" s="11"/>
      <c r="B27" s="200"/>
      <c r="C27" s="200"/>
      <c r="D27" s="200"/>
      <c r="E27" s="200"/>
      <c r="F27" s="200"/>
      <c r="G27" s="200"/>
      <c r="H27" s="200"/>
      <c r="I27" s="200"/>
      <c r="J27" s="200"/>
      <c r="K27" s="200"/>
      <c r="L27" s="200"/>
      <c r="M27" s="200"/>
      <c r="N27" s="200"/>
      <c r="O27" s="11"/>
      <c r="P27" s="200"/>
      <c r="Q27" s="200"/>
      <c r="R27" s="200"/>
      <c r="S27" s="200"/>
      <c r="T27" s="200"/>
      <c r="U27" s="200"/>
      <c r="V27" s="200"/>
      <c r="W27" s="200"/>
      <c r="X27" s="200"/>
      <c r="Y27" s="200"/>
      <c r="Z27" s="200"/>
      <c r="AA27" s="200"/>
      <c r="AB27" s="200"/>
      <c r="AC27" s="200"/>
    </row>
    <row r="28" spans="1:29" ht="16.5" thickBot="1" x14ac:dyDescent="0.3">
      <c r="A28" s="11"/>
      <c r="B28" s="200"/>
      <c r="C28" s="200"/>
      <c r="D28" s="200"/>
      <c r="E28" s="200"/>
      <c r="F28" s="200"/>
      <c r="G28" s="200"/>
      <c r="H28" s="200"/>
      <c r="I28" s="200"/>
      <c r="J28" s="200"/>
      <c r="K28" s="200"/>
      <c r="L28" s="200"/>
      <c r="M28" s="200"/>
      <c r="N28" s="200"/>
      <c r="O28" s="24" t="s">
        <v>347</v>
      </c>
      <c r="P28" s="200"/>
      <c r="Q28" s="200"/>
      <c r="R28" s="200"/>
      <c r="S28" s="200"/>
      <c r="T28" s="200"/>
      <c r="U28" s="200"/>
      <c r="V28" s="200"/>
      <c r="W28" s="200"/>
      <c r="X28" s="200"/>
      <c r="Y28" s="200"/>
      <c r="Z28" s="200"/>
      <c r="AA28" s="200"/>
      <c r="AB28" s="200"/>
      <c r="AC28" s="200"/>
    </row>
    <row r="29" spans="1:29" ht="15.75" x14ac:dyDescent="0.25">
      <c r="A29" s="59"/>
      <c r="B29" s="58" t="s">
        <v>294</v>
      </c>
      <c r="C29" s="57">
        <v>2014</v>
      </c>
      <c r="D29" s="57">
        <v>2015</v>
      </c>
      <c r="E29" s="57">
        <v>2016</v>
      </c>
      <c r="F29" s="57">
        <v>2017</v>
      </c>
      <c r="G29" s="57">
        <v>2018</v>
      </c>
      <c r="H29" s="57">
        <v>2019</v>
      </c>
      <c r="I29" s="57">
        <v>2020</v>
      </c>
      <c r="J29" s="57">
        <v>2021</v>
      </c>
      <c r="K29" s="57">
        <v>2022</v>
      </c>
      <c r="L29" s="57">
        <v>2023</v>
      </c>
      <c r="M29" s="200"/>
      <c r="N29" s="200"/>
      <c r="O29" s="59"/>
      <c r="P29" s="58" t="s">
        <v>294</v>
      </c>
      <c r="Q29" s="57">
        <v>2014</v>
      </c>
      <c r="R29" s="57">
        <v>2015</v>
      </c>
      <c r="S29" s="57">
        <v>2016</v>
      </c>
      <c r="T29" s="57">
        <v>2017</v>
      </c>
      <c r="U29" s="57">
        <v>2018</v>
      </c>
      <c r="V29" s="57">
        <v>2019</v>
      </c>
      <c r="W29" s="57">
        <v>2020</v>
      </c>
      <c r="X29" s="57">
        <v>2021</v>
      </c>
      <c r="Y29" s="57">
        <v>2022</v>
      </c>
      <c r="Z29" s="57">
        <v>2023</v>
      </c>
      <c r="AA29" s="56" t="s">
        <v>293</v>
      </c>
      <c r="AB29" s="55" t="s">
        <v>292</v>
      </c>
      <c r="AC29" s="54" t="s">
        <v>291</v>
      </c>
    </row>
    <row r="30" spans="1:29" ht="15.75" x14ac:dyDescent="0.25">
      <c r="A30" s="53" t="s">
        <v>346</v>
      </c>
      <c r="B30" s="52" t="s">
        <v>307</v>
      </c>
      <c r="C30" s="51">
        <v>-9</v>
      </c>
      <c r="D30" s="51">
        <v>-8</v>
      </c>
      <c r="E30" s="51">
        <v>-7</v>
      </c>
      <c r="F30" s="51">
        <v>-6</v>
      </c>
      <c r="G30" s="51">
        <v>-5</v>
      </c>
      <c r="H30" s="51">
        <v>-4</v>
      </c>
      <c r="I30" s="51">
        <v>-3</v>
      </c>
      <c r="J30" s="51">
        <v>-2</v>
      </c>
      <c r="K30" s="51">
        <v>-1</v>
      </c>
      <c r="L30" s="50">
        <v>0</v>
      </c>
      <c r="M30" s="200"/>
      <c r="N30" s="200"/>
      <c r="O30" s="53" t="s">
        <v>345</v>
      </c>
      <c r="P30" s="52">
        <v>0</v>
      </c>
      <c r="Q30" s="51">
        <v>-9</v>
      </c>
      <c r="R30" s="51">
        <v>-8</v>
      </c>
      <c r="S30" s="51">
        <v>-7</v>
      </c>
      <c r="T30" s="51">
        <v>-6</v>
      </c>
      <c r="U30" s="51">
        <v>-5</v>
      </c>
      <c r="V30" s="51">
        <v>-4</v>
      </c>
      <c r="W30" s="51">
        <v>-3</v>
      </c>
      <c r="X30" s="51">
        <v>-2</v>
      </c>
      <c r="Y30" s="51">
        <v>-1</v>
      </c>
      <c r="Z30" s="50">
        <v>0</v>
      </c>
      <c r="AA30" s="49" t="s">
        <v>289</v>
      </c>
      <c r="AB30" s="48" t="s">
        <v>288</v>
      </c>
      <c r="AC30" s="47" t="s">
        <v>287</v>
      </c>
    </row>
    <row r="31" spans="1:29" ht="15.75" x14ac:dyDescent="0.25">
      <c r="A31" s="32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99"/>
      <c r="M31" s="227"/>
      <c r="N31" s="200"/>
      <c r="O31" s="32"/>
      <c r="P31" s="162"/>
      <c r="Q31" s="162"/>
      <c r="R31" s="162"/>
      <c r="S31" s="162"/>
      <c r="T31" s="162"/>
      <c r="U31" s="102"/>
      <c r="V31" s="31"/>
      <c r="W31" s="31"/>
      <c r="X31" s="31"/>
      <c r="Y31" s="31"/>
      <c r="Z31" s="99"/>
      <c r="AA31" s="233"/>
      <c r="AB31" s="232"/>
      <c r="AC31" s="231"/>
    </row>
    <row r="32" spans="1:29" ht="16.5" thickBot="1" x14ac:dyDescent="0.3">
      <c r="A32" s="192" t="s">
        <v>344</v>
      </c>
      <c r="B32" s="230"/>
      <c r="C32" s="230"/>
      <c r="D32" s="230"/>
      <c r="E32" s="230"/>
      <c r="F32" s="230"/>
      <c r="G32" s="229"/>
      <c r="H32" s="229"/>
      <c r="I32" s="229"/>
      <c r="J32" s="229"/>
      <c r="K32" s="229"/>
      <c r="L32" s="228"/>
      <c r="M32" s="227"/>
      <c r="N32" s="200"/>
      <c r="O32" s="226" t="s">
        <v>344</v>
      </c>
      <c r="P32" s="225"/>
      <c r="Q32" s="224"/>
      <c r="R32" s="224"/>
      <c r="S32" s="224"/>
      <c r="T32" s="224"/>
      <c r="U32" s="223"/>
      <c r="V32" s="223"/>
      <c r="W32" s="223"/>
      <c r="X32" s="223"/>
      <c r="Y32" s="223"/>
      <c r="Z32" s="222"/>
      <c r="AA32" s="221"/>
      <c r="AB32" s="220"/>
      <c r="AC32" s="219"/>
    </row>
    <row r="33" spans="1:29" ht="15.75" x14ac:dyDescent="0.25">
      <c r="A33" s="85" t="s">
        <v>274</v>
      </c>
      <c r="B33" s="202"/>
      <c r="C33" s="34">
        <v>7315</v>
      </c>
      <c r="D33" s="34">
        <v>6419</v>
      </c>
      <c r="E33" s="34">
        <v>4729</v>
      </c>
      <c r="F33" s="34">
        <v>5779</v>
      </c>
      <c r="G33" s="34">
        <v>7259</v>
      </c>
      <c r="H33" s="34">
        <v>9444</v>
      </c>
      <c r="I33" s="34">
        <v>13305</v>
      </c>
      <c r="J33" s="34">
        <v>12175</v>
      </c>
      <c r="K33" s="34">
        <v>11049</v>
      </c>
      <c r="L33" s="33">
        <v>15234</v>
      </c>
      <c r="M33" s="200"/>
      <c r="N33" s="200"/>
      <c r="O33" s="118" t="s">
        <v>274</v>
      </c>
      <c r="P33" s="129"/>
      <c r="Q33" s="42">
        <v>6.494140625E-2</v>
      </c>
      <c r="R33" s="41">
        <v>5.5241439255071044E-2</v>
      </c>
      <c r="S33" s="41">
        <v>3.9833556549499237E-2</v>
      </c>
      <c r="T33" s="41">
        <v>4.4789769424530126E-2</v>
      </c>
      <c r="U33" s="41">
        <v>5.1272814601344863E-2</v>
      </c>
      <c r="V33" s="41">
        <v>6.1845543309561699E-2</v>
      </c>
      <c r="W33" s="41">
        <v>7.9784841779552779E-2</v>
      </c>
      <c r="X33" s="41">
        <v>6.2139856784855736E-2</v>
      </c>
      <c r="Y33" s="41">
        <v>4.8683874265269614E-2</v>
      </c>
      <c r="Z33" s="40">
        <v>6.2875067068389121E-2</v>
      </c>
      <c r="AA33" s="39">
        <v>5.7140816928807417E-2</v>
      </c>
      <c r="AB33" s="38">
        <v>5.6473721369877765E-2</v>
      </c>
      <c r="AC33" s="37">
        <v>6.2875067068389121E-2</v>
      </c>
    </row>
    <row r="34" spans="1:29" ht="15.75" x14ac:dyDescent="0.25">
      <c r="A34" s="85" t="s">
        <v>343</v>
      </c>
      <c r="B34" s="202"/>
      <c r="C34" s="34">
        <v>1148</v>
      </c>
      <c r="D34" s="34">
        <v>1224</v>
      </c>
      <c r="E34" s="34">
        <v>1252</v>
      </c>
      <c r="F34" s="34">
        <v>1432</v>
      </c>
      <c r="G34" s="34">
        <v>1669</v>
      </c>
      <c r="H34" s="34">
        <v>1535</v>
      </c>
      <c r="I34" s="34">
        <v>1550</v>
      </c>
      <c r="J34" s="34">
        <v>1803</v>
      </c>
      <c r="K34" s="34">
        <v>2241</v>
      </c>
      <c r="L34" s="33">
        <v>2285</v>
      </c>
      <c r="M34" s="200"/>
      <c r="N34" s="200"/>
      <c r="O34" s="118" t="s">
        <v>343</v>
      </c>
      <c r="P34" s="129"/>
      <c r="Q34" s="69">
        <v>1.0191761363636363E-2</v>
      </c>
      <c r="R34" s="68">
        <v>1.0533653473782047E-2</v>
      </c>
      <c r="S34" s="68">
        <v>1.0545910932538179E-2</v>
      </c>
      <c r="T34" s="68">
        <v>1.1098624297616742E-2</v>
      </c>
      <c r="U34" s="68">
        <v>1.1788721252189637E-2</v>
      </c>
      <c r="V34" s="68">
        <v>1.0052192818739645E-2</v>
      </c>
      <c r="W34" s="68">
        <v>9.2947391776254645E-3</v>
      </c>
      <c r="X34" s="68">
        <v>9.2023130828004021E-3</v>
      </c>
      <c r="Y34" s="68">
        <v>9.8742476448972043E-3</v>
      </c>
      <c r="Z34" s="67">
        <v>9.4308473317099347E-3</v>
      </c>
      <c r="AA34" s="27">
        <v>1.020130113755356E-2</v>
      </c>
      <c r="AB34" s="26">
        <v>1.0127747130068195E-2</v>
      </c>
      <c r="AC34" s="25">
        <v>9.4308473317099347E-3</v>
      </c>
    </row>
    <row r="35" spans="1:29" ht="15.75" x14ac:dyDescent="0.25">
      <c r="A35" s="85" t="s">
        <v>83</v>
      </c>
      <c r="B35" s="202"/>
      <c r="C35" s="34">
        <v>8456</v>
      </c>
      <c r="D35" s="34">
        <v>8908</v>
      </c>
      <c r="E35" s="34">
        <v>8969</v>
      </c>
      <c r="F35" s="34">
        <v>9834</v>
      </c>
      <c r="G35" s="34">
        <v>11040</v>
      </c>
      <c r="H35" s="34">
        <v>11395</v>
      </c>
      <c r="I35" s="34">
        <v>12242</v>
      </c>
      <c r="J35" s="34">
        <v>14215</v>
      </c>
      <c r="K35" s="34">
        <v>17907</v>
      </c>
      <c r="L35" s="33">
        <v>16651</v>
      </c>
      <c r="M35" s="200"/>
      <c r="N35" s="200"/>
      <c r="O35" s="118" t="s">
        <v>83</v>
      </c>
      <c r="P35" s="129"/>
      <c r="Q35" s="69">
        <v>7.5071022727272729E-2</v>
      </c>
      <c r="R35" s="68">
        <v>7.6661589170302677E-2</v>
      </c>
      <c r="S35" s="68">
        <v>7.5548143094197218E-2</v>
      </c>
      <c r="T35" s="68">
        <v>7.621778725053284E-2</v>
      </c>
      <c r="U35" s="68">
        <v>7.7979318528564157E-2</v>
      </c>
      <c r="V35" s="68">
        <v>7.4621978612077033E-2</v>
      </c>
      <c r="W35" s="68">
        <v>7.3410449685478024E-2</v>
      </c>
      <c r="X35" s="68">
        <v>7.2551791720470174E-2</v>
      </c>
      <c r="Y35" s="68">
        <v>7.8901451395436958E-2</v>
      </c>
      <c r="Z35" s="67">
        <v>6.8723430599694588E-2</v>
      </c>
      <c r="AA35" s="27">
        <v>7.4968696278402636E-2</v>
      </c>
      <c r="AB35" s="26">
        <v>7.5257760098611862E-2</v>
      </c>
      <c r="AC35" s="25">
        <v>6.8723430599694588E-2</v>
      </c>
    </row>
    <row r="36" spans="1:29" ht="15.75" x14ac:dyDescent="0.25">
      <c r="A36" s="199" t="s">
        <v>81</v>
      </c>
      <c r="B36" s="215"/>
      <c r="C36" s="133">
        <v>669</v>
      </c>
      <c r="D36" s="133">
        <v>748</v>
      </c>
      <c r="E36" s="133">
        <v>268</v>
      </c>
      <c r="F36" s="133">
        <v>272</v>
      </c>
      <c r="G36" s="133">
        <v>321</v>
      </c>
      <c r="H36" s="133">
        <v>1111</v>
      </c>
      <c r="I36" s="133">
        <v>1023</v>
      </c>
      <c r="J36" s="133">
        <v>1312</v>
      </c>
      <c r="K36" s="133">
        <v>1499</v>
      </c>
      <c r="L36" s="132">
        <v>1709</v>
      </c>
      <c r="M36" s="200"/>
      <c r="N36" s="200"/>
      <c r="O36" s="198" t="s">
        <v>81</v>
      </c>
      <c r="P36" s="197"/>
      <c r="Q36" s="30">
        <v>5.9392755681818184E-3</v>
      </c>
      <c r="R36" s="29">
        <v>6.4372326784223619E-3</v>
      </c>
      <c r="S36" s="29">
        <v>2.2574314136743065E-3</v>
      </c>
      <c r="T36" s="29">
        <v>2.1081185816702189E-3</v>
      </c>
      <c r="U36" s="29">
        <v>2.2673334463468382E-3</v>
      </c>
      <c r="V36" s="29">
        <v>7.2755610564298016E-3</v>
      </c>
      <c r="W36" s="29">
        <v>6.1345278572328063E-3</v>
      </c>
      <c r="X36" s="29">
        <v>6.6963032527088892E-3</v>
      </c>
      <c r="Y36" s="29">
        <v>6.6048626593935332E-3</v>
      </c>
      <c r="Z36" s="28">
        <v>7.0535308927318499E-3</v>
      </c>
      <c r="AA36" s="214">
        <v>5.2774177406792423E-3</v>
      </c>
      <c r="AB36" s="213">
        <v>5.4238122210865502E-3</v>
      </c>
      <c r="AC36" s="212">
        <v>7.0535308927318499E-3</v>
      </c>
    </row>
    <row r="37" spans="1:29" ht="15.75" x14ac:dyDescent="0.25">
      <c r="A37" s="105" t="s">
        <v>80</v>
      </c>
      <c r="B37" s="211"/>
      <c r="C37" s="210">
        <v>17588</v>
      </c>
      <c r="D37" s="210">
        <v>17299</v>
      </c>
      <c r="E37" s="210">
        <v>15218</v>
      </c>
      <c r="F37" s="210">
        <v>17317</v>
      </c>
      <c r="G37" s="210">
        <v>20289</v>
      </c>
      <c r="H37" s="210">
        <v>23485</v>
      </c>
      <c r="I37" s="210">
        <v>28120</v>
      </c>
      <c r="J37" s="210">
        <v>29505</v>
      </c>
      <c r="K37" s="210">
        <v>32696</v>
      </c>
      <c r="L37" s="209">
        <v>35879</v>
      </c>
      <c r="M37" s="200"/>
      <c r="N37" s="200"/>
      <c r="O37" s="104" t="s">
        <v>80</v>
      </c>
      <c r="P37" s="129"/>
      <c r="Q37" s="208">
        <v>0.15614346590909092</v>
      </c>
      <c r="R37" s="207">
        <v>0.14887391457757812</v>
      </c>
      <c r="S37" s="207">
        <v>0.12818504198990893</v>
      </c>
      <c r="T37" s="207">
        <v>0.13421429955434994</v>
      </c>
      <c r="U37" s="207">
        <v>0.14330818782844551</v>
      </c>
      <c r="V37" s="207">
        <v>0.15379527579680818</v>
      </c>
      <c r="W37" s="207">
        <v>0.16862455849988905</v>
      </c>
      <c r="X37" s="207">
        <v>0.15059026484083521</v>
      </c>
      <c r="Y37" s="207">
        <v>0.14406443596499732</v>
      </c>
      <c r="Z37" s="206">
        <v>0.14808287589252547</v>
      </c>
      <c r="AA37" s="205">
        <v>0.14758823208544286</v>
      </c>
      <c r="AB37" s="204">
        <v>0.14738409004557884</v>
      </c>
      <c r="AC37" s="203">
        <v>0.14808287589252547</v>
      </c>
    </row>
    <row r="38" spans="1:29" ht="15.75" x14ac:dyDescent="0.25">
      <c r="A38" s="85" t="s">
        <v>342</v>
      </c>
      <c r="B38" s="202"/>
      <c r="C38" s="34">
        <v>14830</v>
      </c>
      <c r="D38" s="34">
        <v>15401</v>
      </c>
      <c r="E38" s="34">
        <v>17043</v>
      </c>
      <c r="F38" s="34">
        <v>18161</v>
      </c>
      <c r="G38" s="34">
        <v>19681</v>
      </c>
      <c r="H38" s="34">
        <v>20890</v>
      </c>
      <c r="I38" s="34">
        <v>25187</v>
      </c>
      <c r="J38" s="34">
        <v>27382</v>
      </c>
      <c r="K38" s="34">
        <v>29040</v>
      </c>
      <c r="L38" s="33">
        <v>30722</v>
      </c>
      <c r="M38" s="200"/>
      <c r="N38" s="200"/>
      <c r="O38" s="118" t="s">
        <v>342</v>
      </c>
      <c r="P38" s="129"/>
      <c r="Q38" s="69">
        <v>0.13165838068181818</v>
      </c>
      <c r="R38" s="68">
        <v>0.1325398669523834</v>
      </c>
      <c r="S38" s="68">
        <v>0.1435574760569075</v>
      </c>
      <c r="T38" s="68">
        <v>0.14075566750629723</v>
      </c>
      <c r="U38" s="68">
        <v>0.13901367463411879</v>
      </c>
      <c r="V38" s="68">
        <v>0.13680150357229393</v>
      </c>
      <c r="W38" s="68">
        <v>0.15103651333345328</v>
      </c>
      <c r="X38" s="68">
        <v>0.13975470706225215</v>
      </c>
      <c r="Y38" s="68">
        <v>0.12795544471566925</v>
      </c>
      <c r="Z38" s="67">
        <v>0.12679846464979982</v>
      </c>
      <c r="AA38" s="27">
        <v>0.13698716991649934</v>
      </c>
      <c r="AB38" s="26">
        <v>0.13650459014771754</v>
      </c>
      <c r="AC38" s="25">
        <v>0.12679846464979982</v>
      </c>
    </row>
    <row r="39" spans="1:29" ht="15.75" x14ac:dyDescent="0.25">
      <c r="A39" s="186" t="s">
        <v>341</v>
      </c>
      <c r="B39" s="201"/>
      <c r="C39" s="138">
        <v>22675</v>
      </c>
      <c r="D39" s="138">
        <v>23664</v>
      </c>
      <c r="E39" s="138">
        <v>26167</v>
      </c>
      <c r="F39" s="138">
        <v>28341</v>
      </c>
      <c r="G39" s="138">
        <v>30714</v>
      </c>
      <c r="H39" s="138">
        <v>32626</v>
      </c>
      <c r="I39" s="138">
        <v>38083</v>
      </c>
      <c r="J39" s="138">
        <v>41548</v>
      </c>
      <c r="K39" s="138">
        <v>44326</v>
      </c>
      <c r="L39" s="141">
        <v>47407</v>
      </c>
      <c r="M39" s="200"/>
      <c r="N39" s="200"/>
      <c r="O39" s="118" t="s">
        <v>341</v>
      </c>
      <c r="P39" s="129"/>
      <c r="Q39" s="69">
        <v>0.20130504261363635</v>
      </c>
      <c r="R39" s="68">
        <v>0.2036506338264529</v>
      </c>
      <c r="S39" s="68">
        <v>0.22041122314035663</v>
      </c>
      <c r="T39" s="68">
        <v>0.21965510559968998</v>
      </c>
      <c r="U39" s="68">
        <v>0.21694354975419564</v>
      </c>
      <c r="V39" s="68">
        <v>0.21365657518188902</v>
      </c>
      <c r="W39" s="68">
        <v>0.22836874329129714</v>
      </c>
      <c r="X39" s="68">
        <v>0.2120564081886806</v>
      </c>
      <c r="Y39" s="68">
        <v>0.19530830036042546</v>
      </c>
      <c r="Z39" s="67">
        <v>0.19566222295596186</v>
      </c>
      <c r="AA39" s="27">
        <v>0.21070178049125854</v>
      </c>
      <c r="AB39" s="26">
        <v>0.21041759515760786</v>
      </c>
      <c r="AC39" s="25">
        <v>0.19566222295596186</v>
      </c>
    </row>
    <row r="40" spans="1:29" ht="15.75" x14ac:dyDescent="0.25">
      <c r="A40" s="186" t="s">
        <v>340</v>
      </c>
      <c r="B40" s="201"/>
      <c r="C40" s="138">
        <v>7845</v>
      </c>
      <c r="D40" s="138">
        <v>8263</v>
      </c>
      <c r="E40" s="138">
        <v>9124</v>
      </c>
      <c r="F40" s="138">
        <v>10180</v>
      </c>
      <c r="G40" s="138">
        <v>11033</v>
      </c>
      <c r="H40" s="138">
        <v>11736</v>
      </c>
      <c r="I40" s="138">
        <v>12896</v>
      </c>
      <c r="J40" s="138">
        <v>14166</v>
      </c>
      <c r="K40" s="138">
        <v>15286</v>
      </c>
      <c r="L40" s="141">
        <v>16685</v>
      </c>
      <c r="M40" s="200"/>
      <c r="N40" s="200"/>
      <c r="O40" s="118" t="s">
        <v>340</v>
      </c>
      <c r="P40" s="129"/>
      <c r="Q40" s="69">
        <v>6.9646661931818177E-2</v>
      </c>
      <c r="R40" s="68">
        <v>7.1110766874069489E-2</v>
      </c>
      <c r="S40" s="68">
        <v>7.685374708344915E-2</v>
      </c>
      <c r="T40" s="68">
        <v>7.8899438093392754E-2</v>
      </c>
      <c r="U40" s="68">
        <v>7.7929875120076847E-2</v>
      </c>
      <c r="V40" s="68">
        <v>7.6855071609595094E-2</v>
      </c>
      <c r="W40" s="68">
        <v>7.7332229957843862E-2</v>
      </c>
      <c r="X40" s="68">
        <v>7.2301701126428447E-2</v>
      </c>
      <c r="Y40" s="68">
        <v>6.735285564475621E-2</v>
      </c>
      <c r="Z40" s="67">
        <v>6.8863758306162037E-2</v>
      </c>
      <c r="AA40" s="27">
        <v>7.3714610574759212E-2</v>
      </c>
      <c r="AB40" s="26">
        <v>7.3861726501180391E-2</v>
      </c>
      <c r="AC40" s="25">
        <v>6.8863758306162037E-2</v>
      </c>
    </row>
    <row r="41" spans="1:29" ht="15.75" x14ac:dyDescent="0.25">
      <c r="A41" s="85" t="s">
        <v>339</v>
      </c>
      <c r="B41" s="202"/>
      <c r="C41" s="34">
        <v>0</v>
      </c>
      <c r="D41" s="34">
        <v>0</v>
      </c>
      <c r="E41" s="34">
        <v>0</v>
      </c>
      <c r="F41" s="34">
        <v>0</v>
      </c>
      <c r="G41" s="34">
        <v>0</v>
      </c>
      <c r="H41" s="34">
        <v>0</v>
      </c>
      <c r="I41" s="34">
        <v>0</v>
      </c>
      <c r="J41" s="34">
        <v>0</v>
      </c>
      <c r="K41" s="34">
        <v>0</v>
      </c>
      <c r="L41" s="33">
        <v>0</v>
      </c>
      <c r="M41" s="200"/>
      <c r="N41" s="200"/>
      <c r="O41" s="118" t="s">
        <v>339</v>
      </c>
      <c r="P41" s="129"/>
      <c r="Q41" s="69">
        <v>0</v>
      </c>
      <c r="R41" s="68">
        <v>0</v>
      </c>
      <c r="S41" s="68">
        <v>0</v>
      </c>
      <c r="T41" s="68">
        <v>0</v>
      </c>
      <c r="U41" s="68">
        <v>0</v>
      </c>
      <c r="V41" s="68">
        <v>0</v>
      </c>
      <c r="W41" s="68">
        <v>0</v>
      </c>
      <c r="X41" s="68">
        <v>0</v>
      </c>
      <c r="Y41" s="68">
        <v>0</v>
      </c>
      <c r="Z41" s="67">
        <v>0</v>
      </c>
      <c r="AA41" s="27">
        <v>0</v>
      </c>
      <c r="AB41" s="26">
        <v>0</v>
      </c>
      <c r="AC41" s="25">
        <v>0</v>
      </c>
    </row>
    <row r="42" spans="1:29" ht="15.75" x14ac:dyDescent="0.25">
      <c r="A42" s="85" t="s">
        <v>338</v>
      </c>
      <c r="B42" s="202"/>
      <c r="C42" s="34">
        <v>0</v>
      </c>
      <c r="D42" s="34">
        <v>0</v>
      </c>
      <c r="E42" s="34">
        <v>0</v>
      </c>
      <c r="F42" s="34">
        <v>0</v>
      </c>
      <c r="G42" s="34">
        <v>0</v>
      </c>
      <c r="H42" s="34">
        <v>0</v>
      </c>
      <c r="I42" s="34">
        <v>0</v>
      </c>
      <c r="J42" s="34">
        <v>0</v>
      </c>
      <c r="K42" s="34">
        <v>0</v>
      </c>
      <c r="L42" s="33">
        <v>0</v>
      </c>
      <c r="M42" s="200"/>
      <c r="N42" s="200"/>
      <c r="O42" s="118" t="s">
        <v>338</v>
      </c>
      <c r="P42" s="129"/>
      <c r="Q42" s="69">
        <v>0</v>
      </c>
      <c r="R42" s="68">
        <v>0</v>
      </c>
      <c r="S42" s="68">
        <v>0</v>
      </c>
      <c r="T42" s="68">
        <v>0</v>
      </c>
      <c r="U42" s="68">
        <v>0</v>
      </c>
      <c r="V42" s="68">
        <v>0</v>
      </c>
      <c r="W42" s="68">
        <v>0</v>
      </c>
      <c r="X42" s="68">
        <v>0</v>
      </c>
      <c r="Y42" s="68">
        <v>0</v>
      </c>
      <c r="Z42" s="67">
        <v>0</v>
      </c>
      <c r="AA42" s="27">
        <v>0</v>
      </c>
      <c r="AB42" s="26">
        <v>0</v>
      </c>
      <c r="AC42" s="25">
        <v>0</v>
      </c>
    </row>
    <row r="43" spans="1:29" ht="15.75" x14ac:dyDescent="0.25">
      <c r="A43" s="85" t="s">
        <v>74</v>
      </c>
      <c r="B43" s="202"/>
      <c r="C43" s="34">
        <v>0</v>
      </c>
      <c r="D43" s="34">
        <v>0</v>
      </c>
      <c r="E43" s="34">
        <v>0</v>
      </c>
      <c r="F43" s="34">
        <v>0</v>
      </c>
      <c r="G43" s="34">
        <v>0</v>
      </c>
      <c r="H43" s="34">
        <v>0</v>
      </c>
      <c r="I43" s="34">
        <v>988</v>
      </c>
      <c r="J43" s="34">
        <v>996</v>
      </c>
      <c r="K43" s="34">
        <v>993</v>
      </c>
      <c r="L43" s="33">
        <v>994</v>
      </c>
      <c r="M43" s="200"/>
      <c r="N43" s="200"/>
      <c r="O43" s="118" t="s">
        <v>74</v>
      </c>
      <c r="P43" s="129"/>
      <c r="Q43" s="69">
        <v>0</v>
      </c>
      <c r="R43" s="68">
        <v>0</v>
      </c>
      <c r="S43" s="68">
        <v>0</v>
      </c>
      <c r="T43" s="68">
        <v>0</v>
      </c>
      <c r="U43" s="68">
        <v>0</v>
      </c>
      <c r="V43" s="68">
        <v>0</v>
      </c>
      <c r="W43" s="68">
        <v>5.9246466499961025E-3</v>
      </c>
      <c r="X43" s="68">
        <v>5.083474115623517E-3</v>
      </c>
      <c r="Y43" s="68">
        <v>4.3753359711659629E-3</v>
      </c>
      <c r="Z43" s="67">
        <v>4.10252177143093E-3</v>
      </c>
      <c r="AA43" s="27">
        <v>1.9485978508216512E-3</v>
      </c>
      <c r="AB43" s="26">
        <v>1.6951664822775511E-3</v>
      </c>
      <c r="AC43" s="25">
        <v>4.10252177143093E-3</v>
      </c>
    </row>
    <row r="44" spans="1:29" ht="15.75" x14ac:dyDescent="0.25">
      <c r="A44" s="85" t="s">
        <v>72</v>
      </c>
      <c r="B44" s="202"/>
      <c r="C44" s="34">
        <v>606</v>
      </c>
      <c r="D44" s="34">
        <v>740</v>
      </c>
      <c r="E44" s="34">
        <v>902</v>
      </c>
      <c r="F44" s="34">
        <v>869</v>
      </c>
      <c r="G44" s="34">
        <v>860</v>
      </c>
      <c r="H44" s="34">
        <v>1025</v>
      </c>
      <c r="I44" s="34">
        <v>1261</v>
      </c>
      <c r="J44" s="34">
        <v>1385</v>
      </c>
      <c r="K44" s="34">
        <v>1437</v>
      </c>
      <c r="L44" s="33">
        <v>1399</v>
      </c>
      <c r="M44" s="200"/>
      <c r="N44" s="200"/>
      <c r="O44" s="118" t="s">
        <v>72</v>
      </c>
      <c r="P44" s="129"/>
      <c r="Q44" s="30">
        <v>5.3799715909090906E-3</v>
      </c>
      <c r="R44" s="29">
        <v>6.3683852700969889E-3</v>
      </c>
      <c r="S44" s="29">
        <v>7.5977728922918828E-3</v>
      </c>
      <c r="T44" s="29">
        <v>6.7351288509978685E-3</v>
      </c>
      <c r="U44" s="29">
        <v>6.0744758998700346E-3</v>
      </c>
      <c r="V44" s="29">
        <v>6.7123763121877105E-3</v>
      </c>
      <c r="W44" s="29">
        <v>7.5617200664423933E-3</v>
      </c>
      <c r="X44" s="29">
        <v>7.0688871989343077E-3</v>
      </c>
      <c r="Y44" s="29">
        <v>6.3316795473972697E-3</v>
      </c>
      <c r="Z44" s="28">
        <v>5.7740723925873956E-3</v>
      </c>
      <c r="AA44" s="27">
        <v>6.5604470021714944E-3</v>
      </c>
      <c r="AB44" s="26">
        <v>6.578340692314247E-3</v>
      </c>
      <c r="AC44" s="25">
        <v>5.7740723925873956E-3</v>
      </c>
    </row>
    <row r="45" spans="1:29" ht="16.5" thickBot="1" x14ac:dyDescent="0.3">
      <c r="A45" s="117" t="s">
        <v>254</v>
      </c>
      <c r="B45" s="218"/>
      <c r="C45" s="115">
        <v>33024</v>
      </c>
      <c r="D45" s="115">
        <v>33440</v>
      </c>
      <c r="E45" s="115">
        <v>33163</v>
      </c>
      <c r="F45" s="115">
        <v>36347</v>
      </c>
      <c r="G45" s="115">
        <v>40830</v>
      </c>
      <c r="H45" s="115">
        <v>45400</v>
      </c>
      <c r="I45" s="115">
        <v>55556</v>
      </c>
      <c r="J45" s="115">
        <v>59268</v>
      </c>
      <c r="K45" s="115">
        <v>64166</v>
      </c>
      <c r="L45" s="114">
        <v>68994</v>
      </c>
      <c r="M45" s="200"/>
      <c r="N45" s="200"/>
      <c r="O45" s="113" t="s">
        <v>254</v>
      </c>
      <c r="P45" s="112"/>
      <c r="Q45" s="111">
        <v>0.29318181818181815</v>
      </c>
      <c r="R45" s="110">
        <v>0.28778216680005853</v>
      </c>
      <c r="S45" s="110">
        <v>0.27934029093910834</v>
      </c>
      <c r="T45" s="110">
        <v>0.28170509591164505</v>
      </c>
      <c r="U45" s="110">
        <v>0.28839633836243433</v>
      </c>
      <c r="V45" s="110">
        <v>0.29730915568128985</v>
      </c>
      <c r="W45" s="110">
        <v>0.33314743854978085</v>
      </c>
      <c r="X45" s="110">
        <v>0.30249733321764516</v>
      </c>
      <c r="Y45" s="110">
        <v>0.2827268961992298</v>
      </c>
      <c r="Z45" s="109">
        <v>0.28475793470634364</v>
      </c>
      <c r="AA45" s="108">
        <v>0.2930844468549354</v>
      </c>
      <c r="AB45" s="107">
        <v>0.28979459238255811</v>
      </c>
      <c r="AC45" s="106">
        <v>0.28475793470634364</v>
      </c>
    </row>
    <row r="46" spans="1:29" ht="16.5" thickTop="1" x14ac:dyDescent="0.25">
      <c r="A46" s="86" t="s">
        <v>337</v>
      </c>
      <c r="B46" s="202"/>
      <c r="C46" s="34">
        <v>33024</v>
      </c>
      <c r="D46" s="34">
        <v>33440</v>
      </c>
      <c r="E46" s="34">
        <v>33163</v>
      </c>
      <c r="F46" s="34">
        <v>36347</v>
      </c>
      <c r="G46" s="34">
        <v>40830</v>
      </c>
      <c r="H46" s="34">
        <v>45400</v>
      </c>
      <c r="I46" s="34">
        <v>55556</v>
      </c>
      <c r="J46" s="34">
        <v>59268</v>
      </c>
      <c r="K46" s="34">
        <v>64166</v>
      </c>
      <c r="L46" s="33">
        <v>68994</v>
      </c>
      <c r="M46" s="200"/>
      <c r="N46" s="200"/>
      <c r="O46" s="32"/>
      <c r="P46" s="185"/>
      <c r="Q46" s="185"/>
      <c r="R46" s="185"/>
      <c r="S46" s="185"/>
      <c r="T46" s="185"/>
      <c r="U46" s="185"/>
      <c r="V46" s="185"/>
      <c r="W46" s="185"/>
      <c r="X46" s="185"/>
      <c r="Y46" s="185"/>
      <c r="Z46" s="184"/>
      <c r="AA46" s="127"/>
      <c r="AB46" s="126"/>
      <c r="AC46" s="125"/>
    </row>
    <row r="47" spans="1:29" ht="15.75" x14ac:dyDescent="0.25">
      <c r="A47" s="196" t="s">
        <v>336</v>
      </c>
      <c r="B47" s="194"/>
      <c r="C47" s="194" t="b">
        <v>1</v>
      </c>
      <c r="D47" s="194" t="b">
        <v>1</v>
      </c>
      <c r="E47" s="194" t="b">
        <v>1</v>
      </c>
      <c r="F47" s="194" t="b">
        <v>1</v>
      </c>
      <c r="G47" s="194" t="b">
        <v>1</v>
      </c>
      <c r="H47" s="194" t="b">
        <v>1</v>
      </c>
      <c r="I47" s="194" t="b">
        <v>1</v>
      </c>
      <c r="J47" s="194" t="b">
        <v>1</v>
      </c>
      <c r="K47" s="194" t="b">
        <v>1</v>
      </c>
      <c r="L47" s="193" t="b">
        <v>1</v>
      </c>
      <c r="M47" s="200"/>
      <c r="N47" s="200"/>
      <c r="O47" s="32"/>
      <c r="P47" s="185"/>
      <c r="Q47" s="185"/>
      <c r="R47" s="185"/>
      <c r="S47" s="185"/>
      <c r="T47" s="185"/>
      <c r="U47" s="185"/>
      <c r="V47" s="185"/>
      <c r="W47" s="185"/>
      <c r="X47" s="185"/>
      <c r="Y47" s="185"/>
      <c r="Z47" s="184"/>
      <c r="AA47" s="127"/>
      <c r="AB47" s="126"/>
      <c r="AC47" s="125"/>
    </row>
    <row r="49" spans="1:29" ht="16.5" thickBot="1" x14ac:dyDescent="0.3">
      <c r="A49" s="192" t="s">
        <v>335</v>
      </c>
      <c r="B49" s="191"/>
      <c r="C49" s="191"/>
      <c r="D49" s="191"/>
      <c r="E49" s="191"/>
      <c r="F49" s="191"/>
      <c r="G49" s="191"/>
      <c r="H49" s="191"/>
      <c r="I49" s="191"/>
      <c r="J49" s="191"/>
      <c r="K49" s="191"/>
      <c r="L49" s="190"/>
      <c r="M49" s="200"/>
      <c r="N49" s="200"/>
      <c r="O49" s="189" t="s">
        <v>335</v>
      </c>
      <c r="P49" s="217"/>
      <c r="Q49" s="188"/>
      <c r="R49" s="188"/>
      <c r="S49" s="188"/>
      <c r="T49" s="188"/>
      <c r="U49" s="188"/>
      <c r="V49" s="188"/>
      <c r="W49" s="188"/>
      <c r="X49" s="188"/>
      <c r="Y49" s="188"/>
      <c r="Z49" s="187"/>
      <c r="AA49" s="216"/>
      <c r="AB49" s="188"/>
      <c r="AC49" s="187"/>
    </row>
    <row r="50" spans="1:29" ht="15.75" x14ac:dyDescent="0.25">
      <c r="A50" s="85" t="s">
        <v>252</v>
      </c>
      <c r="B50" s="77"/>
      <c r="C50" s="34">
        <v>7</v>
      </c>
      <c r="D50" s="34">
        <v>1293</v>
      </c>
      <c r="E50" s="34">
        <v>1110</v>
      </c>
      <c r="F50" s="34">
        <v>93</v>
      </c>
      <c r="G50" s="34">
        <v>97</v>
      </c>
      <c r="H50" s="34">
        <v>1725</v>
      </c>
      <c r="I50" s="34">
        <v>357</v>
      </c>
      <c r="J50" s="34">
        <v>1093</v>
      </c>
      <c r="K50" s="34">
        <v>557</v>
      </c>
      <c r="L50" s="33">
        <v>1430</v>
      </c>
      <c r="M50" s="200"/>
      <c r="N50" s="200"/>
      <c r="O50" s="118" t="s">
        <v>252</v>
      </c>
      <c r="P50" s="129"/>
      <c r="Q50" s="42">
        <v>6.2144886363636357E-5</v>
      </c>
      <c r="R50" s="41">
        <v>1.1127462370588388E-2</v>
      </c>
      <c r="S50" s="41">
        <v>9.3498092133525376E-3</v>
      </c>
      <c r="T50" s="41">
        <v>7.2079054446812631E-4</v>
      </c>
      <c r="U50" s="41">
        <v>6.85144374752783E-4</v>
      </c>
      <c r="V50" s="41">
        <v>1.129643818392566E-2</v>
      </c>
      <c r="W50" s="41">
        <v>2.140788313814381E-3</v>
      </c>
      <c r="X50" s="41">
        <v>5.5785514140326339E-3</v>
      </c>
      <c r="Y50" s="41">
        <v>2.4542418287406258E-3</v>
      </c>
      <c r="Z50" s="40">
        <v>5.9020182426018407E-3</v>
      </c>
      <c r="AA50" s="39">
        <v>4.9317389372640621E-3</v>
      </c>
      <c r="AB50" s="38">
        <v>4.7448507877939161E-3</v>
      </c>
      <c r="AC50" s="37">
        <v>5.9020182426018407E-3</v>
      </c>
    </row>
    <row r="51" spans="1:29" ht="15.75" x14ac:dyDescent="0.25">
      <c r="A51" s="85" t="s">
        <v>70</v>
      </c>
      <c r="B51" s="202"/>
      <c r="C51" s="34">
        <v>8491</v>
      </c>
      <c r="D51" s="34">
        <v>9011</v>
      </c>
      <c r="E51" s="34">
        <v>7612</v>
      </c>
      <c r="F51" s="34">
        <v>9608</v>
      </c>
      <c r="G51" s="34">
        <v>11237</v>
      </c>
      <c r="H51" s="34">
        <v>11679</v>
      </c>
      <c r="I51" s="34">
        <v>14172</v>
      </c>
      <c r="J51" s="34">
        <v>16278</v>
      </c>
      <c r="K51" s="34">
        <v>17848</v>
      </c>
      <c r="L51" s="33">
        <v>17483</v>
      </c>
      <c r="M51" s="200"/>
      <c r="N51" s="200"/>
      <c r="O51" s="118" t="s">
        <v>70</v>
      </c>
      <c r="P51" s="129"/>
      <c r="Q51" s="69">
        <v>7.5381747159090906E-2</v>
      </c>
      <c r="R51" s="68">
        <v>7.754799955249185E-2</v>
      </c>
      <c r="S51" s="68">
        <v>6.4117790749585152E-2</v>
      </c>
      <c r="T51" s="68">
        <v>7.4466188723115681E-2</v>
      </c>
      <c r="U51" s="68">
        <v>7.9370797310278574E-2</v>
      </c>
      <c r="V51" s="68">
        <v>7.6481798000039292E-2</v>
      </c>
      <c r="W51" s="68">
        <v>8.4983899113101988E-2</v>
      </c>
      <c r="X51" s="68">
        <v>8.3081116118593978E-2</v>
      </c>
      <c r="Y51" s="68">
        <v>7.8641486821117934E-2</v>
      </c>
      <c r="Z51" s="67">
        <v>7.2157332122662926E-2</v>
      </c>
      <c r="AA51" s="27">
        <v>7.6623015567007818E-2</v>
      </c>
      <c r="AB51" s="26">
        <v>7.7141058225923889E-2</v>
      </c>
      <c r="AC51" s="25">
        <v>7.2157332122662926E-2</v>
      </c>
    </row>
    <row r="52" spans="1:29" ht="15.75" x14ac:dyDescent="0.25">
      <c r="A52" s="85" t="s">
        <v>249</v>
      </c>
      <c r="B52" s="202"/>
      <c r="C52" s="34">
        <v>136</v>
      </c>
      <c r="D52" s="34">
        <v>491</v>
      </c>
      <c r="E52" s="34">
        <v>532</v>
      </c>
      <c r="F52" s="34">
        <v>0</v>
      </c>
      <c r="G52" s="34">
        <v>0</v>
      </c>
      <c r="H52" s="34">
        <v>0</v>
      </c>
      <c r="I52" s="34">
        <v>0</v>
      </c>
      <c r="J52" s="34">
        <v>0</v>
      </c>
      <c r="K52" s="34">
        <v>0</v>
      </c>
      <c r="L52" s="33">
        <v>0</v>
      </c>
      <c r="M52" s="200"/>
      <c r="N52" s="200"/>
      <c r="O52" s="118" t="s">
        <v>249</v>
      </c>
      <c r="P52" s="129"/>
      <c r="Q52" s="69">
        <v>1.2073863636363636E-3</v>
      </c>
      <c r="R52" s="68">
        <v>4.225509685969759E-3</v>
      </c>
      <c r="S52" s="68">
        <v>4.4811698211743699E-3</v>
      </c>
      <c r="T52" s="68">
        <v>0</v>
      </c>
      <c r="U52" s="68">
        <v>0</v>
      </c>
      <c r="V52" s="68">
        <v>0</v>
      </c>
      <c r="W52" s="68">
        <v>0</v>
      </c>
      <c r="X52" s="68">
        <v>0</v>
      </c>
      <c r="Y52" s="68">
        <v>0</v>
      </c>
      <c r="Z52" s="67">
        <v>0</v>
      </c>
      <c r="AA52" s="27">
        <v>9.9140658707804917E-4</v>
      </c>
      <c r="AB52" s="26">
        <v>6.7911200620076532E-4</v>
      </c>
      <c r="AC52" s="25">
        <v>0</v>
      </c>
    </row>
    <row r="53" spans="1:29" ht="15.75" x14ac:dyDescent="0.25">
      <c r="A53" s="199" t="s">
        <v>248</v>
      </c>
      <c r="B53" s="215"/>
      <c r="C53" s="133">
        <v>5778</v>
      </c>
      <c r="D53" s="133">
        <v>5745</v>
      </c>
      <c r="E53" s="133">
        <v>6321</v>
      </c>
      <c r="F53" s="133">
        <v>7794</v>
      </c>
      <c r="G53" s="133">
        <v>8592</v>
      </c>
      <c r="H53" s="133">
        <v>9833</v>
      </c>
      <c r="I53" s="133">
        <v>10315</v>
      </c>
      <c r="J53" s="133">
        <v>12070</v>
      </c>
      <c r="K53" s="133">
        <v>13593</v>
      </c>
      <c r="L53" s="132">
        <v>14670</v>
      </c>
      <c r="M53" s="200"/>
      <c r="N53" s="200"/>
      <c r="O53" s="198" t="s">
        <v>248</v>
      </c>
      <c r="P53" s="197"/>
      <c r="Q53" s="30">
        <v>5.1296164772727269E-2</v>
      </c>
      <c r="R53" s="29">
        <v>4.9441045103658376E-2</v>
      </c>
      <c r="S53" s="29">
        <v>5.3243373006848102E-2</v>
      </c>
      <c r="T53" s="29">
        <v>6.0406897888006197E-2</v>
      </c>
      <c r="U53" s="29">
        <v>6.0688252246143416E-2</v>
      </c>
      <c r="V53" s="29">
        <v>6.4392971978284641E-2</v>
      </c>
      <c r="W53" s="29">
        <v>6.1854990075617199E-2</v>
      </c>
      <c r="X53" s="29">
        <v>6.1603948369052051E-2</v>
      </c>
      <c r="Y53" s="29">
        <v>5.9893194215567915E-2</v>
      </c>
      <c r="Z53" s="28">
        <v>6.0547278055223079E-2</v>
      </c>
      <c r="AA53" s="214">
        <v>5.8336811571112826E-2</v>
      </c>
      <c r="AB53" s="213">
        <v>5.8691762328648152E-2</v>
      </c>
      <c r="AC53" s="212">
        <v>6.0547278055223079E-2</v>
      </c>
    </row>
    <row r="54" spans="1:29" ht="15.75" x14ac:dyDescent="0.25">
      <c r="A54" s="105" t="s">
        <v>245</v>
      </c>
      <c r="B54" s="211"/>
      <c r="C54" s="210">
        <v>14412</v>
      </c>
      <c r="D54" s="210">
        <v>16540</v>
      </c>
      <c r="E54" s="210">
        <v>15575</v>
      </c>
      <c r="F54" s="210">
        <v>17495</v>
      </c>
      <c r="G54" s="210">
        <v>19926</v>
      </c>
      <c r="H54" s="210">
        <v>23237</v>
      </c>
      <c r="I54" s="210">
        <v>24844</v>
      </c>
      <c r="J54" s="210">
        <v>29441</v>
      </c>
      <c r="K54" s="210">
        <v>31998</v>
      </c>
      <c r="L54" s="209">
        <v>33583</v>
      </c>
      <c r="M54" s="200"/>
      <c r="N54" s="200"/>
      <c r="O54" s="104" t="s">
        <v>245</v>
      </c>
      <c r="P54" s="129"/>
      <c r="Q54" s="208">
        <v>0.12794744318181819</v>
      </c>
      <c r="R54" s="207">
        <v>0.14234201671270838</v>
      </c>
      <c r="S54" s="207">
        <v>0.13119214279096017</v>
      </c>
      <c r="T54" s="207">
        <v>0.13559387715559001</v>
      </c>
      <c r="U54" s="207">
        <v>0.14074419393117477</v>
      </c>
      <c r="V54" s="207">
        <v>0.1521712081622496</v>
      </c>
      <c r="W54" s="207">
        <v>0.14897967750253358</v>
      </c>
      <c r="X54" s="207">
        <v>0.15026361590167867</v>
      </c>
      <c r="Y54" s="207">
        <v>0.14098892286542647</v>
      </c>
      <c r="Z54" s="206">
        <v>0.13860662842048785</v>
      </c>
      <c r="AA54" s="205">
        <v>0.14088297266246277</v>
      </c>
      <c r="AB54" s="204">
        <v>0.14108888441007</v>
      </c>
      <c r="AC54" s="203">
        <v>0.13860662842048785</v>
      </c>
    </row>
    <row r="55" spans="1:29" ht="15.75" x14ac:dyDescent="0.25">
      <c r="A55" s="85" t="s">
        <v>244</v>
      </c>
      <c r="B55" s="202"/>
      <c r="C55" s="34">
        <v>5279</v>
      </c>
      <c r="D55" s="34">
        <v>5150</v>
      </c>
      <c r="E55" s="34">
        <v>4425</v>
      </c>
      <c r="F55" s="34">
        <v>6946</v>
      </c>
      <c r="G55" s="34">
        <v>6877</v>
      </c>
      <c r="H55" s="34">
        <v>5519</v>
      </c>
      <c r="I55" s="34">
        <v>10729</v>
      </c>
      <c r="J55" s="34">
        <v>10314</v>
      </c>
      <c r="K55" s="34">
        <v>10349</v>
      </c>
      <c r="L55" s="33">
        <v>9106</v>
      </c>
      <c r="M55" s="200"/>
      <c r="N55" s="200"/>
      <c r="O55" s="118" t="s">
        <v>244</v>
      </c>
      <c r="P55" s="129"/>
      <c r="Q55" s="69">
        <v>4.686612215909091E-2</v>
      </c>
      <c r="R55" s="68">
        <v>4.4320519109458771E-2</v>
      </c>
      <c r="S55" s="68">
        <v>3.7272888080256743E-2</v>
      </c>
      <c r="T55" s="68">
        <v>5.3834528192210809E-2</v>
      </c>
      <c r="U55" s="68">
        <v>4.8574617166751426E-2</v>
      </c>
      <c r="V55" s="68">
        <v>3.614205352874534E-2</v>
      </c>
      <c r="W55" s="68">
        <v>6.4337584926931354E-2</v>
      </c>
      <c r="X55" s="68">
        <v>5.264151810094473E-2</v>
      </c>
      <c r="Y55" s="68">
        <v>4.5599548807247287E-2</v>
      </c>
      <c r="Z55" s="67">
        <v>3.7583061620372282E-2</v>
      </c>
      <c r="AA55" s="27">
        <v>4.6717244169200964E-2</v>
      </c>
      <c r="AB55" s="26">
        <v>4.5836600404541621E-2</v>
      </c>
      <c r="AC55" s="25">
        <v>3.7583061620372282E-2</v>
      </c>
    </row>
    <row r="56" spans="1:29" ht="15.75" x14ac:dyDescent="0.25">
      <c r="A56" s="186" t="s">
        <v>334</v>
      </c>
      <c r="B56" s="201"/>
      <c r="C56" s="138">
        <v>5093</v>
      </c>
      <c r="D56" s="138">
        <v>4864</v>
      </c>
      <c r="E56" s="138">
        <v>4061</v>
      </c>
      <c r="F56" s="138">
        <v>6659</v>
      </c>
      <c r="G56" s="138">
        <v>6577</v>
      </c>
      <c r="H56" s="138">
        <v>5153</v>
      </c>
      <c r="I56" s="138">
        <v>10120</v>
      </c>
      <c r="J56" s="138">
        <v>9374</v>
      </c>
      <c r="K56" s="138">
        <v>8999</v>
      </c>
      <c r="L56" s="141">
        <v>7829</v>
      </c>
      <c r="M56" s="200"/>
      <c r="N56" s="200"/>
      <c r="O56" s="118" t="s">
        <v>334</v>
      </c>
      <c r="P56" s="129"/>
      <c r="Q56" s="69">
        <v>4.5214843749999997E-2</v>
      </c>
      <c r="R56" s="68">
        <v>4.1859224261826693E-2</v>
      </c>
      <c r="S56" s="68">
        <v>3.420682451840059E-2</v>
      </c>
      <c r="T56" s="68">
        <v>5.1610153071110249E-2</v>
      </c>
      <c r="U56" s="68">
        <v>4.6455613945866531E-2</v>
      </c>
      <c r="V56" s="68">
        <v>3.3745244035808072E-2</v>
      </c>
      <c r="W56" s="68">
        <v>6.0685651921012704E-2</v>
      </c>
      <c r="X56" s="68">
        <v>4.7843861807083179E-2</v>
      </c>
      <c r="Y56" s="68">
        <v>3.9651206852489934E-2</v>
      </c>
      <c r="Z56" s="67">
        <v>3.2312518056873997E-2</v>
      </c>
      <c r="AA56" s="27">
        <v>4.3358514222047201E-2</v>
      </c>
      <c r="AB56" s="26">
        <v>4.2573371530323159E-2</v>
      </c>
      <c r="AC56" s="25">
        <v>3.2312518056873997E-2</v>
      </c>
    </row>
    <row r="57" spans="1:29" ht="15.75" x14ac:dyDescent="0.25">
      <c r="A57" s="186" t="s">
        <v>333</v>
      </c>
      <c r="B57" s="201"/>
      <c r="C57" s="138">
        <v>186</v>
      </c>
      <c r="D57" s="138">
        <v>286</v>
      </c>
      <c r="E57" s="138">
        <v>364</v>
      </c>
      <c r="F57" s="138">
        <v>380</v>
      </c>
      <c r="G57" s="138">
        <v>397</v>
      </c>
      <c r="H57" s="138">
        <v>395</v>
      </c>
      <c r="I57" s="138">
        <v>657</v>
      </c>
      <c r="J57" s="138">
        <v>980</v>
      </c>
      <c r="K57" s="138">
        <v>1383</v>
      </c>
      <c r="L57" s="141">
        <v>1303</v>
      </c>
      <c r="M57" s="200"/>
      <c r="N57" s="200"/>
      <c r="O57" s="118" t="s">
        <v>333</v>
      </c>
      <c r="P57" s="129"/>
      <c r="Q57" s="69">
        <v>1.6512784090909091E-3</v>
      </c>
      <c r="R57" s="68">
        <v>2.4612948476320793E-3</v>
      </c>
      <c r="S57" s="68">
        <v>3.0660635618561479E-3</v>
      </c>
      <c r="T57" s="68">
        <v>2.9451656655686883E-3</v>
      </c>
      <c r="U57" s="68">
        <v>2.8041475956376788E-3</v>
      </c>
      <c r="V57" s="68">
        <v>2.5867206276235567E-3</v>
      </c>
      <c r="W57" s="68">
        <v>3.9397700901289872E-3</v>
      </c>
      <c r="X57" s="68">
        <v>5.0018118808343838E-3</v>
      </c>
      <c r="Y57" s="68">
        <v>6.0937458692069757E-3</v>
      </c>
      <c r="Z57" s="67">
        <v>5.377852986091048E-3</v>
      </c>
      <c r="AA57" s="27">
        <v>3.592785153367045E-3</v>
      </c>
      <c r="AB57" s="26">
        <v>3.5228534069215709E-3</v>
      </c>
      <c r="AC57" s="25">
        <v>5.377852986091048E-3</v>
      </c>
    </row>
    <row r="58" spans="1:29" ht="15.75" x14ac:dyDescent="0.25">
      <c r="A58" s="85" t="s">
        <v>60</v>
      </c>
      <c r="B58" s="77"/>
      <c r="C58" s="34">
        <v>389</v>
      </c>
      <c r="D58" s="34">
        <v>445</v>
      </c>
      <c r="E58" s="34">
        <v>534</v>
      </c>
      <c r="F58" s="34">
        <v>515</v>
      </c>
      <c r="G58" s="34">
        <v>607</v>
      </c>
      <c r="H58" s="34">
        <v>517</v>
      </c>
      <c r="I58" s="34">
        <v>613</v>
      </c>
      <c r="J58" s="34">
        <v>681</v>
      </c>
      <c r="K58" s="34">
        <v>448</v>
      </c>
      <c r="L58" s="33">
        <v>452</v>
      </c>
      <c r="M58" s="11"/>
      <c r="N58" s="11"/>
      <c r="O58" s="118" t="s">
        <v>60</v>
      </c>
      <c r="P58" s="129"/>
      <c r="Q58" s="69">
        <v>3.4534801136363634E-3</v>
      </c>
      <c r="R58" s="68">
        <v>3.8296370880988649E-3</v>
      </c>
      <c r="S58" s="68">
        <v>4.4980163242614914E-3</v>
      </c>
      <c r="T58" s="68">
        <v>3.9914745204417748E-3</v>
      </c>
      <c r="U58" s="68">
        <v>4.2874498502571056E-3</v>
      </c>
      <c r="V58" s="68">
        <v>3.3856571252693138E-3</v>
      </c>
      <c r="W58" s="68">
        <v>3.6759194296028448E-3</v>
      </c>
      <c r="X58" s="68">
        <v>3.4757488682124649E-3</v>
      </c>
      <c r="Y58" s="68">
        <v>1.9739682931342916E-3</v>
      </c>
      <c r="Z58" s="67">
        <v>1.865533038920302E-3</v>
      </c>
      <c r="AA58" s="27">
        <v>3.4436884651834814E-3</v>
      </c>
      <c r="AB58" s="26">
        <v>3.5091669110816274E-3</v>
      </c>
      <c r="AC58" s="25">
        <v>1.865533038920302E-3</v>
      </c>
    </row>
    <row r="59" spans="1:29" ht="15.75" x14ac:dyDescent="0.25">
      <c r="A59" s="85" t="s">
        <v>332</v>
      </c>
      <c r="B59" s="77"/>
      <c r="C59" s="34">
        <v>429</v>
      </c>
      <c r="D59" s="34">
        <v>462</v>
      </c>
      <c r="E59" s="34">
        <v>297</v>
      </c>
      <c r="F59" s="34">
        <v>312</v>
      </c>
      <c r="G59" s="34">
        <v>317</v>
      </c>
      <c r="H59" s="34">
        <v>543</v>
      </c>
      <c r="I59" s="34">
        <v>665</v>
      </c>
      <c r="J59" s="34">
        <v>754</v>
      </c>
      <c r="K59" s="34">
        <v>724</v>
      </c>
      <c r="L59" s="33">
        <v>795</v>
      </c>
      <c r="M59" s="11"/>
      <c r="N59" s="11"/>
      <c r="O59" s="118" t="s">
        <v>332</v>
      </c>
      <c r="P59" s="129"/>
      <c r="Q59" s="69">
        <v>3.8085937499999999E-3</v>
      </c>
      <c r="R59" s="68">
        <v>3.9759378307902818E-3</v>
      </c>
      <c r="S59" s="68">
        <v>2.5017057084375711E-3</v>
      </c>
      <c r="T59" s="68">
        <v>2.4181360201511333E-3</v>
      </c>
      <c r="U59" s="68">
        <v>2.239080070068373E-3</v>
      </c>
      <c r="V59" s="68">
        <v>3.5559222805052948E-3</v>
      </c>
      <c r="W59" s="68">
        <v>3.9877429374973765E-3</v>
      </c>
      <c r="X59" s="68">
        <v>3.8483328144378829E-3</v>
      </c>
      <c r="Y59" s="68">
        <v>3.1900737594402389E-3</v>
      </c>
      <c r="Z59" s="67">
        <v>3.2811919600478764E-3</v>
      </c>
      <c r="AA59" s="27">
        <v>3.2806717131376026E-3</v>
      </c>
      <c r="AB59" s="26">
        <v>3.3224867654762847E-3</v>
      </c>
      <c r="AC59" s="25">
        <v>3.2811919600478764E-3</v>
      </c>
    </row>
    <row r="60" spans="1:29" ht="15.75" x14ac:dyDescent="0.25">
      <c r="A60" s="199" t="s">
        <v>58</v>
      </c>
      <c r="B60" s="134"/>
      <c r="C60" s="133">
        <v>0</v>
      </c>
      <c r="D60" s="133">
        <v>0</v>
      </c>
      <c r="E60" s="133">
        <v>0</v>
      </c>
      <c r="F60" s="133">
        <v>0</v>
      </c>
      <c r="G60" s="133">
        <v>0</v>
      </c>
      <c r="H60" s="133">
        <v>0</v>
      </c>
      <c r="I60" s="133">
        <v>0</v>
      </c>
      <c r="J60" s="133">
        <v>0</v>
      </c>
      <c r="K60" s="133">
        <v>0</v>
      </c>
      <c r="L60" s="132">
        <v>0</v>
      </c>
      <c r="M60" s="11"/>
      <c r="N60" s="11"/>
      <c r="O60" s="198" t="s">
        <v>58</v>
      </c>
      <c r="P60" s="197"/>
      <c r="Q60" s="69">
        <v>0</v>
      </c>
      <c r="R60" s="68">
        <v>0</v>
      </c>
      <c r="S60" s="68">
        <v>0</v>
      </c>
      <c r="T60" s="68">
        <v>0</v>
      </c>
      <c r="U60" s="68">
        <v>0</v>
      </c>
      <c r="V60" s="68">
        <v>0</v>
      </c>
      <c r="W60" s="68">
        <v>0</v>
      </c>
      <c r="X60" s="68">
        <v>0</v>
      </c>
      <c r="Y60" s="68">
        <v>0</v>
      </c>
      <c r="Z60" s="67">
        <v>0</v>
      </c>
      <c r="AA60" s="27">
        <v>0</v>
      </c>
      <c r="AB60" s="26">
        <v>0</v>
      </c>
      <c r="AC60" s="25">
        <v>0</v>
      </c>
    </row>
    <row r="61" spans="1:29" ht="16.5" thickBot="1" x14ac:dyDescent="0.3">
      <c r="A61" s="117" t="s">
        <v>232</v>
      </c>
      <c r="B61" s="116"/>
      <c r="C61" s="115">
        <v>20509</v>
      </c>
      <c r="D61" s="115">
        <v>22597</v>
      </c>
      <c r="E61" s="115">
        <v>20831</v>
      </c>
      <c r="F61" s="115">
        <v>25268</v>
      </c>
      <c r="G61" s="115">
        <v>27727</v>
      </c>
      <c r="H61" s="115">
        <v>29816</v>
      </c>
      <c r="I61" s="115">
        <v>36851</v>
      </c>
      <c r="J61" s="115">
        <v>41190</v>
      </c>
      <c r="K61" s="115">
        <v>43519</v>
      </c>
      <c r="L61" s="114">
        <v>43936</v>
      </c>
      <c r="M61" s="11"/>
      <c r="N61" s="11"/>
      <c r="O61" s="113" t="s">
        <v>232</v>
      </c>
      <c r="P61" s="112"/>
      <c r="Q61" s="111">
        <v>0.18207563920454545</v>
      </c>
      <c r="R61" s="110">
        <v>0.1944681107410563</v>
      </c>
      <c r="S61" s="110">
        <v>0.17546475290391597</v>
      </c>
      <c r="T61" s="110">
        <v>0.19583801588839372</v>
      </c>
      <c r="U61" s="110">
        <v>0.19584534101825168</v>
      </c>
      <c r="V61" s="110">
        <v>0.19525484109676955</v>
      </c>
      <c r="W61" s="110">
        <v>0.22098092479656514</v>
      </c>
      <c r="X61" s="110">
        <v>0.21022921568527375</v>
      </c>
      <c r="Y61" s="110">
        <v>0.19175251372524829</v>
      </c>
      <c r="Z61" s="109">
        <v>0.18133641503982831</v>
      </c>
      <c r="AA61" s="108">
        <v>0.19432457700998479</v>
      </c>
      <c r="AB61" s="107">
        <v>0.19335001154992087</v>
      </c>
      <c r="AC61" s="106">
        <v>0.18133641503982831</v>
      </c>
    </row>
    <row r="62" spans="1:29" ht="16.5" thickTop="1" x14ac:dyDescent="0.25">
      <c r="A62" s="86" t="s">
        <v>331</v>
      </c>
      <c r="B62" s="77"/>
      <c r="C62" s="34">
        <v>20509</v>
      </c>
      <c r="D62" s="34">
        <v>22597</v>
      </c>
      <c r="E62" s="34">
        <v>20831</v>
      </c>
      <c r="F62" s="34">
        <v>25268</v>
      </c>
      <c r="G62" s="34">
        <v>27727</v>
      </c>
      <c r="H62" s="34">
        <v>29816</v>
      </c>
      <c r="I62" s="34">
        <v>36851</v>
      </c>
      <c r="J62" s="34">
        <v>41190</v>
      </c>
      <c r="K62" s="34">
        <v>43519</v>
      </c>
      <c r="L62" s="33">
        <v>43936</v>
      </c>
      <c r="M62" s="11"/>
      <c r="N62" s="11"/>
      <c r="O62" s="32"/>
      <c r="P62" s="31"/>
      <c r="Q62" s="185"/>
      <c r="R62" s="185"/>
      <c r="S62" s="185"/>
      <c r="T62" s="185"/>
      <c r="U62" s="185"/>
      <c r="V62" s="185"/>
      <c r="W62" s="185"/>
      <c r="X62" s="185"/>
      <c r="Y62" s="185"/>
      <c r="Z62" s="184"/>
      <c r="AA62" s="127"/>
      <c r="AB62" s="126"/>
      <c r="AC62" s="125"/>
    </row>
    <row r="63" spans="1:29" ht="15.75" x14ac:dyDescent="0.25">
      <c r="A63" s="196" t="s">
        <v>330</v>
      </c>
      <c r="B63" s="195"/>
      <c r="C63" s="194" t="b">
        <v>1</v>
      </c>
      <c r="D63" s="194" t="b">
        <v>1</v>
      </c>
      <c r="E63" s="194" t="b">
        <v>1</v>
      </c>
      <c r="F63" s="194" t="b">
        <v>1</v>
      </c>
      <c r="G63" s="194" t="b">
        <v>1</v>
      </c>
      <c r="H63" s="194" t="b">
        <v>1</v>
      </c>
      <c r="I63" s="194" t="b">
        <v>1</v>
      </c>
      <c r="J63" s="194" t="b">
        <v>1</v>
      </c>
      <c r="K63" s="194" t="b">
        <v>1</v>
      </c>
      <c r="L63" s="193" t="b">
        <v>1</v>
      </c>
      <c r="M63" s="11"/>
      <c r="N63" s="11"/>
      <c r="O63" s="32"/>
      <c r="P63" s="31"/>
      <c r="Q63" s="185"/>
      <c r="R63" s="185"/>
      <c r="S63" s="185"/>
      <c r="T63" s="185"/>
      <c r="U63" s="185"/>
      <c r="V63" s="185"/>
      <c r="W63" s="185"/>
      <c r="X63" s="185"/>
      <c r="Y63" s="185"/>
      <c r="Z63" s="184"/>
      <c r="AA63" s="32"/>
      <c r="AB63" s="31"/>
      <c r="AC63" s="99"/>
    </row>
    <row r="65" spans="1:29" ht="16.5" thickBot="1" x14ac:dyDescent="0.3">
      <c r="A65" s="192" t="s">
        <v>329</v>
      </c>
      <c r="B65" s="158"/>
      <c r="C65" s="158"/>
      <c r="D65" s="158"/>
      <c r="E65" s="158"/>
      <c r="F65" s="158"/>
      <c r="G65" s="191"/>
      <c r="H65" s="191"/>
      <c r="I65" s="191"/>
      <c r="J65" s="191"/>
      <c r="K65" s="191"/>
      <c r="L65" s="190"/>
      <c r="M65" s="11"/>
      <c r="N65" s="11"/>
      <c r="O65" s="189" t="s">
        <v>329</v>
      </c>
      <c r="P65" s="155"/>
      <c r="Q65" s="188"/>
      <c r="R65" s="188"/>
      <c r="S65" s="188"/>
      <c r="T65" s="188"/>
      <c r="U65" s="188"/>
      <c r="V65" s="188"/>
      <c r="W65" s="188"/>
      <c r="X65" s="188"/>
      <c r="Y65" s="188"/>
      <c r="Z65" s="187"/>
      <c r="AA65" s="154"/>
      <c r="AB65" s="153"/>
      <c r="AC65" s="152"/>
    </row>
    <row r="66" spans="1:29" ht="15.75" x14ac:dyDescent="0.25">
      <c r="A66" s="85" t="s">
        <v>230</v>
      </c>
      <c r="B66" s="77"/>
      <c r="C66" s="34">
        <v>0</v>
      </c>
      <c r="D66" s="34">
        <v>0</v>
      </c>
      <c r="E66" s="34">
        <v>0</v>
      </c>
      <c r="F66" s="34">
        <v>0</v>
      </c>
      <c r="G66" s="34">
        <v>0</v>
      </c>
      <c r="H66" s="34">
        <v>0</v>
      </c>
      <c r="I66" s="34">
        <v>0</v>
      </c>
      <c r="J66" s="34">
        <v>0</v>
      </c>
      <c r="K66" s="34">
        <v>0</v>
      </c>
      <c r="L66" s="33">
        <v>0</v>
      </c>
      <c r="M66" s="11"/>
      <c r="N66" s="11"/>
      <c r="O66" s="118" t="s">
        <v>230</v>
      </c>
      <c r="P66" s="31"/>
      <c r="Q66" s="42">
        <v>0</v>
      </c>
      <c r="R66" s="41">
        <v>0</v>
      </c>
      <c r="S66" s="41">
        <v>0</v>
      </c>
      <c r="T66" s="41">
        <v>0</v>
      </c>
      <c r="U66" s="41">
        <v>0</v>
      </c>
      <c r="V66" s="41">
        <v>0</v>
      </c>
      <c r="W66" s="41">
        <v>0</v>
      </c>
      <c r="X66" s="41">
        <v>0</v>
      </c>
      <c r="Y66" s="41">
        <v>0</v>
      </c>
      <c r="Z66" s="40">
        <v>0</v>
      </c>
      <c r="AA66" s="39">
        <v>0</v>
      </c>
      <c r="AB66" s="38">
        <v>0</v>
      </c>
      <c r="AC66" s="37">
        <v>0</v>
      </c>
    </row>
    <row r="67" spans="1:29" ht="15.75" x14ac:dyDescent="0.25">
      <c r="A67" s="85" t="s">
        <v>227</v>
      </c>
      <c r="B67" s="77"/>
      <c r="C67" s="34">
        <v>12303</v>
      </c>
      <c r="D67" s="34">
        <v>10617</v>
      </c>
      <c r="E67" s="34">
        <v>12079</v>
      </c>
      <c r="F67" s="34">
        <v>10778</v>
      </c>
      <c r="G67" s="34">
        <v>12799</v>
      </c>
      <c r="H67" s="34">
        <v>15243</v>
      </c>
      <c r="I67" s="34">
        <v>18284</v>
      </c>
      <c r="J67" s="34">
        <v>17564</v>
      </c>
      <c r="K67" s="34">
        <v>20642</v>
      </c>
      <c r="L67" s="33">
        <v>25058</v>
      </c>
      <c r="M67" s="11"/>
      <c r="N67" s="11"/>
      <c r="O67" s="118" t="s">
        <v>227</v>
      </c>
      <c r="P67" s="31"/>
      <c r="Q67" s="69">
        <v>0.10922407670454545</v>
      </c>
      <c r="R67" s="68">
        <v>9.1369116773810446E-2</v>
      </c>
      <c r="S67" s="68">
        <v>0.10174445539467145</v>
      </c>
      <c r="T67" s="68">
        <v>8.353419879868243E-2</v>
      </c>
      <c r="U67" s="68">
        <v>9.0403740747019262E-2</v>
      </c>
      <c r="V67" s="68">
        <v>9.9821221587002226E-2</v>
      </c>
      <c r="W67" s="68">
        <v>0.10964194266045418</v>
      </c>
      <c r="X67" s="68">
        <v>8.9644718239770535E-2</v>
      </c>
      <c r="Y67" s="68">
        <v>9.095235157785278E-2</v>
      </c>
      <c r="Z67" s="67">
        <v>0.10342151966651533</v>
      </c>
      <c r="AA67" s="27">
        <v>9.6975734215032416E-2</v>
      </c>
      <c r="AB67" s="26">
        <v>9.7072650086398454E-2</v>
      </c>
      <c r="AC67" s="25">
        <v>0.10342151966651533</v>
      </c>
    </row>
    <row r="68" spans="1:29" ht="15.75" x14ac:dyDescent="0.25">
      <c r="A68" s="186" t="s">
        <v>226</v>
      </c>
      <c r="B68" s="139"/>
      <c r="C68" s="138">
        <v>2</v>
      </c>
      <c r="D68" s="138">
        <v>2</v>
      </c>
      <c r="E68" s="138">
        <v>2</v>
      </c>
      <c r="F68" s="138">
        <v>4</v>
      </c>
      <c r="G68" s="138">
        <v>4</v>
      </c>
      <c r="H68" s="138">
        <v>4</v>
      </c>
      <c r="I68" s="138">
        <v>4</v>
      </c>
      <c r="J68" s="138">
        <v>4</v>
      </c>
      <c r="K68" s="138">
        <v>2</v>
      </c>
      <c r="L68" s="141">
        <v>2</v>
      </c>
      <c r="M68" s="11"/>
      <c r="N68" s="11"/>
      <c r="O68" s="118" t="s">
        <v>226</v>
      </c>
      <c r="P68" s="31"/>
      <c r="Q68" s="69">
        <v>1.7755681818181817E-5</v>
      </c>
      <c r="R68" s="68">
        <v>1.7211852081343212E-5</v>
      </c>
      <c r="S68" s="68">
        <v>1.6846503087121689E-5</v>
      </c>
      <c r="T68" s="68">
        <v>3.1001743848091457E-5</v>
      </c>
      <c r="U68" s="68">
        <v>2.8253376278465277E-5</v>
      </c>
      <c r="V68" s="68">
        <v>2.6194639267073993E-5</v>
      </c>
      <c r="W68" s="68">
        <v>2.3986423684194747E-5</v>
      </c>
      <c r="X68" s="68">
        <v>2.0415558697283201E-5</v>
      </c>
      <c r="Y68" s="68">
        <v>8.8123584514923733E-6</v>
      </c>
      <c r="Z68" s="67">
        <v>8.2545709686739039E-6</v>
      </c>
      <c r="AA68" s="27">
        <v>1.9873270818192166E-5</v>
      </c>
      <c r="AB68" s="26">
        <v>1.9934549170644536E-5</v>
      </c>
      <c r="AC68" s="25">
        <v>8.2545709686739039E-6</v>
      </c>
    </row>
    <row r="69" spans="1:29" ht="15.75" x14ac:dyDescent="0.25">
      <c r="A69" s="186" t="s">
        <v>225</v>
      </c>
      <c r="B69" s="139"/>
      <c r="C69" s="138">
        <v>4919</v>
      </c>
      <c r="D69" s="138">
        <v>5218</v>
      </c>
      <c r="E69" s="138">
        <v>5490</v>
      </c>
      <c r="F69" s="138">
        <v>5800</v>
      </c>
      <c r="G69" s="138">
        <v>6107</v>
      </c>
      <c r="H69" s="138">
        <v>6417</v>
      </c>
      <c r="I69" s="138">
        <v>6698</v>
      </c>
      <c r="J69" s="138">
        <v>7031</v>
      </c>
      <c r="K69" s="138">
        <v>6884</v>
      </c>
      <c r="L69" s="141">
        <v>7340</v>
      </c>
      <c r="M69" s="11"/>
      <c r="N69" s="11"/>
      <c r="O69" s="118" t="s">
        <v>225</v>
      </c>
      <c r="P69" s="31"/>
      <c r="Q69" s="69">
        <v>4.3670099431818182E-2</v>
      </c>
      <c r="R69" s="68">
        <v>4.490572208022444E-2</v>
      </c>
      <c r="S69" s="68">
        <v>4.6243650974149043E-2</v>
      </c>
      <c r="T69" s="68">
        <v>4.4952528579732608E-2</v>
      </c>
      <c r="U69" s="68">
        <v>4.3135842233146864E-2</v>
      </c>
      <c r="V69" s="68">
        <v>4.2022750044203451E-2</v>
      </c>
      <c r="W69" s="68">
        <v>4.0165266459184099E-2</v>
      </c>
      <c r="X69" s="68">
        <v>3.5885448300149544E-2</v>
      </c>
      <c r="Y69" s="68">
        <v>3.0332137790036746E-2</v>
      </c>
      <c r="Z69" s="67">
        <v>3.0294275455033225E-2</v>
      </c>
      <c r="AA69" s="27">
        <v>4.0160772134767826E-2</v>
      </c>
      <c r="AB69" s="26">
        <v>4.0633724364811996E-2</v>
      </c>
      <c r="AC69" s="25">
        <v>3.0294275455033225E-2</v>
      </c>
    </row>
    <row r="70" spans="1:29" ht="15.75" x14ac:dyDescent="0.25">
      <c r="A70" s="186" t="s">
        <v>224</v>
      </c>
      <c r="B70" s="139"/>
      <c r="C70" s="138">
        <v>7382</v>
      </c>
      <c r="D70" s="138">
        <v>5397</v>
      </c>
      <c r="E70" s="138">
        <v>6587</v>
      </c>
      <c r="F70" s="138">
        <v>4974</v>
      </c>
      <c r="G70" s="138">
        <v>6688</v>
      </c>
      <c r="H70" s="138">
        <v>8822</v>
      </c>
      <c r="I70" s="138">
        <v>11582</v>
      </c>
      <c r="J70" s="138">
        <v>10529</v>
      </c>
      <c r="K70" s="138">
        <v>13756</v>
      </c>
      <c r="L70" s="141">
        <v>17716</v>
      </c>
      <c r="M70" s="11"/>
      <c r="N70" s="11"/>
      <c r="O70" s="118" t="s">
        <v>224</v>
      </c>
      <c r="P70" s="31"/>
      <c r="Q70" s="69">
        <v>6.5536221590909091E-2</v>
      </c>
      <c r="R70" s="68">
        <v>4.644618284150466E-2</v>
      </c>
      <c r="S70" s="68">
        <v>5.5483957917435288E-2</v>
      </c>
      <c r="T70" s="68">
        <v>3.8550668475101725E-2</v>
      </c>
      <c r="U70" s="68">
        <v>4.723964513759394E-2</v>
      </c>
      <c r="V70" s="68">
        <v>5.7772276903531691E-2</v>
      </c>
      <c r="W70" s="68">
        <v>6.9452689777585883E-2</v>
      </c>
      <c r="X70" s="68">
        <v>5.3738854380923705E-2</v>
      </c>
      <c r="Y70" s="68">
        <v>6.0611401429364539E-2</v>
      </c>
      <c r="Z70" s="67">
        <v>7.3118989640513429E-2</v>
      </c>
      <c r="AA70" s="27">
        <v>5.6795088809446392E-2</v>
      </c>
      <c r="AB70" s="26">
        <v>5.7035153747356092E-2</v>
      </c>
      <c r="AC70" s="25">
        <v>7.3118989640513429E-2</v>
      </c>
    </row>
    <row r="71" spans="1:29" ht="15.75" x14ac:dyDescent="0.25">
      <c r="A71" s="186" t="s">
        <v>223</v>
      </c>
      <c r="B71" s="139"/>
      <c r="C71" s="138">
        <v>0</v>
      </c>
      <c r="D71" s="138">
        <v>0</v>
      </c>
      <c r="E71" s="138">
        <v>0</v>
      </c>
      <c r="F71" s="138">
        <v>0</v>
      </c>
      <c r="G71" s="138">
        <v>0</v>
      </c>
      <c r="H71" s="138">
        <v>0</v>
      </c>
      <c r="I71" s="138">
        <v>0</v>
      </c>
      <c r="J71" s="138">
        <v>0</v>
      </c>
      <c r="K71" s="138">
        <v>0</v>
      </c>
      <c r="L71" s="141">
        <v>0</v>
      </c>
      <c r="M71" s="11"/>
      <c r="N71" s="11"/>
      <c r="O71" s="118" t="s">
        <v>223</v>
      </c>
      <c r="P71" s="31"/>
      <c r="Q71" s="69">
        <v>0</v>
      </c>
      <c r="R71" s="68">
        <v>0</v>
      </c>
      <c r="S71" s="68">
        <v>0</v>
      </c>
      <c r="T71" s="68">
        <v>0</v>
      </c>
      <c r="U71" s="68">
        <v>0</v>
      </c>
      <c r="V71" s="68">
        <v>0</v>
      </c>
      <c r="W71" s="68">
        <v>0</v>
      </c>
      <c r="X71" s="68">
        <v>0</v>
      </c>
      <c r="Y71" s="68">
        <v>0</v>
      </c>
      <c r="Z71" s="67">
        <v>0</v>
      </c>
      <c r="AA71" s="27">
        <v>0</v>
      </c>
      <c r="AB71" s="26">
        <v>0</v>
      </c>
      <c r="AC71" s="25">
        <v>0</v>
      </c>
    </row>
    <row r="72" spans="1:29" ht="15.75" x14ac:dyDescent="0.25">
      <c r="A72" s="85" t="s">
        <v>52</v>
      </c>
      <c r="B72" s="77"/>
      <c r="C72" s="34">
        <v>12303</v>
      </c>
      <c r="D72" s="34">
        <v>10617</v>
      </c>
      <c r="E72" s="34">
        <v>12079</v>
      </c>
      <c r="F72" s="34">
        <v>10778</v>
      </c>
      <c r="G72" s="34">
        <v>12799</v>
      </c>
      <c r="H72" s="34">
        <v>15243</v>
      </c>
      <c r="I72" s="34">
        <v>18284</v>
      </c>
      <c r="J72" s="34">
        <v>17564</v>
      </c>
      <c r="K72" s="34">
        <v>20642</v>
      </c>
      <c r="L72" s="33">
        <v>25058</v>
      </c>
      <c r="M72" s="11"/>
      <c r="N72" s="11"/>
      <c r="O72" s="118" t="s">
        <v>52</v>
      </c>
      <c r="P72" s="31"/>
      <c r="Q72" s="69">
        <v>0.10922407670454545</v>
      </c>
      <c r="R72" s="68">
        <v>9.1369116773810446E-2</v>
      </c>
      <c r="S72" s="68">
        <v>0.10174445539467145</v>
      </c>
      <c r="T72" s="68">
        <v>8.353419879868243E-2</v>
      </c>
      <c r="U72" s="68">
        <v>9.0403740747019262E-2</v>
      </c>
      <c r="V72" s="68">
        <v>9.9821221587002226E-2</v>
      </c>
      <c r="W72" s="68">
        <v>0.10964194266045418</v>
      </c>
      <c r="X72" s="68">
        <v>8.9644718239770535E-2</v>
      </c>
      <c r="Y72" s="68">
        <v>9.095235157785278E-2</v>
      </c>
      <c r="Z72" s="67">
        <v>0.10342151966651533</v>
      </c>
      <c r="AA72" s="27">
        <v>9.6975734215032416E-2</v>
      </c>
      <c r="AB72" s="26">
        <v>9.7072650086398454E-2</v>
      </c>
      <c r="AC72" s="25">
        <v>0.10342151966651533</v>
      </c>
    </row>
    <row r="73" spans="1:29" ht="15.75" x14ac:dyDescent="0.25">
      <c r="A73" s="85" t="s">
        <v>51</v>
      </c>
      <c r="B73" s="77"/>
      <c r="C73" s="34">
        <v>212</v>
      </c>
      <c r="D73" s="34">
        <v>226</v>
      </c>
      <c r="E73" s="34">
        <v>253</v>
      </c>
      <c r="F73" s="34">
        <v>301</v>
      </c>
      <c r="G73" s="34">
        <v>304</v>
      </c>
      <c r="H73" s="34">
        <v>341</v>
      </c>
      <c r="I73" s="34">
        <v>421</v>
      </c>
      <c r="J73" s="34">
        <v>514</v>
      </c>
      <c r="K73" s="34">
        <v>5</v>
      </c>
      <c r="L73" s="33">
        <v>0</v>
      </c>
      <c r="M73" s="11"/>
      <c r="N73" s="11"/>
      <c r="O73" s="118" t="s">
        <v>51</v>
      </c>
      <c r="P73" s="31"/>
      <c r="Q73" s="69">
        <v>1.8821022727272727E-3</v>
      </c>
      <c r="R73" s="68">
        <v>1.9449392851917831E-3</v>
      </c>
      <c r="S73" s="68">
        <v>2.131082640520894E-3</v>
      </c>
      <c r="T73" s="68">
        <v>2.3328812245688819E-3</v>
      </c>
      <c r="U73" s="68">
        <v>2.147256597163361E-3</v>
      </c>
      <c r="V73" s="68">
        <v>2.2330929975180581E-3</v>
      </c>
      <c r="W73" s="68">
        <v>2.524571092761497E-3</v>
      </c>
      <c r="X73" s="68">
        <v>2.6233992926008912E-3</v>
      </c>
      <c r="Y73" s="68">
        <v>2.2030896128730931E-5</v>
      </c>
      <c r="Z73" s="67">
        <v>0</v>
      </c>
      <c r="AA73" s="27">
        <v>1.7841356299181366E-3</v>
      </c>
      <c r="AB73" s="26">
        <v>1.9022446258225593E-3</v>
      </c>
      <c r="AC73" s="25">
        <v>0</v>
      </c>
    </row>
    <row r="74" spans="1:29" ht="16.5" thickBot="1" x14ac:dyDescent="0.3">
      <c r="A74" s="117" t="s">
        <v>222</v>
      </c>
      <c r="B74" s="116"/>
      <c r="C74" s="115">
        <v>12515</v>
      </c>
      <c r="D74" s="115">
        <v>10843</v>
      </c>
      <c r="E74" s="115">
        <v>12332</v>
      </c>
      <c r="F74" s="115">
        <v>11079</v>
      </c>
      <c r="G74" s="115">
        <v>13103</v>
      </c>
      <c r="H74" s="115">
        <v>15584</v>
      </c>
      <c r="I74" s="115">
        <v>18705</v>
      </c>
      <c r="J74" s="115">
        <v>18078</v>
      </c>
      <c r="K74" s="115">
        <v>20647</v>
      </c>
      <c r="L74" s="114">
        <v>25058</v>
      </c>
      <c r="M74" s="11"/>
      <c r="N74" s="11"/>
      <c r="O74" s="113" t="s">
        <v>222</v>
      </c>
      <c r="P74" s="112"/>
      <c r="Q74" s="111">
        <v>0.11110617897727272</v>
      </c>
      <c r="R74" s="110">
        <v>9.3314056059002226E-2</v>
      </c>
      <c r="S74" s="110">
        <v>0.10387553803519234</v>
      </c>
      <c r="T74" s="110">
        <v>8.5867080023251302E-2</v>
      </c>
      <c r="U74" s="110">
        <v>9.2550997344182637E-2</v>
      </c>
      <c r="V74" s="110">
        <v>0.10205431458452027</v>
      </c>
      <c r="W74" s="110">
        <v>0.11216651375321568</v>
      </c>
      <c r="X74" s="110">
        <v>9.2268117532371421E-2</v>
      </c>
      <c r="Y74" s="110">
        <v>9.0974382473981513E-2</v>
      </c>
      <c r="Z74" s="109">
        <v>0.10342151966651533</v>
      </c>
      <c r="AA74" s="108">
        <v>9.8759869844950526E-2</v>
      </c>
      <c r="AB74" s="107">
        <v>9.8695638084129789E-2</v>
      </c>
      <c r="AC74" s="106">
        <v>0.10342151966651533</v>
      </c>
    </row>
    <row r="75" spans="1:29" ht="17.25" thickTop="1" thickBot="1" x14ac:dyDescent="0.3">
      <c r="A75" s="85"/>
      <c r="B75" s="77"/>
      <c r="C75" s="34"/>
      <c r="D75" s="34"/>
      <c r="E75" s="34"/>
      <c r="F75" s="34"/>
      <c r="G75" s="34"/>
      <c r="H75" s="34"/>
      <c r="I75" s="34"/>
      <c r="J75" s="34"/>
      <c r="K75" s="34"/>
      <c r="L75" s="33"/>
      <c r="M75" s="11"/>
      <c r="N75" s="11"/>
      <c r="O75" s="118"/>
      <c r="P75" s="31"/>
      <c r="Q75" s="185"/>
      <c r="R75" s="185"/>
      <c r="S75" s="185"/>
      <c r="T75" s="185"/>
      <c r="U75" s="185"/>
      <c r="V75" s="185"/>
      <c r="W75" s="185"/>
      <c r="X75" s="185"/>
      <c r="Y75" s="185"/>
      <c r="Z75" s="184"/>
      <c r="AA75" s="32"/>
      <c r="AB75" s="31"/>
      <c r="AC75" s="99"/>
    </row>
    <row r="76" spans="1:29" ht="16.5" thickBot="1" x14ac:dyDescent="0.3">
      <c r="A76" s="117" t="s">
        <v>328</v>
      </c>
      <c r="B76" s="116"/>
      <c r="C76" s="115">
        <v>33024</v>
      </c>
      <c r="D76" s="115">
        <v>33440</v>
      </c>
      <c r="E76" s="115">
        <v>33163</v>
      </c>
      <c r="F76" s="115">
        <v>36347</v>
      </c>
      <c r="G76" s="115">
        <v>40830</v>
      </c>
      <c r="H76" s="115">
        <v>45400</v>
      </c>
      <c r="I76" s="115">
        <v>55556</v>
      </c>
      <c r="J76" s="115">
        <v>59268</v>
      </c>
      <c r="K76" s="115">
        <v>64166</v>
      </c>
      <c r="L76" s="114">
        <v>68994</v>
      </c>
      <c r="M76" s="11"/>
      <c r="N76" s="11"/>
      <c r="O76" s="113" t="s">
        <v>328</v>
      </c>
      <c r="P76" s="112"/>
      <c r="Q76" s="183">
        <v>0.29318181818181815</v>
      </c>
      <c r="R76" s="182">
        <v>0.28778216680005853</v>
      </c>
      <c r="S76" s="182">
        <v>0.27934029093910834</v>
      </c>
      <c r="T76" s="182">
        <v>0.28170509591164505</v>
      </c>
      <c r="U76" s="182">
        <v>0.28839633836243433</v>
      </c>
      <c r="V76" s="182">
        <v>0.29730915568128985</v>
      </c>
      <c r="W76" s="182">
        <v>0.33314743854978085</v>
      </c>
      <c r="X76" s="182">
        <v>0.30249733321764516</v>
      </c>
      <c r="Y76" s="182">
        <v>0.2827268961992298</v>
      </c>
      <c r="Z76" s="181">
        <v>0.28475793470634364</v>
      </c>
      <c r="AA76" s="180">
        <v>0.2930844468549354</v>
      </c>
      <c r="AB76" s="179">
        <v>0.28979459238255811</v>
      </c>
      <c r="AC76" s="178">
        <v>0.28475793470634364</v>
      </c>
    </row>
    <row r="77" spans="1:29" ht="17.25" thickTop="1" thickBot="1" x14ac:dyDescent="0.3">
      <c r="A77" s="177" t="s">
        <v>327</v>
      </c>
      <c r="B77" s="176"/>
      <c r="C77" s="176" t="b">
        <v>1</v>
      </c>
      <c r="D77" s="176" t="b">
        <v>1</v>
      </c>
      <c r="E77" s="176" t="b">
        <v>1</v>
      </c>
      <c r="F77" s="176" t="b">
        <v>1</v>
      </c>
      <c r="G77" s="176" t="b">
        <v>1</v>
      </c>
      <c r="H77" s="176" t="b">
        <v>1</v>
      </c>
      <c r="I77" s="176" t="b">
        <v>1</v>
      </c>
      <c r="J77" s="176" t="b">
        <v>1</v>
      </c>
      <c r="K77" s="176" t="b">
        <v>1</v>
      </c>
      <c r="L77" s="175" t="b">
        <v>1</v>
      </c>
      <c r="M77" s="11"/>
      <c r="N77" s="11"/>
      <c r="O77" s="92"/>
      <c r="P77" s="91"/>
      <c r="Q77" s="91"/>
      <c r="R77" s="91"/>
      <c r="S77" s="91"/>
      <c r="T77" s="91"/>
      <c r="U77" s="91"/>
      <c r="V77" s="91"/>
      <c r="W77" s="91"/>
      <c r="X77" s="91"/>
      <c r="Y77" s="91"/>
      <c r="Z77" s="90"/>
      <c r="AA77" s="92"/>
      <c r="AB77" s="91"/>
      <c r="AC77" s="90"/>
    </row>
    <row r="78" spans="1:29" ht="16.5" thickBot="1" x14ac:dyDescent="0.3">
      <c r="A78" s="11"/>
      <c r="B78" s="162"/>
      <c r="C78" s="162"/>
      <c r="D78" s="162"/>
      <c r="E78" s="162"/>
      <c r="F78" s="162"/>
      <c r="G78" s="174"/>
      <c r="H78" s="11"/>
      <c r="I78" s="11"/>
      <c r="J78" s="11"/>
      <c r="K78" s="11"/>
      <c r="L78" s="11"/>
      <c r="M78" s="11"/>
      <c r="N78" s="11"/>
      <c r="O78" s="24" t="s">
        <v>326</v>
      </c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</row>
    <row r="79" spans="1:29" ht="16.5" thickBot="1" x14ac:dyDescent="0.3">
      <c r="A79" s="173" t="s">
        <v>325</v>
      </c>
      <c r="B79" s="44"/>
      <c r="C79" s="44">
        <v>-4132</v>
      </c>
      <c r="D79" s="44">
        <v>-4367</v>
      </c>
      <c r="E79" s="44">
        <v>-3976</v>
      </c>
      <c r="F79" s="44">
        <v>-5864</v>
      </c>
      <c r="G79" s="44">
        <v>-6799</v>
      </c>
      <c r="H79" s="44">
        <v>-7471</v>
      </c>
      <c r="I79" s="44">
        <v>-9672</v>
      </c>
      <c r="J79" s="44">
        <v>-11018</v>
      </c>
      <c r="K79" s="44">
        <v>-9794</v>
      </c>
      <c r="L79" s="43">
        <v>-11508</v>
      </c>
      <c r="M79" s="11"/>
      <c r="N79" s="11"/>
      <c r="O79" s="172" t="s">
        <v>325</v>
      </c>
      <c r="P79" s="171"/>
      <c r="Q79" s="42">
        <v>-3.6683238636363635E-2</v>
      </c>
      <c r="R79" s="41">
        <v>-3.7582079019612906E-2</v>
      </c>
      <c r="S79" s="41">
        <v>-3.3490848137197923E-2</v>
      </c>
      <c r="T79" s="41">
        <v>-4.5448556481302076E-2</v>
      </c>
      <c r="U79" s="41">
        <v>-4.8023676329321356E-2</v>
      </c>
      <c r="V79" s="41">
        <v>-4.8925037491077454E-2</v>
      </c>
      <c r="W79" s="41">
        <v>-5.7999172468382897E-2</v>
      </c>
      <c r="X79" s="41">
        <v>-5.6234656431666571E-2</v>
      </c>
      <c r="Y79" s="41">
        <v>-4.3154119336958154E-2</v>
      </c>
      <c r="Z79" s="170">
        <v>-4.7496801353749639E-2</v>
      </c>
      <c r="AA79" s="39">
        <v>-4.550381856856326E-2</v>
      </c>
      <c r="AB79" s="38">
        <v>-4.5443520635006472E-2</v>
      </c>
      <c r="AC79" s="37">
        <v>-4.7496801353749639E-2</v>
      </c>
    </row>
    <row r="80" spans="1:29" ht="16.5" thickBot="1" x14ac:dyDescent="0.3">
      <c r="A80" s="169" t="s">
        <v>324</v>
      </c>
      <c r="B80" s="81"/>
      <c r="C80" s="80" t="s">
        <v>323</v>
      </c>
      <c r="D80" s="80">
        <v>235</v>
      </c>
      <c r="E80" s="80">
        <v>-391</v>
      </c>
      <c r="F80" s="80">
        <v>1888</v>
      </c>
      <c r="G80" s="80">
        <v>935</v>
      </c>
      <c r="H80" s="80">
        <v>672</v>
      </c>
      <c r="I80" s="80">
        <v>2201</v>
      </c>
      <c r="J80" s="80">
        <v>1346</v>
      </c>
      <c r="K80" s="80">
        <v>-1224</v>
      </c>
      <c r="L80" s="79">
        <v>1714</v>
      </c>
      <c r="M80" s="11"/>
      <c r="N80" s="11"/>
      <c r="O80" s="168" t="s">
        <v>324</v>
      </c>
      <c r="P80" s="90"/>
      <c r="Q80" s="167" t="s">
        <v>323</v>
      </c>
      <c r="R80" s="16">
        <v>2.0223926195578274E-3</v>
      </c>
      <c r="S80" s="16">
        <v>-3.2934913535322906E-3</v>
      </c>
      <c r="T80" s="16">
        <v>1.4632823096299166E-2</v>
      </c>
      <c r="U80" s="16">
        <v>6.6042267050912583E-3</v>
      </c>
      <c r="V80" s="16">
        <v>4.4006993968684306E-3</v>
      </c>
      <c r="W80" s="16">
        <v>1.3198529632228159E-2</v>
      </c>
      <c r="X80" s="16">
        <v>6.8698355016357966E-3</v>
      </c>
      <c r="Y80" s="16">
        <v>-5.3931633723133324E-3</v>
      </c>
      <c r="Z80" s="166">
        <v>7.0741673201535349E-3</v>
      </c>
      <c r="AA80" s="165">
        <v>5.1240021717765052E-3</v>
      </c>
      <c r="AB80" s="164">
        <v>5.2680514031432446E-3</v>
      </c>
      <c r="AC80" s="163">
        <v>7.0741673201535349E-3</v>
      </c>
    </row>
    <row r="82" spans="1:30" ht="15.75" x14ac:dyDescent="0.25">
      <c r="A82" s="59"/>
      <c r="B82" s="58" t="s">
        <v>294</v>
      </c>
      <c r="C82" s="57">
        <v>2014</v>
      </c>
      <c r="D82" s="57">
        <v>2015</v>
      </c>
      <c r="E82" s="57">
        <v>2016</v>
      </c>
      <c r="F82" s="57">
        <v>2017</v>
      </c>
      <c r="G82" s="57">
        <v>2018</v>
      </c>
      <c r="H82" s="57">
        <v>2019</v>
      </c>
      <c r="I82" s="57">
        <v>2020</v>
      </c>
      <c r="J82" s="57">
        <v>2021</v>
      </c>
      <c r="K82" s="57">
        <v>2022</v>
      </c>
      <c r="L82" s="57">
        <v>2023</v>
      </c>
      <c r="M82" s="11"/>
      <c r="N82" s="11"/>
      <c r="O82" s="59"/>
      <c r="P82" s="58" t="s">
        <v>294</v>
      </c>
      <c r="Q82" s="57">
        <v>2014</v>
      </c>
      <c r="R82" s="57">
        <v>2015</v>
      </c>
      <c r="S82" s="57">
        <v>2016</v>
      </c>
      <c r="T82" s="57">
        <v>2017</v>
      </c>
      <c r="U82" s="57">
        <v>2018</v>
      </c>
      <c r="V82" s="57">
        <v>2019</v>
      </c>
      <c r="W82" s="57">
        <v>2020</v>
      </c>
      <c r="X82" s="57">
        <v>2021</v>
      </c>
      <c r="Y82" s="57">
        <v>2022</v>
      </c>
      <c r="Z82" s="57">
        <v>2023</v>
      </c>
      <c r="AA82" s="56" t="s">
        <v>293</v>
      </c>
      <c r="AB82" s="55" t="s">
        <v>292</v>
      </c>
      <c r="AC82" s="54" t="s">
        <v>291</v>
      </c>
      <c r="AD82" s="11"/>
    </row>
    <row r="83" spans="1:30" ht="15.75" x14ac:dyDescent="0.25">
      <c r="A83" s="53" t="s">
        <v>322</v>
      </c>
      <c r="B83" s="52" t="s">
        <v>307</v>
      </c>
      <c r="C83" s="51">
        <v>-9</v>
      </c>
      <c r="D83" s="51">
        <v>-8</v>
      </c>
      <c r="E83" s="51">
        <v>-7</v>
      </c>
      <c r="F83" s="51">
        <v>-6</v>
      </c>
      <c r="G83" s="51">
        <v>-5</v>
      </c>
      <c r="H83" s="51">
        <v>-4</v>
      </c>
      <c r="I83" s="51">
        <v>-3</v>
      </c>
      <c r="J83" s="51">
        <v>-2</v>
      </c>
      <c r="K83" s="51">
        <v>-1</v>
      </c>
      <c r="L83" s="50">
        <v>0</v>
      </c>
      <c r="M83" s="11"/>
      <c r="N83" s="11"/>
      <c r="O83" s="53" t="s">
        <v>321</v>
      </c>
      <c r="P83" s="52"/>
      <c r="Q83" s="51">
        <v>-9</v>
      </c>
      <c r="R83" s="51">
        <v>-8</v>
      </c>
      <c r="S83" s="51">
        <v>-7</v>
      </c>
      <c r="T83" s="51">
        <v>-6</v>
      </c>
      <c r="U83" s="51">
        <v>-5</v>
      </c>
      <c r="V83" s="51">
        <v>-4</v>
      </c>
      <c r="W83" s="51">
        <v>-3</v>
      </c>
      <c r="X83" s="51">
        <v>-2</v>
      </c>
      <c r="Y83" s="51">
        <v>-1</v>
      </c>
      <c r="Z83" s="50">
        <v>0</v>
      </c>
      <c r="AA83" s="49" t="s">
        <v>289</v>
      </c>
      <c r="AB83" s="48" t="s">
        <v>288</v>
      </c>
      <c r="AC83" s="47" t="s">
        <v>287</v>
      </c>
      <c r="AD83" s="11"/>
    </row>
    <row r="84" spans="1:30" ht="15.75" x14ac:dyDescent="0.25">
      <c r="A84" s="32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99"/>
      <c r="M84" s="11"/>
      <c r="N84" s="11"/>
      <c r="O84" s="32"/>
      <c r="P84" s="162"/>
      <c r="Q84" s="162"/>
      <c r="R84" s="162"/>
      <c r="S84" s="162"/>
      <c r="T84" s="162"/>
      <c r="U84" s="102"/>
      <c r="V84" s="31"/>
      <c r="W84" s="31"/>
      <c r="X84" s="31"/>
      <c r="Y84" s="31"/>
      <c r="Z84" s="99"/>
      <c r="AA84" s="161"/>
      <c r="AB84" s="130"/>
      <c r="AC84" s="160"/>
      <c r="AD84" s="11"/>
    </row>
    <row r="85" spans="1:30" ht="16.5" thickBot="1" x14ac:dyDescent="0.3">
      <c r="A85" s="159" t="s">
        <v>195</v>
      </c>
      <c r="B85" s="158"/>
      <c r="C85" s="158"/>
      <c r="D85" s="158"/>
      <c r="E85" s="158"/>
      <c r="F85" s="158"/>
      <c r="G85" s="158"/>
      <c r="H85" s="158"/>
      <c r="I85" s="158"/>
      <c r="J85" s="158"/>
      <c r="K85" s="158"/>
      <c r="L85" s="157"/>
      <c r="M85" s="11"/>
      <c r="N85" s="11"/>
      <c r="O85" s="156" t="s">
        <v>195</v>
      </c>
      <c r="P85" s="155"/>
      <c r="Q85" s="153"/>
      <c r="R85" s="153"/>
      <c r="S85" s="153"/>
      <c r="T85" s="153"/>
      <c r="U85" s="153"/>
      <c r="V85" s="153"/>
      <c r="W85" s="153"/>
      <c r="X85" s="153"/>
      <c r="Y85" s="153"/>
      <c r="Z85" s="152"/>
      <c r="AA85" s="154"/>
      <c r="AB85" s="153"/>
      <c r="AC85" s="152"/>
      <c r="AD85" s="11"/>
    </row>
    <row r="86" spans="1:30" ht="15.75" x14ac:dyDescent="0.25">
      <c r="A86" s="85" t="s">
        <v>320</v>
      </c>
      <c r="B86" s="77"/>
      <c r="C86" s="34">
        <v>2088</v>
      </c>
      <c r="D86" s="34">
        <v>2409</v>
      </c>
      <c r="E86" s="34">
        <v>2376</v>
      </c>
      <c r="F86" s="34">
        <v>2714</v>
      </c>
      <c r="G86" s="34">
        <v>3179</v>
      </c>
      <c r="H86" s="34">
        <v>3704</v>
      </c>
      <c r="I86" s="34">
        <v>4059</v>
      </c>
      <c r="J86" s="34">
        <v>5079</v>
      </c>
      <c r="K86" s="34">
        <v>5915</v>
      </c>
      <c r="L86" s="33">
        <v>6292</v>
      </c>
      <c r="M86" s="11"/>
      <c r="N86" s="11"/>
      <c r="O86" s="118" t="s">
        <v>320</v>
      </c>
      <c r="P86" s="31"/>
      <c r="Q86" s="42">
        <v>1.8536931818181817E-2</v>
      </c>
      <c r="R86" s="41">
        <v>2.0731675831977901E-2</v>
      </c>
      <c r="S86" s="41">
        <v>2.0013645667500569E-2</v>
      </c>
      <c r="T86" s="41">
        <v>2.1034683200930052E-2</v>
      </c>
      <c r="U86" s="41">
        <v>2.2454370797310278E-2</v>
      </c>
      <c r="V86" s="41">
        <v>2.4256235961310518E-2</v>
      </c>
      <c r="W86" s="41">
        <v>2.4340223433536617E-2</v>
      </c>
      <c r="X86" s="41">
        <v>2.5922655655875343E-2</v>
      </c>
      <c r="Y86" s="41">
        <v>2.6062550120288693E-2</v>
      </c>
      <c r="Z86" s="40">
        <v>2.5968880267448098E-2</v>
      </c>
      <c r="AA86" s="39">
        <v>2.2932185275435984E-2</v>
      </c>
      <c r="AB86" s="38">
        <v>2.3090296351986169E-2</v>
      </c>
      <c r="AC86" s="37">
        <v>2.5968880267448098E-2</v>
      </c>
      <c r="AD86" s="11"/>
    </row>
    <row r="87" spans="1:30" ht="15.75" x14ac:dyDescent="0.25">
      <c r="A87" s="85" t="s">
        <v>193</v>
      </c>
      <c r="B87" s="77"/>
      <c r="C87" s="34">
        <v>1029</v>
      </c>
      <c r="D87" s="34">
        <v>1127</v>
      </c>
      <c r="E87" s="34">
        <v>1255</v>
      </c>
      <c r="F87" s="34">
        <v>1370</v>
      </c>
      <c r="G87" s="34">
        <v>1437</v>
      </c>
      <c r="H87" s="34">
        <v>1492</v>
      </c>
      <c r="I87" s="34">
        <v>1645</v>
      </c>
      <c r="J87" s="34">
        <v>1781</v>
      </c>
      <c r="K87" s="34">
        <v>1900</v>
      </c>
      <c r="L87" s="33">
        <v>2077</v>
      </c>
      <c r="M87" s="11"/>
      <c r="N87" s="11"/>
      <c r="O87" s="118" t="s">
        <v>193</v>
      </c>
      <c r="P87" s="31"/>
      <c r="Q87" s="69">
        <v>9.1352982954545463E-3</v>
      </c>
      <c r="R87" s="68">
        <v>9.6988786478368998E-3</v>
      </c>
      <c r="S87" s="68">
        <v>1.0571180687168861E-2</v>
      </c>
      <c r="T87" s="68">
        <v>1.0618097267971324E-2</v>
      </c>
      <c r="U87" s="68">
        <v>1.0150025428038651E-2</v>
      </c>
      <c r="V87" s="68">
        <v>9.7706004466185988E-3</v>
      </c>
      <c r="W87" s="68">
        <v>9.8644167401250888E-3</v>
      </c>
      <c r="X87" s="68">
        <v>9.0900275099653448E-3</v>
      </c>
      <c r="Y87" s="68">
        <v>8.3717405289177541E-3</v>
      </c>
      <c r="Z87" s="67">
        <v>8.5723719509678484E-3</v>
      </c>
      <c r="AA87" s="27">
        <v>9.5842637503064931E-3</v>
      </c>
      <c r="AB87" s="26">
        <v>9.6065999632719817E-3</v>
      </c>
      <c r="AC87" s="25">
        <v>8.5723719509678484E-3</v>
      </c>
      <c r="AD87" s="11"/>
    </row>
    <row r="88" spans="1:30" ht="15.75" x14ac:dyDescent="0.25">
      <c r="A88" s="85" t="s">
        <v>192</v>
      </c>
      <c r="B88" s="77"/>
      <c r="C88" s="34">
        <v>0</v>
      </c>
      <c r="D88" s="34">
        <v>0</v>
      </c>
      <c r="E88" s="34">
        <v>0</v>
      </c>
      <c r="F88" s="34">
        <v>0</v>
      </c>
      <c r="G88" s="34">
        <v>0</v>
      </c>
      <c r="H88" s="34">
        <v>0</v>
      </c>
      <c r="I88" s="34">
        <v>0</v>
      </c>
      <c r="J88" s="34">
        <v>0</v>
      </c>
      <c r="K88" s="34">
        <v>0</v>
      </c>
      <c r="L88" s="33">
        <v>0</v>
      </c>
      <c r="M88" s="11"/>
      <c r="N88" s="11"/>
      <c r="O88" s="118" t="s">
        <v>192</v>
      </c>
      <c r="P88" s="31"/>
      <c r="Q88" s="69">
        <v>0</v>
      </c>
      <c r="R88" s="68">
        <v>0</v>
      </c>
      <c r="S88" s="68">
        <v>0</v>
      </c>
      <c r="T88" s="68">
        <v>0</v>
      </c>
      <c r="U88" s="68">
        <v>0</v>
      </c>
      <c r="V88" s="68">
        <v>0</v>
      </c>
      <c r="W88" s="68">
        <v>0</v>
      </c>
      <c r="X88" s="68">
        <v>0</v>
      </c>
      <c r="Y88" s="68">
        <v>0</v>
      </c>
      <c r="Z88" s="67">
        <v>0</v>
      </c>
      <c r="AA88" s="27">
        <v>0</v>
      </c>
      <c r="AB88" s="26">
        <v>0</v>
      </c>
      <c r="AC88" s="25">
        <v>0</v>
      </c>
      <c r="AD88" s="11"/>
    </row>
    <row r="89" spans="1:30" ht="15.75" x14ac:dyDescent="0.25">
      <c r="A89" s="85" t="s">
        <v>191</v>
      </c>
      <c r="B89" s="77"/>
      <c r="C89" s="34">
        <v>-63</v>
      </c>
      <c r="D89" s="34">
        <v>-101</v>
      </c>
      <c r="E89" s="34">
        <v>269</v>
      </c>
      <c r="F89" s="34">
        <v>-29</v>
      </c>
      <c r="G89" s="34">
        <v>-49</v>
      </c>
      <c r="H89" s="34">
        <v>147</v>
      </c>
      <c r="I89" s="34">
        <v>104</v>
      </c>
      <c r="J89" s="34">
        <v>59</v>
      </c>
      <c r="K89" s="34">
        <v>-37</v>
      </c>
      <c r="L89" s="33">
        <v>0</v>
      </c>
      <c r="M89" s="11"/>
      <c r="N89" s="11"/>
      <c r="O89" s="118" t="s">
        <v>191</v>
      </c>
      <c r="P89" s="31"/>
      <c r="Q89" s="69">
        <v>-5.593039772727273E-4</v>
      </c>
      <c r="R89" s="68">
        <v>-8.6919853010783226E-4</v>
      </c>
      <c r="S89" s="68">
        <v>2.2658546652178672E-3</v>
      </c>
      <c r="T89" s="68">
        <v>-2.2476264289866306E-4</v>
      </c>
      <c r="U89" s="68">
        <v>-3.4610385941119965E-4</v>
      </c>
      <c r="V89" s="68">
        <v>9.6265299306496927E-4</v>
      </c>
      <c r="W89" s="68">
        <v>6.2364701578906338E-4</v>
      </c>
      <c r="X89" s="68">
        <v>3.0112949078492721E-4</v>
      </c>
      <c r="Y89" s="68">
        <v>-1.630286313526089E-4</v>
      </c>
      <c r="Z89" s="67">
        <v>0</v>
      </c>
      <c r="AA89" s="27">
        <v>1.9908865238137956E-4</v>
      </c>
      <c r="AB89" s="26">
        <v>7.4278798587970081E-5</v>
      </c>
      <c r="AC89" s="25">
        <v>0</v>
      </c>
      <c r="AD89" s="11"/>
    </row>
    <row r="90" spans="1:30" ht="15.75" x14ac:dyDescent="0.25">
      <c r="A90" s="85" t="s">
        <v>190</v>
      </c>
      <c r="B90" s="77"/>
      <c r="C90" s="34">
        <v>0</v>
      </c>
      <c r="D90" s="34">
        <v>0</v>
      </c>
      <c r="E90" s="34">
        <v>0</v>
      </c>
      <c r="F90" s="34">
        <v>0</v>
      </c>
      <c r="G90" s="34">
        <v>0</v>
      </c>
      <c r="H90" s="34">
        <v>0</v>
      </c>
      <c r="I90" s="34">
        <v>0</v>
      </c>
      <c r="J90" s="34">
        <v>0</v>
      </c>
      <c r="K90" s="34">
        <v>0</v>
      </c>
      <c r="L90" s="33">
        <v>0</v>
      </c>
      <c r="M90" s="11"/>
      <c r="N90" s="11"/>
      <c r="O90" s="118" t="s">
        <v>190</v>
      </c>
      <c r="P90" s="31"/>
      <c r="Q90" s="69">
        <v>0</v>
      </c>
      <c r="R90" s="68">
        <v>0</v>
      </c>
      <c r="S90" s="68">
        <v>0</v>
      </c>
      <c r="T90" s="68">
        <v>0</v>
      </c>
      <c r="U90" s="68">
        <v>0</v>
      </c>
      <c r="V90" s="68">
        <v>0</v>
      </c>
      <c r="W90" s="68">
        <v>0</v>
      </c>
      <c r="X90" s="68">
        <v>0</v>
      </c>
      <c r="Y90" s="68">
        <v>0</v>
      </c>
      <c r="Z90" s="67">
        <v>0</v>
      </c>
      <c r="AA90" s="27">
        <v>0</v>
      </c>
      <c r="AB90" s="26">
        <v>0</v>
      </c>
      <c r="AC90" s="25">
        <v>0</v>
      </c>
      <c r="AD90" s="11"/>
    </row>
    <row r="91" spans="1:30" ht="15.75" x14ac:dyDescent="0.25">
      <c r="A91" s="85" t="s">
        <v>189</v>
      </c>
      <c r="B91" s="77"/>
      <c r="C91" s="34">
        <v>0</v>
      </c>
      <c r="D91" s="34">
        <v>0</v>
      </c>
      <c r="E91" s="34">
        <v>0</v>
      </c>
      <c r="F91" s="34">
        <v>0</v>
      </c>
      <c r="G91" s="34">
        <v>0</v>
      </c>
      <c r="H91" s="34">
        <v>0</v>
      </c>
      <c r="I91" s="34">
        <v>0</v>
      </c>
      <c r="J91" s="34">
        <v>0</v>
      </c>
      <c r="K91" s="34">
        <v>0</v>
      </c>
      <c r="L91" s="33">
        <v>0</v>
      </c>
      <c r="M91" s="11"/>
      <c r="N91" s="11"/>
      <c r="O91" s="118" t="s">
        <v>189</v>
      </c>
      <c r="P91" s="31"/>
      <c r="Q91" s="69">
        <v>0</v>
      </c>
      <c r="R91" s="68">
        <v>0</v>
      </c>
      <c r="S91" s="68">
        <v>0</v>
      </c>
      <c r="T91" s="68">
        <v>0</v>
      </c>
      <c r="U91" s="68">
        <v>0</v>
      </c>
      <c r="V91" s="68">
        <v>0</v>
      </c>
      <c r="W91" s="68">
        <v>0</v>
      </c>
      <c r="X91" s="68">
        <v>0</v>
      </c>
      <c r="Y91" s="68">
        <v>0</v>
      </c>
      <c r="Z91" s="67">
        <v>0</v>
      </c>
      <c r="AA91" s="27">
        <v>0</v>
      </c>
      <c r="AB91" s="26">
        <v>0</v>
      </c>
      <c r="AC91" s="25">
        <v>0</v>
      </c>
      <c r="AD91" s="11"/>
    </row>
    <row r="92" spans="1:30" ht="15.75" x14ac:dyDescent="0.25">
      <c r="A92" s="85" t="s">
        <v>188</v>
      </c>
      <c r="B92" s="77"/>
      <c r="C92" s="34">
        <v>265</v>
      </c>
      <c r="D92" s="34">
        <v>303</v>
      </c>
      <c r="E92" s="34">
        <v>402</v>
      </c>
      <c r="F92" s="34">
        <v>500</v>
      </c>
      <c r="G92" s="34">
        <v>538</v>
      </c>
      <c r="H92" s="34">
        <v>604</v>
      </c>
      <c r="I92" s="34">
        <v>855</v>
      </c>
      <c r="J92" s="34">
        <v>1036</v>
      </c>
      <c r="K92" s="34">
        <v>1177</v>
      </c>
      <c r="L92" s="33">
        <v>1681</v>
      </c>
      <c r="M92" s="11"/>
      <c r="N92" s="11"/>
      <c r="O92" s="118" t="s">
        <v>188</v>
      </c>
      <c r="P92" s="31"/>
      <c r="Q92" s="69">
        <v>2.352627840909091E-3</v>
      </c>
      <c r="R92" s="68">
        <v>2.6075955903234966E-3</v>
      </c>
      <c r="S92" s="68">
        <v>3.3861471205114597E-3</v>
      </c>
      <c r="T92" s="68">
        <v>3.8752179810114321E-3</v>
      </c>
      <c r="U92" s="68">
        <v>3.8000791094535795E-3</v>
      </c>
      <c r="V92" s="68">
        <v>3.9553905293281729E-3</v>
      </c>
      <c r="W92" s="68">
        <v>5.1270980624966269E-3</v>
      </c>
      <c r="X92" s="68">
        <v>5.2876297025963486E-3</v>
      </c>
      <c r="Y92" s="68">
        <v>5.1860729487032617E-3</v>
      </c>
      <c r="Z92" s="67">
        <v>6.9379668991704155E-3</v>
      </c>
      <c r="AA92" s="27">
        <v>4.2515825784503886E-3</v>
      </c>
      <c r="AB92" s="26">
        <v>4.1531538805530477E-3</v>
      </c>
      <c r="AC92" s="25">
        <v>6.9379668991704155E-3</v>
      </c>
      <c r="AD92" s="11"/>
    </row>
    <row r="93" spans="1:30" ht="15.75" x14ac:dyDescent="0.25">
      <c r="A93" s="151" t="s">
        <v>319</v>
      </c>
      <c r="B93" s="150"/>
      <c r="C93" s="149">
        <v>665</v>
      </c>
      <c r="D93" s="149">
        <v>547</v>
      </c>
      <c r="E93" s="149">
        <v>-1010</v>
      </c>
      <c r="F93" s="149">
        <v>2171</v>
      </c>
      <c r="G93" s="149">
        <v>669</v>
      </c>
      <c r="H93" s="149">
        <v>409</v>
      </c>
      <c r="I93" s="149">
        <v>2198</v>
      </c>
      <c r="J93" s="149">
        <v>1003</v>
      </c>
      <c r="K93" s="149">
        <v>-1563</v>
      </c>
      <c r="L93" s="148">
        <v>1018</v>
      </c>
      <c r="M93" s="11"/>
      <c r="N93" s="11"/>
      <c r="O93" s="147" t="s">
        <v>318</v>
      </c>
      <c r="P93" s="146"/>
      <c r="Q93" s="144">
        <v>5.9037642045454549E-3</v>
      </c>
      <c r="R93" s="145">
        <v>4.7074415442473691E-3</v>
      </c>
      <c r="S93" s="145">
        <v>-8.5074840589964545E-3</v>
      </c>
      <c r="T93" s="145">
        <v>1.6826196473551637E-2</v>
      </c>
      <c r="U93" s="145">
        <v>4.7253771825733178E-3</v>
      </c>
      <c r="V93" s="145">
        <v>2.6784018650583157E-3</v>
      </c>
      <c r="W93" s="145">
        <v>1.3180539814465013E-2</v>
      </c>
      <c r="X93" s="145">
        <v>5.1192013433437626E-3</v>
      </c>
      <c r="Y93" s="145">
        <v>-6.8868581298412897E-3</v>
      </c>
      <c r="Z93" s="142">
        <v>4.2015766230550167E-3</v>
      </c>
      <c r="AA93" s="144">
        <v>4.194815686200214E-3</v>
      </c>
      <c r="AB93" s="143">
        <v>4.2036805559308704E-3</v>
      </c>
      <c r="AC93" s="142">
        <v>4.2015766230550167E-3</v>
      </c>
      <c r="AD93" s="24" t="s">
        <v>317</v>
      </c>
    </row>
    <row r="94" spans="1:30" ht="15.75" x14ac:dyDescent="0.25">
      <c r="A94" s="140" t="s">
        <v>187</v>
      </c>
      <c r="B94" s="139"/>
      <c r="C94" s="138">
        <v>0</v>
      </c>
      <c r="D94" s="138">
        <v>0</v>
      </c>
      <c r="E94" s="138">
        <v>0</v>
      </c>
      <c r="F94" s="138">
        <v>0</v>
      </c>
      <c r="G94" s="138">
        <v>0</v>
      </c>
      <c r="H94" s="138">
        <v>0</v>
      </c>
      <c r="I94" s="138">
        <v>0</v>
      </c>
      <c r="J94" s="138">
        <v>0</v>
      </c>
      <c r="K94" s="138">
        <v>0</v>
      </c>
      <c r="L94" s="141">
        <v>0</v>
      </c>
      <c r="M94" s="11"/>
      <c r="N94" s="11"/>
      <c r="O94" s="140" t="s">
        <v>187</v>
      </c>
      <c r="P94" s="31"/>
      <c r="Q94" s="69">
        <v>0</v>
      </c>
      <c r="R94" s="68">
        <v>0</v>
      </c>
      <c r="S94" s="68">
        <v>0</v>
      </c>
      <c r="T94" s="68">
        <v>0</v>
      </c>
      <c r="U94" s="68">
        <v>0</v>
      </c>
      <c r="V94" s="68">
        <v>0</v>
      </c>
      <c r="W94" s="68">
        <v>0</v>
      </c>
      <c r="X94" s="68">
        <v>0</v>
      </c>
      <c r="Y94" s="68">
        <v>0</v>
      </c>
      <c r="Z94" s="67">
        <v>0</v>
      </c>
      <c r="AA94" s="27">
        <v>0</v>
      </c>
      <c r="AB94" s="26">
        <v>0</v>
      </c>
      <c r="AC94" s="25">
        <v>0</v>
      </c>
      <c r="AD94" s="11"/>
    </row>
    <row r="95" spans="1:30" ht="15.75" x14ac:dyDescent="0.25">
      <c r="A95" s="140" t="s">
        <v>186</v>
      </c>
      <c r="B95" s="139"/>
      <c r="C95" s="138">
        <v>-563</v>
      </c>
      <c r="D95" s="138">
        <v>-890</v>
      </c>
      <c r="E95" s="138">
        <v>-25</v>
      </c>
      <c r="F95" s="138">
        <v>-894</v>
      </c>
      <c r="G95" s="138">
        <v>-1313</v>
      </c>
      <c r="H95" s="138">
        <v>-536</v>
      </c>
      <c r="I95" s="138">
        <v>-791</v>
      </c>
      <c r="J95" s="138">
        <v>-1892</v>
      </c>
      <c r="K95" s="138">
        <v>-4003</v>
      </c>
      <c r="L95" s="141">
        <v>1228</v>
      </c>
      <c r="M95" s="11"/>
      <c r="N95" s="11"/>
      <c r="O95" s="140" t="s">
        <v>186</v>
      </c>
      <c r="P95" s="31"/>
      <c r="Q95" s="69">
        <v>-4.9982244318181818E-3</v>
      </c>
      <c r="R95" s="68">
        <v>-7.6592741761977298E-3</v>
      </c>
      <c r="S95" s="68">
        <v>-2.1058128858902114E-4</v>
      </c>
      <c r="T95" s="68">
        <v>-6.9288897500484406E-3</v>
      </c>
      <c r="U95" s="68">
        <v>-9.2741707634062271E-3</v>
      </c>
      <c r="V95" s="68">
        <v>-3.5100816617879152E-3</v>
      </c>
      <c r="W95" s="68">
        <v>-4.7433152835495108E-3</v>
      </c>
      <c r="X95" s="68">
        <v>-9.6565592638149528E-3</v>
      </c>
      <c r="Y95" s="68">
        <v>-1.7637935440661983E-2</v>
      </c>
      <c r="Z95" s="67">
        <v>5.0683065747657765E-3</v>
      </c>
      <c r="AA95" s="27">
        <v>-5.955072548510818E-3</v>
      </c>
      <c r="AB95" s="26">
        <v>-5.8726370774014967E-3</v>
      </c>
      <c r="AC95" s="25">
        <v>5.0683065747657765E-3</v>
      </c>
      <c r="AD95" s="11"/>
    </row>
    <row r="96" spans="1:30" ht="15.75" x14ac:dyDescent="0.25">
      <c r="A96" s="140" t="s">
        <v>185</v>
      </c>
      <c r="B96" s="139"/>
      <c r="C96" s="138">
        <v>529</v>
      </c>
      <c r="D96" s="138">
        <v>880</v>
      </c>
      <c r="E96" s="138">
        <v>-1532</v>
      </c>
      <c r="F96" s="138">
        <v>2258</v>
      </c>
      <c r="G96" s="138">
        <v>1561</v>
      </c>
      <c r="H96" s="138">
        <v>322</v>
      </c>
      <c r="I96" s="138">
        <v>2261</v>
      </c>
      <c r="J96" s="138">
        <v>1838</v>
      </c>
      <c r="K96" s="138">
        <v>1891</v>
      </c>
      <c r="L96" s="141">
        <v>-382</v>
      </c>
      <c r="M96" s="11"/>
      <c r="N96" s="11"/>
      <c r="O96" s="140" t="s">
        <v>185</v>
      </c>
      <c r="P96" s="31"/>
      <c r="Q96" s="69">
        <v>4.6963778409090913E-3</v>
      </c>
      <c r="R96" s="68">
        <v>7.5732149157910133E-3</v>
      </c>
      <c r="S96" s="68">
        <v>-1.2904421364735215E-2</v>
      </c>
      <c r="T96" s="68">
        <v>1.7500484402247628E-2</v>
      </c>
      <c r="U96" s="68">
        <v>1.1025880092671074E-2</v>
      </c>
      <c r="V96" s="68">
        <v>2.1086684609994567E-3</v>
      </c>
      <c r="W96" s="68">
        <v>1.355832598749108E-2</v>
      </c>
      <c r="X96" s="68">
        <v>9.3809492214016309E-3</v>
      </c>
      <c r="Y96" s="68">
        <v>8.3320849158860389E-3</v>
      </c>
      <c r="Z96" s="67">
        <v>-1.5766230550167154E-3</v>
      </c>
      <c r="AA96" s="27">
        <v>5.9694941417645078E-3</v>
      </c>
      <c r="AB96" s="26">
        <v>6.8873597975165832E-3</v>
      </c>
      <c r="AC96" s="25">
        <v>-1.5766230550167154E-3</v>
      </c>
      <c r="AD96" s="11"/>
    </row>
    <row r="97" spans="1:30" ht="15.75" x14ac:dyDescent="0.25">
      <c r="A97" s="140" t="s">
        <v>184</v>
      </c>
      <c r="B97" s="139"/>
      <c r="C97" s="138">
        <v>0</v>
      </c>
      <c r="D97" s="138">
        <v>0</v>
      </c>
      <c r="E97" s="138">
        <v>0</v>
      </c>
      <c r="F97" s="138">
        <v>0</v>
      </c>
      <c r="G97" s="138">
        <v>0</v>
      </c>
      <c r="H97" s="138">
        <v>0</v>
      </c>
      <c r="I97" s="138">
        <v>0</v>
      </c>
      <c r="J97" s="138">
        <v>0</v>
      </c>
      <c r="K97" s="138">
        <v>0</v>
      </c>
      <c r="L97" s="141">
        <v>0</v>
      </c>
      <c r="M97" s="11"/>
      <c r="N97" s="11"/>
      <c r="O97" s="140" t="s">
        <v>184</v>
      </c>
      <c r="P97" s="31"/>
      <c r="Q97" s="69">
        <v>0</v>
      </c>
      <c r="R97" s="68">
        <v>0</v>
      </c>
      <c r="S97" s="68">
        <v>0</v>
      </c>
      <c r="T97" s="68">
        <v>0</v>
      </c>
      <c r="U97" s="68">
        <v>0</v>
      </c>
      <c r="V97" s="68">
        <v>0</v>
      </c>
      <c r="W97" s="68">
        <v>0</v>
      </c>
      <c r="X97" s="68">
        <v>0</v>
      </c>
      <c r="Y97" s="68">
        <v>0</v>
      </c>
      <c r="Z97" s="67">
        <v>0</v>
      </c>
      <c r="AA97" s="27">
        <v>0</v>
      </c>
      <c r="AB97" s="26">
        <v>0</v>
      </c>
      <c r="AC97" s="25">
        <v>0</v>
      </c>
      <c r="AD97" s="11"/>
    </row>
    <row r="98" spans="1:30" ht="16.5" thickBot="1" x14ac:dyDescent="0.3">
      <c r="A98" s="136" t="s">
        <v>183</v>
      </c>
      <c r="B98" s="139"/>
      <c r="C98" s="138">
        <v>699</v>
      </c>
      <c r="D98" s="138">
        <v>557</v>
      </c>
      <c r="E98" s="138">
        <v>547</v>
      </c>
      <c r="F98" s="138">
        <v>807</v>
      </c>
      <c r="G98" s="138">
        <v>421</v>
      </c>
      <c r="H98" s="138">
        <v>623</v>
      </c>
      <c r="I98" s="138">
        <v>728</v>
      </c>
      <c r="J98" s="138">
        <v>1057</v>
      </c>
      <c r="K98" s="138">
        <v>549</v>
      </c>
      <c r="L98" s="137">
        <v>172</v>
      </c>
      <c r="M98" s="11"/>
      <c r="N98" s="11"/>
      <c r="O98" s="136" t="s">
        <v>183</v>
      </c>
      <c r="P98" s="31"/>
      <c r="Q98" s="69">
        <v>6.2056107954545454E-3</v>
      </c>
      <c r="R98" s="68">
        <v>4.7935008046540847E-3</v>
      </c>
      <c r="S98" s="68">
        <v>4.607518594327782E-3</v>
      </c>
      <c r="T98" s="68">
        <v>6.2546018213524507E-3</v>
      </c>
      <c r="U98" s="68">
        <v>2.9736678533084705E-3</v>
      </c>
      <c r="V98" s="68">
        <v>4.0798150658467747E-3</v>
      </c>
      <c r="W98" s="68">
        <v>4.3655291105234436E-3</v>
      </c>
      <c r="X98" s="68">
        <v>5.3948113857570854E-3</v>
      </c>
      <c r="Y98" s="68">
        <v>2.4189923949346562E-3</v>
      </c>
      <c r="Z98" s="67">
        <v>7.0989310330595566E-4</v>
      </c>
      <c r="AA98" s="27">
        <v>4.1803940929465251E-3</v>
      </c>
      <c r="AB98" s="26">
        <v>4.3549307506008557E-3</v>
      </c>
      <c r="AC98" s="25">
        <v>7.0989310330595566E-4</v>
      </c>
      <c r="AD98" s="11"/>
    </row>
    <row r="99" spans="1:30" ht="16.5" thickBot="1" x14ac:dyDescent="0.3">
      <c r="A99" s="117" t="s">
        <v>23</v>
      </c>
      <c r="B99" s="116"/>
      <c r="C99" s="115">
        <v>3984</v>
      </c>
      <c r="D99" s="115">
        <v>4285</v>
      </c>
      <c r="E99" s="115">
        <v>3292</v>
      </c>
      <c r="F99" s="115">
        <v>6726</v>
      </c>
      <c r="G99" s="115">
        <v>5774</v>
      </c>
      <c r="H99" s="115">
        <v>6356</v>
      </c>
      <c r="I99" s="115">
        <v>8861</v>
      </c>
      <c r="J99" s="115">
        <v>8958</v>
      </c>
      <c r="K99" s="115">
        <v>7392</v>
      </c>
      <c r="L99" s="114">
        <v>11068</v>
      </c>
      <c r="M99" s="11"/>
      <c r="N99" s="11"/>
      <c r="O99" s="113" t="s">
        <v>23</v>
      </c>
      <c r="P99" s="112"/>
      <c r="Q99" s="111">
        <v>3.5369318181818182E-2</v>
      </c>
      <c r="R99" s="110">
        <v>3.6876393084277835E-2</v>
      </c>
      <c r="S99" s="110">
        <v>2.7729344081402305E-2</v>
      </c>
      <c r="T99" s="110">
        <v>5.2129432280565782E-2</v>
      </c>
      <c r="U99" s="110">
        <v>4.0783748657964629E-2</v>
      </c>
      <c r="V99" s="110">
        <v>4.1623281795380572E-2</v>
      </c>
      <c r="W99" s="110">
        <v>5.3135925066412411E-2</v>
      </c>
      <c r="X99" s="110">
        <v>4.5720643702565726E-2</v>
      </c>
      <c r="Y99" s="110">
        <v>3.2570476836715809E-2</v>
      </c>
      <c r="Z99" s="109">
        <v>4.5680795740641378E-2</v>
      </c>
      <c r="AA99" s="108">
        <v>4.1161935942774466E-2</v>
      </c>
      <c r="AB99" s="107">
        <v>4.1344261284991246E-2</v>
      </c>
      <c r="AC99" s="106">
        <v>4.5680795740641378E-2</v>
      </c>
      <c r="AD99" s="11"/>
    </row>
    <row r="100" spans="1:30" ht="17.25" thickTop="1" thickBot="1" x14ac:dyDescent="0.3">
      <c r="A100" s="135" t="s">
        <v>182</v>
      </c>
      <c r="B100" s="134"/>
      <c r="C100" s="133"/>
      <c r="D100" s="133"/>
      <c r="E100" s="133"/>
      <c r="F100" s="133"/>
      <c r="G100" s="133"/>
      <c r="H100" s="133"/>
      <c r="I100" s="133"/>
      <c r="J100" s="133"/>
      <c r="K100" s="133"/>
      <c r="L100" s="132"/>
      <c r="M100" s="11"/>
      <c r="N100" s="11"/>
      <c r="O100" s="131" t="s">
        <v>182</v>
      </c>
      <c r="P100" s="130"/>
      <c r="Q100" s="129"/>
      <c r="R100" s="129"/>
      <c r="S100" s="129"/>
      <c r="T100" s="129"/>
      <c r="U100" s="129"/>
      <c r="V100" s="129"/>
      <c r="W100" s="129"/>
      <c r="X100" s="129"/>
      <c r="Y100" s="129"/>
      <c r="Z100" s="128"/>
      <c r="AA100" s="127"/>
      <c r="AB100" s="126"/>
      <c r="AC100" s="125"/>
      <c r="AD100" s="11"/>
    </row>
    <row r="101" spans="1:30" ht="15.75" x14ac:dyDescent="0.25">
      <c r="A101" s="85" t="s">
        <v>316</v>
      </c>
      <c r="B101" s="77"/>
      <c r="C101" s="34">
        <v>-1993</v>
      </c>
      <c r="D101" s="34">
        <v>-2393</v>
      </c>
      <c r="E101" s="34">
        <v>-2649</v>
      </c>
      <c r="F101" s="34">
        <v>-2502</v>
      </c>
      <c r="G101" s="34">
        <v>-2969</v>
      </c>
      <c r="H101" s="34">
        <v>-2998</v>
      </c>
      <c r="I101" s="34">
        <v>-2810</v>
      </c>
      <c r="J101" s="34">
        <v>-3588</v>
      </c>
      <c r="K101" s="34">
        <v>-3891</v>
      </c>
      <c r="L101" s="33">
        <v>-4323</v>
      </c>
      <c r="M101" s="11"/>
      <c r="N101" s="11"/>
      <c r="O101" s="118" t="s">
        <v>316</v>
      </c>
      <c r="P101" s="31"/>
      <c r="Q101" s="42">
        <v>-1.7693536931818198E-2</v>
      </c>
      <c r="R101" s="41">
        <v>-2.0593981015327154E-2</v>
      </c>
      <c r="S101" s="41">
        <v>-2.231319333889268E-2</v>
      </c>
      <c r="T101" s="41">
        <v>-1.9391590776981205E-2</v>
      </c>
      <c r="U101" s="41">
        <v>-2.0971068542690853E-2</v>
      </c>
      <c r="V101" s="41">
        <v>-1.9632882130671957E-2</v>
      </c>
      <c r="W101" s="41">
        <v>-1.685046263814681E-2</v>
      </c>
      <c r="X101" s="41">
        <v>-1.8312756151463029E-2</v>
      </c>
      <c r="Y101" s="41">
        <v>-1.7144443367378411E-2</v>
      </c>
      <c r="Z101" s="40">
        <v>-1.7842255148788642E-2</v>
      </c>
      <c r="AA101" s="39">
        <v>-1.9074617004215894E-2</v>
      </c>
      <c r="AB101" s="38">
        <v>-1.894781425813993E-2</v>
      </c>
      <c r="AC101" s="37">
        <v>-1.7842255148788642E-2</v>
      </c>
      <c r="AD101" s="11"/>
    </row>
    <row r="102" spans="1:30" ht="15.75" x14ac:dyDescent="0.25">
      <c r="A102" s="85" t="s">
        <v>315</v>
      </c>
      <c r="B102" s="77"/>
      <c r="C102" s="34">
        <v>-100</v>
      </c>
      <c r="D102" s="34">
        <v>-87</v>
      </c>
      <c r="E102" s="34">
        <v>304</v>
      </c>
      <c r="F102" s="34">
        <v>136</v>
      </c>
      <c r="G102" s="34">
        <v>22</v>
      </c>
      <c r="H102" s="34">
        <v>133</v>
      </c>
      <c r="I102" s="34">
        <v>-1081</v>
      </c>
      <c r="J102" s="34">
        <v>53</v>
      </c>
      <c r="K102" s="34">
        <v>-24</v>
      </c>
      <c r="L102" s="33">
        <v>-649</v>
      </c>
      <c r="M102" s="11"/>
      <c r="N102" s="11"/>
      <c r="O102" s="118" t="s">
        <v>315</v>
      </c>
      <c r="P102" s="31"/>
      <c r="Q102" s="69">
        <v>-8.8778409090909088E-4</v>
      </c>
      <c r="R102" s="68">
        <v>-7.4871556553842973E-4</v>
      </c>
      <c r="S102" s="68">
        <v>2.5606684692424972E-3</v>
      </c>
      <c r="T102" s="68">
        <v>1.0540592908351095E-3</v>
      </c>
      <c r="U102" s="68">
        <v>1.5539356953155902E-4</v>
      </c>
      <c r="V102" s="68">
        <v>8.7097175563021032E-4</v>
      </c>
      <c r="W102" s="68">
        <v>-6.48233100065363E-3</v>
      </c>
      <c r="X102" s="68">
        <v>2.7050615273900238E-4</v>
      </c>
      <c r="Y102" s="68">
        <v>-1.0574830141790847E-4</v>
      </c>
      <c r="Z102" s="67">
        <v>-2.6786082793346815E-3</v>
      </c>
      <c r="AA102" s="27">
        <v>-5.9915879998753631E-4</v>
      </c>
      <c r="AB102" s="26">
        <v>-2.5874068355802879E-4</v>
      </c>
      <c r="AC102" s="25">
        <v>-2.6786082793346815E-3</v>
      </c>
      <c r="AD102" s="11"/>
    </row>
    <row r="103" spans="1:30" ht="16.5" thickBot="1" x14ac:dyDescent="0.3">
      <c r="A103" s="117" t="s">
        <v>176</v>
      </c>
      <c r="B103" s="116"/>
      <c r="C103" s="115">
        <v>-2093</v>
      </c>
      <c r="D103" s="115">
        <v>-2480</v>
      </c>
      <c r="E103" s="115">
        <v>-2345</v>
      </c>
      <c r="F103" s="115">
        <v>-2366</v>
      </c>
      <c r="G103" s="115">
        <v>-2947</v>
      </c>
      <c r="H103" s="115">
        <v>-2865</v>
      </c>
      <c r="I103" s="115">
        <v>-3891</v>
      </c>
      <c r="J103" s="115">
        <v>-3535</v>
      </c>
      <c r="K103" s="115">
        <v>-3915</v>
      </c>
      <c r="L103" s="114">
        <v>-4972</v>
      </c>
      <c r="M103" s="11"/>
      <c r="N103" s="11"/>
      <c r="O103" s="113" t="s">
        <v>176</v>
      </c>
      <c r="P103" s="112"/>
      <c r="Q103" s="111">
        <v>-1.8581321022727273E-2</v>
      </c>
      <c r="R103" s="110">
        <v>-2.1342696580865583E-2</v>
      </c>
      <c r="S103" s="110">
        <v>-1.9752524869650182E-2</v>
      </c>
      <c r="T103" s="110">
        <v>-1.8337531486146096E-2</v>
      </c>
      <c r="U103" s="110">
        <v>-2.0815674973159292E-2</v>
      </c>
      <c r="V103" s="110">
        <v>-1.8761910375041747E-2</v>
      </c>
      <c r="W103" s="110">
        <v>-2.3332793638800441E-2</v>
      </c>
      <c r="X103" s="110">
        <v>-1.8042249998724027E-2</v>
      </c>
      <c r="Y103" s="110">
        <v>-1.7250191668796318E-2</v>
      </c>
      <c r="Z103" s="109">
        <v>-2.0520863428123322E-2</v>
      </c>
      <c r="AA103" s="108">
        <v>-1.9673775804203431E-2</v>
      </c>
      <c r="AB103" s="107">
        <v>-1.9519346591804692E-2</v>
      </c>
      <c r="AC103" s="106">
        <v>-2.0520863428123322E-2</v>
      </c>
      <c r="AD103" s="11"/>
    </row>
    <row r="104" spans="1:30" ht="17.25" thickTop="1" thickBot="1" x14ac:dyDescent="0.3">
      <c r="A104" s="135" t="s">
        <v>175</v>
      </c>
      <c r="B104" s="134"/>
      <c r="C104" s="133"/>
      <c r="D104" s="133"/>
      <c r="E104" s="133"/>
      <c r="F104" s="133"/>
      <c r="G104" s="133"/>
      <c r="H104" s="133"/>
      <c r="I104" s="133"/>
      <c r="J104" s="133"/>
      <c r="K104" s="133"/>
      <c r="L104" s="132"/>
      <c r="M104" s="11"/>
      <c r="N104" s="11"/>
      <c r="O104" s="131" t="s">
        <v>175</v>
      </c>
      <c r="P104" s="130"/>
      <c r="Q104" s="129"/>
      <c r="R104" s="129"/>
      <c r="S104" s="129"/>
      <c r="T104" s="129"/>
      <c r="U104" s="129"/>
      <c r="V104" s="129"/>
      <c r="W104" s="129"/>
      <c r="X104" s="129"/>
      <c r="Y104" s="129"/>
      <c r="Z104" s="128"/>
      <c r="AA104" s="127"/>
      <c r="AB104" s="126"/>
      <c r="AC104" s="125"/>
      <c r="AD104" s="11"/>
    </row>
    <row r="105" spans="1:30" ht="15.75" x14ac:dyDescent="0.25">
      <c r="A105" s="85" t="s">
        <v>314</v>
      </c>
      <c r="B105" s="77"/>
      <c r="C105" s="34">
        <v>-460</v>
      </c>
      <c r="D105" s="34">
        <v>-659</v>
      </c>
      <c r="E105" s="34">
        <v>-706</v>
      </c>
      <c r="F105" s="34">
        <v>-671</v>
      </c>
      <c r="G105" s="34">
        <v>-545</v>
      </c>
      <c r="H105" s="34">
        <v>-519</v>
      </c>
      <c r="I105" s="34">
        <v>-526</v>
      </c>
      <c r="J105" s="34">
        <v>-808</v>
      </c>
      <c r="K105" s="34">
        <v>-802</v>
      </c>
      <c r="L105" s="33">
        <v>-979</v>
      </c>
      <c r="M105" s="11"/>
      <c r="N105" s="11"/>
      <c r="O105" s="118" t="s">
        <v>314</v>
      </c>
      <c r="P105" s="31"/>
      <c r="Q105" s="42">
        <v>-4.083806818181818E-3</v>
      </c>
      <c r="R105" s="41">
        <v>-5.6713052608025885E-3</v>
      </c>
      <c r="S105" s="41">
        <v>-5.9468155897539569E-3</v>
      </c>
      <c r="T105" s="41">
        <v>-5.2005425305173417E-3</v>
      </c>
      <c r="U105" s="41">
        <v>-3.8495225179408939E-3</v>
      </c>
      <c r="V105" s="41">
        <v>-3.3987544449028506E-3</v>
      </c>
      <c r="W105" s="41">
        <v>-3.1542147144716093E-3</v>
      </c>
      <c r="X105" s="41">
        <v>-4.1239428568512065E-3</v>
      </c>
      <c r="Y105" s="41">
        <v>-3.5337557390484413E-3</v>
      </c>
      <c r="Z105" s="40">
        <v>-4.0406124891658752E-3</v>
      </c>
      <c r="AA105" s="39">
        <v>-4.3003272961636575E-3</v>
      </c>
      <c r="AB105" s="38">
        <v>-4.2377803321763767E-3</v>
      </c>
      <c r="AC105" s="37">
        <v>-4.0406124891658752E-3</v>
      </c>
      <c r="AD105" s="11"/>
    </row>
    <row r="106" spans="1:30" ht="15.75" x14ac:dyDescent="0.25">
      <c r="A106" s="85" t="s">
        <v>18</v>
      </c>
      <c r="B106" s="77"/>
      <c r="C106" s="34">
        <v>-584</v>
      </c>
      <c r="D106" s="34">
        <v>-2865</v>
      </c>
      <c r="E106" s="34">
        <v>-746</v>
      </c>
      <c r="F106" s="34">
        <v>-3904</v>
      </c>
      <c r="G106" s="34">
        <v>-689</v>
      </c>
      <c r="H106" s="34">
        <v>-1038</v>
      </c>
      <c r="I106" s="34">
        <v>-1479</v>
      </c>
      <c r="J106" s="34">
        <v>-5748</v>
      </c>
      <c r="K106" s="34">
        <v>-1498</v>
      </c>
      <c r="L106" s="33">
        <v>-1251</v>
      </c>
      <c r="M106" s="11"/>
      <c r="N106" s="11"/>
      <c r="O106" s="118" t="s">
        <v>18</v>
      </c>
      <c r="P106" s="31"/>
      <c r="Q106" s="69">
        <v>-5.1846590909090913E-3</v>
      </c>
      <c r="R106" s="68">
        <v>-2.4655978106524153E-2</v>
      </c>
      <c r="S106" s="68">
        <v>-6.283745651496391E-3</v>
      </c>
      <c r="T106" s="68">
        <v>-3.0257701995737261E-2</v>
      </c>
      <c r="U106" s="68">
        <v>-4.8666440639656442E-3</v>
      </c>
      <c r="V106" s="68">
        <v>-6.7975088898057012E-3</v>
      </c>
      <c r="W106" s="68">
        <v>-8.868980157231008E-3</v>
      </c>
      <c r="X106" s="68">
        <v>-2.9337157847995957E-2</v>
      </c>
      <c r="Y106" s="68">
        <v>-6.6004564801677877E-3</v>
      </c>
      <c r="Z106" s="67">
        <v>-5.163234140905526E-3</v>
      </c>
      <c r="AA106" s="27">
        <v>-1.280160664247385E-2</v>
      </c>
      <c r="AB106" s="26">
        <v>-1.161146504562945E-2</v>
      </c>
      <c r="AC106" s="25">
        <v>-5.163234140905526E-3</v>
      </c>
      <c r="AD106" s="11"/>
    </row>
    <row r="107" spans="1:30" ht="15.75" x14ac:dyDescent="0.25">
      <c r="A107" s="85" t="s">
        <v>313</v>
      </c>
      <c r="B107" s="77"/>
      <c r="C107" s="34">
        <v>117</v>
      </c>
      <c r="D107" s="34">
        <v>1125</v>
      </c>
      <c r="E107" s="34">
        <v>-1103</v>
      </c>
      <c r="F107" s="34">
        <v>1582</v>
      </c>
      <c r="G107" s="34">
        <v>-86</v>
      </c>
      <c r="H107" s="34">
        <v>209</v>
      </c>
      <c r="I107" s="34">
        <v>792</v>
      </c>
      <c r="J107" s="34">
        <v>-94</v>
      </c>
      <c r="K107" s="34">
        <v>-800</v>
      </c>
      <c r="L107" s="33">
        <v>-366</v>
      </c>
      <c r="M107" s="11"/>
      <c r="N107" s="11"/>
      <c r="O107" s="118" t="s">
        <v>313</v>
      </c>
      <c r="P107" s="31"/>
      <c r="Q107" s="69">
        <v>1.0387073863636364E-3</v>
      </c>
      <c r="R107" s="68">
        <v>9.6816667957555572E-3</v>
      </c>
      <c r="S107" s="68">
        <v>-9.2908464525476124E-3</v>
      </c>
      <c r="T107" s="68">
        <v>1.2261189691920171E-2</v>
      </c>
      <c r="U107" s="68">
        <v>-6.0744758998700348E-4</v>
      </c>
      <c r="V107" s="68">
        <v>1.3686699017046162E-3</v>
      </c>
      <c r="W107" s="68">
        <v>4.7493118894705597E-3</v>
      </c>
      <c r="X107" s="68">
        <v>-4.7976562938615517E-4</v>
      </c>
      <c r="Y107" s="68">
        <v>-3.5249433805969494E-3</v>
      </c>
      <c r="Z107" s="67">
        <v>-1.5105864872673243E-3</v>
      </c>
      <c r="AA107" s="27">
        <v>1.3685956125429495E-3</v>
      </c>
      <c r="AB107" s="26">
        <v>1.3394516107571172E-3</v>
      </c>
      <c r="AC107" s="25">
        <v>-1.5105864872673243E-3</v>
      </c>
      <c r="AD107" s="11"/>
    </row>
    <row r="108" spans="1:30" ht="15.75" x14ac:dyDescent="0.25">
      <c r="A108" s="85" t="s">
        <v>312</v>
      </c>
      <c r="B108" s="77"/>
      <c r="C108" s="34">
        <v>-35</v>
      </c>
      <c r="D108" s="34">
        <v>0</v>
      </c>
      <c r="E108" s="34">
        <v>0</v>
      </c>
      <c r="F108" s="34">
        <v>0</v>
      </c>
      <c r="G108" s="34">
        <v>0</v>
      </c>
      <c r="H108" s="34">
        <v>0</v>
      </c>
      <c r="I108" s="34">
        <v>0</v>
      </c>
      <c r="J108" s="34">
        <v>41</v>
      </c>
      <c r="K108" s="34">
        <v>0</v>
      </c>
      <c r="L108" s="33">
        <v>-18</v>
      </c>
      <c r="M108" s="11"/>
      <c r="N108" s="11"/>
      <c r="O108" s="118" t="s">
        <v>312</v>
      </c>
      <c r="P108" s="31"/>
      <c r="Q108" s="69">
        <v>-3.1072443181818181E-4</v>
      </c>
      <c r="R108" s="68">
        <v>0</v>
      </c>
      <c r="S108" s="68">
        <v>0</v>
      </c>
      <c r="T108" s="68">
        <v>0</v>
      </c>
      <c r="U108" s="68">
        <v>0</v>
      </c>
      <c r="V108" s="68">
        <v>0</v>
      </c>
      <c r="W108" s="68">
        <v>0</v>
      </c>
      <c r="X108" s="68">
        <v>2.0925947664715279E-4</v>
      </c>
      <c r="Y108" s="68">
        <v>0</v>
      </c>
      <c r="Z108" s="67">
        <v>-7.4291138718065135E-5</v>
      </c>
      <c r="AA108" s="27">
        <v>-1.7575609388909414E-5</v>
      </c>
      <c r="AB108" s="26">
        <v>-9.2863923397581402E-6</v>
      </c>
      <c r="AC108" s="25">
        <v>-7.4291138718065135E-5</v>
      </c>
      <c r="AD108" s="11"/>
    </row>
    <row r="109" spans="1:30" ht="15.75" x14ac:dyDescent="0.25">
      <c r="A109" s="85" t="s">
        <v>169</v>
      </c>
      <c r="B109" s="77"/>
      <c r="C109" s="34">
        <v>92</v>
      </c>
      <c r="D109" s="34">
        <v>-11</v>
      </c>
      <c r="E109" s="34">
        <v>62</v>
      </c>
      <c r="F109" s="34">
        <v>-263</v>
      </c>
      <c r="G109" s="34">
        <v>39</v>
      </c>
      <c r="H109" s="34">
        <v>201</v>
      </c>
      <c r="I109" s="34">
        <v>66</v>
      </c>
      <c r="J109" s="34">
        <v>121</v>
      </c>
      <c r="K109" s="34">
        <v>-1183</v>
      </c>
      <c r="L109" s="33">
        <v>0</v>
      </c>
      <c r="M109" s="11"/>
      <c r="N109" s="11"/>
      <c r="O109" s="118" t="s">
        <v>169</v>
      </c>
      <c r="P109" s="31"/>
      <c r="Q109" s="69">
        <v>8.1676136363636358E-4</v>
      </c>
      <c r="R109" s="68">
        <v>-9.4665186447387669E-5</v>
      </c>
      <c r="S109" s="68">
        <v>5.2224159570077246E-4</v>
      </c>
      <c r="T109" s="68">
        <v>-2.0383646580120133E-3</v>
      </c>
      <c r="U109" s="68">
        <v>2.7547041871503643E-4</v>
      </c>
      <c r="V109" s="68">
        <v>1.3162806231704681E-3</v>
      </c>
      <c r="W109" s="68">
        <v>3.9577599078921333E-4</v>
      </c>
      <c r="X109" s="68">
        <v>6.1757065059281683E-4</v>
      </c>
      <c r="Y109" s="68">
        <v>-5.2125100240577385E-3</v>
      </c>
      <c r="Z109" s="67">
        <v>0</v>
      </c>
      <c r="AA109" s="27">
        <v>-3.4014392259124683E-4</v>
      </c>
      <c r="AB109" s="26">
        <v>6.1848771871850271E-5</v>
      </c>
      <c r="AC109" s="25">
        <v>0</v>
      </c>
      <c r="AD109" s="11"/>
    </row>
    <row r="110" spans="1:30" ht="16.5" thickBot="1" x14ac:dyDescent="0.3">
      <c r="A110" s="117" t="s">
        <v>168</v>
      </c>
      <c r="B110" s="116"/>
      <c r="C110" s="115">
        <v>-870</v>
      </c>
      <c r="D110" s="115">
        <v>-2410</v>
      </c>
      <c r="E110" s="115">
        <v>-2493</v>
      </c>
      <c r="F110" s="115">
        <v>-3256</v>
      </c>
      <c r="G110" s="115">
        <v>-1281</v>
      </c>
      <c r="H110" s="115">
        <v>-1147</v>
      </c>
      <c r="I110" s="115">
        <v>-1147</v>
      </c>
      <c r="J110" s="115">
        <v>-6488</v>
      </c>
      <c r="K110" s="115">
        <v>-4283</v>
      </c>
      <c r="L110" s="114">
        <v>-2614</v>
      </c>
      <c r="M110" s="11"/>
      <c r="N110" s="11"/>
      <c r="O110" s="113" t="s">
        <v>168</v>
      </c>
      <c r="P110" s="112"/>
      <c r="Q110" s="124">
        <v>-7.723721590909091E-3</v>
      </c>
      <c r="R110" s="123">
        <v>-2.0740281758018571E-2</v>
      </c>
      <c r="S110" s="123">
        <v>-2.0999166098097186E-2</v>
      </c>
      <c r="T110" s="123">
        <v>-2.5235419492346443E-2</v>
      </c>
      <c r="U110" s="123">
        <v>-9.0481437531785055E-3</v>
      </c>
      <c r="V110" s="123">
        <v>-7.5113128098334677E-3</v>
      </c>
      <c r="W110" s="123">
        <v>-6.8781069914428438E-3</v>
      </c>
      <c r="X110" s="123">
        <v>-3.3114036206993352E-2</v>
      </c>
      <c r="Y110" s="123">
        <v>-1.8871665623870916E-2</v>
      </c>
      <c r="Z110" s="122">
        <v>-1.0788724256056792E-2</v>
      </c>
      <c r="AA110" s="121">
        <v>-1.6091057858074714E-2</v>
      </c>
      <c r="AB110" s="120">
        <v>-1.5114804422788869E-2</v>
      </c>
      <c r="AC110" s="119">
        <v>-1.0788724256056792E-2</v>
      </c>
      <c r="AD110" s="11"/>
    </row>
    <row r="111" spans="1:30" ht="16.5" thickTop="1" x14ac:dyDescent="0.25">
      <c r="A111" s="85" t="s">
        <v>167</v>
      </c>
      <c r="B111" s="77"/>
      <c r="C111" s="34">
        <v>-11</v>
      </c>
      <c r="D111" s="34">
        <v>-418</v>
      </c>
      <c r="E111" s="34">
        <v>50</v>
      </c>
      <c r="F111" s="34">
        <v>25</v>
      </c>
      <c r="G111" s="34">
        <v>-37</v>
      </c>
      <c r="H111" s="34">
        <v>-15</v>
      </c>
      <c r="I111" s="34">
        <v>70</v>
      </c>
      <c r="J111" s="34">
        <v>46</v>
      </c>
      <c r="K111" s="34">
        <v>-249</v>
      </c>
      <c r="L111" s="33">
        <v>15</v>
      </c>
      <c r="M111" s="11"/>
      <c r="N111" s="11"/>
      <c r="O111" s="118" t="s">
        <v>167</v>
      </c>
      <c r="P111" s="31"/>
      <c r="Q111" s="69">
        <v>-9.7656250000000005E-5</v>
      </c>
      <c r="R111" s="68">
        <v>-3.5972770850007316E-3</v>
      </c>
      <c r="S111" s="68">
        <v>4.2116257717804228E-4</v>
      </c>
      <c r="T111" s="68">
        <v>1.9376089905057158E-4</v>
      </c>
      <c r="U111" s="68">
        <v>-2.6134373057580383E-4</v>
      </c>
      <c r="V111" s="68">
        <v>-9.8229897251527468E-5</v>
      </c>
      <c r="W111" s="68">
        <v>4.1976241447340802E-4</v>
      </c>
      <c r="X111" s="68">
        <v>2.3477892501875679E-4</v>
      </c>
      <c r="Y111" s="68">
        <v>-1.0971386272108003E-3</v>
      </c>
      <c r="Z111" s="67">
        <v>6.1909282265054273E-5</v>
      </c>
      <c r="AA111" s="27">
        <v>-3.8202714920530301E-4</v>
      </c>
      <c r="AB111" s="26">
        <v>-8.0519623028792544E-5</v>
      </c>
      <c r="AC111" s="25">
        <v>6.1909282265054273E-5</v>
      </c>
      <c r="AD111" s="11"/>
    </row>
    <row r="112" spans="1:30" ht="16.5" thickBot="1" x14ac:dyDescent="0.3">
      <c r="A112" s="117" t="s">
        <v>166</v>
      </c>
      <c r="B112" s="116"/>
      <c r="C112" s="115">
        <v>1010</v>
      </c>
      <c r="D112" s="115">
        <v>-1023</v>
      </c>
      <c r="E112" s="115">
        <v>-1496</v>
      </c>
      <c r="F112" s="115">
        <v>1129</v>
      </c>
      <c r="G112" s="115">
        <v>1509</v>
      </c>
      <c r="H112" s="115">
        <v>2329</v>
      </c>
      <c r="I112" s="115">
        <v>3893</v>
      </c>
      <c r="J112" s="115">
        <v>-1019</v>
      </c>
      <c r="K112" s="115">
        <v>-1055</v>
      </c>
      <c r="L112" s="114">
        <v>3497</v>
      </c>
      <c r="M112" s="11"/>
      <c r="N112" s="11"/>
      <c r="O112" s="113" t="s">
        <v>166</v>
      </c>
      <c r="P112" s="112"/>
      <c r="Q112" s="111">
        <v>8.966619318181818E-3</v>
      </c>
      <c r="R112" s="110">
        <v>-8.8038623396070534E-3</v>
      </c>
      <c r="S112" s="110">
        <v>-1.2601184309167025E-2</v>
      </c>
      <c r="T112" s="110">
        <v>8.7502422011238139E-3</v>
      </c>
      <c r="U112" s="110">
        <v>1.0658586201051026E-2</v>
      </c>
      <c r="V112" s="110">
        <v>1.5251828713253833E-2</v>
      </c>
      <c r="W112" s="110">
        <v>2.3344786850642535E-2</v>
      </c>
      <c r="X112" s="110">
        <v>-5.2008635781328949E-3</v>
      </c>
      <c r="Y112" s="110">
        <v>-4.6485190831622265E-3</v>
      </c>
      <c r="Z112" s="109">
        <v>1.443311733872632E-2</v>
      </c>
      <c r="AA112" s="108">
        <v>5.0150751312910153E-3</v>
      </c>
      <c r="AB112" s="107">
        <v>4.9258935964293302E-3</v>
      </c>
      <c r="AC112" s="106">
        <v>1.443311733872632E-2</v>
      </c>
      <c r="AD112" s="11"/>
    </row>
    <row r="113" spans="1:30" ht="16.5" thickTop="1" x14ac:dyDescent="0.25">
      <c r="A113" s="105" t="s">
        <v>311</v>
      </c>
      <c r="B113" s="77"/>
      <c r="C113" s="34">
        <v>1094</v>
      </c>
      <c r="D113" s="34">
        <v>-937</v>
      </c>
      <c r="E113" s="34">
        <v>-1422</v>
      </c>
      <c r="F113" s="34">
        <v>1167</v>
      </c>
      <c r="G113" s="34">
        <v>1509</v>
      </c>
      <c r="H113" s="34">
        <v>2329</v>
      </c>
      <c r="I113" s="34">
        <v>3893</v>
      </c>
      <c r="J113" s="34">
        <v>-1019</v>
      </c>
      <c r="K113" s="34">
        <v>-1055</v>
      </c>
      <c r="L113" s="33">
        <v>3497</v>
      </c>
      <c r="M113" s="11"/>
      <c r="N113" s="11"/>
      <c r="O113" s="104"/>
      <c r="P113" s="102"/>
      <c r="Q113" s="102"/>
      <c r="R113" s="102"/>
      <c r="S113" s="102"/>
      <c r="T113" s="102"/>
      <c r="U113" s="101"/>
      <c r="V113" s="101"/>
      <c r="W113" s="101"/>
      <c r="X113" s="101"/>
      <c r="Y113" s="101"/>
      <c r="Z113" s="100"/>
      <c r="AA113" s="32"/>
      <c r="AB113" s="31"/>
      <c r="AC113" s="99"/>
      <c r="AD113" s="11"/>
    </row>
    <row r="114" spans="1:30" ht="15.75" x14ac:dyDescent="0.25">
      <c r="A114" s="86" t="s">
        <v>310</v>
      </c>
      <c r="B114" s="77"/>
      <c r="C114" s="34"/>
      <c r="D114" s="34"/>
      <c r="E114" s="34"/>
      <c r="F114" s="34"/>
      <c r="G114" s="34"/>
      <c r="H114" s="34">
        <v>-144</v>
      </c>
      <c r="I114" s="34">
        <v>-32</v>
      </c>
      <c r="J114" s="34">
        <v>-111</v>
      </c>
      <c r="K114" s="34">
        <v>-71</v>
      </c>
      <c r="L114" s="33">
        <v>688</v>
      </c>
      <c r="M114" s="11"/>
      <c r="N114" s="11"/>
      <c r="O114" s="103"/>
      <c r="P114" s="102"/>
      <c r="Q114" s="102"/>
      <c r="R114" s="102"/>
      <c r="S114" s="102"/>
      <c r="T114" s="102"/>
      <c r="U114" s="101"/>
      <c r="V114" s="101"/>
      <c r="W114" s="101"/>
      <c r="X114" s="101"/>
      <c r="Y114" s="101"/>
      <c r="Z114" s="100"/>
      <c r="AA114" s="32"/>
      <c r="AB114" s="31"/>
      <c r="AC114" s="99"/>
      <c r="AD114" s="11"/>
    </row>
    <row r="115" spans="1:30" ht="16.5" thickBot="1" x14ac:dyDescent="0.3">
      <c r="A115" s="98" t="s">
        <v>309</v>
      </c>
      <c r="B115" s="97"/>
      <c r="C115" s="21"/>
      <c r="D115" s="21"/>
      <c r="E115" s="21"/>
      <c r="F115" s="21"/>
      <c r="G115" s="21"/>
      <c r="H115" s="21">
        <v>2185</v>
      </c>
      <c r="I115" s="21">
        <v>3861</v>
      </c>
      <c r="J115" s="21">
        <v>-1130</v>
      </c>
      <c r="K115" s="21">
        <v>-1126</v>
      </c>
      <c r="L115" s="20">
        <v>4185</v>
      </c>
      <c r="M115" s="11"/>
      <c r="N115" s="11"/>
      <c r="O115" s="96"/>
      <c r="P115" s="95"/>
      <c r="Q115" s="95"/>
      <c r="R115" s="95"/>
      <c r="S115" s="95"/>
      <c r="T115" s="95"/>
      <c r="U115" s="94"/>
      <c r="V115" s="94"/>
      <c r="W115" s="94"/>
      <c r="X115" s="94"/>
      <c r="Y115" s="94"/>
      <c r="Z115" s="93"/>
      <c r="AA115" s="92"/>
      <c r="AB115" s="91"/>
      <c r="AC115" s="90"/>
      <c r="AD115" s="11"/>
    </row>
    <row r="116" spans="1:30" ht="16.5" thickBot="1" x14ac:dyDescent="0.3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</row>
    <row r="117" spans="1:30" ht="15.75" x14ac:dyDescent="0.25">
      <c r="A117" s="59"/>
      <c r="B117" s="58" t="s">
        <v>294</v>
      </c>
      <c r="C117" s="57">
        <v>2014</v>
      </c>
      <c r="D117" s="57">
        <v>2015</v>
      </c>
      <c r="E117" s="57">
        <v>2016</v>
      </c>
      <c r="F117" s="57">
        <v>2017</v>
      </c>
      <c r="G117" s="57">
        <v>2018</v>
      </c>
      <c r="H117" s="57">
        <v>2019</v>
      </c>
      <c r="I117" s="57">
        <v>2020</v>
      </c>
      <c r="J117" s="57">
        <v>2021</v>
      </c>
      <c r="K117" s="57">
        <v>2022</v>
      </c>
      <c r="L117" s="57">
        <v>2023</v>
      </c>
      <c r="M117" s="11"/>
      <c r="N117" s="11"/>
      <c r="O117" s="88"/>
      <c r="P117" s="88"/>
      <c r="Q117" s="88"/>
      <c r="R117" s="88"/>
      <c r="S117" s="88"/>
      <c r="T117" s="88"/>
      <c r="U117" s="89"/>
      <c r="V117" s="89"/>
      <c r="W117" s="89"/>
      <c r="X117" s="89"/>
      <c r="Y117" s="89"/>
      <c r="Z117" s="89"/>
      <c r="AA117" s="11"/>
      <c r="AB117" s="11"/>
      <c r="AC117" s="11"/>
      <c r="AD117" s="11"/>
    </row>
    <row r="118" spans="1:30" ht="15.75" x14ac:dyDescent="0.25">
      <c r="A118" s="53" t="s">
        <v>308</v>
      </c>
      <c r="B118" s="52" t="s">
        <v>307</v>
      </c>
      <c r="C118" s="51">
        <v>-9</v>
      </c>
      <c r="D118" s="51">
        <v>-8</v>
      </c>
      <c r="E118" s="51">
        <v>-7</v>
      </c>
      <c r="F118" s="51">
        <v>-6</v>
      </c>
      <c r="G118" s="51">
        <v>-5</v>
      </c>
      <c r="H118" s="51">
        <v>-4</v>
      </c>
      <c r="I118" s="51">
        <v>-3</v>
      </c>
      <c r="J118" s="51">
        <v>-2</v>
      </c>
      <c r="K118" s="51">
        <v>-1</v>
      </c>
      <c r="L118" s="50">
        <v>0</v>
      </c>
      <c r="M118" s="11"/>
      <c r="N118" s="11"/>
      <c r="O118" s="88"/>
      <c r="P118" s="88"/>
      <c r="Q118" s="88"/>
      <c r="R118" s="88"/>
      <c r="S118" s="88"/>
      <c r="T118" s="88"/>
      <c r="U118" s="87"/>
      <c r="V118" s="87"/>
      <c r="W118" s="87"/>
      <c r="X118" s="87"/>
      <c r="Y118" s="87"/>
      <c r="Z118" s="87"/>
      <c r="AA118" s="11"/>
      <c r="AB118" s="11"/>
      <c r="AC118" s="11"/>
      <c r="AD118" s="11"/>
    </row>
    <row r="119" spans="1:30" ht="15.75" x14ac:dyDescent="0.25">
      <c r="A119" s="86" t="s">
        <v>306</v>
      </c>
      <c r="B119" s="77"/>
      <c r="C119" s="84">
        <v>121.08</v>
      </c>
      <c r="D119" s="84">
        <v>140.05000000000001</v>
      </c>
      <c r="E119" s="84">
        <v>162.09</v>
      </c>
      <c r="F119" s="84">
        <v>156.74</v>
      </c>
      <c r="G119" s="84">
        <v>233.13</v>
      </c>
      <c r="H119" s="84">
        <v>294.76</v>
      </c>
      <c r="I119" s="84">
        <v>347.66</v>
      </c>
      <c r="J119" s="84">
        <v>455.49</v>
      </c>
      <c r="K119" s="84">
        <v>522.1</v>
      </c>
      <c r="L119" s="83">
        <v>549.28</v>
      </c>
      <c r="M119" s="11"/>
      <c r="N119" s="11"/>
      <c r="O119" s="74"/>
      <c r="P119" s="74"/>
      <c r="Q119" s="74"/>
      <c r="R119" s="74"/>
      <c r="S119" s="74"/>
      <c r="T119" s="74"/>
      <c r="U119" s="73"/>
      <c r="V119" s="73"/>
      <c r="W119" s="73"/>
      <c r="X119" s="73"/>
      <c r="Y119" s="73"/>
      <c r="Z119" s="73"/>
      <c r="AA119" s="11"/>
      <c r="AB119" s="11"/>
      <c r="AC119" s="11"/>
      <c r="AD119" s="11"/>
    </row>
    <row r="120" spans="1:30" ht="15.75" x14ac:dyDescent="0.25">
      <c r="A120" s="85" t="s">
        <v>305</v>
      </c>
      <c r="B120" s="77"/>
      <c r="C120" s="34">
        <v>437.68299999999999</v>
      </c>
      <c r="D120" s="34">
        <v>437.952</v>
      </c>
      <c r="E120" s="34">
        <v>437.524</v>
      </c>
      <c r="F120" s="34">
        <v>437.20400000000001</v>
      </c>
      <c r="G120" s="34">
        <v>438.18900000000002</v>
      </c>
      <c r="H120" s="34">
        <v>439.625</v>
      </c>
      <c r="I120" s="34">
        <v>441.255</v>
      </c>
      <c r="J120" s="34">
        <v>441.82499999999999</v>
      </c>
      <c r="K120" s="34">
        <v>442.66399999999999</v>
      </c>
      <c r="L120" s="33">
        <v>442.79300000000001</v>
      </c>
      <c r="M120" s="11"/>
      <c r="N120" s="11"/>
      <c r="O120" s="75"/>
      <c r="P120" s="74"/>
      <c r="Q120" s="74"/>
      <c r="R120" s="74"/>
      <c r="S120" s="74"/>
      <c r="T120" s="74"/>
      <c r="U120" s="73"/>
      <c r="V120" s="73"/>
      <c r="W120" s="73"/>
      <c r="X120" s="73"/>
      <c r="Y120" s="73"/>
      <c r="Z120" s="73"/>
      <c r="AA120" s="11"/>
      <c r="AB120" s="11"/>
      <c r="AC120" s="11"/>
      <c r="AD120" s="11"/>
    </row>
    <row r="121" spans="1:30" ht="15.75" x14ac:dyDescent="0.25">
      <c r="A121" s="85" t="s">
        <v>304</v>
      </c>
      <c r="B121" s="77"/>
      <c r="C121" s="84">
        <v>1.33</v>
      </c>
      <c r="D121" s="84">
        <v>6.51</v>
      </c>
      <c r="E121" s="84">
        <v>1.7</v>
      </c>
      <c r="F121" s="84">
        <v>8.9</v>
      </c>
      <c r="G121" s="84">
        <v>2.14</v>
      </c>
      <c r="H121" s="84">
        <v>2.44</v>
      </c>
      <c r="I121" s="84">
        <v>2.7</v>
      </c>
      <c r="J121" s="84">
        <v>12.98</v>
      </c>
      <c r="K121" s="84">
        <v>3.38</v>
      </c>
      <c r="L121" s="83">
        <v>3.84</v>
      </c>
      <c r="M121" s="11"/>
      <c r="N121" s="11"/>
      <c r="O121" s="75"/>
      <c r="P121" s="74"/>
      <c r="Q121" s="74"/>
      <c r="R121" s="74"/>
      <c r="S121" s="74"/>
      <c r="T121" s="74"/>
      <c r="U121" s="73"/>
      <c r="V121" s="73"/>
      <c r="W121" s="73"/>
      <c r="X121" s="73"/>
      <c r="Y121" s="73"/>
      <c r="Z121" s="73"/>
      <c r="AA121" s="11"/>
      <c r="AB121" s="11"/>
      <c r="AC121" s="11"/>
      <c r="AD121" s="11"/>
    </row>
    <row r="122" spans="1:30" ht="15.75" x14ac:dyDescent="0.25">
      <c r="A122" s="85" t="s">
        <v>31</v>
      </c>
      <c r="B122" s="77"/>
      <c r="C122" s="84">
        <v>4.6900000000000004</v>
      </c>
      <c r="D122" s="84">
        <v>5.41</v>
      </c>
      <c r="E122" s="84">
        <v>5.36</v>
      </c>
      <c r="F122" s="84">
        <v>6.11</v>
      </c>
      <c r="G122" s="84">
        <v>7.15</v>
      </c>
      <c r="H122" s="84">
        <v>8.32</v>
      </c>
      <c r="I122" s="84">
        <v>9.0500000000000007</v>
      </c>
      <c r="J122" s="84">
        <v>11.3</v>
      </c>
      <c r="K122" s="84">
        <v>13.17</v>
      </c>
      <c r="L122" s="83">
        <v>14.18</v>
      </c>
      <c r="M122" s="11"/>
      <c r="N122" s="11"/>
      <c r="O122" s="75"/>
      <c r="P122" s="74"/>
      <c r="Q122" s="74"/>
      <c r="R122" s="74"/>
      <c r="S122" s="74"/>
      <c r="T122" s="74"/>
      <c r="U122" s="73"/>
      <c r="V122" s="73"/>
      <c r="W122" s="73"/>
      <c r="X122" s="73"/>
      <c r="Y122" s="73"/>
      <c r="Z122" s="73"/>
      <c r="AA122" s="11"/>
      <c r="AB122" s="11"/>
      <c r="AC122" s="11"/>
      <c r="AD122" s="11"/>
    </row>
    <row r="123" spans="1:30" ht="15.75" x14ac:dyDescent="0.25">
      <c r="A123" s="85" t="s">
        <v>303</v>
      </c>
      <c r="B123" s="77"/>
      <c r="C123" s="34">
        <v>438.69299999999998</v>
      </c>
      <c r="D123" s="34">
        <v>439.45499999999998</v>
      </c>
      <c r="E123" s="34">
        <v>438.58499999999998</v>
      </c>
      <c r="F123" s="34">
        <v>438.43700000000001</v>
      </c>
      <c r="G123" s="34">
        <v>438.51499999999999</v>
      </c>
      <c r="H123" s="34">
        <v>439.755</v>
      </c>
      <c r="I123" s="34">
        <v>442.29700000000003</v>
      </c>
      <c r="J123" s="34">
        <v>443.089</v>
      </c>
      <c r="K123" s="34">
        <v>443.65100000000001</v>
      </c>
      <c r="L123" s="33">
        <v>443.85399999999998</v>
      </c>
      <c r="M123" s="11"/>
      <c r="N123" s="11"/>
      <c r="O123" s="75"/>
      <c r="P123" s="74"/>
      <c r="Q123" s="74"/>
      <c r="R123" s="74"/>
      <c r="S123" s="74"/>
      <c r="T123" s="74"/>
      <c r="U123" s="73"/>
      <c r="V123" s="73"/>
      <c r="W123" s="73"/>
      <c r="X123" s="73"/>
      <c r="Y123" s="73"/>
      <c r="Z123" s="73"/>
      <c r="AA123" s="11"/>
      <c r="AB123" s="11"/>
      <c r="AC123" s="11"/>
      <c r="AD123" s="11"/>
    </row>
    <row r="124" spans="1:30" ht="15.75" x14ac:dyDescent="0.25">
      <c r="A124" s="85" t="s">
        <v>29</v>
      </c>
      <c r="B124" s="77"/>
      <c r="C124" s="84">
        <v>4.6500000000000004</v>
      </c>
      <c r="D124" s="84">
        <v>5.37</v>
      </c>
      <c r="E124" s="84">
        <v>5.33</v>
      </c>
      <c r="F124" s="84">
        <v>6.08</v>
      </c>
      <c r="G124" s="84">
        <v>7.09</v>
      </c>
      <c r="H124" s="84">
        <v>8.26</v>
      </c>
      <c r="I124" s="84">
        <v>9.02</v>
      </c>
      <c r="J124" s="84">
        <v>11.27</v>
      </c>
      <c r="K124" s="84">
        <v>13.14</v>
      </c>
      <c r="L124" s="83">
        <v>14.16</v>
      </c>
      <c r="M124" s="11"/>
      <c r="N124" s="11"/>
      <c r="O124" s="75"/>
      <c r="P124" s="74"/>
      <c r="Q124" s="74"/>
      <c r="R124" s="74"/>
      <c r="S124" s="74"/>
      <c r="T124" s="74"/>
      <c r="U124" s="73"/>
      <c r="V124" s="73"/>
      <c r="W124" s="73"/>
      <c r="X124" s="73"/>
      <c r="Y124" s="73"/>
      <c r="Z124" s="73"/>
      <c r="AA124" s="11"/>
      <c r="AB124" s="11"/>
      <c r="AC124" s="11"/>
      <c r="AD124" s="11"/>
    </row>
    <row r="125" spans="1:30" ht="16.5" thickBot="1" x14ac:dyDescent="0.3">
      <c r="A125" s="82" t="s">
        <v>302</v>
      </c>
      <c r="B125" s="81"/>
      <c r="C125" s="80">
        <v>442.48500000000001</v>
      </c>
      <c r="D125" s="80">
        <v>442.71600000000001</v>
      </c>
      <c r="E125" s="80">
        <v>441.26299999999998</v>
      </c>
      <c r="F125" s="80">
        <v>440.93700000000001</v>
      </c>
      <c r="G125" s="80">
        <v>441.834</v>
      </c>
      <c r="H125" s="80">
        <v>442.923</v>
      </c>
      <c r="I125" s="80">
        <v>443.90100000000001</v>
      </c>
      <c r="J125" s="80">
        <v>444.346</v>
      </c>
      <c r="K125" s="80">
        <v>444.75700000000001</v>
      </c>
      <c r="L125" s="79">
        <v>444.452</v>
      </c>
      <c r="M125" s="11"/>
      <c r="N125" s="11"/>
      <c r="O125" s="75"/>
      <c r="P125" s="74"/>
      <c r="Q125" s="74"/>
      <c r="R125" s="74"/>
      <c r="S125" s="74"/>
      <c r="T125" s="74"/>
      <c r="U125" s="73"/>
      <c r="V125" s="73"/>
      <c r="W125" s="73"/>
      <c r="X125" s="73"/>
      <c r="Y125" s="73"/>
      <c r="Z125" s="73"/>
      <c r="AA125" s="11"/>
      <c r="AB125" s="11"/>
      <c r="AC125" s="11"/>
      <c r="AD125" s="11"/>
    </row>
    <row r="126" spans="1:30" ht="15.75" x14ac:dyDescent="0.25">
      <c r="A126" s="78"/>
      <c r="B126" s="77"/>
      <c r="C126" s="76"/>
      <c r="D126" s="76"/>
      <c r="E126" s="76"/>
      <c r="F126" s="76"/>
      <c r="G126" s="76"/>
      <c r="H126" s="76"/>
      <c r="I126" s="76"/>
      <c r="J126" s="76"/>
      <c r="K126" s="76"/>
      <c r="L126" s="76"/>
      <c r="M126" s="11"/>
      <c r="N126" s="11"/>
      <c r="O126" s="75"/>
      <c r="P126" s="74"/>
      <c r="Q126" s="74"/>
      <c r="R126" s="74"/>
      <c r="S126" s="74"/>
      <c r="T126" s="74"/>
      <c r="U126" s="73"/>
      <c r="V126" s="73"/>
      <c r="W126" s="73"/>
      <c r="X126" s="73"/>
      <c r="Y126" s="73"/>
      <c r="Z126" s="73"/>
      <c r="AA126" s="11"/>
      <c r="AB126" s="11"/>
      <c r="AC126" s="11"/>
      <c r="AD126" s="11"/>
    </row>
    <row r="127" spans="1:30" ht="16.5" thickBot="1" x14ac:dyDescent="0.3">
      <c r="A127" s="53" t="s">
        <v>301</v>
      </c>
      <c r="B127" s="72"/>
      <c r="C127" s="71"/>
      <c r="D127" s="71"/>
      <c r="E127" s="71"/>
      <c r="F127" s="71"/>
      <c r="G127" s="71"/>
      <c r="H127" s="71"/>
      <c r="I127" s="71"/>
      <c r="J127" s="71"/>
      <c r="K127" s="71"/>
      <c r="L127" s="71"/>
      <c r="M127" s="11"/>
      <c r="N127" s="11"/>
      <c r="O127" s="53" t="s">
        <v>301</v>
      </c>
      <c r="P127" s="72"/>
      <c r="Q127" s="72"/>
      <c r="R127" s="72"/>
      <c r="S127" s="72"/>
      <c r="T127" s="72"/>
      <c r="U127" s="71"/>
      <c r="V127" s="71"/>
      <c r="W127" s="71"/>
      <c r="X127" s="71"/>
      <c r="Y127" s="71"/>
      <c r="Z127" s="71"/>
      <c r="AA127" s="11"/>
      <c r="AB127" s="11"/>
      <c r="AC127" s="11"/>
      <c r="AD127" s="11"/>
    </row>
    <row r="128" spans="1:30" ht="15.75" x14ac:dyDescent="0.25">
      <c r="A128" s="59"/>
      <c r="B128" s="58" t="s">
        <v>294</v>
      </c>
      <c r="C128" s="57">
        <v>2014</v>
      </c>
      <c r="D128" s="57">
        <v>2015</v>
      </c>
      <c r="E128" s="57">
        <v>2016</v>
      </c>
      <c r="F128" s="57">
        <v>2017</v>
      </c>
      <c r="G128" s="57">
        <v>2018</v>
      </c>
      <c r="H128" s="57">
        <v>2019</v>
      </c>
      <c r="I128" s="57">
        <v>2020</v>
      </c>
      <c r="J128" s="57">
        <v>2021</v>
      </c>
      <c r="K128" s="57">
        <v>2022</v>
      </c>
      <c r="L128" s="57">
        <v>2023</v>
      </c>
      <c r="M128" s="11"/>
      <c r="N128" s="11"/>
      <c r="O128" s="59"/>
      <c r="P128" s="58" t="s">
        <v>294</v>
      </c>
      <c r="Q128" s="57">
        <v>2014</v>
      </c>
      <c r="R128" s="57">
        <v>2015</v>
      </c>
      <c r="S128" s="57">
        <v>2016</v>
      </c>
      <c r="T128" s="57">
        <v>2017</v>
      </c>
      <c r="U128" s="57">
        <v>2018</v>
      </c>
      <c r="V128" s="57">
        <v>2019</v>
      </c>
      <c r="W128" s="57">
        <v>2020</v>
      </c>
      <c r="X128" s="57">
        <v>2021</v>
      </c>
      <c r="Y128" s="57">
        <v>2022</v>
      </c>
      <c r="Z128" s="57">
        <v>2023</v>
      </c>
      <c r="AA128" s="56" t="s">
        <v>293</v>
      </c>
      <c r="AB128" s="55" t="s">
        <v>292</v>
      </c>
      <c r="AC128" s="54" t="s">
        <v>291</v>
      </c>
      <c r="AD128" s="11"/>
    </row>
    <row r="129" spans="1:30" ht="16.5" thickBot="1" x14ac:dyDescent="0.3">
      <c r="A129" s="53" t="s">
        <v>300</v>
      </c>
      <c r="B129" s="52"/>
      <c r="C129" s="51">
        <v>-9</v>
      </c>
      <c r="D129" s="51">
        <v>-8</v>
      </c>
      <c r="E129" s="51">
        <v>-7</v>
      </c>
      <c r="F129" s="51">
        <v>-6</v>
      </c>
      <c r="G129" s="51">
        <v>-5</v>
      </c>
      <c r="H129" s="51">
        <v>-4</v>
      </c>
      <c r="I129" s="51">
        <v>-3</v>
      </c>
      <c r="J129" s="51">
        <v>-2</v>
      </c>
      <c r="K129" s="51">
        <v>-1</v>
      </c>
      <c r="L129" s="50">
        <v>0</v>
      </c>
      <c r="M129" s="46" t="s">
        <v>286</v>
      </c>
      <c r="N129" s="11"/>
      <c r="O129" s="53" t="s">
        <v>300</v>
      </c>
      <c r="P129" s="52"/>
      <c r="Q129" s="51">
        <v>-9</v>
      </c>
      <c r="R129" s="51">
        <v>-8</v>
      </c>
      <c r="S129" s="51">
        <v>-7</v>
      </c>
      <c r="T129" s="51">
        <v>-6</v>
      </c>
      <c r="U129" s="51">
        <v>-5</v>
      </c>
      <c r="V129" s="51">
        <v>-4</v>
      </c>
      <c r="W129" s="51">
        <v>-3</v>
      </c>
      <c r="X129" s="51">
        <v>-2</v>
      </c>
      <c r="Y129" s="51">
        <v>-1</v>
      </c>
      <c r="Z129" s="50">
        <v>0</v>
      </c>
      <c r="AA129" s="49" t="s">
        <v>289</v>
      </c>
      <c r="AB129" s="48" t="s">
        <v>288</v>
      </c>
      <c r="AC129" s="47" t="s">
        <v>287</v>
      </c>
      <c r="AD129" s="46" t="s">
        <v>286</v>
      </c>
    </row>
    <row r="130" spans="1:30" ht="15.75" x14ac:dyDescent="0.25">
      <c r="A130" s="32" t="s">
        <v>298</v>
      </c>
      <c r="B130" s="36"/>
      <c r="C130" s="45">
        <v>3132.0215827338134</v>
      </c>
      <c r="D130" s="44">
        <v>3549.3684794672586</v>
      </c>
      <c r="E130" s="44">
        <v>3665.7963525835867</v>
      </c>
      <c r="F130" s="44">
        <v>4098.1109185441946</v>
      </c>
      <c r="G130" s="44">
        <v>4643.1954074741107</v>
      </c>
      <c r="H130" s="44">
        <v>5269.846799580273</v>
      </c>
      <c r="I130" s="44">
        <v>6136.5969815539411</v>
      </c>
      <c r="J130" s="44">
        <v>7272.8588323353297</v>
      </c>
      <c r="K130" s="44">
        <v>7779.5401785714284</v>
      </c>
      <c r="L130" s="43">
        <v>8092.4693059974079</v>
      </c>
      <c r="M130" s="24" t="s">
        <v>297</v>
      </c>
      <c r="N130" s="11"/>
      <c r="O130" s="32" t="s">
        <v>298</v>
      </c>
      <c r="P130" s="31"/>
      <c r="Q130" s="42">
        <v>2.7805589335349906E-2</v>
      </c>
      <c r="R130" s="41">
        <v>3.0545602625386265E-2</v>
      </c>
      <c r="S130" s="41">
        <v>3.0877924785279412E-2</v>
      </c>
      <c r="T130" s="41">
        <v>3.1762146239443477E-2</v>
      </c>
      <c r="U130" s="41">
        <v>3.2796486745451985E-2</v>
      </c>
      <c r="V130" s="41">
        <v>3.4510433976937406E-2</v>
      </c>
      <c r="W130" s="41">
        <v>3.6798753794675863E-2</v>
      </c>
      <c r="X130" s="41">
        <v>3.7119869097149122E-2</v>
      </c>
      <c r="Y130" s="41">
        <v>3.4278048320679204E-2</v>
      </c>
      <c r="Z130" s="40">
        <v>3.3399931099085428E-2</v>
      </c>
      <c r="AA130" s="39">
        <v>3.298947860194381E-2</v>
      </c>
      <c r="AB130" s="38">
        <v>3.3121165948367379E-2</v>
      </c>
      <c r="AC130" s="37">
        <v>3.3399931099085428E-2</v>
      </c>
      <c r="AD130" s="24" t="s">
        <v>297</v>
      </c>
    </row>
    <row r="131" spans="1:30" ht="15.75" x14ac:dyDescent="0.25">
      <c r="A131" s="32" t="s">
        <v>284</v>
      </c>
      <c r="B131" s="36"/>
      <c r="C131" s="35">
        <v>-1993</v>
      </c>
      <c r="D131" s="34">
        <v>-2393</v>
      </c>
      <c r="E131" s="34">
        <v>-2649</v>
      </c>
      <c r="F131" s="34">
        <v>-2502</v>
      </c>
      <c r="G131" s="34">
        <v>-2969</v>
      </c>
      <c r="H131" s="34">
        <v>-2998</v>
      </c>
      <c r="I131" s="34">
        <v>-2810</v>
      </c>
      <c r="J131" s="34">
        <v>-3588</v>
      </c>
      <c r="K131" s="34">
        <v>-3891</v>
      </c>
      <c r="L131" s="33">
        <v>-4323</v>
      </c>
      <c r="M131" s="24" t="s">
        <v>283</v>
      </c>
      <c r="N131" s="11"/>
      <c r="O131" s="32" t="s">
        <v>284</v>
      </c>
      <c r="P131" s="31"/>
      <c r="Q131" s="69">
        <v>-1.7693536931818181E-2</v>
      </c>
      <c r="R131" s="68">
        <v>-2.0593981015327154E-2</v>
      </c>
      <c r="S131" s="68">
        <v>-2.231319333889268E-2</v>
      </c>
      <c r="T131" s="68">
        <v>-1.9391590776981205E-2</v>
      </c>
      <c r="U131" s="68">
        <v>-2.0971068542690853E-2</v>
      </c>
      <c r="V131" s="68">
        <v>-1.9632882130671957E-2</v>
      </c>
      <c r="W131" s="68">
        <v>-1.685046263814681E-2</v>
      </c>
      <c r="X131" s="68">
        <v>-1.8312756151463029E-2</v>
      </c>
      <c r="Y131" s="68">
        <v>-1.7144443367378411E-2</v>
      </c>
      <c r="Z131" s="67">
        <v>-1.7842255148788642E-2</v>
      </c>
      <c r="AA131" s="27">
        <v>-1.9074617004215894E-2</v>
      </c>
      <c r="AB131" s="26">
        <v>-1.894781425813993E-2</v>
      </c>
      <c r="AC131" s="25">
        <v>-1.7842255148788642E-2</v>
      </c>
      <c r="AD131" s="24" t="s">
        <v>283</v>
      </c>
    </row>
    <row r="132" spans="1:30" ht="15.75" x14ac:dyDescent="0.25">
      <c r="A132" s="32" t="s">
        <v>296</v>
      </c>
      <c r="B132" s="36"/>
      <c r="C132" s="64">
        <v>665</v>
      </c>
      <c r="D132" s="63">
        <v>547</v>
      </c>
      <c r="E132" s="63">
        <v>-1010</v>
      </c>
      <c r="F132" s="63">
        <v>2171</v>
      </c>
      <c r="G132" s="63">
        <v>669</v>
      </c>
      <c r="H132" s="63">
        <v>409</v>
      </c>
      <c r="I132" s="63">
        <v>2198</v>
      </c>
      <c r="J132" s="63">
        <v>1003</v>
      </c>
      <c r="K132" s="63">
        <v>-1563</v>
      </c>
      <c r="L132" s="62">
        <v>1018</v>
      </c>
      <c r="M132" s="24" t="s">
        <v>283</v>
      </c>
      <c r="N132" s="11"/>
      <c r="O132" s="32" t="s">
        <v>296</v>
      </c>
      <c r="P132" s="31"/>
      <c r="Q132" s="30">
        <v>5.9037642045454549E-3</v>
      </c>
      <c r="R132" s="29">
        <v>4.7074415442473691E-3</v>
      </c>
      <c r="S132" s="29">
        <v>-8.5074840589964545E-3</v>
      </c>
      <c r="T132" s="29">
        <v>1.6826196473551637E-2</v>
      </c>
      <c r="U132" s="29">
        <v>4.7253771825733178E-3</v>
      </c>
      <c r="V132" s="29">
        <v>2.6784018650583157E-3</v>
      </c>
      <c r="W132" s="29">
        <v>1.3180539814465013E-2</v>
      </c>
      <c r="X132" s="29">
        <v>5.1192013433437626E-3</v>
      </c>
      <c r="Y132" s="29">
        <v>-6.8868581298412897E-3</v>
      </c>
      <c r="Z132" s="28">
        <v>4.2015766230550167E-3</v>
      </c>
      <c r="AA132" s="27">
        <v>4.194815686200214E-3</v>
      </c>
      <c r="AB132" s="26">
        <v>4.2036805559308704E-3</v>
      </c>
      <c r="AC132" s="25">
        <v>4.2015766230550167E-3</v>
      </c>
      <c r="AD132" s="24" t="s">
        <v>283</v>
      </c>
    </row>
    <row r="133" spans="1:30" ht="16.5" thickBot="1" x14ac:dyDescent="0.3">
      <c r="A133" s="19" t="s">
        <v>282</v>
      </c>
      <c r="B133" s="23"/>
      <c r="C133" s="22">
        <v>1804.0215827338134</v>
      </c>
      <c r="D133" s="21">
        <v>1703.3684794672586</v>
      </c>
      <c r="E133" s="21">
        <v>6.7963525835866676</v>
      </c>
      <c r="F133" s="21">
        <v>3767.1109185441946</v>
      </c>
      <c r="G133" s="21">
        <v>2343.1954074741107</v>
      </c>
      <c r="H133" s="21">
        <v>2680.846799580273</v>
      </c>
      <c r="I133" s="21">
        <v>5524.5969815539411</v>
      </c>
      <c r="J133" s="21">
        <v>4687.8588323353297</v>
      </c>
      <c r="K133" s="21">
        <v>2325.5401785714284</v>
      </c>
      <c r="L133" s="20">
        <v>4787.4693059974079</v>
      </c>
      <c r="M133" s="11"/>
      <c r="N133" s="11"/>
      <c r="O133" s="19" t="s">
        <v>282</v>
      </c>
      <c r="P133" s="18"/>
      <c r="Q133" s="17">
        <v>1.6015816608077178E-2</v>
      </c>
      <c r="R133" s="16">
        <v>1.4659063154306479E-2</v>
      </c>
      <c r="S133" s="16">
        <v>5.7247387390280135E-5</v>
      </c>
      <c r="T133" s="16">
        <v>2.9196751936013909E-2</v>
      </c>
      <c r="U133" s="16">
        <v>1.6550795385334455E-2</v>
      </c>
      <c r="V133" s="16">
        <v>1.7555953711323766E-2</v>
      </c>
      <c r="W133" s="16">
        <v>3.3128830970994061E-2</v>
      </c>
      <c r="X133" s="16">
        <v>2.3926314289029853E-2</v>
      </c>
      <c r="Y133" s="16">
        <v>1.0246746823459505E-2</v>
      </c>
      <c r="Z133" s="15">
        <v>1.9759252573351802E-2</v>
      </c>
      <c r="AA133" s="14">
        <v>1.8109677283928129E-2</v>
      </c>
      <c r="AB133" s="13">
        <v>1.8488836810112118E-2</v>
      </c>
      <c r="AC133" s="12">
        <v>1.9759252573351802E-2</v>
      </c>
      <c r="AD133" s="11"/>
    </row>
    <row r="134" spans="1:30" ht="16.5" thickBot="1" x14ac:dyDescent="0.3">
      <c r="A134" s="11"/>
      <c r="B134" s="11"/>
      <c r="C134" s="31"/>
      <c r="D134" s="31"/>
      <c r="E134" s="31"/>
      <c r="F134" s="3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31"/>
      <c r="R134" s="31"/>
      <c r="S134" s="31"/>
      <c r="T134" s="31"/>
      <c r="U134" s="31"/>
      <c r="V134" s="11"/>
      <c r="W134" s="11"/>
      <c r="X134" s="11"/>
      <c r="Y134" s="11"/>
      <c r="Z134" s="11"/>
      <c r="AA134" s="11"/>
      <c r="AB134" s="11"/>
      <c r="AC134" s="11"/>
      <c r="AD134" s="11"/>
    </row>
    <row r="135" spans="1:30" ht="15.75" x14ac:dyDescent="0.25">
      <c r="A135" s="59"/>
      <c r="B135" s="58" t="s">
        <v>294</v>
      </c>
      <c r="C135" s="57">
        <v>2014</v>
      </c>
      <c r="D135" s="57">
        <v>2015</v>
      </c>
      <c r="E135" s="57">
        <v>2016</v>
      </c>
      <c r="F135" s="57">
        <v>2017</v>
      </c>
      <c r="G135" s="57">
        <v>2018</v>
      </c>
      <c r="H135" s="57">
        <v>2019</v>
      </c>
      <c r="I135" s="57">
        <v>2020</v>
      </c>
      <c r="J135" s="57">
        <v>2021</v>
      </c>
      <c r="K135" s="57">
        <v>2022</v>
      </c>
      <c r="L135" s="57">
        <v>2023</v>
      </c>
      <c r="M135" s="11"/>
      <c r="N135" s="11"/>
      <c r="O135" s="59"/>
      <c r="P135" s="58" t="s">
        <v>294</v>
      </c>
      <c r="Q135" s="57">
        <v>2014</v>
      </c>
      <c r="R135" s="57">
        <v>2015</v>
      </c>
      <c r="S135" s="57">
        <v>2016</v>
      </c>
      <c r="T135" s="57">
        <v>2017</v>
      </c>
      <c r="U135" s="57">
        <v>2018</v>
      </c>
      <c r="V135" s="57">
        <v>2019</v>
      </c>
      <c r="W135" s="57">
        <v>2020</v>
      </c>
      <c r="X135" s="57">
        <v>2021</v>
      </c>
      <c r="Y135" s="57">
        <v>2022</v>
      </c>
      <c r="Z135" s="57">
        <v>2023</v>
      </c>
      <c r="AA135" s="56" t="s">
        <v>293</v>
      </c>
      <c r="AB135" s="55" t="s">
        <v>292</v>
      </c>
      <c r="AC135" s="54" t="s">
        <v>291</v>
      </c>
      <c r="AD135" s="11"/>
    </row>
    <row r="136" spans="1:30" ht="16.5" thickBot="1" x14ac:dyDescent="0.3">
      <c r="A136" s="53" t="s">
        <v>299</v>
      </c>
      <c r="B136" s="52"/>
      <c r="C136" s="51">
        <v>-9</v>
      </c>
      <c r="D136" s="51">
        <v>-8</v>
      </c>
      <c r="E136" s="51">
        <v>-7</v>
      </c>
      <c r="F136" s="51">
        <v>-6</v>
      </c>
      <c r="G136" s="51">
        <v>-5</v>
      </c>
      <c r="H136" s="51">
        <v>-4</v>
      </c>
      <c r="I136" s="51">
        <v>-3</v>
      </c>
      <c r="J136" s="51">
        <v>-2</v>
      </c>
      <c r="K136" s="51">
        <v>-1</v>
      </c>
      <c r="L136" s="50">
        <v>0</v>
      </c>
      <c r="M136" s="46" t="s">
        <v>286</v>
      </c>
      <c r="N136" s="11"/>
      <c r="O136" s="53" t="s">
        <v>299</v>
      </c>
      <c r="P136" s="52"/>
      <c r="Q136" s="51">
        <v>-9</v>
      </c>
      <c r="R136" s="51">
        <v>-8</v>
      </c>
      <c r="S136" s="51">
        <v>-7</v>
      </c>
      <c r="T136" s="51">
        <v>-6</v>
      </c>
      <c r="U136" s="51">
        <v>-5</v>
      </c>
      <c r="V136" s="51">
        <v>-4</v>
      </c>
      <c r="W136" s="51">
        <v>-3</v>
      </c>
      <c r="X136" s="51">
        <v>-2</v>
      </c>
      <c r="Y136" s="51">
        <v>-1</v>
      </c>
      <c r="Z136" s="50">
        <v>0</v>
      </c>
      <c r="AA136" s="49" t="s">
        <v>289</v>
      </c>
      <c r="AB136" s="48" t="s">
        <v>288</v>
      </c>
      <c r="AC136" s="47" t="s">
        <v>287</v>
      </c>
      <c r="AD136" s="46" t="s">
        <v>286</v>
      </c>
    </row>
    <row r="137" spans="1:30" ht="15.75" x14ac:dyDescent="0.25">
      <c r="A137" s="32" t="s">
        <v>298</v>
      </c>
      <c r="B137" s="66"/>
      <c r="C137" s="70"/>
      <c r="D137" s="45">
        <v>3549.3684794672586</v>
      </c>
      <c r="E137" s="44">
        <v>3665.7963525835867</v>
      </c>
      <c r="F137" s="44">
        <v>4098.1109185441946</v>
      </c>
      <c r="G137" s="44">
        <v>4643.1954074741107</v>
      </c>
      <c r="H137" s="44">
        <v>5269.846799580273</v>
      </c>
      <c r="I137" s="44">
        <v>6136.5969815539411</v>
      </c>
      <c r="J137" s="44">
        <v>7272.8588323353297</v>
      </c>
      <c r="K137" s="44">
        <v>7779.5401785714284</v>
      </c>
      <c r="L137" s="43">
        <v>8092.4693059974079</v>
      </c>
      <c r="M137" s="24" t="s">
        <v>297</v>
      </c>
      <c r="N137" s="11"/>
      <c r="O137" s="32" t="s">
        <v>298</v>
      </c>
      <c r="P137" s="31"/>
      <c r="Q137" s="31"/>
      <c r="R137" s="42">
        <v>3.0545602625386265E-2</v>
      </c>
      <c r="S137" s="41">
        <v>3.0877924785279412E-2</v>
      </c>
      <c r="T137" s="41">
        <v>3.1762146239443477E-2</v>
      </c>
      <c r="U137" s="41">
        <v>3.2796486745451985E-2</v>
      </c>
      <c r="V137" s="41">
        <v>3.4510433976937406E-2</v>
      </c>
      <c r="W137" s="41">
        <v>3.6798753794675863E-2</v>
      </c>
      <c r="X137" s="41">
        <v>3.7119869097149122E-2</v>
      </c>
      <c r="Y137" s="41">
        <v>3.4278048320679204E-2</v>
      </c>
      <c r="Z137" s="40">
        <v>3.3399931099085428E-2</v>
      </c>
      <c r="AA137" s="39">
        <v>3.3565466298232018E-2</v>
      </c>
      <c r="AB137" s="38">
        <v>3.348910356593611E-2</v>
      </c>
      <c r="AC137" s="37">
        <v>3.3399931099085428E-2</v>
      </c>
      <c r="AD137" s="24" t="s">
        <v>297</v>
      </c>
    </row>
    <row r="138" spans="1:30" ht="15.75" x14ac:dyDescent="0.25">
      <c r="A138" s="32" t="s">
        <v>284</v>
      </c>
      <c r="B138" s="66"/>
      <c r="C138" s="70"/>
      <c r="D138" s="35">
        <v>-2393</v>
      </c>
      <c r="E138" s="34">
        <v>-2649</v>
      </c>
      <c r="F138" s="34">
        <v>-2502</v>
      </c>
      <c r="G138" s="34">
        <v>-2969</v>
      </c>
      <c r="H138" s="34">
        <v>-2998</v>
      </c>
      <c r="I138" s="34">
        <v>-2810</v>
      </c>
      <c r="J138" s="34">
        <v>-3588</v>
      </c>
      <c r="K138" s="34">
        <v>-3891</v>
      </c>
      <c r="L138" s="33">
        <v>-4323</v>
      </c>
      <c r="M138" s="24" t="s">
        <v>283</v>
      </c>
      <c r="N138" s="11"/>
      <c r="O138" s="32" t="s">
        <v>284</v>
      </c>
      <c r="P138" s="31"/>
      <c r="Q138" s="31"/>
      <c r="R138" s="69">
        <v>-2.0593981015327154E-2</v>
      </c>
      <c r="S138" s="68">
        <v>-2.231319333889268E-2</v>
      </c>
      <c r="T138" s="68">
        <v>-1.9391590776981205E-2</v>
      </c>
      <c r="U138" s="68">
        <v>-2.0971068542690853E-2</v>
      </c>
      <c r="V138" s="68">
        <v>-1.9632882130671957E-2</v>
      </c>
      <c r="W138" s="68">
        <v>-1.685046263814681E-2</v>
      </c>
      <c r="X138" s="68">
        <v>-1.8312756151463029E-2</v>
      </c>
      <c r="Y138" s="68">
        <v>-1.7144443367378411E-2</v>
      </c>
      <c r="Z138" s="67">
        <v>-1.7842255148788642E-2</v>
      </c>
      <c r="AA138" s="27">
        <v>-1.9228070345593418E-2</v>
      </c>
      <c r="AB138" s="26">
        <v>-1.9126996733328759E-2</v>
      </c>
      <c r="AC138" s="25">
        <v>-1.7842255148788642E-2</v>
      </c>
      <c r="AD138" s="24" t="s">
        <v>283</v>
      </c>
    </row>
    <row r="139" spans="1:30" ht="15.75" x14ac:dyDescent="0.25">
      <c r="A139" s="32" t="s">
        <v>296</v>
      </c>
      <c r="B139" s="66"/>
      <c r="C139" s="65"/>
      <c r="D139" s="64">
        <v>235</v>
      </c>
      <c r="E139" s="63">
        <v>-391</v>
      </c>
      <c r="F139" s="63">
        <v>1888</v>
      </c>
      <c r="G139" s="63">
        <v>935</v>
      </c>
      <c r="H139" s="63">
        <v>672</v>
      </c>
      <c r="I139" s="63">
        <v>2201</v>
      </c>
      <c r="J139" s="63">
        <v>1346</v>
      </c>
      <c r="K139" s="63">
        <v>-1224</v>
      </c>
      <c r="L139" s="62">
        <v>1714</v>
      </c>
      <c r="M139" s="24" t="s">
        <v>295</v>
      </c>
      <c r="N139" s="11"/>
      <c r="O139" s="32" t="s">
        <v>296</v>
      </c>
      <c r="P139" s="31"/>
      <c r="Q139" s="31"/>
      <c r="R139" s="30">
        <v>2.0223926195578274E-3</v>
      </c>
      <c r="S139" s="29">
        <v>-3.2934913535322906E-3</v>
      </c>
      <c r="T139" s="29">
        <v>1.4632823096299166E-2</v>
      </c>
      <c r="U139" s="29">
        <v>6.6042267050912583E-3</v>
      </c>
      <c r="V139" s="29">
        <v>4.4006993968684306E-3</v>
      </c>
      <c r="W139" s="29">
        <v>1.3198529632228159E-2</v>
      </c>
      <c r="X139" s="29">
        <v>6.8698355016357966E-3</v>
      </c>
      <c r="Y139" s="29">
        <v>-5.3931633723133324E-3</v>
      </c>
      <c r="Z139" s="28">
        <v>7.0741673201535349E-3</v>
      </c>
      <c r="AA139" s="27">
        <v>5.1240021717765052E-3</v>
      </c>
      <c r="AB139" s="26">
        <v>5.2680514031432446E-3</v>
      </c>
      <c r="AC139" s="25">
        <v>7.0741673201535349E-3</v>
      </c>
      <c r="AD139" s="24" t="s">
        <v>295</v>
      </c>
    </row>
    <row r="140" spans="1:30" ht="16.5" thickBot="1" x14ac:dyDescent="0.3">
      <c r="A140" s="19" t="s">
        <v>282</v>
      </c>
      <c r="B140" s="61"/>
      <c r="C140" s="60"/>
      <c r="D140" s="22">
        <v>1391.3684794672586</v>
      </c>
      <c r="E140" s="21">
        <v>625.79635258358667</v>
      </c>
      <c r="F140" s="21">
        <v>3484.1109185441946</v>
      </c>
      <c r="G140" s="21">
        <v>2609.1954074741107</v>
      </c>
      <c r="H140" s="21">
        <v>2943.846799580273</v>
      </c>
      <c r="I140" s="21">
        <v>5527.5969815539411</v>
      </c>
      <c r="J140" s="21">
        <v>5030.8588323353297</v>
      </c>
      <c r="K140" s="21">
        <v>2664.5401785714284</v>
      </c>
      <c r="L140" s="20">
        <v>5483.4693059974079</v>
      </c>
      <c r="M140" s="11"/>
      <c r="N140" s="11"/>
      <c r="O140" s="19" t="s">
        <v>282</v>
      </c>
      <c r="P140" s="18"/>
      <c r="Q140" s="18"/>
      <c r="R140" s="17">
        <v>1.1974014229616938E-2</v>
      </c>
      <c r="S140" s="16">
        <v>5.2712400928544437E-3</v>
      </c>
      <c r="T140" s="16">
        <v>2.7003378558761438E-2</v>
      </c>
      <c r="U140" s="16">
        <v>1.8429644907852396E-2</v>
      </c>
      <c r="V140" s="16">
        <v>1.9278251243133881E-2</v>
      </c>
      <c r="W140" s="16">
        <v>3.3146820788757213E-2</v>
      </c>
      <c r="X140" s="16">
        <v>2.5676948447321886E-2</v>
      </c>
      <c r="Y140" s="16">
        <v>1.1740441580987462E-2</v>
      </c>
      <c r="Z140" s="15">
        <v>2.2631843270450321E-2</v>
      </c>
      <c r="AA140" s="14">
        <v>1.9461398124415108E-2</v>
      </c>
      <c r="AB140" s="13">
        <v>1.9533503176874901E-2</v>
      </c>
      <c r="AC140" s="12">
        <v>2.2631843270450321E-2</v>
      </c>
      <c r="AD140" s="11"/>
    </row>
    <row r="141" spans="1:30" ht="16.5" thickBot="1" x14ac:dyDescent="0.3">
      <c r="A141" s="11"/>
      <c r="B141" s="11"/>
      <c r="C141" s="31"/>
      <c r="D141" s="31"/>
      <c r="E141" s="31"/>
      <c r="F141" s="3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31"/>
      <c r="R141" s="31"/>
      <c r="S141" s="31"/>
      <c r="T141" s="31"/>
      <c r="U141" s="31"/>
      <c r="V141" s="11"/>
      <c r="W141" s="11"/>
      <c r="X141" s="11"/>
      <c r="Y141" s="11"/>
      <c r="Z141" s="11"/>
      <c r="AA141" s="11"/>
      <c r="AB141" s="11"/>
      <c r="AC141" s="11"/>
      <c r="AD141" s="11"/>
    </row>
    <row r="142" spans="1:30" ht="15.75" x14ac:dyDescent="0.25">
      <c r="A142" s="59"/>
      <c r="B142" s="58" t="s">
        <v>294</v>
      </c>
      <c r="C142" s="57">
        <v>2014</v>
      </c>
      <c r="D142" s="57">
        <v>2015</v>
      </c>
      <c r="E142" s="57">
        <v>2016</v>
      </c>
      <c r="F142" s="57">
        <v>2017</v>
      </c>
      <c r="G142" s="57">
        <v>2018</v>
      </c>
      <c r="H142" s="57">
        <v>2019</v>
      </c>
      <c r="I142" s="57">
        <v>2020</v>
      </c>
      <c r="J142" s="57">
        <v>2021</v>
      </c>
      <c r="K142" s="57">
        <v>2022</v>
      </c>
      <c r="L142" s="57">
        <v>2023</v>
      </c>
      <c r="M142" s="11"/>
      <c r="N142" s="11"/>
      <c r="O142" s="59"/>
      <c r="P142" s="58" t="s">
        <v>294</v>
      </c>
      <c r="Q142" s="57">
        <v>2014</v>
      </c>
      <c r="R142" s="57">
        <v>2015</v>
      </c>
      <c r="S142" s="57">
        <v>2016</v>
      </c>
      <c r="T142" s="57">
        <v>2017</v>
      </c>
      <c r="U142" s="57">
        <v>2018</v>
      </c>
      <c r="V142" s="57">
        <v>2019</v>
      </c>
      <c r="W142" s="57">
        <v>2020</v>
      </c>
      <c r="X142" s="57">
        <v>2021</v>
      </c>
      <c r="Y142" s="57">
        <v>2022</v>
      </c>
      <c r="Z142" s="57">
        <v>2023</v>
      </c>
      <c r="AA142" s="56" t="s">
        <v>293</v>
      </c>
      <c r="AB142" s="55" t="s">
        <v>292</v>
      </c>
      <c r="AC142" s="54" t="s">
        <v>291</v>
      </c>
      <c r="AD142" s="11"/>
    </row>
    <row r="143" spans="1:30" ht="16.5" thickBot="1" x14ac:dyDescent="0.3">
      <c r="A143" s="53" t="s">
        <v>290</v>
      </c>
      <c r="B143" s="52"/>
      <c r="C143" s="51">
        <v>-9</v>
      </c>
      <c r="D143" s="51">
        <v>-8</v>
      </c>
      <c r="E143" s="51">
        <v>-7</v>
      </c>
      <c r="F143" s="51">
        <v>-6</v>
      </c>
      <c r="G143" s="51">
        <v>-5</v>
      </c>
      <c r="H143" s="51">
        <v>-4</v>
      </c>
      <c r="I143" s="51">
        <v>-3</v>
      </c>
      <c r="J143" s="51">
        <v>-2</v>
      </c>
      <c r="K143" s="51">
        <v>-1</v>
      </c>
      <c r="L143" s="50">
        <v>0</v>
      </c>
      <c r="M143" s="46" t="s">
        <v>286</v>
      </c>
      <c r="N143" s="11"/>
      <c r="O143" s="53" t="s">
        <v>290</v>
      </c>
      <c r="P143" s="52"/>
      <c r="Q143" s="51">
        <v>-9</v>
      </c>
      <c r="R143" s="51">
        <v>-8</v>
      </c>
      <c r="S143" s="51">
        <v>-7</v>
      </c>
      <c r="T143" s="51">
        <v>-6</v>
      </c>
      <c r="U143" s="51">
        <v>-5</v>
      </c>
      <c r="V143" s="51">
        <v>-4</v>
      </c>
      <c r="W143" s="51">
        <v>-3</v>
      </c>
      <c r="X143" s="51">
        <v>-2</v>
      </c>
      <c r="Y143" s="51">
        <v>-1</v>
      </c>
      <c r="Z143" s="50">
        <v>0</v>
      </c>
      <c r="AA143" s="49" t="s">
        <v>289</v>
      </c>
      <c r="AB143" s="48" t="s">
        <v>288</v>
      </c>
      <c r="AC143" s="47" t="s">
        <v>287</v>
      </c>
      <c r="AD143" s="46" t="s">
        <v>286</v>
      </c>
    </row>
    <row r="144" spans="1:30" ht="15.75" x14ac:dyDescent="0.25">
      <c r="A144" s="32" t="s">
        <v>285</v>
      </c>
      <c r="B144" s="36"/>
      <c r="C144" s="45">
        <v>3984</v>
      </c>
      <c r="D144" s="44">
        <v>4285</v>
      </c>
      <c r="E144" s="44">
        <v>3292</v>
      </c>
      <c r="F144" s="44">
        <v>6726</v>
      </c>
      <c r="G144" s="44">
        <v>5774</v>
      </c>
      <c r="H144" s="44">
        <v>6356</v>
      </c>
      <c r="I144" s="44">
        <v>8861</v>
      </c>
      <c r="J144" s="44">
        <v>8958</v>
      </c>
      <c r="K144" s="44">
        <v>7392</v>
      </c>
      <c r="L144" s="43">
        <v>11068</v>
      </c>
      <c r="M144" s="24" t="s">
        <v>283</v>
      </c>
      <c r="N144" s="11"/>
      <c r="O144" s="32" t="s">
        <v>285</v>
      </c>
      <c r="P144" s="31"/>
      <c r="Q144" s="42">
        <v>3.5369318181818182E-2</v>
      </c>
      <c r="R144" s="41">
        <v>3.6876393084277835E-2</v>
      </c>
      <c r="S144" s="41">
        <v>2.7729344081402305E-2</v>
      </c>
      <c r="T144" s="41">
        <v>5.2129432280565782E-2</v>
      </c>
      <c r="U144" s="41">
        <v>4.0783748657964629E-2</v>
      </c>
      <c r="V144" s="41">
        <v>4.1623281795380572E-2</v>
      </c>
      <c r="W144" s="41">
        <v>5.3135925066412411E-2</v>
      </c>
      <c r="X144" s="41">
        <v>4.5720643702565726E-2</v>
      </c>
      <c r="Y144" s="41">
        <v>3.2570476836715809E-2</v>
      </c>
      <c r="Z144" s="40">
        <v>4.5680795740641378E-2</v>
      </c>
      <c r="AA144" s="39">
        <v>4.1161935942774466E-2</v>
      </c>
      <c r="AB144" s="38">
        <v>4.1344261284991246E-2</v>
      </c>
      <c r="AC144" s="37">
        <v>4.5680795740641378E-2</v>
      </c>
      <c r="AD144" s="24" t="s">
        <v>283</v>
      </c>
    </row>
    <row r="145" spans="1:30" ht="15.75" x14ac:dyDescent="0.25">
      <c r="A145" s="32" t="s">
        <v>284</v>
      </c>
      <c r="B145" s="36"/>
      <c r="C145" s="35">
        <v>-1993</v>
      </c>
      <c r="D145" s="34">
        <v>-2393</v>
      </c>
      <c r="E145" s="34">
        <v>-2649</v>
      </c>
      <c r="F145" s="34">
        <v>-2502</v>
      </c>
      <c r="G145" s="34">
        <v>-2969</v>
      </c>
      <c r="H145" s="34">
        <v>-2998</v>
      </c>
      <c r="I145" s="34">
        <v>-2810</v>
      </c>
      <c r="J145" s="34">
        <v>-3588</v>
      </c>
      <c r="K145" s="34">
        <v>-3891</v>
      </c>
      <c r="L145" s="33">
        <v>-4323</v>
      </c>
      <c r="M145" s="24" t="s">
        <v>283</v>
      </c>
      <c r="N145" s="11"/>
      <c r="O145" s="32" t="s">
        <v>284</v>
      </c>
      <c r="P145" s="31"/>
      <c r="Q145" s="30">
        <v>-1.7693536931818181E-2</v>
      </c>
      <c r="R145" s="29">
        <v>-2.0593981015327154E-2</v>
      </c>
      <c r="S145" s="29">
        <v>-2.231319333889268E-2</v>
      </c>
      <c r="T145" s="29">
        <v>-1.9391590776981205E-2</v>
      </c>
      <c r="U145" s="29">
        <v>-2.0971068542690853E-2</v>
      </c>
      <c r="V145" s="29">
        <v>-1.9632882130671957E-2</v>
      </c>
      <c r="W145" s="29">
        <v>-1.685046263814681E-2</v>
      </c>
      <c r="X145" s="29">
        <v>-1.8312756151463029E-2</v>
      </c>
      <c r="Y145" s="29">
        <v>-1.7144443367378411E-2</v>
      </c>
      <c r="Z145" s="28">
        <v>-1.7842255148788642E-2</v>
      </c>
      <c r="AA145" s="27">
        <v>-1.9074617004215894E-2</v>
      </c>
      <c r="AB145" s="26">
        <v>-1.894781425813993E-2</v>
      </c>
      <c r="AC145" s="25">
        <v>-1.7842255148788642E-2</v>
      </c>
      <c r="AD145" s="24" t="s">
        <v>283</v>
      </c>
    </row>
    <row r="146" spans="1:30" ht="16.5" thickBot="1" x14ac:dyDescent="0.3">
      <c r="A146" s="19" t="s">
        <v>282</v>
      </c>
      <c r="B146" s="23"/>
      <c r="C146" s="22">
        <v>1991</v>
      </c>
      <c r="D146" s="21">
        <v>1892</v>
      </c>
      <c r="E146" s="21">
        <v>643</v>
      </c>
      <c r="F146" s="21">
        <v>4224</v>
      </c>
      <c r="G146" s="21">
        <v>2805</v>
      </c>
      <c r="H146" s="21">
        <v>3358</v>
      </c>
      <c r="I146" s="21">
        <v>6051</v>
      </c>
      <c r="J146" s="21">
        <v>5370</v>
      </c>
      <c r="K146" s="21">
        <v>3501</v>
      </c>
      <c r="L146" s="20">
        <v>6745</v>
      </c>
      <c r="M146" s="11"/>
      <c r="N146" s="11"/>
      <c r="O146" s="19" t="s">
        <v>282</v>
      </c>
      <c r="P146" s="18"/>
      <c r="Q146" s="17">
        <v>1.7675781250000001E-2</v>
      </c>
      <c r="R146" s="16">
        <v>1.6282412068950678E-2</v>
      </c>
      <c r="S146" s="16">
        <v>5.4161507425096239E-3</v>
      </c>
      <c r="T146" s="16">
        <v>3.2737841503584574E-2</v>
      </c>
      <c r="U146" s="16">
        <v>1.9812680115273776E-2</v>
      </c>
      <c r="V146" s="16">
        <v>2.1990399664708619E-2</v>
      </c>
      <c r="W146" s="16">
        <v>3.6285462428265601E-2</v>
      </c>
      <c r="X146" s="16">
        <v>2.7407887551102697E-2</v>
      </c>
      <c r="Y146" s="16">
        <v>1.5426033469337399E-2</v>
      </c>
      <c r="Z146" s="15">
        <v>2.7838540591852739E-2</v>
      </c>
      <c r="AA146" s="14">
        <v>2.2087318938558573E-2</v>
      </c>
      <c r="AB146" s="13">
        <v>2.2396447026851313E-2</v>
      </c>
      <c r="AC146" s="12">
        <v>2.7838540591852739E-2</v>
      </c>
      <c r="AD146" s="11"/>
    </row>
    <row r="1000" spans="648:648" ht="15.75" x14ac:dyDescent="0.25">
      <c r="XX1000" s="10">
        <v>117383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AB040-D03D-4D43-915D-9C760E394424}">
  <dimension ref="A1:XX1000"/>
  <sheetViews>
    <sheetView topLeftCell="F27" zoomScale="42" zoomScaleNormal="42" workbookViewId="0">
      <selection activeCell="R109" sqref="R109"/>
    </sheetView>
  </sheetViews>
  <sheetFormatPr defaultColWidth="7.75" defaultRowHeight="15" x14ac:dyDescent="0.25"/>
  <cols>
    <col min="1" max="1" width="32.75" style="276" customWidth="1"/>
    <col min="2" max="2" width="13.625" style="276" bestFit="1" customWidth="1"/>
    <col min="3" max="5" width="13.625" style="276" customWidth="1"/>
    <col min="6" max="6" width="10.875" style="276" bestFit="1" customWidth="1"/>
    <col min="7" max="7" width="11.625" style="276" bestFit="1" customWidth="1"/>
    <col min="8" max="9" width="12" style="276" bestFit="1" customWidth="1"/>
    <col min="10" max="11" width="12.375" style="276" bestFit="1" customWidth="1"/>
    <col min="12" max="12" width="12" style="276" bestFit="1" customWidth="1"/>
    <col min="13" max="13" width="13.5" style="276" bestFit="1" customWidth="1"/>
    <col min="14" max="14" width="16.75" style="276" bestFit="1" customWidth="1"/>
    <col min="15" max="15" width="12" style="276" bestFit="1" customWidth="1"/>
    <col min="16" max="16" width="21.375" style="276" customWidth="1"/>
    <col min="17" max="16384" width="7.75" style="9"/>
  </cols>
  <sheetData>
    <row r="1" spans="1:16" ht="16.5" thickBot="1" x14ac:dyDescent="0.3">
      <c r="A1" s="333" t="s">
        <v>410</v>
      </c>
      <c r="B1" s="332" t="s">
        <v>280</v>
      </c>
      <c r="C1" s="331" t="s">
        <v>366</v>
      </c>
      <c r="D1" s="330" t="s">
        <v>278</v>
      </c>
      <c r="E1" s="329"/>
      <c r="F1" s="263"/>
      <c r="I1" s="11"/>
      <c r="J1" s="11"/>
      <c r="K1" s="11"/>
      <c r="L1" s="11"/>
      <c r="M1" s="11"/>
      <c r="N1" s="328" t="s">
        <v>289</v>
      </c>
      <c r="O1" s="11"/>
      <c r="P1" s="11"/>
    </row>
    <row r="2" spans="1:16" ht="15.75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327" t="s">
        <v>409</v>
      </c>
      <c r="O2" s="11"/>
      <c r="P2" s="11"/>
    </row>
    <row r="3" spans="1:16" ht="16.5" thickBot="1" x14ac:dyDescent="0.3">
      <c r="A3" s="11"/>
      <c r="B3" s="72"/>
      <c r="C3" s="72"/>
      <c r="D3" s="72"/>
      <c r="E3" s="72"/>
      <c r="F3" s="72"/>
      <c r="G3" s="11"/>
      <c r="H3" s="11"/>
      <c r="I3" s="11"/>
      <c r="J3" s="11"/>
      <c r="K3" s="11"/>
      <c r="L3" s="11"/>
      <c r="M3" s="11"/>
      <c r="N3" s="326" t="s">
        <v>288</v>
      </c>
      <c r="O3" s="11"/>
      <c r="P3" s="11"/>
    </row>
    <row r="4" spans="1:16" ht="15.75" x14ac:dyDescent="0.25">
      <c r="A4" s="59"/>
      <c r="B4" s="58" t="s">
        <v>294</v>
      </c>
      <c r="C4" s="57">
        <v>2014</v>
      </c>
      <c r="D4" s="57">
        <v>2015</v>
      </c>
      <c r="E4" s="57">
        <v>2016</v>
      </c>
      <c r="F4" s="57">
        <v>2017</v>
      </c>
      <c r="G4" s="57">
        <v>2018</v>
      </c>
      <c r="H4" s="57">
        <v>2019</v>
      </c>
      <c r="I4" s="57">
        <v>2020</v>
      </c>
      <c r="J4" s="57">
        <v>2021</v>
      </c>
      <c r="K4" s="57">
        <v>2022</v>
      </c>
      <c r="L4" s="57">
        <v>2023</v>
      </c>
      <c r="M4" s="56" t="s">
        <v>293</v>
      </c>
      <c r="N4" s="55" t="s">
        <v>292</v>
      </c>
      <c r="O4" s="54" t="s">
        <v>291</v>
      </c>
      <c r="P4" s="24" t="s">
        <v>408</v>
      </c>
    </row>
    <row r="5" spans="1:16" ht="24" customHeight="1" thickBot="1" x14ac:dyDescent="0.3">
      <c r="A5" s="53" t="s">
        <v>407</v>
      </c>
      <c r="B5" s="52"/>
      <c r="C5" s="51">
        <v>-9</v>
      </c>
      <c r="D5" s="51">
        <v>-8</v>
      </c>
      <c r="E5" s="51">
        <v>-7</v>
      </c>
      <c r="F5" s="51">
        <v>-6</v>
      </c>
      <c r="G5" s="51">
        <v>-5</v>
      </c>
      <c r="H5" s="51">
        <v>-4</v>
      </c>
      <c r="I5" s="51">
        <v>-3</v>
      </c>
      <c r="J5" s="51">
        <v>-2</v>
      </c>
      <c r="K5" s="51">
        <v>-1</v>
      </c>
      <c r="L5" s="50">
        <v>0</v>
      </c>
      <c r="M5" s="49" t="s">
        <v>289</v>
      </c>
      <c r="N5" s="48" t="s">
        <v>288</v>
      </c>
      <c r="O5" s="48" t="s">
        <v>287</v>
      </c>
      <c r="P5" s="325"/>
    </row>
    <row r="6" spans="1:16" ht="15.75" x14ac:dyDescent="0.25">
      <c r="A6" s="32" t="s">
        <v>406</v>
      </c>
      <c r="B6" s="31"/>
      <c r="C6" s="324">
        <v>1.2203719122953094</v>
      </c>
      <c r="D6" s="323">
        <v>1.045888754534462</v>
      </c>
      <c r="E6" s="323">
        <v>0.97707865168539321</v>
      </c>
      <c r="F6" s="323">
        <v>0.98982566447556442</v>
      </c>
      <c r="G6" s="323">
        <v>1.0182174043962662</v>
      </c>
      <c r="H6" s="323">
        <v>1.0106726341610364</v>
      </c>
      <c r="I6" s="323">
        <v>1.1318628240218966</v>
      </c>
      <c r="J6" s="323">
        <v>1.0021738392038313</v>
      </c>
      <c r="K6" s="323">
        <v>1.0218138633664604</v>
      </c>
      <c r="L6" s="322">
        <v>1.0683679242473871</v>
      </c>
      <c r="M6" s="284">
        <v>1.0486273472387606</v>
      </c>
      <c r="N6" s="283">
        <v>1.0361028635508631</v>
      </c>
      <c r="O6" s="282">
        <v>1.0683679242473871</v>
      </c>
      <c r="P6" s="24"/>
    </row>
    <row r="7" spans="1:16" ht="15.75" x14ac:dyDescent="0.25">
      <c r="A7" s="32" t="s">
        <v>405</v>
      </c>
      <c r="B7" s="300"/>
      <c r="C7" s="321">
        <v>0.58721898417985008</v>
      </c>
      <c r="D7" s="320">
        <v>0.4620918984280532</v>
      </c>
      <c r="E7" s="320">
        <v>0.38401284109149275</v>
      </c>
      <c r="F7" s="320">
        <v>0.41217490711631893</v>
      </c>
      <c r="G7" s="320">
        <v>0.44805781391147242</v>
      </c>
      <c r="H7" s="320">
        <v>0.47247923570168265</v>
      </c>
      <c r="I7" s="320">
        <v>0.59793109000161004</v>
      </c>
      <c r="J7" s="320">
        <v>0.47478006861179989</v>
      </c>
      <c r="K7" s="320">
        <v>0.41533845865366587</v>
      </c>
      <c r="L7" s="319">
        <v>0.52166274603221863</v>
      </c>
      <c r="M7" s="297">
        <v>0.47757480437281641</v>
      </c>
      <c r="N7" s="296">
        <v>0.47422551407938274</v>
      </c>
      <c r="O7" s="295">
        <v>0.52166274603221863</v>
      </c>
      <c r="P7" s="24"/>
    </row>
    <row r="8" spans="1:16" ht="16.5" thickBot="1" x14ac:dyDescent="0.3">
      <c r="A8" s="32" t="s">
        <v>404</v>
      </c>
      <c r="B8" s="31"/>
      <c r="C8" s="318">
        <v>0.50756314182625595</v>
      </c>
      <c r="D8" s="317">
        <v>0.38808948004836757</v>
      </c>
      <c r="E8" s="317">
        <v>0.30362760834670949</v>
      </c>
      <c r="F8" s="317">
        <v>0.33032294941411833</v>
      </c>
      <c r="G8" s="317">
        <v>0.36429790223828162</v>
      </c>
      <c r="H8" s="317">
        <v>0.40642079442268797</v>
      </c>
      <c r="I8" s="317">
        <v>0.5355417807116406</v>
      </c>
      <c r="J8" s="317">
        <v>0.4135389422913624</v>
      </c>
      <c r="K8" s="317">
        <v>0.34530283142696416</v>
      </c>
      <c r="L8" s="316">
        <v>0.45362236846023285</v>
      </c>
      <c r="M8" s="279">
        <v>0.40483277991866207</v>
      </c>
      <c r="N8" s="278">
        <v>0.4011448012660338</v>
      </c>
      <c r="O8" s="277">
        <v>0.45362236846023285</v>
      </c>
      <c r="P8" s="24"/>
    </row>
    <row r="9" spans="1:16" ht="15.75" x14ac:dyDescent="0.25">
      <c r="A9" s="32"/>
      <c r="B9" s="31"/>
      <c r="C9" s="31"/>
      <c r="D9" s="31"/>
      <c r="E9" s="31"/>
      <c r="F9" s="31"/>
      <c r="G9" s="31"/>
      <c r="H9" s="31"/>
      <c r="I9" s="31"/>
      <c r="J9" s="31"/>
      <c r="K9" s="31"/>
      <c r="L9" s="99"/>
      <c r="M9" s="310"/>
      <c r="N9" s="309"/>
      <c r="O9" s="309"/>
      <c r="P9" s="315"/>
    </row>
    <row r="10" spans="1:16" ht="15.75" x14ac:dyDescent="0.25">
      <c r="A10" s="53"/>
      <c r="B10" s="290" t="s">
        <v>294</v>
      </c>
      <c r="C10" s="253">
        <v>2014</v>
      </c>
      <c r="D10" s="253">
        <v>2015</v>
      </c>
      <c r="E10" s="253">
        <v>2016</v>
      </c>
      <c r="F10" s="253">
        <v>2017</v>
      </c>
      <c r="G10" s="253">
        <v>2018</v>
      </c>
      <c r="H10" s="253">
        <v>2019</v>
      </c>
      <c r="I10" s="253">
        <v>2020</v>
      </c>
      <c r="J10" s="253">
        <v>2021</v>
      </c>
      <c r="K10" s="253">
        <v>2022</v>
      </c>
      <c r="L10" s="253">
        <v>2023</v>
      </c>
      <c r="M10" s="289" t="s">
        <v>293</v>
      </c>
      <c r="N10" s="288" t="s">
        <v>292</v>
      </c>
      <c r="O10" s="287" t="s">
        <v>291</v>
      </c>
      <c r="P10" s="24"/>
    </row>
    <row r="11" spans="1:16" ht="16.5" thickBot="1" x14ac:dyDescent="0.3">
      <c r="A11" s="53" t="s">
        <v>403</v>
      </c>
      <c r="B11" s="52" t="s">
        <v>307</v>
      </c>
      <c r="C11" s="51">
        <v>-9</v>
      </c>
      <c r="D11" s="51">
        <v>-8</v>
      </c>
      <c r="E11" s="51">
        <v>-7</v>
      </c>
      <c r="F11" s="51">
        <v>-6</v>
      </c>
      <c r="G11" s="51">
        <v>-5</v>
      </c>
      <c r="H11" s="51">
        <v>-4</v>
      </c>
      <c r="I11" s="51">
        <v>-3</v>
      </c>
      <c r="J11" s="51">
        <v>-2</v>
      </c>
      <c r="K11" s="51">
        <v>-1</v>
      </c>
      <c r="L11" s="50">
        <v>0</v>
      </c>
      <c r="M11" s="49" t="s">
        <v>289</v>
      </c>
      <c r="N11" s="48" t="s">
        <v>288</v>
      </c>
      <c r="O11" s="47" t="s">
        <v>287</v>
      </c>
      <c r="P11" s="24"/>
    </row>
    <row r="12" spans="1:16" ht="15.75" x14ac:dyDescent="0.25">
      <c r="A12" s="32" t="s">
        <v>402</v>
      </c>
      <c r="B12" s="31"/>
      <c r="C12" s="314">
        <v>3.4108527131782944</v>
      </c>
      <c r="D12" s="313">
        <v>3.4748504784688996</v>
      </c>
      <c r="E12" s="313">
        <v>3.5798631004432653</v>
      </c>
      <c r="F12" s="313">
        <v>3.5498115387789912</v>
      </c>
      <c r="G12" s="313">
        <v>3.4674504041146217</v>
      </c>
      <c r="H12" s="313">
        <v>3.363502202643172</v>
      </c>
      <c r="I12" s="313">
        <v>3.001673986608107</v>
      </c>
      <c r="J12" s="313">
        <v>3.3058142673955593</v>
      </c>
      <c r="K12" s="313">
        <v>3.5369822024124926</v>
      </c>
      <c r="L12" s="312">
        <v>3.5117546453314783</v>
      </c>
      <c r="M12" s="284">
        <v>3.4202555539374879</v>
      </c>
      <c r="N12" s="283">
        <v>3.452627306540438</v>
      </c>
      <c r="O12" s="282">
        <v>3.5117546453314783</v>
      </c>
      <c r="P12" s="24"/>
    </row>
    <row r="13" spans="1:16" ht="15.75" x14ac:dyDescent="0.25">
      <c r="A13" s="32" t="s">
        <v>401</v>
      </c>
      <c r="B13" s="300"/>
      <c r="C13" s="299">
        <v>7.2972272609484321</v>
      </c>
      <c r="D13" s="76">
        <v>7.1989963447122234</v>
      </c>
      <c r="E13" s="76">
        <v>6.6157146837559209</v>
      </c>
      <c r="F13" s="76">
        <v>6.7800840777719387</v>
      </c>
      <c r="G13" s="76">
        <v>6.8923616182269605</v>
      </c>
      <c r="H13" s="76">
        <v>6.9679671457905545</v>
      </c>
      <c r="I13" s="76">
        <v>6.0781819507216799</v>
      </c>
      <c r="J13" s="76">
        <v>6.5829721466250044</v>
      </c>
      <c r="K13" s="76">
        <v>7.2117572291070857</v>
      </c>
      <c r="L13" s="298">
        <v>7.3166238864562887</v>
      </c>
      <c r="M13" s="297">
        <v>6.8941886344116083</v>
      </c>
      <c r="N13" s="296">
        <v>6.9433850633672645</v>
      </c>
      <c r="O13" s="295">
        <v>7.3166238864562887</v>
      </c>
      <c r="P13" s="24"/>
    </row>
    <row r="14" spans="1:16" ht="15.75" x14ac:dyDescent="0.25">
      <c r="A14" s="32" t="s">
        <v>400</v>
      </c>
      <c r="B14" s="300"/>
      <c r="C14" s="299">
        <v>11.521877956480605</v>
      </c>
      <c r="D14" s="76">
        <v>11.218904355635384</v>
      </c>
      <c r="E14" s="76">
        <v>11.333036012933437</v>
      </c>
      <c r="F14" s="76">
        <v>11.242932682529998</v>
      </c>
      <c r="G14" s="76">
        <v>11.024909420289855</v>
      </c>
      <c r="H14" s="76">
        <v>11.530846862659061</v>
      </c>
      <c r="I14" s="76">
        <v>11.696291455644502</v>
      </c>
      <c r="J14" s="76">
        <v>11.882026028842771</v>
      </c>
      <c r="K14" s="76">
        <v>11.028201262076283</v>
      </c>
      <c r="L14" s="298">
        <v>12.642423878445738</v>
      </c>
      <c r="M14" s="297">
        <v>11.512144991553765</v>
      </c>
      <c r="N14" s="296">
        <v>11.431764577100255</v>
      </c>
      <c r="O14" s="295">
        <v>12.642423878445738</v>
      </c>
      <c r="P14" s="24"/>
    </row>
    <row r="15" spans="1:16" ht="15.75" x14ac:dyDescent="0.25">
      <c r="A15" s="32" t="s">
        <v>399</v>
      </c>
      <c r="B15" s="300"/>
      <c r="C15" s="299">
        <v>31.678863582711511</v>
      </c>
      <c r="D15" s="76">
        <v>32.534371310212329</v>
      </c>
      <c r="E15" s="76">
        <v>32.206727269149795</v>
      </c>
      <c r="F15" s="76">
        <v>32.464839051038773</v>
      </c>
      <c r="G15" s="76">
        <v>33.106847964507253</v>
      </c>
      <c r="H15" s="76">
        <v>31.654223176096323</v>
      </c>
      <c r="I15" s="76">
        <v>31.206472699844959</v>
      </c>
      <c r="J15" s="76">
        <v>30.718666927171213</v>
      </c>
      <c r="K15" s="76">
        <v>33.096965799414633</v>
      </c>
      <c r="L15" s="298">
        <v>28.871045893524741</v>
      </c>
      <c r="M15" s="297">
        <v>31.753902367367154</v>
      </c>
      <c r="N15" s="296">
        <v>31.945141226954938</v>
      </c>
      <c r="O15" s="295">
        <v>28.871045893524741</v>
      </c>
      <c r="P15" s="24"/>
    </row>
    <row r="16" spans="1:16" ht="15.75" x14ac:dyDescent="0.25">
      <c r="A16" s="32" t="s">
        <v>398</v>
      </c>
      <c r="B16" s="300"/>
      <c r="C16" s="299">
        <v>3.7199928977272725</v>
      </c>
      <c r="D16" s="76">
        <v>3.844783517930447</v>
      </c>
      <c r="E16" s="76">
        <v>3.8492574903764352</v>
      </c>
      <c r="F16" s="76">
        <v>4.0509978686301107</v>
      </c>
      <c r="G16" s="76">
        <v>4.3028832570492179</v>
      </c>
      <c r="H16" s="76">
        <v>3.6690503788399704</v>
      </c>
      <c r="I16" s="76">
        <v>3.3925797998332947</v>
      </c>
      <c r="J16" s="76">
        <v>3.3588442752221468</v>
      </c>
      <c r="K16" s="76">
        <v>3.6041003903874795</v>
      </c>
      <c r="L16" s="298">
        <v>3.4422592760741262</v>
      </c>
      <c r="M16" s="297">
        <v>3.7234749152070505</v>
      </c>
      <c r="N16" s="296">
        <v>3.6966277024748928</v>
      </c>
      <c r="O16" s="295">
        <v>3.4422592760741262</v>
      </c>
      <c r="P16" s="24"/>
    </row>
    <row r="17" spans="1:15" ht="15.75" x14ac:dyDescent="0.25">
      <c r="A17" s="32" t="s">
        <v>397</v>
      </c>
      <c r="B17" s="300"/>
      <c r="C17" s="299">
        <v>31.809984706812141</v>
      </c>
      <c r="D17" s="76">
        <v>32.91055454381717</v>
      </c>
      <c r="E17" s="76">
        <v>27.33388426499813</v>
      </c>
      <c r="F17" s="76">
        <v>31.718748586778577</v>
      </c>
      <c r="G17" s="76">
        <v>33.697613276917387</v>
      </c>
      <c r="H17" s="76">
        <v>32.443148088953834</v>
      </c>
      <c r="I17" s="76">
        <v>36.126297263698966</v>
      </c>
      <c r="J17" s="76">
        <v>35.176817463277736</v>
      </c>
      <c r="K17" s="76">
        <v>32.987917886187098</v>
      </c>
      <c r="L17" s="298">
        <v>30.313644547264015</v>
      </c>
      <c r="M17" s="297">
        <v>32.451861062870513</v>
      </c>
      <c r="N17" s="296">
        <v>32.632303637501003</v>
      </c>
      <c r="O17" s="295">
        <v>30.313644547264015</v>
      </c>
    </row>
    <row r="18" spans="1:15" ht="16.5" thickBot="1" x14ac:dyDescent="0.3">
      <c r="A18" s="32" t="s">
        <v>396</v>
      </c>
      <c r="B18" s="300"/>
      <c r="C18" s="293">
        <v>3.5888717736266393</v>
      </c>
      <c r="D18" s="292">
        <v>3.4686002843256034</v>
      </c>
      <c r="E18" s="292">
        <v>8.7221004945281031</v>
      </c>
      <c r="F18" s="292">
        <v>4.7970883328903078</v>
      </c>
      <c r="G18" s="292">
        <v>3.7121179446390826</v>
      </c>
      <c r="H18" s="292">
        <v>2.8801254659824593</v>
      </c>
      <c r="I18" s="292">
        <v>-1.5272447640207147</v>
      </c>
      <c r="J18" s="292">
        <v>-1.0993062608843758</v>
      </c>
      <c r="K18" s="292">
        <v>3.7131483036150144</v>
      </c>
      <c r="L18" s="291">
        <v>1.9996606223348543</v>
      </c>
      <c r="M18" s="279">
        <v>3.0255162197036976</v>
      </c>
      <c r="N18" s="278">
        <v>2.8825383083161982</v>
      </c>
      <c r="O18" s="277">
        <v>1.9996606223348543</v>
      </c>
    </row>
    <row r="19" spans="1:15" ht="15.75" x14ac:dyDescent="0.25">
      <c r="A19" s="32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99"/>
      <c r="M19" s="310"/>
      <c r="N19" s="309"/>
      <c r="O19" s="309"/>
    </row>
    <row r="20" spans="1:15" ht="15.75" x14ac:dyDescent="0.25">
      <c r="A20" s="53"/>
      <c r="B20" s="290" t="s">
        <v>294</v>
      </c>
      <c r="C20" s="253">
        <v>2014</v>
      </c>
      <c r="D20" s="253">
        <v>2015</v>
      </c>
      <c r="E20" s="253">
        <v>2016</v>
      </c>
      <c r="F20" s="253">
        <v>2017</v>
      </c>
      <c r="G20" s="253">
        <v>2018</v>
      </c>
      <c r="H20" s="253">
        <v>2019</v>
      </c>
      <c r="I20" s="253">
        <v>2020</v>
      </c>
      <c r="J20" s="253">
        <v>2021</v>
      </c>
      <c r="K20" s="253">
        <v>2022</v>
      </c>
      <c r="L20" s="253">
        <v>2023</v>
      </c>
      <c r="M20" s="289" t="s">
        <v>293</v>
      </c>
      <c r="N20" s="288" t="s">
        <v>292</v>
      </c>
      <c r="O20" s="287" t="s">
        <v>291</v>
      </c>
    </row>
    <row r="21" spans="1:15" ht="16.5" thickBot="1" x14ac:dyDescent="0.3">
      <c r="A21" s="53" t="s">
        <v>395</v>
      </c>
      <c r="B21" s="52" t="s">
        <v>307</v>
      </c>
      <c r="C21" s="51">
        <v>-9</v>
      </c>
      <c r="D21" s="51">
        <v>-8</v>
      </c>
      <c r="E21" s="51">
        <v>-7</v>
      </c>
      <c r="F21" s="51">
        <v>-6</v>
      </c>
      <c r="G21" s="51">
        <v>-5</v>
      </c>
      <c r="H21" s="51">
        <v>-4</v>
      </c>
      <c r="I21" s="51">
        <v>-3</v>
      </c>
      <c r="J21" s="51">
        <v>-2</v>
      </c>
      <c r="K21" s="51">
        <v>-1</v>
      </c>
      <c r="L21" s="50">
        <v>0</v>
      </c>
      <c r="M21" s="49" t="s">
        <v>289</v>
      </c>
      <c r="N21" s="48" t="s">
        <v>288</v>
      </c>
      <c r="O21" s="47" t="s">
        <v>287</v>
      </c>
    </row>
    <row r="22" spans="1:15" ht="15.75" x14ac:dyDescent="0.25">
      <c r="A22" s="32" t="s">
        <v>394</v>
      </c>
      <c r="B22" s="300"/>
      <c r="C22" s="314">
        <v>0.16006540697674418</v>
      </c>
      <c r="D22" s="313">
        <v>0.19267344497607655</v>
      </c>
      <c r="E22" s="313">
        <v>0.16690287368452794</v>
      </c>
      <c r="F22" s="313">
        <v>0.19366109995322861</v>
      </c>
      <c r="G22" s="313">
        <v>0.17080578006367866</v>
      </c>
      <c r="H22" s="313">
        <v>0.15955947136563878</v>
      </c>
      <c r="I22" s="313">
        <v>0.19954640362877096</v>
      </c>
      <c r="J22" s="313">
        <v>0.19246473645137344</v>
      </c>
      <c r="K22" s="313">
        <v>0.16996540223794532</v>
      </c>
      <c r="L22" s="312">
        <v>0.15270893121140969</v>
      </c>
      <c r="M22" s="284">
        <v>0.17583535505493941</v>
      </c>
      <c r="N22" s="283">
        <v>0.17576227696365168</v>
      </c>
      <c r="O22" s="282">
        <v>0.15270893121140969</v>
      </c>
    </row>
    <row r="23" spans="1:15" ht="15.75" x14ac:dyDescent="0.25">
      <c r="A23" s="32" t="s">
        <v>393</v>
      </c>
      <c r="B23" s="300"/>
      <c r="C23" s="299">
        <v>0.42965130455986345</v>
      </c>
      <c r="D23" s="76">
        <v>0.60685692756899312</v>
      </c>
      <c r="E23" s="76">
        <v>0.45823329745839886</v>
      </c>
      <c r="F23" s="76">
        <v>0.65308962701799966</v>
      </c>
      <c r="G23" s="76">
        <v>0.54488631924369091</v>
      </c>
      <c r="H23" s="76">
        <v>0.47523453388440595</v>
      </c>
      <c r="I23" s="76">
        <v>0.60632246773134979</v>
      </c>
      <c r="J23" s="76">
        <v>0.64945342746526991</v>
      </c>
      <c r="K23" s="76">
        <v>0.5283402771049317</v>
      </c>
      <c r="L23" s="298">
        <v>0.42046452230824488</v>
      </c>
      <c r="M23" s="297">
        <v>0.53725327043431481</v>
      </c>
      <c r="N23" s="296">
        <v>0.53737231937711294</v>
      </c>
      <c r="O23" s="295">
        <v>0.42046452230824488</v>
      </c>
    </row>
    <row r="24" spans="1:15" ht="15.75" x14ac:dyDescent="0.25">
      <c r="A24" s="32" t="s">
        <v>392</v>
      </c>
      <c r="B24" s="300"/>
      <c r="C24" s="299">
        <v>0.15985343992248063</v>
      </c>
      <c r="D24" s="76">
        <v>0.15400717703349281</v>
      </c>
      <c r="E24" s="76">
        <v>0.13343183668546271</v>
      </c>
      <c r="F24" s="76">
        <v>0.19110242936143285</v>
      </c>
      <c r="G24" s="76">
        <v>0.16843007592456527</v>
      </c>
      <c r="H24" s="76">
        <v>0.12156387665198237</v>
      </c>
      <c r="I24" s="76">
        <v>0.19312045503635972</v>
      </c>
      <c r="J24" s="76">
        <v>0.17402308159546467</v>
      </c>
      <c r="K24" s="76">
        <v>0.16128479256927344</v>
      </c>
      <c r="L24" s="298">
        <v>0.13198249123112155</v>
      </c>
      <c r="M24" s="297">
        <v>0.1588799656011636</v>
      </c>
      <c r="N24" s="296">
        <v>0.15926441554041174</v>
      </c>
      <c r="O24" s="295">
        <v>0.13198249123112155</v>
      </c>
    </row>
    <row r="25" spans="1:15" ht="15.75" x14ac:dyDescent="0.25">
      <c r="A25" s="32" t="s">
        <v>391</v>
      </c>
      <c r="B25" s="300"/>
      <c r="C25" s="299">
        <v>0.42908233764122572</v>
      </c>
      <c r="D25" s="76">
        <v>0.48507111236695866</v>
      </c>
      <c r="E25" s="76">
        <v>0.36633827303584732</v>
      </c>
      <c r="F25" s="76">
        <v>0.64446093894971235</v>
      </c>
      <c r="G25" s="76">
        <v>0.53730760215641848</v>
      </c>
      <c r="H25" s="76">
        <v>0.36206783441579743</v>
      </c>
      <c r="I25" s="76">
        <v>0.58679719973747535</v>
      </c>
      <c r="J25" s="76">
        <v>0.58722386700068319</v>
      </c>
      <c r="K25" s="76">
        <v>0.50135645770758652</v>
      </c>
      <c r="L25" s="298">
        <v>0.3633969191475776</v>
      </c>
      <c r="M25" s="297">
        <v>0.48631025421592822</v>
      </c>
      <c r="N25" s="296">
        <v>0.48207172109922158</v>
      </c>
      <c r="O25" s="295">
        <v>0.3633969191475776</v>
      </c>
    </row>
    <row r="26" spans="1:15" ht="16.5" thickBot="1" x14ac:dyDescent="0.3">
      <c r="A26" s="32" t="s">
        <v>390</v>
      </c>
      <c r="B26" s="300"/>
      <c r="C26" s="293">
        <v>28.495575221238937</v>
      </c>
      <c r="D26" s="292">
        <v>29.225806451612904</v>
      </c>
      <c r="E26" s="292">
        <v>27.609022556390979</v>
      </c>
      <c r="F26" s="292">
        <v>30.298507462686569</v>
      </c>
      <c r="G26" s="292">
        <v>28.176100628930818</v>
      </c>
      <c r="H26" s="292">
        <v>32.4</v>
      </c>
      <c r="I26" s="292">
        <v>37.118749999999999</v>
      </c>
      <c r="J26" s="292">
        <v>42.239766081871345</v>
      </c>
      <c r="K26" s="292">
        <v>49.322784810126585</v>
      </c>
      <c r="L26" s="292">
        <v>50.712499999999999</v>
      </c>
      <c r="M26" s="279">
        <v>35.559881321285815</v>
      </c>
      <c r="N26" s="278">
        <v>34.659661332058398</v>
      </c>
      <c r="O26" s="277">
        <v>50.712499999999999</v>
      </c>
    </row>
    <row r="27" spans="1:15" ht="15.75" x14ac:dyDescent="0.25">
      <c r="A27" s="32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99"/>
      <c r="M27" s="310"/>
      <c r="N27" s="309"/>
      <c r="O27" s="309"/>
    </row>
    <row r="28" spans="1:15" ht="15.75" x14ac:dyDescent="0.25">
      <c r="A28" s="53"/>
      <c r="B28" s="290" t="s">
        <v>294</v>
      </c>
      <c r="C28" s="253">
        <v>2014</v>
      </c>
      <c r="D28" s="253">
        <v>2015</v>
      </c>
      <c r="E28" s="253">
        <v>2016</v>
      </c>
      <c r="F28" s="253">
        <v>2017</v>
      </c>
      <c r="G28" s="253">
        <v>2018</v>
      </c>
      <c r="H28" s="253">
        <v>2019</v>
      </c>
      <c r="I28" s="253">
        <v>2020</v>
      </c>
      <c r="J28" s="253">
        <v>2021</v>
      </c>
      <c r="K28" s="253">
        <v>2022</v>
      </c>
      <c r="L28" s="253">
        <v>2023</v>
      </c>
      <c r="M28" s="289" t="s">
        <v>293</v>
      </c>
      <c r="N28" s="288" t="s">
        <v>292</v>
      </c>
      <c r="O28" s="287" t="s">
        <v>291</v>
      </c>
    </row>
    <row r="29" spans="1:15" ht="16.5" thickBot="1" x14ac:dyDescent="0.3">
      <c r="A29" s="53" t="s">
        <v>389</v>
      </c>
      <c r="B29" s="52" t="s">
        <v>307</v>
      </c>
      <c r="C29" s="51">
        <v>-9</v>
      </c>
      <c r="D29" s="51">
        <v>-8</v>
      </c>
      <c r="E29" s="51">
        <v>-7</v>
      </c>
      <c r="F29" s="51">
        <v>-6</v>
      </c>
      <c r="G29" s="51">
        <v>-5</v>
      </c>
      <c r="H29" s="51">
        <v>-4</v>
      </c>
      <c r="I29" s="51">
        <v>-3</v>
      </c>
      <c r="J29" s="51">
        <v>-2</v>
      </c>
      <c r="K29" s="51">
        <v>-1</v>
      </c>
      <c r="L29" s="50">
        <v>0</v>
      </c>
      <c r="M29" s="49" t="s">
        <v>289</v>
      </c>
      <c r="N29" s="48" t="s">
        <v>288</v>
      </c>
      <c r="O29" s="47" t="s">
        <v>287</v>
      </c>
    </row>
    <row r="30" spans="1:15" ht="15.75" x14ac:dyDescent="0.25">
      <c r="A30" s="32" t="s">
        <v>388</v>
      </c>
      <c r="B30" s="129"/>
      <c r="C30" s="42">
        <v>0.13504083806818182</v>
      </c>
      <c r="D30" s="41">
        <v>0.139940963347361</v>
      </c>
      <c r="E30" s="41">
        <v>0.14381017360321433</v>
      </c>
      <c r="F30" s="41">
        <v>0.1430885487308661</v>
      </c>
      <c r="G30" s="41">
        <v>0.14028507656664971</v>
      </c>
      <c r="H30" s="41">
        <v>0.13954539203551994</v>
      </c>
      <c r="I30" s="41">
        <v>0.14136998458872277</v>
      </c>
      <c r="J30" s="41">
        <v>0.13793772233819393</v>
      </c>
      <c r="K30" s="41">
        <v>0.12985891414119161</v>
      </c>
      <c r="L30" s="40">
        <v>0.13116925997771267</v>
      </c>
      <c r="M30" s="39">
        <v>0.13820468733976141</v>
      </c>
      <c r="N30" s="38">
        <v>0.13854722320665103</v>
      </c>
      <c r="O30" s="37">
        <v>0.13116925997771267</v>
      </c>
    </row>
    <row r="31" spans="1:15" ht="15.75" x14ac:dyDescent="0.25">
      <c r="A31" s="32" t="s">
        <v>387</v>
      </c>
      <c r="B31" s="129"/>
      <c r="C31" s="69">
        <v>2.8586647727272728E-2</v>
      </c>
      <c r="D31" s="68">
        <v>3.1187875971393903E-2</v>
      </c>
      <c r="E31" s="68">
        <v>3.0930179667955426E-2</v>
      </c>
      <c r="F31" s="68">
        <v>3.1466770005812827E-2</v>
      </c>
      <c r="G31" s="68">
        <v>3.164378143188111E-2</v>
      </c>
      <c r="H31" s="68">
        <v>3.1826486709494901E-2</v>
      </c>
      <c r="I31" s="68">
        <v>3.5613842565108147E-2</v>
      </c>
      <c r="J31" s="68">
        <v>3.6865395117619139E-2</v>
      </c>
      <c r="K31" s="68">
        <v>3.4337354706240032E-2</v>
      </c>
      <c r="L31" s="67">
        <v>3.3488794419910026E-2</v>
      </c>
      <c r="M31" s="27">
        <v>3.2594712832268828E-2</v>
      </c>
      <c r="N31" s="26">
        <v>3.2561885684724554E-2</v>
      </c>
      <c r="O31" s="25">
        <v>3.3488794419910026E-2</v>
      </c>
    </row>
    <row r="32" spans="1:15" ht="15.75" x14ac:dyDescent="0.25">
      <c r="A32" s="32" t="s">
        <v>386</v>
      </c>
      <c r="B32" s="129"/>
      <c r="C32" s="69">
        <v>1.8270596590909093E-2</v>
      </c>
      <c r="D32" s="68">
        <v>2.0456286198676409E-2</v>
      </c>
      <c r="E32" s="68">
        <v>1.9794641127367986E-2</v>
      </c>
      <c r="F32" s="68">
        <v>2.0763417942259253E-2</v>
      </c>
      <c r="G32" s="68">
        <v>2.2136520314177545E-2</v>
      </c>
      <c r="H32" s="68">
        <v>2.3961546269555937E-2</v>
      </c>
      <c r="I32" s="68">
        <v>2.3998416896036844E-2</v>
      </c>
      <c r="J32" s="68">
        <v>2.5555175599324246E-2</v>
      </c>
      <c r="K32" s="68">
        <v>2.5749711395260715E-2</v>
      </c>
      <c r="L32" s="67">
        <v>2.5968880267448098E-2</v>
      </c>
      <c r="M32" s="27">
        <v>2.2665519260101612E-2</v>
      </c>
      <c r="N32" s="26">
        <v>2.2801964467832368E-2</v>
      </c>
      <c r="O32" s="25">
        <v>2.5968880267448098E-2</v>
      </c>
    </row>
    <row r="33" spans="1:15" ht="15.75" x14ac:dyDescent="0.25">
      <c r="A33" s="32" t="s">
        <v>385</v>
      </c>
      <c r="B33" s="129"/>
      <c r="C33" s="69">
        <v>6.2318313953488372E-2</v>
      </c>
      <c r="D33" s="68">
        <v>7.1082535885167469E-2</v>
      </c>
      <c r="E33" s="68">
        <v>7.0862105358381333E-2</v>
      </c>
      <c r="F33" s="68">
        <v>7.3706220595922634E-2</v>
      </c>
      <c r="G33" s="68">
        <v>7.6757286309086459E-2</v>
      </c>
      <c r="H33" s="68">
        <v>8.0594713656387665E-2</v>
      </c>
      <c r="I33" s="68">
        <v>7.2035423716610272E-2</v>
      </c>
      <c r="J33" s="68">
        <v>8.4480664102044953E-2</v>
      </c>
      <c r="K33" s="68">
        <v>9.1076270922295297E-2</v>
      </c>
      <c r="L33" s="67">
        <v>9.1196335913267826E-2</v>
      </c>
      <c r="M33" s="27">
        <v>7.7410987041265228E-2</v>
      </c>
      <c r="N33" s="26">
        <v>7.7574402568237E-2</v>
      </c>
      <c r="O33" s="25">
        <v>9.1196335913267826E-2</v>
      </c>
    </row>
    <row r="34" spans="1:15" ht="15.75" x14ac:dyDescent="0.25">
      <c r="A34" s="32" t="s">
        <v>384</v>
      </c>
      <c r="B34" s="129"/>
      <c r="C34" s="69">
        <v>0.1672762740794928</v>
      </c>
      <c r="D34" s="68">
        <v>0.22388622021286617</v>
      </c>
      <c r="E34" s="68">
        <v>0.19455252918287938</v>
      </c>
      <c r="F34" s="68">
        <v>0.24856188532195211</v>
      </c>
      <c r="G34" s="68">
        <v>0.24486287991249317</v>
      </c>
      <c r="H34" s="68">
        <v>0.24004461064094995</v>
      </c>
      <c r="I34" s="68">
        <v>0.21887989499015534</v>
      </c>
      <c r="J34" s="68">
        <v>0.28507173764518334</v>
      </c>
      <c r="K34" s="68">
        <v>0.28311210154054839</v>
      </c>
      <c r="L34" s="67">
        <v>0.25109745390693589</v>
      </c>
      <c r="M34" s="27">
        <v>0.23573455874334565</v>
      </c>
      <c r="N34" s="26">
        <v>0.23812469696359753</v>
      </c>
      <c r="O34" s="25">
        <v>0.25109745390693589</v>
      </c>
    </row>
    <row r="35" spans="1:15" ht="15.75" x14ac:dyDescent="0.25">
      <c r="A35" s="32" t="s">
        <v>383</v>
      </c>
      <c r="B35" s="129"/>
      <c r="C35" s="69">
        <v>0.1672762740794928</v>
      </c>
      <c r="D35" s="68">
        <v>0.22388622021286617</v>
      </c>
      <c r="E35" s="68">
        <v>0.19455252918287938</v>
      </c>
      <c r="F35" s="68">
        <v>0.24856188532195214</v>
      </c>
      <c r="G35" s="68">
        <v>0.24486287991249317</v>
      </c>
      <c r="H35" s="68">
        <v>0.24004461064094998</v>
      </c>
      <c r="I35" s="68">
        <v>0.21887989499015537</v>
      </c>
      <c r="J35" s="68">
        <v>0.28507173764518334</v>
      </c>
      <c r="K35" s="68">
        <v>0.28311210154054839</v>
      </c>
      <c r="L35" s="67">
        <v>0.25109745390693589</v>
      </c>
      <c r="M35" s="27">
        <v>0.23573455874334565</v>
      </c>
      <c r="N35" s="26">
        <v>0.23812469696359753</v>
      </c>
      <c r="O35" s="25">
        <v>0.25109745390693589</v>
      </c>
    </row>
    <row r="36" spans="1:15" ht="15.75" x14ac:dyDescent="0.25">
      <c r="A36" s="32" t="s">
        <v>382</v>
      </c>
      <c r="B36" s="311"/>
      <c r="C36" s="299">
        <v>3.4108527131782944</v>
      </c>
      <c r="D36" s="76">
        <v>3.4748504784688996</v>
      </c>
      <c r="E36" s="76">
        <v>3.5798631004432653</v>
      </c>
      <c r="F36" s="76">
        <v>3.5498115387789912</v>
      </c>
      <c r="G36" s="76">
        <v>3.4674504041146217</v>
      </c>
      <c r="H36" s="76">
        <v>3.363502202643172</v>
      </c>
      <c r="I36" s="76">
        <v>3.001673986608107</v>
      </c>
      <c r="J36" s="76">
        <v>3.3058142673955593</v>
      </c>
      <c r="K36" s="76">
        <v>3.5369822024124926</v>
      </c>
      <c r="L36" s="298">
        <v>3.5117546453314783</v>
      </c>
      <c r="M36" s="297">
        <v>3.4202555539374879</v>
      </c>
      <c r="N36" s="296">
        <v>3.452627306540438</v>
      </c>
      <c r="O36" s="295">
        <v>3.5117546453314783</v>
      </c>
    </row>
    <row r="37" spans="1:15" ht="15.75" x14ac:dyDescent="0.25">
      <c r="A37" s="32" t="s">
        <v>381</v>
      </c>
      <c r="B37" s="129"/>
      <c r="C37" s="69">
        <v>1.8270596590909093E-2</v>
      </c>
      <c r="D37" s="68">
        <v>2.0456286198676409E-2</v>
      </c>
      <c r="E37" s="68">
        <v>1.9794641127367986E-2</v>
      </c>
      <c r="F37" s="68">
        <v>2.0763417942259253E-2</v>
      </c>
      <c r="G37" s="68">
        <v>2.2136520314177545E-2</v>
      </c>
      <c r="H37" s="68">
        <v>2.3961546269555937E-2</v>
      </c>
      <c r="I37" s="68">
        <v>2.3998416896036844E-2</v>
      </c>
      <c r="J37" s="68">
        <v>2.5555175599324246E-2</v>
      </c>
      <c r="K37" s="68">
        <v>2.5749711395260715E-2</v>
      </c>
      <c r="L37" s="67">
        <v>2.5968880267448098E-2</v>
      </c>
      <c r="M37" s="27">
        <v>2.2665519260101612E-2</v>
      </c>
      <c r="N37" s="26">
        <v>2.2801964467832368E-2</v>
      </c>
      <c r="O37" s="25">
        <v>2.5968880267448098E-2</v>
      </c>
    </row>
    <row r="38" spans="1:15" ht="16.5" thickBot="1" x14ac:dyDescent="0.3">
      <c r="A38" s="32" t="s">
        <v>380</v>
      </c>
      <c r="B38" s="129"/>
      <c r="C38" s="293">
        <v>2.6842233601560594</v>
      </c>
      <c r="D38" s="292">
        <v>3.149665630592446</v>
      </c>
      <c r="E38" s="292">
        <v>2.7455087341667355</v>
      </c>
      <c r="F38" s="292">
        <v>3.3723325292262016</v>
      </c>
      <c r="G38" s="292">
        <v>3.1900929760137511</v>
      </c>
      <c r="H38" s="292">
        <v>2.9784163222462769</v>
      </c>
      <c r="I38" s="292">
        <v>3.0385036097134108</v>
      </c>
      <c r="J38" s="292">
        <v>3.3744021862901388</v>
      </c>
      <c r="K38" s="292">
        <v>3.1085166166069178</v>
      </c>
      <c r="L38" s="291">
        <v>2.7533721765504029</v>
      </c>
      <c r="M38" s="279">
        <v>3.039503414156234</v>
      </c>
      <c r="N38" s="278">
        <v>3.0420510743895175</v>
      </c>
      <c r="O38" s="277">
        <v>2.7533721765504029</v>
      </c>
    </row>
    <row r="39" spans="1:15" ht="15.75" x14ac:dyDescent="0.25">
      <c r="A39" s="32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99"/>
      <c r="M39" s="310"/>
      <c r="N39" s="309"/>
      <c r="O39" s="309"/>
    </row>
    <row r="40" spans="1:15" ht="15.75" x14ac:dyDescent="0.25">
      <c r="A40" s="53"/>
      <c r="B40" s="290" t="s">
        <v>294</v>
      </c>
      <c r="C40" s="253">
        <v>2014</v>
      </c>
      <c r="D40" s="253">
        <v>2015</v>
      </c>
      <c r="E40" s="253">
        <v>2016</v>
      </c>
      <c r="F40" s="253">
        <v>2017</v>
      </c>
      <c r="G40" s="253">
        <v>2018</v>
      </c>
      <c r="H40" s="253">
        <v>2019</v>
      </c>
      <c r="I40" s="253">
        <v>2020</v>
      </c>
      <c r="J40" s="253">
        <v>2021</v>
      </c>
      <c r="K40" s="253">
        <v>2022</v>
      </c>
      <c r="L40" s="253">
        <v>2023</v>
      </c>
      <c r="M40" s="289" t="s">
        <v>293</v>
      </c>
      <c r="N40" s="288" t="s">
        <v>292</v>
      </c>
      <c r="O40" s="287" t="s">
        <v>291</v>
      </c>
    </row>
    <row r="41" spans="1:15" ht="16.5" thickBot="1" x14ac:dyDescent="0.3">
      <c r="A41" s="53" t="s">
        <v>379</v>
      </c>
      <c r="B41" s="52" t="s">
        <v>307</v>
      </c>
      <c r="C41" s="51">
        <v>-9</v>
      </c>
      <c r="D41" s="51">
        <v>-8</v>
      </c>
      <c r="E41" s="51">
        <v>-7</v>
      </c>
      <c r="F41" s="51">
        <v>-6</v>
      </c>
      <c r="G41" s="51">
        <v>-5</v>
      </c>
      <c r="H41" s="51">
        <v>-4</v>
      </c>
      <c r="I41" s="51">
        <v>-3</v>
      </c>
      <c r="J41" s="51">
        <v>-2</v>
      </c>
      <c r="K41" s="51">
        <v>-1</v>
      </c>
      <c r="L41" s="50">
        <v>0</v>
      </c>
      <c r="M41" s="49" t="s">
        <v>289</v>
      </c>
      <c r="N41" s="48" t="s">
        <v>288</v>
      </c>
      <c r="O41" s="47" t="s">
        <v>287</v>
      </c>
    </row>
    <row r="42" spans="1:15" ht="16.5" thickBot="1" x14ac:dyDescent="0.3">
      <c r="A42" s="307" t="s">
        <v>378</v>
      </c>
      <c r="B42" s="306"/>
      <c r="C42" s="305">
        <v>52994.657639999998</v>
      </c>
      <c r="D42" s="304">
        <v>61335.177600000003</v>
      </c>
      <c r="E42" s="304">
        <v>70918.265159999995</v>
      </c>
      <c r="F42" s="304">
        <v>68527.354960000011</v>
      </c>
      <c r="G42" s="304">
        <v>102155.00157000001</v>
      </c>
      <c r="H42" s="304">
        <v>129583.86499999999</v>
      </c>
      <c r="I42" s="304">
        <v>153406.7133</v>
      </c>
      <c r="J42" s="304">
        <v>201246.86924999999</v>
      </c>
      <c r="K42" s="304">
        <v>231114.8744</v>
      </c>
      <c r="L42" s="308">
        <v>243217.33903999999</v>
      </c>
      <c r="M42" s="303"/>
      <c r="N42" s="302"/>
      <c r="O42" s="301">
        <v>243217.33903999999</v>
      </c>
    </row>
    <row r="43" spans="1:15" ht="15.75" x14ac:dyDescent="0.25">
      <c r="A43" s="32" t="s">
        <v>377</v>
      </c>
      <c r="B43" s="129"/>
      <c r="C43" s="69">
        <v>1.1019978730067327E-2</v>
      </c>
      <c r="D43" s="68">
        <v>4.6710551955750752E-2</v>
      </c>
      <c r="E43" s="68">
        <v>1.0519151847791761E-2</v>
      </c>
      <c r="F43" s="68">
        <v>5.6969950208625407E-2</v>
      </c>
      <c r="G43" s="68">
        <v>6.7446526299338779E-3</v>
      </c>
      <c r="H43" s="68">
        <v>8.0102565238349705E-3</v>
      </c>
      <c r="I43" s="68">
        <v>9.6410383104140202E-3</v>
      </c>
      <c r="J43" s="68">
        <v>2.8561935007592673E-2</v>
      </c>
      <c r="K43" s="68">
        <v>6.4816252259356959E-3</v>
      </c>
      <c r="L43" s="68">
        <v>5.1435477624161416E-3</v>
      </c>
      <c r="M43" s="27">
        <v>1.8980268820236259E-2</v>
      </c>
      <c r="N43" s="26">
        <v>1.5961148778915132E-2</v>
      </c>
      <c r="O43" s="25">
        <v>5.1435477624161416E-3</v>
      </c>
    </row>
    <row r="44" spans="1:15" ht="15.75" x14ac:dyDescent="0.25">
      <c r="A44" s="32" t="s">
        <v>376</v>
      </c>
      <c r="B44" s="300"/>
      <c r="C44" s="299">
        <v>25.750562507288628</v>
      </c>
      <c r="D44" s="76">
        <v>25.803608582246529</v>
      </c>
      <c r="E44" s="76">
        <v>30.177985174468084</v>
      </c>
      <c r="F44" s="76">
        <v>25.57945313923106</v>
      </c>
      <c r="G44" s="76">
        <v>32.595724814932993</v>
      </c>
      <c r="H44" s="76">
        <v>35.415103853511887</v>
      </c>
      <c r="I44" s="76">
        <v>38.332512068965521</v>
      </c>
      <c r="J44" s="76">
        <v>40.193103505092864</v>
      </c>
      <c r="K44" s="76">
        <v>39.547377549623548</v>
      </c>
      <c r="L44" s="298">
        <v>38.655012561983469</v>
      </c>
      <c r="M44" s="297">
        <v>33.20504437573446</v>
      </c>
      <c r="N44" s="296">
        <v>33.284735889127575</v>
      </c>
      <c r="O44" s="295">
        <v>38.655012561983469</v>
      </c>
    </row>
    <row r="45" spans="1:15" ht="15.75" x14ac:dyDescent="0.25">
      <c r="A45" s="32" t="s">
        <v>375</v>
      </c>
      <c r="B45" s="300"/>
      <c r="C45" s="299">
        <v>13.301871897590361</v>
      </c>
      <c r="D45" s="76">
        <v>14.313927094515753</v>
      </c>
      <c r="E45" s="76">
        <v>21.542607885783717</v>
      </c>
      <c r="F45" s="76">
        <v>10.188426250371693</v>
      </c>
      <c r="G45" s="76">
        <v>17.692241352615174</v>
      </c>
      <c r="H45" s="76">
        <v>20.387643958464441</v>
      </c>
      <c r="I45" s="76">
        <v>17.312573445435053</v>
      </c>
      <c r="J45" s="76">
        <v>22.465602729403884</v>
      </c>
      <c r="K45" s="76">
        <v>31.265540367965368</v>
      </c>
      <c r="L45" s="298">
        <v>21.974822826165521</v>
      </c>
      <c r="M45" s="297">
        <v>19.044525780831094</v>
      </c>
      <c r="N45" s="296">
        <v>18.623911398746735</v>
      </c>
      <c r="O45" s="295">
        <v>21.974822826165521</v>
      </c>
    </row>
    <row r="46" spans="1:15" ht="16.5" thickBot="1" x14ac:dyDescent="0.3">
      <c r="A46" s="32" t="s">
        <v>374</v>
      </c>
      <c r="B46" s="300"/>
      <c r="C46" s="299">
        <v>4.3074581516703239</v>
      </c>
      <c r="D46" s="76">
        <v>5.7770723933314496</v>
      </c>
      <c r="E46" s="76">
        <v>5.8712033413362033</v>
      </c>
      <c r="F46" s="76">
        <v>6.3580770977917993</v>
      </c>
      <c r="G46" s="76">
        <v>7.9814830510196115</v>
      </c>
      <c r="H46" s="76">
        <v>8.5012048153250674</v>
      </c>
      <c r="I46" s="76">
        <v>8.3902162163640348</v>
      </c>
      <c r="J46" s="76">
        <v>11.457917857549532</v>
      </c>
      <c r="K46" s="76">
        <v>11.196341168491426</v>
      </c>
      <c r="L46" s="298">
        <v>9.7061752350546726</v>
      </c>
      <c r="M46" s="297">
        <v>7.9547149327934124</v>
      </c>
      <c r="N46" s="296">
        <v>7.9727216648392831</v>
      </c>
      <c r="O46" s="295">
        <v>9.7061752350546726</v>
      </c>
    </row>
    <row r="47" spans="1:15" ht="16.5" thickBot="1" x14ac:dyDescent="0.3">
      <c r="A47" s="307" t="s">
        <v>373</v>
      </c>
      <c r="B47" s="306"/>
      <c r="C47" s="305">
        <v>51177.657639999998</v>
      </c>
      <c r="D47" s="304">
        <v>61585.177599999995</v>
      </c>
      <c r="E47" s="304">
        <v>71977.265159999995</v>
      </c>
      <c r="F47" s="304">
        <v>70088.354960000011</v>
      </c>
      <c r="G47" s="304">
        <v>102174.00157000001</v>
      </c>
      <c r="H47" s="304">
        <v>127724.86499999999</v>
      </c>
      <c r="I47" s="304">
        <v>151608.7133</v>
      </c>
      <c r="J47" s="304">
        <v>200992.86924999999</v>
      </c>
      <c r="K47" s="304">
        <v>230976.8744</v>
      </c>
      <c r="L47" s="304">
        <v>238519.33903999999</v>
      </c>
      <c r="M47" s="303"/>
      <c r="N47" s="302"/>
      <c r="O47" s="301">
        <v>238519.33903999999</v>
      </c>
    </row>
    <row r="48" spans="1:15" ht="15.75" x14ac:dyDescent="0.25">
      <c r="A48" s="32" t="s">
        <v>372</v>
      </c>
      <c r="B48" s="300"/>
      <c r="C48" s="299">
        <v>0.45434710262784089</v>
      </c>
      <c r="D48" s="76">
        <v>0.52999748362722565</v>
      </c>
      <c r="E48" s="76">
        <v>0.60628260986025817</v>
      </c>
      <c r="F48" s="76">
        <v>0.5432153068010076</v>
      </c>
      <c r="G48" s="76">
        <v>0.72169012805842803</v>
      </c>
      <c r="H48" s="76">
        <v>0.83642669102768108</v>
      </c>
      <c r="I48" s="76">
        <v>0.90913770785735271</v>
      </c>
      <c r="J48" s="76">
        <v>1.0258454299771855</v>
      </c>
      <c r="K48" s="76">
        <v>1.0177255056090662</v>
      </c>
      <c r="L48" s="298">
        <v>0.98443740575343597</v>
      </c>
      <c r="M48" s="297">
        <v>0.76291053711994827</v>
      </c>
      <c r="N48" s="296">
        <v>0.76861410482430703</v>
      </c>
      <c r="O48" s="295">
        <v>0.98443740575343597</v>
      </c>
    </row>
    <row r="49" spans="1:15" ht="15.75" x14ac:dyDescent="0.25">
      <c r="A49" s="32" t="s">
        <v>371</v>
      </c>
      <c r="B49" s="300"/>
      <c r="C49" s="299">
        <v>15.893682496894408</v>
      </c>
      <c r="D49" s="76">
        <v>16.993702428256068</v>
      </c>
      <c r="E49" s="76">
        <v>19.601651732026141</v>
      </c>
      <c r="F49" s="76">
        <v>17.263141615763551</v>
      </c>
      <c r="G49" s="76">
        <v>22.806696779017859</v>
      </c>
      <c r="H49" s="76">
        <v>26.280836419753083</v>
      </c>
      <c r="I49" s="76">
        <v>25.527649991581075</v>
      </c>
      <c r="J49" s="76">
        <v>27.82678516544372</v>
      </c>
      <c r="K49" s="76">
        <v>29.639018914410368</v>
      </c>
      <c r="L49" s="298">
        <v>29.396024037466105</v>
      </c>
      <c r="M49" s="297">
        <v>23.122918958061238</v>
      </c>
      <c r="N49" s="296">
        <v>23.21206102116345</v>
      </c>
      <c r="O49" s="295">
        <v>29.396024037466105</v>
      </c>
    </row>
    <row r="50" spans="1:15" ht="16.5" thickBot="1" x14ac:dyDescent="0.3">
      <c r="A50" s="92" t="s">
        <v>370</v>
      </c>
      <c r="B50" s="294"/>
      <c r="C50" s="293">
        <v>12.044635829606966</v>
      </c>
      <c r="D50" s="292">
        <v>12.962571584929487</v>
      </c>
      <c r="E50" s="292">
        <v>14.608740645423177</v>
      </c>
      <c r="F50" s="292">
        <v>12.907616014732968</v>
      </c>
      <c r="G50" s="292">
        <v>17.267872497887446</v>
      </c>
      <c r="H50" s="292">
        <v>20.107818797229218</v>
      </c>
      <c r="I50" s="292">
        <v>19.990600382383967</v>
      </c>
      <c r="J50" s="292">
        <v>22.322619863394046</v>
      </c>
      <c r="K50" s="292">
        <v>23.829245269782316</v>
      </c>
      <c r="L50" s="291">
        <v>23.404900308115003</v>
      </c>
      <c r="M50" s="279">
        <v>17.944662119348457</v>
      </c>
      <c r="N50" s="278">
        <v>17.946592511761914</v>
      </c>
      <c r="O50" s="277">
        <v>23.404900308115003</v>
      </c>
    </row>
    <row r="51" spans="1:15" ht="15.75" x14ac:dyDescent="0.25">
      <c r="A51" s="11"/>
      <c r="B51" s="11"/>
      <c r="C51" s="31"/>
      <c r="D51" s="31"/>
      <c r="E51" s="31"/>
      <c r="F51" s="31"/>
      <c r="G51" s="31"/>
      <c r="H51" s="11"/>
      <c r="I51" s="11"/>
      <c r="J51" s="11"/>
      <c r="K51" s="11"/>
      <c r="L51" s="11"/>
      <c r="M51" s="11"/>
      <c r="N51" s="11"/>
      <c r="O51" s="11"/>
    </row>
    <row r="52" spans="1:15" ht="15.75" x14ac:dyDescent="0.25">
      <c r="A52" s="53"/>
      <c r="B52" s="290" t="s">
        <v>294</v>
      </c>
      <c r="C52" s="253">
        <v>2014</v>
      </c>
      <c r="D52" s="253">
        <v>2015</v>
      </c>
      <c r="E52" s="253">
        <v>2016</v>
      </c>
      <c r="F52" s="253">
        <v>2017</v>
      </c>
      <c r="G52" s="253">
        <v>2018</v>
      </c>
      <c r="H52" s="253">
        <v>2019</v>
      </c>
      <c r="I52" s="253">
        <v>2020</v>
      </c>
      <c r="J52" s="253">
        <v>2021</v>
      </c>
      <c r="K52" s="253">
        <v>2022</v>
      </c>
      <c r="L52" s="253">
        <v>2023</v>
      </c>
      <c r="M52" s="289" t="s">
        <v>293</v>
      </c>
      <c r="N52" s="288" t="s">
        <v>292</v>
      </c>
      <c r="O52" s="287" t="s">
        <v>291</v>
      </c>
    </row>
    <row r="53" spans="1:15" ht="16.5" thickBot="1" x14ac:dyDescent="0.3">
      <c r="A53" s="53" t="s">
        <v>369</v>
      </c>
      <c r="B53" s="52" t="s">
        <v>307</v>
      </c>
      <c r="C53" s="51">
        <v>-9</v>
      </c>
      <c r="D53" s="51">
        <v>-8</v>
      </c>
      <c r="E53" s="51">
        <v>-7</v>
      </c>
      <c r="F53" s="51">
        <v>-6</v>
      </c>
      <c r="G53" s="51">
        <v>-5</v>
      </c>
      <c r="H53" s="51">
        <v>-4</v>
      </c>
      <c r="I53" s="51">
        <v>-3</v>
      </c>
      <c r="J53" s="51">
        <v>-2</v>
      </c>
      <c r="K53" s="51">
        <v>-1</v>
      </c>
      <c r="L53" s="50">
        <v>0</v>
      </c>
      <c r="M53" s="49" t="s">
        <v>289</v>
      </c>
      <c r="N53" s="48" t="s">
        <v>288</v>
      </c>
      <c r="O53" s="47" t="s">
        <v>287</v>
      </c>
    </row>
    <row r="54" spans="1:15" ht="15.75" x14ac:dyDescent="0.25">
      <c r="A54" s="11" t="s">
        <v>368</v>
      </c>
      <c r="B54" s="11"/>
      <c r="C54" s="286">
        <v>9.0699045172956974E-2</v>
      </c>
      <c r="D54" s="285">
        <v>9.5060094976646289E-2</v>
      </c>
      <c r="E54" s="285">
        <v>7.2397169544249726E-2</v>
      </c>
      <c r="F54" s="285">
        <v>9.3149921069052441E-2</v>
      </c>
      <c r="G54" s="285">
        <v>6.3906018562137928E-2</v>
      </c>
      <c r="H54" s="285">
        <v>5.2942432449706062E-2</v>
      </c>
      <c r="I54" s="285">
        <v>6.7395082600294129E-2</v>
      </c>
      <c r="J54" s="285">
        <v>5.3641158941668307E-2</v>
      </c>
      <c r="K54" s="285">
        <v>4.5062228731456891E-2</v>
      </c>
      <c r="L54" s="285">
        <v>4.152063590516606E-2</v>
      </c>
      <c r="M54" s="284">
        <v>6.7577378795333501E-2</v>
      </c>
      <c r="N54" s="283">
        <v>6.7399132133940332E-2</v>
      </c>
      <c r="O54" s="282">
        <v>4.152063590516606E-2</v>
      </c>
    </row>
    <row r="55" spans="1:15" ht="16.5" thickBot="1" x14ac:dyDescent="0.3">
      <c r="A55" s="11" t="s">
        <v>367</v>
      </c>
      <c r="B55" s="11"/>
      <c r="C55" s="281">
        <v>0.90930095482704298</v>
      </c>
      <c r="D55" s="280">
        <v>0.90493990502335375</v>
      </c>
      <c r="E55" s="280">
        <v>0.92760283045575032</v>
      </c>
      <c r="F55" s="280">
        <v>0.9068500789309476</v>
      </c>
      <c r="G55" s="280">
        <v>0.93609398143786204</v>
      </c>
      <c r="H55" s="280">
        <v>0.94705756755029391</v>
      </c>
      <c r="I55" s="280">
        <v>0.93260491739970586</v>
      </c>
      <c r="J55" s="280">
        <v>0.94635884105833168</v>
      </c>
      <c r="K55" s="280">
        <v>0.95493777126854307</v>
      </c>
      <c r="L55" s="280">
        <v>0.95847936409483392</v>
      </c>
      <c r="M55" s="279">
        <v>0.93242262120466646</v>
      </c>
      <c r="N55" s="278">
        <v>0.93260086786605945</v>
      </c>
      <c r="O55" s="277">
        <v>0.95847936409483392</v>
      </c>
    </row>
    <row r="1000" spans="648:648" ht="15.75" x14ac:dyDescent="0.25">
      <c r="XX1000" s="10">
        <v>117383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8ED79-16B3-44AA-9786-F66D51B6B819}">
  <sheetPr>
    <tabColor rgb="FFFF8200"/>
  </sheetPr>
  <dimension ref="A1:XX1000"/>
  <sheetViews>
    <sheetView tabSelected="1" zoomScale="59" zoomScaleNormal="60" workbookViewId="0">
      <pane xSplit="1" topLeftCell="E1" activePane="topRight" state="frozen"/>
      <selection activeCell="R109" sqref="R109"/>
      <selection pane="topRight" activeCell="R9" sqref="R9"/>
    </sheetView>
  </sheetViews>
  <sheetFormatPr defaultColWidth="7.75" defaultRowHeight="15.75" x14ac:dyDescent="0.25"/>
  <cols>
    <col min="1" max="1" width="68.625" style="11" customWidth="1"/>
    <col min="2" max="2" width="12.375" style="11" customWidth="1"/>
    <col min="3" max="10" width="11" style="11" customWidth="1"/>
    <col min="11" max="11" width="15.375" style="11" customWidth="1"/>
    <col min="12" max="12" width="15" style="11" customWidth="1"/>
    <col min="13" max="17" width="20.25" style="11" customWidth="1"/>
    <col min="18" max="18" width="15" style="11" customWidth="1"/>
    <col min="19" max="19" width="13.375" style="11" customWidth="1"/>
    <col min="20" max="20" width="15" style="11" customWidth="1"/>
    <col min="21" max="21" width="17.125" style="11" customWidth="1"/>
    <col min="22" max="22" width="5.25" style="9" customWidth="1"/>
    <col min="23" max="23" width="12" style="9" bestFit="1" customWidth="1"/>
    <col min="24" max="25" width="9.5" style="9" bestFit="1" customWidth="1"/>
    <col min="26" max="26" width="9.125" style="9" bestFit="1" customWidth="1"/>
    <col min="27" max="27" width="10.75" style="9" bestFit="1" customWidth="1"/>
    <col min="28" max="28" width="9.125" style="9" bestFit="1" customWidth="1"/>
    <col min="29" max="29" width="8.875" style="9" bestFit="1" customWidth="1"/>
    <col min="30" max="30" width="9.125" style="9" bestFit="1" customWidth="1"/>
    <col min="31" max="16384" width="7.75" style="9"/>
  </cols>
  <sheetData>
    <row r="1" spans="1:23" ht="16.5" thickBot="1" x14ac:dyDescent="0.3">
      <c r="A1" s="642" t="str">
        <f>'Constructed Financials'!A1</f>
        <v>Financial Statement for: COSTCO WHOLESALE CORP</v>
      </c>
      <c r="B1" s="640" t="s">
        <v>513</v>
      </c>
      <c r="C1" s="640"/>
      <c r="D1" s="640"/>
      <c r="E1" s="640"/>
      <c r="F1" s="640"/>
      <c r="G1" s="641" t="str">
        <f>'Constructed Financials'!B1</f>
        <v>COSTCO</v>
      </c>
      <c r="H1" s="640" t="s">
        <v>366</v>
      </c>
      <c r="I1" s="639" t="str">
        <f>'Constructed Financials'!D1</f>
        <v>COST</v>
      </c>
      <c r="J1" s="357"/>
      <c r="K1" s="357"/>
      <c r="L1" s="357"/>
      <c r="M1" s="357"/>
      <c r="N1" s="357"/>
      <c r="O1" s="357"/>
      <c r="P1" s="357"/>
      <c r="Q1" s="357"/>
      <c r="R1" s="357"/>
      <c r="S1" s="357"/>
      <c r="T1" s="357"/>
      <c r="U1" s="357"/>
    </row>
    <row r="2" spans="1:23" ht="16.5" thickBot="1" x14ac:dyDescent="0.3">
      <c r="A2" s="428" t="s">
        <v>512</v>
      </c>
      <c r="B2" s="360"/>
      <c r="C2" s="360"/>
      <c r="D2" s="360"/>
      <c r="E2" s="360"/>
      <c r="F2" s="360"/>
      <c r="G2" s="360"/>
      <c r="H2" s="360"/>
      <c r="I2" s="360"/>
      <c r="J2" s="360"/>
      <c r="K2" s="360"/>
      <c r="L2" s="360"/>
      <c r="M2" s="360"/>
      <c r="N2" s="360"/>
      <c r="O2" s="360"/>
      <c r="P2" s="360"/>
      <c r="Q2" s="360"/>
      <c r="R2" s="360"/>
      <c r="S2" s="360"/>
      <c r="T2" s="360"/>
      <c r="U2" s="360"/>
    </row>
    <row r="3" spans="1:23" ht="16.5" thickBot="1" x14ac:dyDescent="0.3">
      <c r="A3" s="32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635" t="s">
        <v>504</v>
      </c>
      <c r="R3" s="638"/>
      <c r="S3" s="637" t="s">
        <v>503</v>
      </c>
      <c r="T3" s="636"/>
      <c r="U3" s="635" t="s">
        <v>364</v>
      </c>
    </row>
    <row r="4" spans="1:23" x14ac:dyDescent="0.25">
      <c r="A4" s="59"/>
      <c r="B4" s="271" t="s">
        <v>294</v>
      </c>
      <c r="C4" s="634">
        <f>'Constructed Financials'!C5</f>
        <v>2014</v>
      </c>
      <c r="D4" s="634">
        <f>'Constructed Financials'!D5</f>
        <v>2015</v>
      </c>
      <c r="E4" s="634">
        <f>'Constructed Financials'!E5</f>
        <v>2016</v>
      </c>
      <c r="F4" s="634">
        <f>'Constructed Financials'!F5</f>
        <v>2017</v>
      </c>
      <c r="G4" s="634">
        <f>'Constructed Financials'!G5</f>
        <v>2018</v>
      </c>
      <c r="H4" s="634">
        <f>'Constructed Financials'!H5</f>
        <v>2019</v>
      </c>
      <c r="I4" s="634">
        <f>'Constructed Financials'!I5</f>
        <v>2020</v>
      </c>
      <c r="J4" s="634">
        <f>'Constructed Financials'!J5</f>
        <v>2021</v>
      </c>
      <c r="K4" s="634">
        <f>'Constructed Financials'!K5</f>
        <v>2022</v>
      </c>
      <c r="L4" s="634">
        <f>'Constructed Financials'!L5</f>
        <v>2023</v>
      </c>
      <c r="M4" s="633" t="s">
        <v>292</v>
      </c>
      <c r="N4" s="633" t="s">
        <v>291</v>
      </c>
      <c r="O4" s="633"/>
      <c r="P4" s="628"/>
      <c r="Q4" s="268" t="s">
        <v>511</v>
      </c>
      <c r="R4" s="631" t="s">
        <v>511</v>
      </c>
      <c r="S4" s="632" t="s">
        <v>511</v>
      </c>
      <c r="T4" s="631" t="s">
        <v>511</v>
      </c>
      <c r="U4" s="266" t="s">
        <v>511</v>
      </c>
    </row>
    <row r="5" spans="1:23" ht="16.5" thickBot="1" x14ac:dyDescent="0.3">
      <c r="A5" s="53" t="s">
        <v>365</v>
      </c>
      <c r="B5" s="52"/>
      <c r="C5" s="630">
        <v>-9</v>
      </c>
      <c r="D5" s="630">
        <v>-8</v>
      </c>
      <c r="E5" s="630">
        <v>-7</v>
      </c>
      <c r="F5" s="630">
        <v>-6</v>
      </c>
      <c r="G5" s="630">
        <v>-5</v>
      </c>
      <c r="H5" s="630">
        <v>-4</v>
      </c>
      <c r="I5" s="630">
        <v>-3</v>
      </c>
      <c r="J5" s="630">
        <v>-2</v>
      </c>
      <c r="K5" s="630">
        <v>-1</v>
      </c>
      <c r="L5" s="630">
        <v>0</v>
      </c>
      <c r="M5" s="629" t="s">
        <v>288</v>
      </c>
      <c r="N5" s="629" t="s">
        <v>287</v>
      </c>
      <c r="O5" s="629" t="s">
        <v>364</v>
      </c>
      <c r="P5" s="628"/>
      <c r="Q5" s="49" t="s">
        <v>510</v>
      </c>
      <c r="R5" s="627" t="s">
        <v>509</v>
      </c>
      <c r="S5" s="48" t="s">
        <v>508</v>
      </c>
      <c r="T5" s="627" t="s">
        <v>507</v>
      </c>
      <c r="U5" s="47" t="s">
        <v>506</v>
      </c>
    </row>
    <row r="6" spans="1:23" ht="16.5" thickBot="1" x14ac:dyDescent="0.3">
      <c r="A6" s="92" t="s">
        <v>359</v>
      </c>
      <c r="B6" s="91"/>
      <c r="C6" s="626" t="s">
        <v>323</v>
      </c>
      <c r="D6" s="626">
        <f>'Constructed Financials'!R3</f>
        <v>3.1596235795454453E-2</v>
      </c>
      <c r="E6" s="626">
        <f>'Constructed Financials'!S3</f>
        <v>2.1686933622492521E-2</v>
      </c>
      <c r="F6" s="626">
        <f>'Constructed Financials'!T3</f>
        <v>8.6810030407937999E-2</v>
      </c>
      <c r="G6" s="626">
        <f>'Constructed Financials'!U3</f>
        <v>9.7275721759348954E-2</v>
      </c>
      <c r="H6" s="626">
        <f>'Constructed Financials'!V3</f>
        <v>7.8593829462620723E-2</v>
      </c>
      <c r="I6" s="626">
        <f>'Constructed Financials'!W3</f>
        <v>9.2061059704131587E-2</v>
      </c>
      <c r="J6" s="626">
        <f>'Constructed Financials'!X3</f>
        <v>0.17490900150514799</v>
      </c>
      <c r="K6" s="626">
        <f>'Constructed Financials'!Y3</f>
        <v>0.15834817714580285</v>
      </c>
      <c r="L6" s="626">
        <f>'Constructed Financials'!Z3</f>
        <v>6.7573164606043568E-2</v>
      </c>
      <c r="M6" s="625">
        <f>'Constructed Financials'!AB3</f>
        <v>8.7465459840191453E-2</v>
      </c>
      <c r="N6" s="624">
        <f>'Constructed Financials'!AC3</f>
        <v>6.7573164606043568E-2</v>
      </c>
      <c r="O6" s="624">
        <f>'Constructed Financials'!AD3</f>
        <v>8.8830597187475172E-2</v>
      </c>
      <c r="P6" s="410"/>
      <c r="Q6" s="562">
        <f>N6</f>
        <v>6.7573164606043568E-2</v>
      </c>
      <c r="R6" s="554">
        <f>Q6+($U6-$Q6)/4</f>
        <v>7.2887522751401465E-2</v>
      </c>
      <c r="S6" s="554">
        <f>R6+($U6-$Q6)/4</f>
        <v>7.8201880896759363E-2</v>
      </c>
      <c r="T6" s="554">
        <f>S6+($U6-$Q6)/4</f>
        <v>8.351623904211726E-2</v>
      </c>
      <c r="U6" s="623">
        <f>O6</f>
        <v>8.8830597187475172E-2</v>
      </c>
      <c r="W6" s="622">
        <f>AVERAGE(Q6:U6)</f>
        <v>7.8201880896759363E-2</v>
      </c>
    </row>
    <row r="7" spans="1:23" ht="16.5" thickBot="1" x14ac:dyDescent="0.3">
      <c r="A7" s="32"/>
      <c r="B7" s="162"/>
      <c r="C7" s="162"/>
      <c r="D7" s="162"/>
      <c r="E7" s="162"/>
      <c r="F7" s="162"/>
      <c r="G7" s="102"/>
      <c r="H7" s="577"/>
      <c r="I7" s="577"/>
      <c r="J7" s="577"/>
      <c r="K7" s="577"/>
      <c r="L7" s="577"/>
      <c r="M7" s="575"/>
      <c r="N7" s="589"/>
      <c r="O7" s="621" t="s">
        <v>505</v>
      </c>
      <c r="P7" s="31"/>
      <c r="Q7" s="620" t="s">
        <v>504</v>
      </c>
      <c r="R7" s="619"/>
      <c r="S7" s="618" t="s">
        <v>503</v>
      </c>
      <c r="T7" s="617"/>
      <c r="U7" s="616" t="s">
        <v>502</v>
      </c>
    </row>
    <row r="8" spans="1:23" ht="17.100000000000001" customHeight="1" thickBot="1" x14ac:dyDescent="0.3">
      <c r="A8" s="53" t="s">
        <v>501</v>
      </c>
      <c r="B8" s="31"/>
      <c r="C8" s="31"/>
      <c r="D8" s="31"/>
      <c r="E8" s="31"/>
      <c r="F8" s="31"/>
      <c r="G8" s="31"/>
      <c r="H8" s="577"/>
      <c r="I8" s="577"/>
      <c r="J8" s="577"/>
      <c r="K8" s="577"/>
      <c r="L8" s="577"/>
      <c r="M8" s="575"/>
      <c r="N8" s="589"/>
      <c r="O8" s="615" t="s">
        <v>500</v>
      </c>
      <c r="P8" s="31"/>
      <c r="Q8" s="614" t="s">
        <v>499</v>
      </c>
      <c r="R8" s="612" t="s">
        <v>499</v>
      </c>
      <c r="S8" s="613" t="s">
        <v>499</v>
      </c>
      <c r="T8" s="612" t="s">
        <v>499</v>
      </c>
      <c r="U8" s="611" t="s">
        <v>499</v>
      </c>
    </row>
    <row r="9" spans="1:23" x14ac:dyDescent="0.25">
      <c r="A9" s="32" t="s">
        <v>498</v>
      </c>
      <c r="B9" s="31"/>
      <c r="C9" s="610">
        <f>'Constructed Financials'!Q9</f>
        <v>0.86495916193181821</v>
      </c>
      <c r="D9" s="609">
        <f>'Constructed Financials'!R9</f>
        <v>0.86005903665263905</v>
      </c>
      <c r="E9" s="609">
        <f>'Constructed Financials'!S9</f>
        <v>0.85618982639678565</v>
      </c>
      <c r="F9" s="609">
        <f>'Constructed Financials'!T9</f>
        <v>0.85691145126913393</v>
      </c>
      <c r="G9" s="609">
        <f>'Constructed Financials'!U9</f>
        <v>0.85971492343335032</v>
      </c>
      <c r="H9" s="609">
        <f>'Constructed Financials'!V9</f>
        <v>0.86045460796448003</v>
      </c>
      <c r="I9" s="609">
        <f>'Constructed Financials'!W9</f>
        <v>0.85863001541127726</v>
      </c>
      <c r="J9" s="609">
        <f>'Constructed Financials'!X9</f>
        <v>0.8620622776618061</v>
      </c>
      <c r="K9" s="609">
        <f>'Constructed Financials'!Y9</f>
        <v>0.87014108585880834</v>
      </c>
      <c r="L9" s="608">
        <f>'Constructed Financials'!Z9</f>
        <v>0.86883074002228733</v>
      </c>
      <c r="M9" s="410">
        <f>'Constructed Financials'!AB9</f>
        <v>0.8614527767933492</v>
      </c>
      <c r="N9" s="575">
        <f>'Constructed Financials'!AC9</f>
        <v>0.86883074002228733</v>
      </c>
      <c r="O9" s="607">
        <f>1-0.275</f>
        <v>0.72499999999999998</v>
      </c>
      <c r="P9" s="31"/>
      <c r="Q9" s="562">
        <f>N9</f>
        <v>0.86883074002228733</v>
      </c>
      <c r="R9" s="554">
        <f>Q9+($U9-$Q9)/4</f>
        <v>0.86698624921505285</v>
      </c>
      <c r="S9" s="554">
        <f>R9+($U9-$Q9)/4</f>
        <v>0.86514175840781826</v>
      </c>
      <c r="T9" s="554">
        <f>S9+($U9-$Q9)/4</f>
        <v>0.86329726760058367</v>
      </c>
      <c r="U9" s="606">
        <f>M9</f>
        <v>0.8614527767933492</v>
      </c>
    </row>
    <row r="10" spans="1:23" x14ac:dyDescent="0.25">
      <c r="A10" s="32" t="s">
        <v>497</v>
      </c>
      <c r="B10" s="31"/>
      <c r="C10" s="584">
        <f>'Constructed Financials'!Q11</f>
        <v>9.7318892045454547E-2</v>
      </c>
      <c r="D10" s="577">
        <f>'Constructed Financials'!R11</f>
        <v>9.9054208728130186E-2</v>
      </c>
      <c r="E10" s="577">
        <f>'Constructed Financials'!S11</f>
        <v>0.10230881324809003</v>
      </c>
      <c r="F10" s="577">
        <f>'Constructed Financials'!T11</f>
        <v>0.10100368145708197</v>
      </c>
      <c r="G10" s="577">
        <f>'Constructed Financials'!U11</f>
        <v>9.8491269706729959E-2</v>
      </c>
      <c r="H10" s="577">
        <f>'Constructed Financials'!V11</f>
        <v>9.7948304879406423E-2</v>
      </c>
      <c r="I10" s="577">
        <f>'Constructed Financials'!W11</f>
        <v>9.5891725283489548E-2</v>
      </c>
      <c r="J10" s="577">
        <f>'Constructed Financials'!X11</f>
        <v>9.198229971060945E-2</v>
      </c>
      <c r="K10" s="577">
        <f>'Constructed Financials'!Y11</f>
        <v>8.7149818906033821E-2</v>
      </c>
      <c r="L10" s="576">
        <f>'Constructed Financials'!Z11</f>
        <v>8.910809360683479E-2</v>
      </c>
      <c r="M10" s="410">
        <f>'Constructed Financials'!AB11</f>
        <v>9.6349809427217104E-2</v>
      </c>
      <c r="N10" s="575">
        <f>L10</f>
        <v>8.910809360683479E-2</v>
      </c>
      <c r="O10" s="596">
        <f>1-O9-0.225</f>
        <v>5.0000000000000017E-2</v>
      </c>
      <c r="P10" s="31"/>
      <c r="Q10" s="562">
        <f>N10</f>
        <v>8.910809360683479E-2</v>
      </c>
      <c r="R10" s="554">
        <f>Q10+($U10-$Q10)/4</f>
        <v>9.0918522561930365E-2</v>
      </c>
      <c r="S10" s="554">
        <f>R10+($U10-$Q10)/4</f>
        <v>9.272895151702594E-2</v>
      </c>
      <c r="T10" s="554">
        <f>S10+($U10-$Q10)/4</f>
        <v>9.4539380472121515E-2</v>
      </c>
      <c r="U10" s="561">
        <f>M10</f>
        <v>9.6349809427217104E-2</v>
      </c>
    </row>
    <row r="11" spans="1:23" x14ac:dyDescent="0.25">
      <c r="A11" s="103" t="s">
        <v>496</v>
      </c>
      <c r="B11" s="577"/>
      <c r="C11" s="570">
        <f>'Constructed Financials'!C13/'Constructed Financials'!C38</f>
        <v>6.9386378961564396E-2</v>
      </c>
      <c r="D11" s="570">
        <f>'Constructed Financials'!D13/'Constructed Financials'!D38</f>
        <v>7.3177066424258169E-2</v>
      </c>
      <c r="E11" s="570">
        <f>'Constructed Financials'!E13/'Constructed Financials'!E38</f>
        <v>7.3637270433609112E-2</v>
      </c>
      <c r="F11" s="570">
        <f>'Constructed Financials'!F13/'Constructed Financials'!F38</f>
        <v>7.543637464897307E-2</v>
      </c>
      <c r="G11" s="570">
        <f>'Constructed Financials'!G13/'Constructed Financials'!G38</f>
        <v>7.3014582592347943E-2</v>
      </c>
      <c r="H11" s="570">
        <f>'Constructed Financials'!H13/'Constructed Financials'!H38</f>
        <v>7.1421732886548586E-2</v>
      </c>
      <c r="I11" s="570">
        <f>'Constructed Financials'!I13/'Constructed Financials'!I38</f>
        <v>6.5311470202882443E-2</v>
      </c>
      <c r="J11" s="570">
        <f>'Constructed Financials'!J13/'Constructed Financials'!J38</f>
        <v>6.5042728799941565E-2</v>
      </c>
      <c r="K11" s="570">
        <f>'Constructed Financials'!K13/'Constructed Financials'!K38</f>
        <v>6.5426997245179058E-2</v>
      </c>
      <c r="L11" s="570">
        <f>'Constructed Financials'!L13/'Constructed Financials'!L38</f>
        <v>6.7606275633096805E-2</v>
      </c>
      <c r="M11" s="570" cm="1">
        <f t="array" ref="M11">IFERROR(AVERAGE(IF(C11:L11&lt;&gt;MAX(C11:L11),IF(C11:L11&lt;&gt;MIN(C11:L11),C11:L11))),N11)</f>
        <v>6.9872721797435824E-2</v>
      </c>
      <c r="N11" s="570">
        <f>L11</f>
        <v>6.7606275633096805E-2</v>
      </c>
      <c r="O11" s="589"/>
      <c r="P11" s="31"/>
      <c r="Q11" s="562">
        <f>N11</f>
        <v>6.7606275633096805E-2</v>
      </c>
      <c r="R11" s="554">
        <f>Q11+($U11-$Q11)/4</f>
        <v>6.817288717418156E-2</v>
      </c>
      <c r="S11" s="554">
        <f>R11+($U11-$Q11)/4</f>
        <v>6.8739498715266314E-2</v>
      </c>
      <c r="T11" s="554">
        <f>S11+($U11-$Q11)/4</f>
        <v>6.9306110256351069E-2</v>
      </c>
      <c r="U11" s="561">
        <f>M11</f>
        <v>6.9872721797435824E-2</v>
      </c>
    </row>
    <row r="12" spans="1:23" x14ac:dyDescent="0.25">
      <c r="A12" s="593" t="s">
        <v>495</v>
      </c>
      <c r="B12" s="595"/>
      <c r="C12" s="570">
        <f>'Constructed Financials'!C13/'Constructed Financials'!C39</f>
        <v>4.5380374862183021E-2</v>
      </c>
      <c r="D12" s="570">
        <f>'Constructed Financials'!D13/'Constructed Financials'!D39</f>
        <v>4.7625084516565247E-2</v>
      </c>
      <c r="E12" s="570">
        <f>'Constructed Financials'!E13/'Constructed Financials'!E39</f>
        <v>4.7961172469140521E-2</v>
      </c>
      <c r="F12" s="570">
        <f>'Constructed Financials'!F13/'Constructed Financials'!F39</f>
        <v>4.8339860978793975E-2</v>
      </c>
      <c r="G12" s="570">
        <f>'Constructed Financials'!G13/'Constructed Financials'!G39</f>
        <v>4.6786481734713808E-2</v>
      </c>
      <c r="H12" s="570">
        <f>'Constructed Financials'!H13/'Constructed Financials'!H39</f>
        <v>4.5730399068227796E-2</v>
      </c>
      <c r="I12" s="570">
        <f>'Constructed Financials'!I13/'Constructed Financials'!I39</f>
        <v>4.3195126434367043E-2</v>
      </c>
      <c r="J12" s="570">
        <f>'Constructed Financials'!J13/'Constructed Financials'!J39</f>
        <v>4.2866082603254065E-2</v>
      </c>
      <c r="K12" s="570">
        <f>'Constructed Financials'!K13/'Constructed Financials'!K39</f>
        <v>4.2864233181428506E-2</v>
      </c>
      <c r="L12" s="570">
        <f>'Constructed Financials'!L13/'Constructed Financials'!L39</f>
        <v>4.381209526019364E-2</v>
      </c>
      <c r="M12" s="570" cm="1">
        <f t="array" ref="M12">IFERROR(AVERAGE(IF(C12:L12&lt;&gt;MAX(C12:L12),IF(C12:L12&lt;&gt;MIN(C12:L12),C12:L12))),N12)</f>
        <v>4.5419602118580642E-2</v>
      </c>
      <c r="N12" s="570">
        <f>L12</f>
        <v>4.381209526019364E-2</v>
      </c>
      <c r="O12" s="563"/>
      <c r="P12" s="102"/>
      <c r="Q12" s="575"/>
      <c r="R12" s="605"/>
      <c r="S12" s="31"/>
      <c r="T12" s="604"/>
      <c r="U12" s="99"/>
    </row>
    <row r="13" spans="1:23" x14ac:dyDescent="0.25">
      <c r="A13" s="593" t="s">
        <v>494</v>
      </c>
      <c r="B13" s="577"/>
      <c r="C13" s="568">
        <f>'Constructed Financials'!Q13</f>
        <v>9.1352982954545463E-3</v>
      </c>
      <c r="D13" s="567">
        <f>'Constructed Financials'!R13</f>
        <v>9.6988786478368998E-3</v>
      </c>
      <c r="E13" s="567">
        <f>'Constructed Financials'!S13</f>
        <v>1.0571180687168861E-2</v>
      </c>
      <c r="F13" s="567">
        <f>'Constructed Financials'!T13</f>
        <v>1.0618097267971324E-2</v>
      </c>
      <c r="G13" s="567">
        <f>'Constructed Financials'!U13</f>
        <v>1.0150025428038651E-2</v>
      </c>
      <c r="H13" s="567">
        <f>'Constructed Financials'!V13</f>
        <v>9.7706004466185988E-3</v>
      </c>
      <c r="I13" s="567">
        <f>'Constructed Financials'!W13</f>
        <v>9.8644167401250888E-3</v>
      </c>
      <c r="J13" s="567">
        <f>'Constructed Financials'!X13</f>
        <v>9.0900275099653448E-3</v>
      </c>
      <c r="K13" s="567">
        <f>'Constructed Financials'!Y13</f>
        <v>8.3717405289177541E-3</v>
      </c>
      <c r="L13" s="566">
        <f>'Constructed Financials'!Z13</f>
        <v>8.5723719509678484E-3</v>
      </c>
      <c r="M13" s="565">
        <f>'Constructed Financials'!AB13</f>
        <v>9.6065999632719817E-3</v>
      </c>
      <c r="N13" s="564">
        <f>L13</f>
        <v>8.5723719509678484E-3</v>
      </c>
      <c r="O13" s="563" t="s">
        <v>323</v>
      </c>
      <c r="P13" s="309"/>
      <c r="Q13" s="564" t="s">
        <v>323</v>
      </c>
      <c r="R13" s="603" t="s">
        <v>323</v>
      </c>
      <c r="S13" s="565" t="s">
        <v>323</v>
      </c>
      <c r="T13" s="603" t="s">
        <v>323</v>
      </c>
      <c r="U13" s="602" t="s">
        <v>323</v>
      </c>
    </row>
    <row r="14" spans="1:23" x14ac:dyDescent="0.25">
      <c r="A14" s="32" t="s">
        <v>493</v>
      </c>
      <c r="B14" s="31"/>
      <c r="C14" s="584" t="s">
        <v>323</v>
      </c>
      <c r="D14" s="601">
        <f>'Constructed Financials'!D15/('Constructed Financials'!C50+'Constructed Financials'!C55)</f>
        <v>2.3458191449110859E-2</v>
      </c>
      <c r="E14" s="601">
        <f>'Constructed Financials'!E15/('Constructed Financials'!D50+'Constructed Financials'!D55)</f>
        <v>2.0642557814682602E-2</v>
      </c>
      <c r="F14" s="601">
        <f>'Constructed Financials'!F15/('Constructed Financials'!E50+'Constructed Financials'!E55)</f>
        <v>2.4209575429087624E-2</v>
      </c>
      <c r="G14" s="601">
        <f>'Constructed Financials'!G15/('Constructed Financials'!F50+'Constructed Financials'!F55)</f>
        <v>2.2588435857366102E-2</v>
      </c>
      <c r="H14" s="601">
        <f>'Constructed Financials'!H15/('Constructed Financials'!G50+'Constructed Financials'!G55)</f>
        <v>2.1508459994264411E-2</v>
      </c>
      <c r="I14" s="601">
        <f>'Constructed Financials'!I15/('Constructed Financials'!H50+'Constructed Financials'!H55)</f>
        <v>2.2087244616234125E-2</v>
      </c>
      <c r="J14" s="601">
        <f>'Constructed Financials'!J15/('Constructed Financials'!I50+'Constructed Financials'!I55)</f>
        <v>1.5424860184015876E-2</v>
      </c>
      <c r="K14" s="601">
        <f>'Constructed Financials'!K15/('Constructed Financials'!J50+'Constructed Financials'!J55)</f>
        <v>1.3851144034364864E-2</v>
      </c>
      <c r="L14" s="601">
        <f>'Constructed Financials'!L15/('Constructed Financials'!K50+'Constructed Financials'!K55)</f>
        <v>1.4670823399963322E-2</v>
      </c>
      <c r="M14" s="570" cm="1">
        <f t="array" ref="M14">IFERROR(AVERAGE(IF(C14:L14&lt;&gt;MAX(C14:L14),IF(C14:L14&lt;&gt;MIN(C14:L14),C14:L14))),N14)</f>
        <v>2.0054367616519613E-2</v>
      </c>
      <c r="N14" s="570">
        <f>L14</f>
        <v>1.4670823399963322E-2</v>
      </c>
      <c r="O14" s="563" t="s">
        <v>323</v>
      </c>
      <c r="P14" s="31"/>
      <c r="Q14" s="562">
        <f>N14</f>
        <v>1.4670823399963322E-2</v>
      </c>
      <c r="R14" s="554">
        <f>Q14+($U14-$Q14)/4</f>
        <v>2.2253117549972491E-2</v>
      </c>
      <c r="S14" s="554">
        <f>R14+($U14-$Q14)/4</f>
        <v>2.9835411699981659E-2</v>
      </c>
      <c r="T14" s="554">
        <f>S14+($U14-$Q14)/4</f>
        <v>3.741770584999083E-2</v>
      </c>
      <c r="U14" s="561">
        <f>B208</f>
        <v>4.4999999999999998E-2</v>
      </c>
    </row>
    <row r="15" spans="1:23" x14ac:dyDescent="0.25">
      <c r="A15" s="569" t="s">
        <v>492</v>
      </c>
      <c r="B15" s="31"/>
      <c r="C15" s="600"/>
      <c r="D15" s="31"/>
      <c r="E15" s="31"/>
      <c r="F15" s="31"/>
      <c r="G15" s="31"/>
      <c r="H15" s="31"/>
      <c r="I15" s="577"/>
      <c r="J15" s="577"/>
      <c r="K15" s="577"/>
      <c r="L15" s="576"/>
      <c r="M15" s="410"/>
      <c r="N15" s="575"/>
      <c r="O15" s="563" t="s">
        <v>323</v>
      </c>
      <c r="P15" s="31"/>
      <c r="Q15" s="208">
        <v>5.2999999999999999E-2</v>
      </c>
      <c r="R15" s="554">
        <f>Q15+($U15-$Q15)/4</f>
        <v>5.2999999999999999E-2</v>
      </c>
      <c r="S15" s="554">
        <f>R15+($U15-$Q15)/4</f>
        <v>5.2999999999999999E-2</v>
      </c>
      <c r="T15" s="554">
        <f>S15+($U15-$Q15)/4</f>
        <v>5.2999999999999999E-2</v>
      </c>
      <c r="U15" s="206">
        <v>5.2999999999999999E-2</v>
      </c>
    </row>
    <row r="16" spans="1:23" x14ac:dyDescent="0.25">
      <c r="A16" s="32" t="s">
        <v>491</v>
      </c>
      <c r="B16" s="31"/>
      <c r="C16" s="584">
        <f>'Constructed Financials'!Q16</f>
        <v>7.9900568181818187E-4</v>
      </c>
      <c r="D16" s="577">
        <f>'Constructed Financials'!R16</f>
        <v>8.9501630822984703E-4</v>
      </c>
      <c r="E16" s="577">
        <f>'Constructed Financials'!S16</f>
        <v>6.738601234848676E-4</v>
      </c>
      <c r="F16" s="577">
        <f>'Constructed Financials'!T16</f>
        <v>4.8052702964541754E-4</v>
      </c>
      <c r="G16" s="577">
        <f>'Constructed Financials'!U16</f>
        <v>8.5466463242357465E-4</v>
      </c>
      <c r="H16" s="577">
        <f>'Constructed Financials'!V16</f>
        <v>1.1656614473847928E-3</v>
      </c>
      <c r="I16" s="577">
        <f>'Constructed Financials'!W16</f>
        <v>7.675655578942319E-4</v>
      </c>
      <c r="J16" s="577">
        <f>'Constructed Financials'!X16</f>
        <v>7.2985622342787437E-4</v>
      </c>
      <c r="K16" s="577">
        <f>'Constructed Financials'!Y16</f>
        <v>9.0326674127796827E-4</v>
      </c>
      <c r="L16" s="576">
        <f>'Constructed Financials'!Z16</f>
        <v>2.199843163151595E-3</v>
      </c>
      <c r="M16" s="410">
        <f>'Constructed Financials'!AB16</f>
        <v>8.4861208949266751E-4</v>
      </c>
      <c r="N16" s="575">
        <f>L16</f>
        <v>2.199843163151595E-3</v>
      </c>
      <c r="O16" s="563" t="s">
        <v>323</v>
      </c>
      <c r="P16" s="31"/>
      <c r="Q16" s="562">
        <f>N16</f>
        <v>2.199843163151595E-3</v>
      </c>
      <c r="R16" s="554">
        <f>Q16+($U16-$Q16)/4</f>
        <v>1.8620353947368632E-3</v>
      </c>
      <c r="S16" s="554">
        <f>R16+($U16-$Q16)/4</f>
        <v>1.5242276263221313E-3</v>
      </c>
      <c r="T16" s="554">
        <f>S16+($U16-$Q16)/4</f>
        <v>1.1864198579073994E-3</v>
      </c>
      <c r="U16" s="561">
        <f>M16</f>
        <v>8.4861208949266751E-4</v>
      </c>
    </row>
    <row r="17" spans="1:21" x14ac:dyDescent="0.25">
      <c r="A17" s="32" t="s">
        <v>490</v>
      </c>
      <c r="B17" s="31"/>
      <c r="C17" s="584">
        <f>'Constructed Financials'!Q17</f>
        <v>0</v>
      </c>
      <c r="D17" s="577">
        <f>'Constructed Financials'!R17</f>
        <v>0</v>
      </c>
      <c r="E17" s="577">
        <f>'Constructed Financials'!S17</f>
        <v>0</v>
      </c>
      <c r="F17" s="577">
        <f>'Constructed Financials'!T17</f>
        <v>3.9527223406316604E-4</v>
      </c>
      <c r="G17" s="577">
        <f>'Constructed Financials'!U17</f>
        <v>0</v>
      </c>
      <c r="H17" s="577">
        <f>'Constructed Financials'!V17</f>
        <v>-8.0548515746252532E-4</v>
      </c>
      <c r="I17" s="577">
        <f>'Constructed Financials'!W17</f>
        <v>-3.2381671973662905E-3</v>
      </c>
      <c r="J17" s="577">
        <f>'Constructed Financials'!X17</f>
        <v>-2.6285031822752118E-3</v>
      </c>
      <c r="K17" s="577">
        <f>'Constructed Financials'!Y17</f>
        <v>0</v>
      </c>
      <c r="L17" s="576">
        <f>'Constructed Financials'!Z17</f>
        <v>0</v>
      </c>
      <c r="M17" s="410">
        <f>'Constructed Financials'!AB17</f>
        <v>-4.2924854246721716E-4</v>
      </c>
      <c r="N17" s="575">
        <f>L17</f>
        <v>0</v>
      </c>
      <c r="O17" s="563" t="s">
        <v>323</v>
      </c>
      <c r="P17" s="31"/>
      <c r="Q17" s="562">
        <f>N17</f>
        <v>0</v>
      </c>
      <c r="R17" s="554">
        <f>Q17+($U17-$Q17)/4</f>
        <v>-1.0731213561680429E-4</v>
      </c>
      <c r="S17" s="554">
        <f>R17+($U17-$Q17)/4</f>
        <v>-2.1462427123360858E-4</v>
      </c>
      <c r="T17" s="554">
        <f>S17+($U17-$Q17)/4</f>
        <v>-3.2193640685041289E-4</v>
      </c>
      <c r="U17" s="561">
        <f>M17</f>
        <v>-4.2924854246721716E-4</v>
      </c>
    </row>
    <row r="18" spans="1:21" x14ac:dyDescent="0.25">
      <c r="A18" s="32" t="s">
        <v>489</v>
      </c>
      <c r="B18" s="129"/>
      <c r="C18" s="570">
        <f>'Constructed Financials'!C19/'Constructed Financials'!C18</f>
        <v>0.34688770722552392</v>
      </c>
      <c r="D18" s="570">
        <f>'Constructed Financials'!D19/'Constructed Financials'!D18</f>
        <v>0.33157602663706992</v>
      </c>
      <c r="E18" s="570">
        <f>'Constructed Financials'!E19/'Constructed Financials'!E18</f>
        <v>0.34346504559270519</v>
      </c>
      <c r="F18" s="570">
        <f>'Constructed Financials'!F19/'Constructed Financials'!F18</f>
        <v>0.32805149789551868</v>
      </c>
      <c r="G18" s="570">
        <f>'Constructed Financials'!G19/'Constructed Financials'!G18</f>
        <v>0.28433138226024313</v>
      </c>
      <c r="H18" s="570">
        <f>'Constructed Financials'!H19/'Constructed Financials'!H18</f>
        <v>0.22266526757607555</v>
      </c>
      <c r="I18" s="570">
        <f>'Constructed Financials'!I19/'Constructed Financials'!I18</f>
        <v>0.2437115707098938</v>
      </c>
      <c r="J18" s="570">
        <f>'Constructed Financials'!J19/'Constructed Financials'!J18</f>
        <v>0.23967065868263474</v>
      </c>
      <c r="K18" s="570">
        <f>'Constructed Financials'!K19/'Constructed Financials'!K18</f>
        <v>0.24553571428571427</v>
      </c>
      <c r="L18" s="570">
        <f>'Constructed Financials'!L19/'Constructed Financials'!L18</f>
        <v>0.25863084717803697</v>
      </c>
      <c r="M18" s="570" cm="1">
        <f t="array" ref="M18">IFERROR(AVERAGE(IF(C18:L18&lt;&gt;MAX(C18:L18),IF(C18:L18&lt;&gt;MIN(C18:L18),C18:L18))),N18)</f>
        <v>0.28437159290522707</v>
      </c>
      <c r="N18" s="570">
        <f>L18</f>
        <v>0.25863084717803697</v>
      </c>
      <c r="O18" s="589"/>
      <c r="P18" s="31"/>
      <c r="Q18" s="562">
        <f>N18</f>
        <v>0.25863084717803697</v>
      </c>
      <c r="R18" s="554">
        <f>Q18+($U18-$Q18)/4</f>
        <v>0.25863084717803697</v>
      </c>
      <c r="S18" s="554">
        <f>R18+($U18-$Q18)/4</f>
        <v>0.25863084717803697</v>
      </c>
      <c r="T18" s="554">
        <f>S18+($U18-$Q18)/4</f>
        <v>0.25863084717803697</v>
      </c>
      <c r="U18" s="561">
        <f>N18</f>
        <v>0.25863084717803697</v>
      </c>
    </row>
    <row r="19" spans="1:21" x14ac:dyDescent="0.25">
      <c r="A19" s="32" t="s">
        <v>488</v>
      </c>
      <c r="B19" s="129"/>
      <c r="C19" s="584">
        <f>'Constructed Financials'!Q21</f>
        <v>2.6633522727272725E-4</v>
      </c>
      <c r="D19" s="577">
        <f>'Constructed Financials'!R21</f>
        <v>2.753896333014914E-4</v>
      </c>
      <c r="E19" s="577">
        <f>'Constructed Financials'!S21</f>
        <v>2.1900454013258199E-4</v>
      </c>
      <c r="F19" s="577">
        <f>'Constructed Financials'!T21</f>
        <v>2.7126525867080025E-4</v>
      </c>
      <c r="G19" s="577">
        <f>'Constructed Financials'!U21</f>
        <v>3.1785048313273434E-4</v>
      </c>
      <c r="H19" s="577">
        <f>'Constructed Financials'!V21</f>
        <v>2.9468969175458243E-4</v>
      </c>
      <c r="I19" s="577">
        <f>'Constructed Financials'!W21</f>
        <v>3.418065374997751E-4</v>
      </c>
      <c r="J19" s="577">
        <f>'Constructed Financials'!X21</f>
        <v>3.6748005655109757E-4</v>
      </c>
      <c r="K19" s="577">
        <f>'Constructed Financials'!Y21</f>
        <v>3.1283872502797924E-4</v>
      </c>
      <c r="L19" s="576">
        <f>'Constructed Financials'!Z21</f>
        <v>0</v>
      </c>
      <c r="M19" s="410">
        <f>'Constructed Financials'!AB21</f>
        <v>2.87397512099084E-4</v>
      </c>
      <c r="N19" s="575">
        <f>L19</f>
        <v>0</v>
      </c>
      <c r="O19" s="563" t="s">
        <v>323</v>
      </c>
      <c r="P19" s="31"/>
      <c r="Q19" s="562">
        <f>N19</f>
        <v>0</v>
      </c>
      <c r="R19" s="554">
        <f>Q19+($U19-$Q19)/4</f>
        <v>7.1849378024771001E-5</v>
      </c>
      <c r="S19" s="554">
        <f>R19+($U19-$Q19)/4</f>
        <v>1.43698756049542E-4</v>
      </c>
      <c r="T19" s="554">
        <f>S19+($U19-$Q19)/4</f>
        <v>2.1554813407431299E-4</v>
      </c>
      <c r="U19" s="67">
        <f>M19</f>
        <v>2.87397512099084E-4</v>
      </c>
    </row>
    <row r="20" spans="1:21" x14ac:dyDescent="0.25">
      <c r="A20" s="32" t="s">
        <v>487</v>
      </c>
      <c r="B20" s="129"/>
      <c r="C20" s="570">
        <f>-'Constructed Financials'!C106/'Constructed Financials'!C24</f>
        <v>0.28377065111758987</v>
      </c>
      <c r="D20" s="570">
        <f>-'Constructed Financials'!D106/'Constructed Financials'!D24</f>
        <v>1.2053007993268827</v>
      </c>
      <c r="E20" s="570">
        <f>-'Constructed Financials'!E106/'Constructed Financials'!E24</f>
        <v>0.31744680851063828</v>
      </c>
      <c r="F20" s="570">
        <f>-'Constructed Financials'!F106/'Constructed Financials'!F24</f>
        <v>1.4572601717058604</v>
      </c>
      <c r="G20" s="570">
        <f>-'Constructed Financials'!G106/'Constructed Financials'!G24</f>
        <v>0.2198468410976388</v>
      </c>
      <c r="H20" s="570">
        <f>-'Constructed Financials'!H106/'Constructed Financials'!H24</f>
        <v>0.2836840666848866</v>
      </c>
      <c r="I20" s="570">
        <f>-'Constructed Financials'!I106/'Constructed Financials'!I24</f>
        <v>0.36956521739130432</v>
      </c>
      <c r="J20" s="570">
        <f>-'Constructed Financials'!J106/'Constructed Financials'!J24</f>
        <v>1.1479928100659078</v>
      </c>
      <c r="K20" s="570">
        <f>-'Constructed Financials'!K106/'Constructed Financials'!K24</f>
        <v>0.25633127994524296</v>
      </c>
      <c r="L20" s="570">
        <f>-'Constructed Financials'!L106/'Constructed Financials'!L24</f>
        <v>0.1988239033693579</v>
      </c>
      <c r="M20" s="570" cm="1">
        <f t="array" ref="M20">IFERROR(AVERAGE(IF(C20:L20&lt;&gt;MAX(C20:L20),IF(C20:L20&lt;&gt;MIN(C20:L20),C20:L20))),N20)</f>
        <v>0.51049230926751143</v>
      </c>
      <c r="N20" s="570">
        <f>L20</f>
        <v>0.1988239033693579</v>
      </c>
      <c r="O20" s="589"/>
      <c r="P20" s="31"/>
      <c r="Q20" s="562">
        <f>N20</f>
        <v>0.1988239033693579</v>
      </c>
      <c r="R20" s="554">
        <f>Q20+($U20-$Q20)/4</f>
        <v>0.2767410048438963</v>
      </c>
      <c r="S20" s="554">
        <f>R20+($U20-$Q20)/4</f>
        <v>0.3546581063184347</v>
      </c>
      <c r="T20" s="554">
        <f>S20+($U20-$Q20)/4</f>
        <v>0.43257520779297309</v>
      </c>
      <c r="U20" s="561">
        <f>M20</f>
        <v>0.51049230926751143</v>
      </c>
    </row>
    <row r="21" spans="1:21" x14ac:dyDescent="0.25">
      <c r="A21" s="53" t="s">
        <v>486</v>
      </c>
      <c r="B21" s="31"/>
      <c r="C21" s="584"/>
      <c r="D21" s="577"/>
      <c r="E21" s="577"/>
      <c r="F21" s="577"/>
      <c r="G21" s="577"/>
      <c r="H21" s="577"/>
      <c r="I21" s="577"/>
      <c r="J21" s="577"/>
      <c r="K21" s="577"/>
      <c r="L21" s="576"/>
      <c r="M21" s="410"/>
      <c r="N21" s="575"/>
      <c r="O21" s="574"/>
      <c r="P21" s="31"/>
      <c r="Q21" s="103"/>
      <c r="R21" s="573"/>
      <c r="S21" s="102"/>
      <c r="T21" s="573"/>
      <c r="U21" s="572"/>
    </row>
    <row r="22" spans="1:21" x14ac:dyDescent="0.25">
      <c r="A22" s="118" t="s">
        <v>485</v>
      </c>
      <c r="B22" s="31"/>
      <c r="C22" s="584">
        <f>'Constructed Financials'!Q33</f>
        <v>6.494140625E-2</v>
      </c>
      <c r="D22" s="577">
        <f>'Constructed Financials'!R33</f>
        <v>5.5241439255071044E-2</v>
      </c>
      <c r="E22" s="577">
        <f>'Constructed Financials'!S33</f>
        <v>3.9833556549499237E-2</v>
      </c>
      <c r="F22" s="577">
        <f>'Constructed Financials'!T33</f>
        <v>4.4789769424530126E-2</v>
      </c>
      <c r="G22" s="577">
        <f>'Constructed Financials'!U33</f>
        <v>5.1272814601344863E-2</v>
      </c>
      <c r="H22" s="577">
        <f>'Constructed Financials'!V33</f>
        <v>6.1845543309561699E-2</v>
      </c>
      <c r="I22" s="577">
        <f>'Constructed Financials'!W33</f>
        <v>7.9784841779552779E-2</v>
      </c>
      <c r="J22" s="577">
        <f>'Constructed Financials'!X33</f>
        <v>6.2139856784855736E-2</v>
      </c>
      <c r="K22" s="577">
        <f>'Constructed Financials'!Y33</f>
        <v>4.8683874265269614E-2</v>
      </c>
      <c r="L22" s="576">
        <f>'Constructed Financials'!Z33</f>
        <v>6.2875067068389121E-2</v>
      </c>
      <c r="M22" s="410">
        <f>'Constructed Financials'!AB33</f>
        <v>5.6473721369877765E-2</v>
      </c>
      <c r="N22" s="575">
        <f>L22</f>
        <v>6.2875067068389121E-2</v>
      </c>
      <c r="O22" s="589"/>
      <c r="P22" s="31"/>
      <c r="Q22" s="562">
        <f>N22</f>
        <v>6.2875067068389121E-2</v>
      </c>
      <c r="R22" s="554">
        <f>Q22+($U22-$Q22)/4</f>
        <v>6.127473064376128E-2</v>
      </c>
      <c r="S22" s="554">
        <f>R22+($U22-$Q22)/4</f>
        <v>5.9674394219133439E-2</v>
      </c>
      <c r="T22" s="554">
        <f>S22+($U22-$Q22)/4</f>
        <v>5.8074057794505599E-2</v>
      </c>
      <c r="U22" s="561">
        <f>M22</f>
        <v>5.6473721369877765E-2</v>
      </c>
    </row>
    <row r="23" spans="1:21" x14ac:dyDescent="0.25">
      <c r="A23" s="118" t="s">
        <v>484</v>
      </c>
      <c r="B23" s="31"/>
      <c r="C23" s="584">
        <f>'Constructed Financials'!Q34</f>
        <v>1.0191761363636363E-2</v>
      </c>
      <c r="D23" s="577">
        <f>'Constructed Financials'!R34</f>
        <v>1.0533653473782047E-2</v>
      </c>
      <c r="E23" s="577">
        <f>'Constructed Financials'!S34</f>
        <v>1.0545910932538179E-2</v>
      </c>
      <c r="F23" s="577">
        <f>'Constructed Financials'!T34</f>
        <v>1.1098624297616742E-2</v>
      </c>
      <c r="G23" s="577">
        <f>'Constructed Financials'!U34</f>
        <v>1.1788721252189637E-2</v>
      </c>
      <c r="H23" s="577">
        <f>'Constructed Financials'!V34</f>
        <v>1.0052192818739645E-2</v>
      </c>
      <c r="I23" s="577">
        <f>'Constructed Financials'!W34</f>
        <v>9.2947391776254645E-3</v>
      </c>
      <c r="J23" s="577">
        <f>'Constructed Financials'!X34</f>
        <v>9.2023130828004021E-3</v>
      </c>
      <c r="K23" s="577">
        <f>'Constructed Financials'!Y34</f>
        <v>9.8742476448972043E-3</v>
      </c>
      <c r="L23" s="576">
        <f>'Constructed Financials'!Z34</f>
        <v>9.4308473317099347E-3</v>
      </c>
      <c r="M23" s="410">
        <f>'Constructed Financials'!AB34</f>
        <v>1.0127747130068195E-2</v>
      </c>
      <c r="N23" s="575">
        <f>L23</f>
        <v>9.4308473317099347E-3</v>
      </c>
      <c r="O23" s="596">
        <v>3.15E-2</v>
      </c>
      <c r="P23" s="31"/>
      <c r="Q23" s="562">
        <f>N23</f>
        <v>9.4308473317099347E-3</v>
      </c>
      <c r="R23" s="554">
        <f>Q23+($U23-$Q23)/4</f>
        <v>9.6050722812995003E-3</v>
      </c>
      <c r="S23" s="554">
        <f>R23+($U23-$Q23)/4</f>
        <v>9.7792972308890658E-3</v>
      </c>
      <c r="T23" s="554">
        <f>S23+($U23-$Q23)/4</f>
        <v>9.9535221804786314E-3</v>
      </c>
      <c r="U23" s="561">
        <f>M23</f>
        <v>1.0127747130068195E-2</v>
      </c>
    </row>
    <row r="24" spans="1:21" x14ac:dyDescent="0.25">
      <c r="A24" s="118" t="s">
        <v>483</v>
      </c>
      <c r="B24" s="31"/>
      <c r="C24" s="584">
        <f>'Constructed Financials'!Q35</f>
        <v>7.5071022727272729E-2</v>
      </c>
      <c r="D24" s="577">
        <f>'Constructed Financials'!R35</f>
        <v>7.6661589170302677E-2</v>
      </c>
      <c r="E24" s="577">
        <f>'Constructed Financials'!S35</f>
        <v>7.5548143094197218E-2</v>
      </c>
      <c r="F24" s="577">
        <f>'Constructed Financials'!T35</f>
        <v>7.621778725053284E-2</v>
      </c>
      <c r="G24" s="577">
        <f>'Constructed Financials'!U35</f>
        <v>7.7979318528564157E-2</v>
      </c>
      <c r="H24" s="577">
        <f>'Constructed Financials'!V35</f>
        <v>7.4621978612077033E-2</v>
      </c>
      <c r="I24" s="577">
        <f>'Constructed Financials'!W35</f>
        <v>7.3410449685478024E-2</v>
      </c>
      <c r="J24" s="577">
        <f>'Constructed Financials'!X35</f>
        <v>7.2551791720470174E-2</v>
      </c>
      <c r="K24" s="577">
        <f>'Constructed Financials'!Y35</f>
        <v>7.8901451395436958E-2</v>
      </c>
      <c r="L24" s="576">
        <f>'Constructed Financials'!Z35</f>
        <v>6.8723430599694588E-2</v>
      </c>
      <c r="M24" s="410">
        <f>'Constructed Financials'!AB35</f>
        <v>7.5257760098611862E-2</v>
      </c>
      <c r="N24" s="575">
        <f>L24</f>
        <v>6.8723430599694588E-2</v>
      </c>
      <c r="O24" s="596">
        <v>8.5300000000000001E-2</v>
      </c>
      <c r="P24" s="31"/>
      <c r="Q24" s="562">
        <f>N24</f>
        <v>6.8723430599694588E-2</v>
      </c>
      <c r="R24" s="554">
        <f>Q24+($U24-$Q24)/4</f>
        <v>7.0357012974423899E-2</v>
      </c>
      <c r="S24" s="554">
        <f>R24+($U24-$Q24)/4</f>
        <v>7.1990595349153225E-2</v>
      </c>
      <c r="T24" s="554">
        <f>S24+($U24-$Q24)/4</f>
        <v>7.362417772388255E-2</v>
      </c>
      <c r="U24" s="561">
        <f>M24</f>
        <v>7.5257760098611862E-2</v>
      </c>
    </row>
    <row r="25" spans="1:21" x14ac:dyDescent="0.25">
      <c r="A25" s="118" t="s">
        <v>482</v>
      </c>
      <c r="B25" s="31"/>
      <c r="C25" s="584">
        <f>'Constructed Financials'!Q36</f>
        <v>5.9392755681818184E-3</v>
      </c>
      <c r="D25" s="577">
        <f>'Constructed Financials'!R36</f>
        <v>6.4372326784223619E-3</v>
      </c>
      <c r="E25" s="577">
        <f>'Constructed Financials'!S36</f>
        <v>2.2574314136743065E-3</v>
      </c>
      <c r="F25" s="577">
        <f>'Constructed Financials'!T36</f>
        <v>2.1081185816702189E-3</v>
      </c>
      <c r="G25" s="577">
        <f>'Constructed Financials'!U36</f>
        <v>2.2673334463468382E-3</v>
      </c>
      <c r="H25" s="577">
        <f>'Constructed Financials'!V36</f>
        <v>7.2755610564298016E-3</v>
      </c>
      <c r="I25" s="577">
        <f>'Constructed Financials'!W36</f>
        <v>6.1345278572328063E-3</v>
      </c>
      <c r="J25" s="577">
        <f>'Constructed Financials'!X36</f>
        <v>6.6963032527088892E-3</v>
      </c>
      <c r="K25" s="577">
        <f>'Constructed Financials'!Y36</f>
        <v>6.6048626593935332E-3</v>
      </c>
      <c r="L25" s="576">
        <f>'Constructed Financials'!Z36</f>
        <v>7.0535308927318499E-3</v>
      </c>
      <c r="M25" s="410">
        <f>'Constructed Financials'!AB36</f>
        <v>5.4238122210865502E-3</v>
      </c>
      <c r="N25" s="575">
        <f>L25</f>
        <v>7.0535308927318499E-3</v>
      </c>
      <c r="O25" s="589"/>
      <c r="P25" s="31"/>
      <c r="Q25" s="562">
        <f>N25</f>
        <v>7.0535308927318499E-3</v>
      </c>
      <c r="R25" s="554">
        <f>Q25+($U25-$Q25)/4</f>
        <v>6.6461012248205248E-3</v>
      </c>
      <c r="S25" s="554">
        <f>R25+($U25-$Q25)/4</f>
        <v>6.2386715569091996E-3</v>
      </c>
      <c r="T25" s="554">
        <f>S25+($U25-$Q25)/4</f>
        <v>5.8312418889978745E-3</v>
      </c>
      <c r="U25" s="561">
        <f>M25</f>
        <v>5.4238122210865502E-3</v>
      </c>
    </row>
    <row r="26" spans="1:21" x14ac:dyDescent="0.25">
      <c r="A26" s="597" t="s">
        <v>80</v>
      </c>
      <c r="B26" s="139"/>
      <c r="C26" s="584"/>
      <c r="D26" s="577"/>
      <c r="E26" s="577"/>
      <c r="F26" s="577"/>
      <c r="G26" s="577"/>
      <c r="H26" s="577"/>
      <c r="I26" s="577"/>
      <c r="J26" s="577"/>
      <c r="K26" s="577"/>
      <c r="L26" s="576"/>
      <c r="M26" s="410"/>
      <c r="N26" s="575"/>
      <c r="O26" s="563" t="s">
        <v>323</v>
      </c>
      <c r="P26" s="31"/>
      <c r="Q26" s="103" t="s">
        <v>323</v>
      </c>
      <c r="R26" s="573" t="s">
        <v>323</v>
      </c>
      <c r="S26" s="102" t="s">
        <v>323</v>
      </c>
      <c r="T26" s="573" t="s">
        <v>323</v>
      </c>
      <c r="U26" s="572" t="s">
        <v>323</v>
      </c>
    </row>
    <row r="27" spans="1:21" x14ac:dyDescent="0.25">
      <c r="A27" s="118" t="s">
        <v>481</v>
      </c>
      <c r="B27" s="31"/>
      <c r="C27" s="584">
        <f>'Constructed Financials'!Q38</f>
        <v>0.13165838068181818</v>
      </c>
      <c r="D27" s="577">
        <f>'Constructed Financials'!R38</f>
        <v>0.1325398669523834</v>
      </c>
      <c r="E27" s="577">
        <f>'Constructed Financials'!S38</f>
        <v>0.1435574760569075</v>
      </c>
      <c r="F27" s="577">
        <f>'Constructed Financials'!T38</f>
        <v>0.14075566750629723</v>
      </c>
      <c r="G27" s="577">
        <f>'Constructed Financials'!U38</f>
        <v>0.13901367463411879</v>
      </c>
      <c r="H27" s="577">
        <f>'Constructed Financials'!V38</f>
        <v>0.13680150357229393</v>
      </c>
      <c r="I27" s="577">
        <f>'Constructed Financials'!W38</f>
        <v>0.15103651333345328</v>
      </c>
      <c r="J27" s="577">
        <f>'Constructed Financials'!X38</f>
        <v>0.13975470706225215</v>
      </c>
      <c r="K27" s="577">
        <f>'Constructed Financials'!Y38</f>
        <v>0.12795544471566925</v>
      </c>
      <c r="L27" s="576">
        <f>'Constructed Financials'!Z38</f>
        <v>0.12679846464979982</v>
      </c>
      <c r="M27" s="410">
        <f>'Constructed Financials'!AB38</f>
        <v>0.13650459014771754</v>
      </c>
      <c r="N27" s="575">
        <f>L27</f>
        <v>0.12679846464979982</v>
      </c>
      <c r="O27" s="589"/>
      <c r="P27" s="31"/>
      <c r="Q27" s="562">
        <f>N27</f>
        <v>0.12679846464979982</v>
      </c>
      <c r="R27" s="554">
        <f>Q27+($U27-$Q27)/4</f>
        <v>0.12922499602427925</v>
      </c>
      <c r="S27" s="554">
        <f>R27+($U27-$Q27)/4</f>
        <v>0.13165152739875868</v>
      </c>
      <c r="T27" s="554">
        <f>S27+($U27-$Q27)/4</f>
        <v>0.13407805877323811</v>
      </c>
      <c r="U27" s="561">
        <f>M27</f>
        <v>0.13650459014771754</v>
      </c>
    </row>
    <row r="28" spans="1:21" x14ac:dyDescent="0.25">
      <c r="A28" s="186" t="s">
        <v>341</v>
      </c>
      <c r="B28" s="139"/>
      <c r="C28" s="584">
        <f>'Constructed Financials'!Q39</f>
        <v>0.20130504261363635</v>
      </c>
      <c r="D28" s="577">
        <f>'Constructed Financials'!R39</f>
        <v>0.2036506338264529</v>
      </c>
      <c r="E28" s="577">
        <f>'Constructed Financials'!S39</f>
        <v>0.22041122314035663</v>
      </c>
      <c r="F28" s="577">
        <f>'Constructed Financials'!T39</f>
        <v>0.21965510559968998</v>
      </c>
      <c r="G28" s="577">
        <f>'Constructed Financials'!U39</f>
        <v>0.21694354975419564</v>
      </c>
      <c r="H28" s="577">
        <f>'Constructed Financials'!V39</f>
        <v>0.21365657518188902</v>
      </c>
      <c r="I28" s="577">
        <f>'Constructed Financials'!W39</f>
        <v>0.22836874329129714</v>
      </c>
      <c r="J28" s="577">
        <f>'Constructed Financials'!X39</f>
        <v>0.2120564081886806</v>
      </c>
      <c r="K28" s="577">
        <f>'Constructed Financials'!Y39</f>
        <v>0.19530830036042546</v>
      </c>
      <c r="L28" s="576">
        <f>'Constructed Financials'!Z39</f>
        <v>0.19566222295596186</v>
      </c>
      <c r="M28" s="410">
        <f>'Constructed Financials'!AB39</f>
        <v>0.21041759515760786</v>
      </c>
      <c r="N28" s="575">
        <f>(SUM(H28:L28)-MAX(H28:L28)-MIN(H28:L28))/(COUNT(H28:L28)-2)</f>
        <v>0.20712506877551054</v>
      </c>
      <c r="O28" s="589"/>
      <c r="P28" s="31"/>
      <c r="Q28" s="575"/>
      <c r="R28" s="599"/>
      <c r="S28" s="410"/>
      <c r="T28" s="599"/>
      <c r="U28" s="598"/>
    </row>
    <row r="29" spans="1:21" x14ac:dyDescent="0.25">
      <c r="A29" s="186" t="s">
        <v>339</v>
      </c>
      <c r="B29" s="139"/>
      <c r="C29" s="584">
        <f>'Constructed Financials'!Q41</f>
        <v>0</v>
      </c>
      <c r="D29" s="577">
        <f>'Constructed Financials'!R41</f>
        <v>0</v>
      </c>
      <c r="E29" s="577">
        <f>'Constructed Financials'!S41</f>
        <v>0</v>
      </c>
      <c r="F29" s="577">
        <f>'Constructed Financials'!T41</f>
        <v>0</v>
      </c>
      <c r="G29" s="577">
        <f>'Constructed Financials'!U41</f>
        <v>0</v>
      </c>
      <c r="H29" s="577">
        <f>'Constructed Financials'!V41</f>
        <v>0</v>
      </c>
      <c r="I29" s="577">
        <f>'Constructed Financials'!W41</f>
        <v>0</v>
      </c>
      <c r="J29" s="577">
        <f>'Constructed Financials'!X41</f>
        <v>0</v>
      </c>
      <c r="K29" s="577">
        <f>'Constructed Financials'!Y41</f>
        <v>0</v>
      </c>
      <c r="L29" s="576">
        <f>'Constructed Financials'!Z41</f>
        <v>0</v>
      </c>
      <c r="M29" s="410">
        <f>'Constructed Financials'!AB41</f>
        <v>0</v>
      </c>
      <c r="N29" s="575">
        <f>'Constructed Financials'!AC41</f>
        <v>0</v>
      </c>
      <c r="O29" s="563" t="s">
        <v>323</v>
      </c>
      <c r="P29" s="31"/>
      <c r="Q29" s="593" t="s">
        <v>473</v>
      </c>
      <c r="R29" s="592" t="s">
        <v>473</v>
      </c>
      <c r="S29" s="139" t="s">
        <v>473</v>
      </c>
      <c r="T29" s="592" t="s">
        <v>473</v>
      </c>
      <c r="U29" s="591" t="s">
        <v>473</v>
      </c>
    </row>
    <row r="30" spans="1:21" x14ac:dyDescent="0.25">
      <c r="A30" s="186" t="s">
        <v>338</v>
      </c>
      <c r="B30" s="139"/>
      <c r="C30" s="584">
        <f>'Constructed Financials'!Q42</f>
        <v>0</v>
      </c>
      <c r="D30" s="577">
        <f>'Constructed Financials'!R42</f>
        <v>0</v>
      </c>
      <c r="E30" s="577">
        <f>'Constructed Financials'!S42</f>
        <v>0</v>
      </c>
      <c r="F30" s="577">
        <f>'Constructed Financials'!T42</f>
        <v>0</v>
      </c>
      <c r="G30" s="577">
        <f>'Constructed Financials'!U42</f>
        <v>0</v>
      </c>
      <c r="H30" s="577">
        <f>'Constructed Financials'!V42</f>
        <v>0</v>
      </c>
      <c r="I30" s="577">
        <f>'Constructed Financials'!W42</f>
        <v>0</v>
      </c>
      <c r="J30" s="577">
        <f>'Constructed Financials'!X42</f>
        <v>0</v>
      </c>
      <c r="K30" s="577">
        <f>'Constructed Financials'!Y42</f>
        <v>0</v>
      </c>
      <c r="L30" s="576">
        <f>'Constructed Financials'!Z42</f>
        <v>0</v>
      </c>
      <c r="M30" s="410">
        <f>'Constructed Financials'!AB41</f>
        <v>0</v>
      </c>
      <c r="N30" s="575">
        <f>'Constructed Financials'!AC41</f>
        <v>0</v>
      </c>
      <c r="O30" s="563" t="s">
        <v>323</v>
      </c>
      <c r="P30" s="31"/>
      <c r="Q30" s="593" t="s">
        <v>473</v>
      </c>
      <c r="R30" s="592" t="s">
        <v>473</v>
      </c>
      <c r="S30" s="139" t="s">
        <v>473</v>
      </c>
      <c r="T30" s="592" t="s">
        <v>473</v>
      </c>
      <c r="U30" s="591" t="s">
        <v>473</v>
      </c>
    </row>
    <row r="31" spans="1:21" x14ac:dyDescent="0.25">
      <c r="A31" s="186" t="s">
        <v>480</v>
      </c>
      <c r="B31" s="139"/>
      <c r="C31" s="584">
        <f>'Constructed Financials'!Q43</f>
        <v>0</v>
      </c>
      <c r="D31" s="577">
        <f>'Constructed Financials'!R43</f>
        <v>0</v>
      </c>
      <c r="E31" s="577">
        <f>'Constructed Financials'!S43</f>
        <v>0</v>
      </c>
      <c r="F31" s="577">
        <f>'Constructed Financials'!T43</f>
        <v>0</v>
      </c>
      <c r="G31" s="577">
        <f>'Constructed Financials'!U43</f>
        <v>0</v>
      </c>
      <c r="H31" s="577">
        <f>'Constructed Financials'!V43</f>
        <v>0</v>
      </c>
      <c r="I31" s="577">
        <f>'Constructed Financials'!W43</f>
        <v>5.9246466499961025E-3</v>
      </c>
      <c r="J31" s="577">
        <f>'Constructed Financials'!X43</f>
        <v>5.083474115623517E-3</v>
      </c>
      <c r="K31" s="577">
        <f>'Constructed Financials'!Y43</f>
        <v>4.3753359711659629E-3</v>
      </c>
      <c r="L31" s="576">
        <f>'Constructed Financials'!Z43</f>
        <v>4.10252177143093E-3</v>
      </c>
      <c r="M31" s="410">
        <f>'Constructed Financials'!AB43</f>
        <v>1.6951664822775511E-3</v>
      </c>
      <c r="N31" s="575">
        <f>'Constructed Financials'!AC43</f>
        <v>4.10252177143093E-3</v>
      </c>
      <c r="O31" s="563" t="s">
        <v>323</v>
      </c>
      <c r="P31" s="31"/>
      <c r="Q31" s="593" t="s">
        <v>473</v>
      </c>
      <c r="R31" s="592" t="s">
        <v>473</v>
      </c>
      <c r="S31" s="139" t="s">
        <v>473</v>
      </c>
      <c r="T31" s="592" t="s">
        <v>473</v>
      </c>
      <c r="U31" s="591" t="s">
        <v>473</v>
      </c>
    </row>
    <row r="32" spans="1:21" x14ac:dyDescent="0.25">
      <c r="A32" s="186" t="s">
        <v>479</v>
      </c>
      <c r="B32" s="139"/>
      <c r="C32" s="584">
        <f>'Constructed Financials'!Q44</f>
        <v>5.3799715909090906E-3</v>
      </c>
      <c r="D32" s="577">
        <f>'Constructed Financials'!R44</f>
        <v>6.3683852700969889E-3</v>
      </c>
      <c r="E32" s="577">
        <f>'Constructed Financials'!S44</f>
        <v>7.5977728922918828E-3</v>
      </c>
      <c r="F32" s="577">
        <f>'Constructed Financials'!T44</f>
        <v>6.7351288509978685E-3</v>
      </c>
      <c r="G32" s="577">
        <f>'Constructed Financials'!U44</f>
        <v>6.0744758998700346E-3</v>
      </c>
      <c r="H32" s="577">
        <f>'Constructed Financials'!V44</f>
        <v>6.7123763121877105E-3</v>
      </c>
      <c r="I32" s="577">
        <f>'Constructed Financials'!W44</f>
        <v>7.5617200664423933E-3</v>
      </c>
      <c r="J32" s="577">
        <f>'Constructed Financials'!X44</f>
        <v>7.0688871989343077E-3</v>
      </c>
      <c r="K32" s="577">
        <f>'Constructed Financials'!Y44</f>
        <v>6.3316795473972697E-3</v>
      </c>
      <c r="L32" s="576">
        <f>'Constructed Financials'!Z44</f>
        <v>5.7740723925873956E-3</v>
      </c>
      <c r="M32" s="410">
        <f>'Constructed Financials'!AB44</f>
        <v>6.578340692314247E-3</v>
      </c>
      <c r="N32" s="575">
        <f>'Constructed Financials'!AC44</f>
        <v>5.7740723925873956E-3</v>
      </c>
      <c r="O32" s="563" t="s">
        <v>323</v>
      </c>
      <c r="P32" s="31"/>
      <c r="Q32" s="593" t="s">
        <v>473</v>
      </c>
      <c r="R32" s="592" t="s">
        <v>473</v>
      </c>
      <c r="S32" s="139" t="s">
        <v>473</v>
      </c>
      <c r="T32" s="592" t="s">
        <v>473</v>
      </c>
      <c r="U32" s="591" t="s">
        <v>473</v>
      </c>
    </row>
    <row r="33" spans="1:21" x14ac:dyDescent="0.25">
      <c r="A33" s="597" t="s">
        <v>254</v>
      </c>
      <c r="B33" s="139"/>
      <c r="C33" s="584"/>
      <c r="D33" s="577"/>
      <c r="E33" s="577"/>
      <c r="F33" s="577"/>
      <c r="G33" s="577"/>
      <c r="H33" s="577"/>
      <c r="I33" s="577"/>
      <c r="J33" s="577"/>
      <c r="K33" s="577"/>
      <c r="L33" s="576"/>
      <c r="M33" s="410"/>
      <c r="N33" s="575"/>
      <c r="O33" s="563" t="s">
        <v>323</v>
      </c>
      <c r="P33" s="31"/>
      <c r="Q33" s="103" t="s">
        <v>323</v>
      </c>
      <c r="R33" s="573" t="s">
        <v>323</v>
      </c>
      <c r="S33" s="102" t="s">
        <v>323</v>
      </c>
      <c r="T33" s="573" t="s">
        <v>323</v>
      </c>
      <c r="U33" s="572" t="s">
        <v>323</v>
      </c>
    </row>
    <row r="34" spans="1:21" x14ac:dyDescent="0.25">
      <c r="A34" s="186" t="s">
        <v>478</v>
      </c>
      <c r="B34" s="595"/>
      <c r="C34" s="570">
        <f>'Constructed Financials'!C50/'Constructed Financials'!C45</f>
        <v>2.1196705426356589E-4</v>
      </c>
      <c r="D34" s="570">
        <f>'Constructed Financials'!D50/'Constructed Financials'!D45</f>
        <v>3.8666267942583731E-2</v>
      </c>
      <c r="E34" s="570">
        <f>'Constructed Financials'!E50/'Constructed Financials'!E45</f>
        <v>3.3471036999065222E-2</v>
      </c>
      <c r="F34" s="570">
        <f>'Constructed Financials'!F50/'Constructed Financials'!F45</f>
        <v>2.5586705917957464E-3</v>
      </c>
      <c r="G34" s="570">
        <f>'Constructed Financials'!G50/'Constructed Financials'!G45</f>
        <v>2.3757041391133972E-3</v>
      </c>
      <c r="H34" s="570">
        <f>'Constructed Financials'!H50/'Constructed Financials'!H45</f>
        <v>3.7995594713656385E-2</v>
      </c>
      <c r="I34" s="570">
        <f>'Constructed Financials'!I50/'Constructed Financials'!I45</f>
        <v>6.4259485924112606E-3</v>
      </c>
      <c r="J34" s="570">
        <f>'Constructed Financials'!J50/'Constructed Financials'!J45</f>
        <v>1.8441654855908752E-2</v>
      </c>
      <c r="K34" s="570">
        <f>'Constructed Financials'!K50/'Constructed Financials'!K45</f>
        <v>8.6806096686718823E-3</v>
      </c>
      <c r="L34" s="570">
        <f>'Constructed Financials'!L50/'Constructed Financials'!L45</f>
        <v>2.0726439980288142E-2</v>
      </c>
      <c r="M34" s="570" cm="1">
        <f t="array" ref="M34">IFERROR(AVERAGE(IF(C34:L34&lt;&gt;MAX(C34:L34),IF(C34:L34&lt;&gt;MIN(C34:L34),C34:L34))),N34)</f>
        <v>1.6334457442613845E-2</v>
      </c>
      <c r="N34" s="570">
        <f>L34</f>
        <v>2.0726439980288142E-2</v>
      </c>
      <c r="O34" s="563" t="s">
        <v>323</v>
      </c>
      <c r="P34" s="31"/>
      <c r="Q34" s="593" t="s">
        <v>473</v>
      </c>
      <c r="R34" s="592" t="s">
        <v>473</v>
      </c>
      <c r="S34" s="139" t="s">
        <v>473</v>
      </c>
      <c r="T34" s="592" t="s">
        <v>473</v>
      </c>
      <c r="U34" s="591" t="s">
        <v>473</v>
      </c>
    </row>
    <row r="35" spans="1:21" x14ac:dyDescent="0.25">
      <c r="A35" s="118" t="s">
        <v>477</v>
      </c>
      <c r="B35" s="31"/>
      <c r="C35" s="584">
        <f>'Constructed Financials'!Q51</f>
        <v>7.5381747159090906E-2</v>
      </c>
      <c r="D35" s="577">
        <f>'Constructed Financials'!R51</f>
        <v>7.754799955249185E-2</v>
      </c>
      <c r="E35" s="577">
        <f>'Constructed Financials'!S51</f>
        <v>6.4117790749585152E-2</v>
      </c>
      <c r="F35" s="577">
        <f>'Constructed Financials'!T51</f>
        <v>7.4466188723115681E-2</v>
      </c>
      <c r="G35" s="577">
        <f>'Constructed Financials'!U51</f>
        <v>7.9370797310278574E-2</v>
      </c>
      <c r="H35" s="577">
        <f>'Constructed Financials'!V51</f>
        <v>7.6481798000039292E-2</v>
      </c>
      <c r="I35" s="577">
        <f>'Constructed Financials'!W51</f>
        <v>8.4983899113101988E-2</v>
      </c>
      <c r="J35" s="577">
        <f>'Constructed Financials'!X51</f>
        <v>8.3081116118593978E-2</v>
      </c>
      <c r="K35" s="577">
        <f>'Constructed Financials'!Y51</f>
        <v>7.8641486821117934E-2</v>
      </c>
      <c r="L35" s="576">
        <f>'Constructed Financials'!Z51</f>
        <v>7.2157332122662926E-2</v>
      </c>
      <c r="M35" s="410">
        <f>'Constructed Financials'!AB51</f>
        <v>7.7141058225923889E-2</v>
      </c>
      <c r="N35" s="575">
        <f>'Constructed Financials'!AC51</f>
        <v>7.2157332122662926E-2</v>
      </c>
      <c r="O35" s="596">
        <v>9.5299999999999996E-2</v>
      </c>
      <c r="P35" s="31"/>
      <c r="Q35" s="562">
        <f>N35</f>
        <v>7.2157332122662926E-2</v>
      </c>
      <c r="R35" s="554">
        <f>Q35+($U35-$Q35)/4</f>
        <v>7.340326364847817E-2</v>
      </c>
      <c r="S35" s="554">
        <f>R35+($U35-$Q35)/4</f>
        <v>7.4649195174293415E-2</v>
      </c>
      <c r="T35" s="554">
        <f>S35+($U35-$Q35)/4</f>
        <v>7.5895126700108659E-2</v>
      </c>
      <c r="U35" s="561">
        <f>M35</f>
        <v>7.7141058225923889E-2</v>
      </c>
    </row>
    <row r="36" spans="1:21" x14ac:dyDescent="0.25">
      <c r="A36" s="118" t="s">
        <v>249</v>
      </c>
      <c r="B36" s="31"/>
      <c r="C36" s="584">
        <f>'Constructed Financials'!Q52</f>
        <v>1.2073863636363636E-3</v>
      </c>
      <c r="D36" s="577">
        <f>'Constructed Financials'!R52</f>
        <v>4.225509685969759E-3</v>
      </c>
      <c r="E36" s="577">
        <f>'Constructed Financials'!S52</f>
        <v>4.4811698211743699E-3</v>
      </c>
      <c r="F36" s="577">
        <f>'Constructed Financials'!T52</f>
        <v>0</v>
      </c>
      <c r="G36" s="577">
        <f>'Constructed Financials'!U52</f>
        <v>0</v>
      </c>
      <c r="H36" s="577">
        <f>'Constructed Financials'!V52</f>
        <v>0</v>
      </c>
      <c r="I36" s="577">
        <f>'Constructed Financials'!W52</f>
        <v>0</v>
      </c>
      <c r="J36" s="577">
        <f>'Constructed Financials'!X52</f>
        <v>0</v>
      </c>
      <c r="K36" s="577">
        <f>'Constructed Financials'!Y52</f>
        <v>0</v>
      </c>
      <c r="L36" s="576">
        <f>'Constructed Financials'!Z52</f>
        <v>0</v>
      </c>
      <c r="M36" s="410">
        <f>'Constructed Financials'!AB52</f>
        <v>6.7911200620076532E-4</v>
      </c>
      <c r="N36" s="575">
        <f>'Constructed Financials'!AC52</f>
        <v>0</v>
      </c>
      <c r="O36" s="589"/>
      <c r="P36" s="31"/>
      <c r="Q36" s="562">
        <f>N36</f>
        <v>0</v>
      </c>
      <c r="R36" s="554">
        <f>Q36+($U36-$Q36)/4</f>
        <v>1.6977800155019133E-4</v>
      </c>
      <c r="S36" s="554">
        <f>R36+($U36-$Q36)/4</f>
        <v>3.3955600310038266E-4</v>
      </c>
      <c r="T36" s="554">
        <f>S36+($U36-$Q36)/4</f>
        <v>5.0933400465057394E-4</v>
      </c>
      <c r="U36" s="561">
        <f>M36</f>
        <v>6.7911200620076532E-4</v>
      </c>
    </row>
    <row r="37" spans="1:21" x14ac:dyDescent="0.25">
      <c r="A37" s="118" t="s">
        <v>248</v>
      </c>
      <c r="B37" s="31"/>
      <c r="C37" s="584">
        <f>'Constructed Financials'!Q53</f>
        <v>5.1296164772727269E-2</v>
      </c>
      <c r="D37" s="577">
        <f>'Constructed Financials'!R53</f>
        <v>4.9441045103658376E-2</v>
      </c>
      <c r="E37" s="577">
        <f>'Constructed Financials'!S53</f>
        <v>5.3243373006848102E-2</v>
      </c>
      <c r="F37" s="577">
        <f>'Constructed Financials'!T53</f>
        <v>6.0406897888006197E-2</v>
      </c>
      <c r="G37" s="577">
        <f>'Constructed Financials'!U53</f>
        <v>6.0688252246143416E-2</v>
      </c>
      <c r="H37" s="577">
        <f>'Constructed Financials'!V53</f>
        <v>6.4392971978284641E-2</v>
      </c>
      <c r="I37" s="577">
        <f>'Constructed Financials'!W53</f>
        <v>6.1854990075617199E-2</v>
      </c>
      <c r="J37" s="577">
        <f>'Constructed Financials'!X53</f>
        <v>6.1603948369052051E-2</v>
      </c>
      <c r="K37" s="577">
        <f>'Constructed Financials'!Y53</f>
        <v>5.9893194215567915E-2</v>
      </c>
      <c r="L37" s="576">
        <f>'Constructed Financials'!Z53</f>
        <v>6.0547278055223079E-2</v>
      </c>
      <c r="M37" s="410">
        <f>'Constructed Financials'!AB53</f>
        <v>5.8691762328648152E-2</v>
      </c>
      <c r="N37" s="575">
        <f>'Constructed Financials'!AC53</f>
        <v>6.0547278055223079E-2</v>
      </c>
      <c r="O37" s="589"/>
      <c r="P37" s="31"/>
      <c r="Q37" s="562">
        <f>N37</f>
        <v>6.0547278055223079E-2</v>
      </c>
      <c r="R37" s="554">
        <f>Q37+($U37-$Q37)/4</f>
        <v>6.0083399123579351E-2</v>
      </c>
      <c r="S37" s="554">
        <f>R37+($U37-$Q37)/4</f>
        <v>5.9619520191935615E-2</v>
      </c>
      <c r="T37" s="554">
        <f>S37+($U37-$Q37)/4</f>
        <v>5.915564126029188E-2</v>
      </c>
      <c r="U37" s="561">
        <f>M37</f>
        <v>5.8691762328648152E-2</v>
      </c>
    </row>
    <row r="38" spans="1:21" x14ac:dyDescent="0.25">
      <c r="A38" s="186" t="s">
        <v>476</v>
      </c>
      <c r="B38" s="595"/>
      <c r="C38" s="570">
        <f>'Constructed Financials'!C55/'Constructed Financials'!C45</f>
        <v>0.15985343992248063</v>
      </c>
      <c r="D38" s="570">
        <f>'Constructed Financials'!D55/'Constructed Financials'!D45</f>
        <v>0.15400717703349281</v>
      </c>
      <c r="E38" s="570">
        <f>'Constructed Financials'!E55/'Constructed Financials'!E45</f>
        <v>0.13343183668546271</v>
      </c>
      <c r="F38" s="570">
        <f>'Constructed Financials'!F55/'Constructed Financials'!F45</f>
        <v>0.19110242936143285</v>
      </c>
      <c r="G38" s="570">
        <f>'Constructed Financials'!G55/'Constructed Financials'!G45</f>
        <v>0.16843007592456527</v>
      </c>
      <c r="H38" s="570">
        <f>'Constructed Financials'!H55/'Constructed Financials'!H45</f>
        <v>0.12156387665198237</v>
      </c>
      <c r="I38" s="570">
        <f>'Constructed Financials'!I55/'Constructed Financials'!I45</f>
        <v>0.19312045503635972</v>
      </c>
      <c r="J38" s="570">
        <f>'Constructed Financials'!J55/'Constructed Financials'!J45</f>
        <v>0.17402308159546467</v>
      </c>
      <c r="K38" s="570">
        <f>'Constructed Financials'!K55/'Constructed Financials'!K45</f>
        <v>0.16128479256927344</v>
      </c>
      <c r="L38" s="570">
        <f>'Constructed Financials'!L55/'Constructed Financials'!L45</f>
        <v>0.13198249123112155</v>
      </c>
      <c r="M38" s="570" cm="1">
        <f t="array" ref="M38">IFERROR(AVERAGE(IF(C38:L38&lt;&gt;MAX(C38:L38),IF(C38:L38&lt;&gt;MIN(C38:L38),C38:L38))),N38)</f>
        <v>0.15926441554041174</v>
      </c>
      <c r="N38" s="570">
        <f>L38</f>
        <v>0.13198249123112155</v>
      </c>
      <c r="O38" s="563" t="s">
        <v>323</v>
      </c>
      <c r="P38" s="31"/>
      <c r="Q38" s="593" t="s">
        <v>473</v>
      </c>
      <c r="R38" s="592" t="s">
        <v>473</v>
      </c>
      <c r="S38" s="139" t="s">
        <v>473</v>
      </c>
      <c r="T38" s="592" t="s">
        <v>473</v>
      </c>
      <c r="U38" s="591" t="s">
        <v>473</v>
      </c>
    </row>
    <row r="39" spans="1:21" x14ac:dyDescent="0.25">
      <c r="A39" s="594" t="s">
        <v>475</v>
      </c>
      <c r="B39" s="577"/>
      <c r="C39" s="570">
        <f>'Constructed Financials'!C67/'Constructed Financials'!C45</f>
        <v>0.37254723837209303</v>
      </c>
      <c r="D39" s="570">
        <f>'Constructed Financials'!D67/'Constructed Financials'!D45</f>
        <v>0.31749401913875597</v>
      </c>
      <c r="E39" s="570">
        <f>'Constructed Financials'!E67/'Constructed Financials'!E45</f>
        <v>0.36423122154208004</v>
      </c>
      <c r="F39" s="570">
        <f>'Constructed Financials'!F67/'Constructed Financials'!F45</f>
        <v>0.29653066277822104</v>
      </c>
      <c r="G39" s="570">
        <f>'Constructed Financials'!G67/'Constructed Financials'!G45</f>
        <v>0.31347048738672545</v>
      </c>
      <c r="H39" s="570">
        <f>'Constructed Financials'!H67/'Constructed Financials'!H45</f>
        <v>0.33574889867841412</v>
      </c>
      <c r="I39" s="570">
        <f>'Constructed Financials'!I67/'Constructed Financials'!I45</f>
        <v>0.329109367125063</v>
      </c>
      <c r="J39" s="570">
        <f>'Constructed Financials'!J67/'Constructed Financials'!J45</f>
        <v>0.29634878855368835</v>
      </c>
      <c r="K39" s="570">
        <f>'Constructed Financials'!K67/'Constructed Financials'!K45</f>
        <v>0.32169684879842908</v>
      </c>
      <c r="L39" s="570">
        <f>'Constructed Financials'!L67/'Constructed Financials'!L45</f>
        <v>0.36319100211612604</v>
      </c>
      <c r="M39" s="570" cm="1">
        <f t="array" ref="M39">IFERROR(AVERAGE(IF(C39:L39&lt;&gt;MAX(C39:L39),IF(C39:L39&lt;&gt;MIN(C39:L39),C39:L39))),N39)</f>
        <v>0.33018406344547685</v>
      </c>
      <c r="N39" s="570">
        <f>L39</f>
        <v>0.36319100211612604</v>
      </c>
      <c r="O39" s="563" t="s">
        <v>323</v>
      </c>
      <c r="P39" s="31"/>
      <c r="Q39" s="593" t="s">
        <v>471</v>
      </c>
      <c r="R39" s="592" t="s">
        <v>471</v>
      </c>
      <c r="S39" s="139" t="s">
        <v>471</v>
      </c>
      <c r="T39" s="592" t="s">
        <v>471</v>
      </c>
      <c r="U39" s="591" t="s">
        <v>471</v>
      </c>
    </row>
    <row r="40" spans="1:21" x14ac:dyDescent="0.25">
      <c r="A40" s="186" t="s">
        <v>474</v>
      </c>
      <c r="B40" s="139"/>
      <c r="C40" s="570">
        <f>SUM('Constructed Financials'!C68,'Constructed Financials'!C69,-'Constructed Financials'!C71)/'Constructed Financials'!C67</f>
        <v>0.39998374380232465</v>
      </c>
      <c r="D40" s="570">
        <f>SUM('Constructed Financials'!D68,'Constructed Financials'!D69,-'Constructed Financials'!D71)/'Constructed Financials'!D67</f>
        <v>0.49166431195252897</v>
      </c>
      <c r="E40" s="570">
        <f>SUM('Constructed Financials'!E68,'Constructed Financials'!E69,-'Constructed Financials'!E71)/'Constructed Financials'!E67</f>
        <v>0.45467340011590363</v>
      </c>
      <c r="F40" s="570">
        <f>SUM('Constructed Financials'!F68,'Constructed Financials'!F69,-'Constructed Financials'!F71)/'Constructed Financials'!F67</f>
        <v>0.53850436073483021</v>
      </c>
      <c r="G40" s="570">
        <f>SUM('Constructed Financials'!G68,'Constructed Financials'!G69,-'Constructed Financials'!G71)/'Constructed Financials'!G67</f>
        <v>0.47745917649816394</v>
      </c>
      <c r="H40" s="570">
        <f>SUM('Constructed Financials'!H68,'Constructed Financials'!H69,-'Constructed Financials'!H71)/'Constructed Financials'!H67</f>
        <v>0.42124253755822344</v>
      </c>
      <c r="I40" s="570">
        <f>SUM('Constructed Financials'!I68,'Constructed Financials'!I69,-'Constructed Financials'!I71)/'Constructed Financials'!I67</f>
        <v>0.36654998906147451</v>
      </c>
      <c r="J40" s="570">
        <f>SUM('Constructed Financials'!J68,'Constructed Financials'!J69,-'Constructed Financials'!J71)/'Constructed Financials'!J67</f>
        <v>0.40053518560692325</v>
      </c>
      <c r="K40" s="570">
        <f>SUM('Constructed Financials'!K68,'Constructed Financials'!K69,-'Constructed Financials'!K71)/'Constructed Financials'!K67</f>
        <v>0.33359170623001649</v>
      </c>
      <c r="L40" s="570">
        <f>SUM('Constructed Financials'!L68,'Constructed Financials'!L69,-'Constructed Financials'!L71)/'Constructed Financials'!L67</f>
        <v>0.29300023944448877</v>
      </c>
      <c r="M40" s="570" cm="1">
        <f t="array" ref="M40">IFERROR(AVERAGE(IF(C40:L40&lt;&gt;MAX(C40:L40),IF(C40:L40&lt;&gt;MIN(C40:L40),C40:L40))),N40)</f>
        <v>0.41821250635319485</v>
      </c>
      <c r="N40" s="570">
        <f>L40</f>
        <v>0.29300023944448877</v>
      </c>
      <c r="O40" s="563" t="s">
        <v>323</v>
      </c>
      <c r="P40" s="31"/>
      <c r="Q40" s="593" t="s">
        <v>473</v>
      </c>
      <c r="R40" s="592" t="s">
        <v>473</v>
      </c>
      <c r="S40" s="139" t="s">
        <v>473</v>
      </c>
      <c r="T40" s="592" t="s">
        <v>473</v>
      </c>
      <c r="U40" s="591" t="s">
        <v>473</v>
      </c>
    </row>
    <row r="41" spans="1:21" x14ac:dyDescent="0.25">
      <c r="A41" s="118" t="s">
        <v>472</v>
      </c>
      <c r="B41" s="102"/>
      <c r="C41" s="570">
        <f>'Constructed Financials'!C70/'Constructed Financials'!C67</f>
        <v>0.6000162561976754</v>
      </c>
      <c r="D41" s="570">
        <f>'Constructed Financials'!D70/'Constructed Financials'!D67</f>
        <v>0.50833568804747109</v>
      </c>
      <c r="E41" s="570">
        <f>'Constructed Financials'!E70/'Constructed Financials'!E67</f>
        <v>0.54532659988409637</v>
      </c>
      <c r="F41" s="570">
        <f>'Constructed Financials'!F70/'Constructed Financials'!F67</f>
        <v>0.46149563926516979</v>
      </c>
      <c r="G41" s="570">
        <f>'Constructed Financials'!G70/'Constructed Financials'!G67</f>
        <v>0.52254082350183606</v>
      </c>
      <c r="H41" s="570">
        <f>'Constructed Financials'!H70/'Constructed Financials'!H67</f>
        <v>0.5787574624417765</v>
      </c>
      <c r="I41" s="570">
        <f>'Constructed Financials'!I70/'Constructed Financials'!I67</f>
        <v>0.63345001093852549</v>
      </c>
      <c r="J41" s="570">
        <f>'Constructed Financials'!J70/'Constructed Financials'!J67</f>
        <v>0.59946481439307675</v>
      </c>
      <c r="K41" s="570">
        <f>'Constructed Financials'!K70/'Constructed Financials'!K67</f>
        <v>0.66640829376998356</v>
      </c>
      <c r="L41" s="570">
        <f>'Constructed Financials'!L70/'Constructed Financials'!L67</f>
        <v>0.70699976055551117</v>
      </c>
      <c r="M41" s="570" cm="1">
        <f t="array" ref="M41">IFERROR(AVERAGE(IF(C41:L41&lt;&gt;MAX(C41:L41),IF(C41:L41&lt;&gt;MIN(C41:L41),C41:L41))),N41)</f>
        <v>0.58178749364680515</v>
      </c>
      <c r="N41" s="570">
        <f>L41</f>
        <v>0.70699976055551117</v>
      </c>
      <c r="O41" s="563" t="s">
        <v>323</v>
      </c>
      <c r="P41" s="31"/>
      <c r="Q41" s="593" t="s">
        <v>471</v>
      </c>
      <c r="R41" s="592" t="s">
        <v>471</v>
      </c>
      <c r="S41" s="139" t="s">
        <v>471</v>
      </c>
      <c r="T41" s="592" t="s">
        <v>471</v>
      </c>
      <c r="U41" s="591" t="s">
        <v>471</v>
      </c>
    </row>
    <row r="42" spans="1:21" x14ac:dyDescent="0.25">
      <c r="A42" s="590" t="s">
        <v>470</v>
      </c>
      <c r="B42" s="102"/>
      <c r="C42" s="584">
        <f>'Constructed Financials'!Q79</f>
        <v>-3.6683238636363635E-2</v>
      </c>
      <c r="D42" s="577">
        <f>'Constructed Financials'!R79</f>
        <v>-3.7582079019612906E-2</v>
      </c>
      <c r="E42" s="577">
        <f>'Constructed Financials'!S79</f>
        <v>-3.3490848137197923E-2</v>
      </c>
      <c r="F42" s="577">
        <f>'Constructed Financials'!T79</f>
        <v>-4.5448556481302076E-2</v>
      </c>
      <c r="G42" s="577">
        <f>'Constructed Financials'!U79</f>
        <v>-4.8023676329321356E-2</v>
      </c>
      <c r="H42" s="577">
        <f>'Constructed Financials'!V79</f>
        <v>-4.8925037491077454E-2</v>
      </c>
      <c r="I42" s="577">
        <f>'Constructed Financials'!W79</f>
        <v>-5.7999172468382897E-2</v>
      </c>
      <c r="J42" s="577">
        <f>'Constructed Financials'!X79</f>
        <v>-5.6234656431666571E-2</v>
      </c>
      <c r="K42" s="577">
        <f>'Constructed Financials'!Y79</f>
        <v>-4.3154119336958154E-2</v>
      </c>
      <c r="L42" s="576">
        <f>'Constructed Financials'!Z79</f>
        <v>-4.7496801353749639E-2</v>
      </c>
      <c r="M42" s="410">
        <f>'Constructed Financials'!AB79</f>
        <v>-4.5443520635006472E-2</v>
      </c>
      <c r="N42" s="575">
        <f>'Constructed Financials'!AC79</f>
        <v>-4.7496801353749639E-2</v>
      </c>
      <c r="O42" s="589"/>
      <c r="P42" s="31"/>
      <c r="Q42" s="588">
        <f>M126/M54</f>
        <v>-4.7496801353749639E-2</v>
      </c>
      <c r="R42" s="586">
        <f>N126/N54</f>
        <v>-4.7048254293063786E-2</v>
      </c>
      <c r="S42" s="587">
        <f>O126/O54</f>
        <v>-4.6599707232377899E-2</v>
      </c>
      <c r="T42" s="586">
        <f>P126/P54</f>
        <v>-4.615116017169206E-2</v>
      </c>
      <c r="U42" s="585">
        <f>Q126/Q54</f>
        <v>-4.57026131110062E-2</v>
      </c>
    </row>
    <row r="43" spans="1:21" x14ac:dyDescent="0.25">
      <c r="A43" s="569" t="s">
        <v>466</v>
      </c>
      <c r="B43" s="102"/>
      <c r="C43" s="584" t="str">
        <f>'Constructed Financials'!Q80</f>
        <v>N/A</v>
      </c>
      <c r="D43" s="577">
        <f>'Constructed Financials'!R80</f>
        <v>2.0223926195578274E-3</v>
      </c>
      <c r="E43" s="577">
        <f>'Constructed Financials'!S80</f>
        <v>-3.2934913535322906E-3</v>
      </c>
      <c r="F43" s="577">
        <f>'Constructed Financials'!T80</f>
        <v>1.4632823096299166E-2</v>
      </c>
      <c r="G43" s="577">
        <f>'Constructed Financials'!U80</f>
        <v>6.6042267050912583E-3</v>
      </c>
      <c r="H43" s="577">
        <f>'Constructed Financials'!V80</f>
        <v>4.4006993968684306E-3</v>
      </c>
      <c r="I43" s="577">
        <f>'Constructed Financials'!W80</f>
        <v>1.3198529632228159E-2</v>
      </c>
      <c r="J43" s="577">
        <f>'Constructed Financials'!X80</f>
        <v>6.8698355016357966E-3</v>
      </c>
      <c r="K43" s="577">
        <f>'Constructed Financials'!Y80</f>
        <v>-5.3931633723133324E-3</v>
      </c>
      <c r="L43" s="576">
        <f>'Constructed Financials'!Z80</f>
        <v>7.0741673201535349E-3</v>
      </c>
      <c r="M43" s="410">
        <f>'Constructed Financials'!AB80</f>
        <v>5.2680514031432446E-3</v>
      </c>
      <c r="N43" s="575">
        <f>'Constructed Financials'!AC80</f>
        <v>7.0741673201535349E-3</v>
      </c>
      <c r="O43" s="563" t="s">
        <v>323</v>
      </c>
      <c r="P43" s="31"/>
      <c r="Q43" s="583">
        <f>M127/M54</f>
        <v>3.0063599222465054E-3</v>
      </c>
      <c r="R43" s="581">
        <f>N127/N54</f>
        <v>2.7781883760467658E-3</v>
      </c>
      <c r="S43" s="582">
        <f>O127/O54</f>
        <v>2.9638583930743224E-3</v>
      </c>
      <c r="T43" s="581">
        <f>P127/P54</f>
        <v>3.143307078900045E-3</v>
      </c>
      <c r="U43" s="580">
        <f>Q127/Q54</f>
        <v>3.3166255286369135E-3</v>
      </c>
    </row>
    <row r="44" spans="1:21" x14ac:dyDescent="0.25">
      <c r="A44" s="53" t="s">
        <v>469</v>
      </c>
      <c r="B44" s="579" t="s">
        <v>468</v>
      </c>
      <c r="C44" s="578"/>
      <c r="D44" s="9"/>
      <c r="E44" s="9"/>
      <c r="F44" s="9"/>
      <c r="G44" s="9"/>
      <c r="H44" s="9"/>
      <c r="I44" s="577"/>
      <c r="J44" s="577"/>
      <c r="K44" s="577"/>
      <c r="L44" s="576"/>
      <c r="M44" s="410"/>
      <c r="N44" s="575"/>
      <c r="O44" s="574"/>
      <c r="P44" s="31"/>
      <c r="Q44" s="103"/>
      <c r="R44" s="573"/>
      <c r="S44" s="102"/>
      <c r="T44" s="573"/>
      <c r="U44" s="572"/>
    </row>
    <row r="45" spans="1:21" x14ac:dyDescent="0.25">
      <c r="A45" s="569" t="s">
        <v>467</v>
      </c>
      <c r="B45" s="309"/>
      <c r="C45" s="571">
        <f>'Constructed Financials'!C87/'Constructed Financials'!C38</f>
        <v>6.9386378961564396E-2</v>
      </c>
      <c r="D45" s="571">
        <f>'Constructed Financials'!D87/'Constructed Financials'!D38</f>
        <v>7.3177066424258169E-2</v>
      </c>
      <c r="E45" s="571">
        <f>'Constructed Financials'!E87/'Constructed Financials'!E38</f>
        <v>7.3637270433609112E-2</v>
      </c>
      <c r="F45" s="571">
        <f>'Constructed Financials'!F87/'Constructed Financials'!F38</f>
        <v>7.543637464897307E-2</v>
      </c>
      <c r="G45" s="571">
        <f>'Constructed Financials'!G87/'Constructed Financials'!G38</f>
        <v>7.3014582592347943E-2</v>
      </c>
      <c r="H45" s="571">
        <f>'Constructed Financials'!H87/'Constructed Financials'!H38</f>
        <v>7.1421732886548586E-2</v>
      </c>
      <c r="I45" s="571">
        <f>'Constructed Financials'!I87/'Constructed Financials'!I38</f>
        <v>6.5311470202882443E-2</v>
      </c>
      <c r="J45" s="571">
        <f>'Constructed Financials'!J87/'Constructed Financials'!J38</f>
        <v>6.5042728799941565E-2</v>
      </c>
      <c r="K45" s="571">
        <f>'Constructed Financials'!K87/'Constructed Financials'!K38</f>
        <v>6.5426997245179058E-2</v>
      </c>
      <c r="L45" s="571">
        <f>'Constructed Financials'!L87/'Constructed Financials'!L38</f>
        <v>6.7606275633096805E-2</v>
      </c>
      <c r="M45" s="570" cm="1">
        <f t="array" ref="M45">IFERROR(AVERAGE(IF(C45:L45&lt;&gt;MAX(C45:L45),IF(C45:L45&lt;&gt;MIN(C45:L45),C45:L45))),N45)</f>
        <v>6.9872721797435824E-2</v>
      </c>
      <c r="N45" s="570">
        <f>L45</f>
        <v>6.7606275633096805E-2</v>
      </c>
      <c r="O45" s="563"/>
      <c r="P45" s="309"/>
      <c r="Q45" s="562">
        <f>N45</f>
        <v>6.7606275633096805E-2</v>
      </c>
      <c r="R45" s="554">
        <f>Q45+($U45-$Q45)/4</f>
        <v>6.817288717418156E-2</v>
      </c>
      <c r="S45" s="554">
        <f>R45+($U45-$Q45)/4</f>
        <v>6.8739498715266314E-2</v>
      </c>
      <c r="T45" s="554">
        <f>S45+($U45-$Q45)/4</f>
        <v>6.9306110256351069E-2</v>
      </c>
      <c r="U45" s="561">
        <f>M45</f>
        <v>6.9872721797435824E-2</v>
      </c>
    </row>
    <row r="46" spans="1:21" x14ac:dyDescent="0.25">
      <c r="A46" s="569" t="s">
        <v>466</v>
      </c>
      <c r="B46" s="309"/>
      <c r="C46" s="568">
        <f>'Constructed Financials'!Q93</f>
        <v>5.9037642045454549E-3</v>
      </c>
      <c r="D46" s="567">
        <f>'Constructed Financials'!R93</f>
        <v>4.7074415442473691E-3</v>
      </c>
      <c r="E46" s="567">
        <f>'Constructed Financials'!S93</f>
        <v>-8.5074840589964545E-3</v>
      </c>
      <c r="F46" s="567">
        <f>'Constructed Financials'!T93</f>
        <v>1.6826196473551637E-2</v>
      </c>
      <c r="G46" s="567">
        <f>'Constructed Financials'!U93</f>
        <v>4.7253771825733178E-3</v>
      </c>
      <c r="H46" s="567">
        <f>'Constructed Financials'!V93</f>
        <v>2.6784018650583157E-3</v>
      </c>
      <c r="I46" s="567">
        <f>'Constructed Financials'!W93</f>
        <v>1.3180539814465013E-2</v>
      </c>
      <c r="J46" s="567">
        <f>'Constructed Financials'!X93</f>
        <v>5.1192013433437626E-3</v>
      </c>
      <c r="K46" s="567">
        <f>'Constructed Financials'!Y93</f>
        <v>-6.8868581298412897E-3</v>
      </c>
      <c r="L46" s="566">
        <f>'Constructed Financials'!Z93</f>
        <v>4.2015766230550167E-3</v>
      </c>
      <c r="M46" s="565">
        <f>'Constructed Financials'!AB93</f>
        <v>4.2036805559308704E-3</v>
      </c>
      <c r="N46" s="564">
        <f>'Constructed Financials'!AC93</f>
        <v>4.2015766230550167E-3</v>
      </c>
      <c r="O46" s="563"/>
      <c r="P46" s="309"/>
      <c r="Q46" s="562">
        <f>N46</f>
        <v>4.2015766230550167E-3</v>
      </c>
      <c r="R46" s="554">
        <f>Q46+($U46-$Q46)/4</f>
        <v>4.2021026062739799E-3</v>
      </c>
      <c r="S46" s="554">
        <f>R46+($U46-$Q46)/4</f>
        <v>4.2026285894929431E-3</v>
      </c>
      <c r="T46" s="554">
        <f>S46+($U46-$Q46)/4</f>
        <v>4.2031545727119063E-3</v>
      </c>
      <c r="U46" s="561">
        <f>M46</f>
        <v>4.2036805559308704E-3</v>
      </c>
    </row>
    <row r="47" spans="1:21" ht="16.5" thickBot="1" x14ac:dyDescent="0.3">
      <c r="A47" s="103" t="s">
        <v>465</v>
      </c>
      <c r="B47" s="31"/>
      <c r="C47" s="560">
        <f>'Constructed Financials'!Q101</f>
        <v>-1.7693536931818198E-2</v>
      </c>
      <c r="D47" s="559">
        <f>'Constructed Financials'!R101</f>
        <v>-2.0593981015327154E-2</v>
      </c>
      <c r="E47" s="559">
        <f>'Constructed Financials'!S101</f>
        <v>-2.231319333889268E-2</v>
      </c>
      <c r="F47" s="559">
        <f>'Constructed Financials'!T101</f>
        <v>-1.9391590776981205E-2</v>
      </c>
      <c r="G47" s="559">
        <f>'Constructed Financials'!U101</f>
        <v>-2.0971068542690853E-2</v>
      </c>
      <c r="H47" s="559">
        <f>'Constructed Financials'!V101</f>
        <v>-1.9632882130671957E-2</v>
      </c>
      <c r="I47" s="559">
        <f>'Constructed Financials'!W101</f>
        <v>-1.685046263814681E-2</v>
      </c>
      <c r="J47" s="559">
        <f>'Constructed Financials'!X101</f>
        <v>-1.8312756151463029E-2</v>
      </c>
      <c r="K47" s="559">
        <f>'Constructed Financials'!Y101</f>
        <v>-1.7144443367378411E-2</v>
      </c>
      <c r="L47" s="558">
        <f>'Constructed Financials'!Z101</f>
        <v>-1.7842255148788642E-2</v>
      </c>
      <c r="M47" s="557">
        <f>'Constructed Financials'!AB101</f>
        <v>-1.894781425813993E-2</v>
      </c>
      <c r="N47" s="557">
        <f>'Constructed Financials'!AC101</f>
        <v>-1.7842255148788642E-2</v>
      </c>
      <c r="O47" s="556"/>
      <c r="P47" s="31"/>
      <c r="Q47" s="555">
        <f>N47</f>
        <v>-1.7842255148788642E-2</v>
      </c>
      <c r="R47" s="554">
        <f>Q47+($U47-$Q47)/4</f>
        <v>-1.8118644926126463E-2</v>
      </c>
      <c r="S47" s="554">
        <f>R47+($U47-$Q47)/4</f>
        <v>-1.8395034703464284E-2</v>
      </c>
      <c r="T47" s="554">
        <f>S47+($U47-$Q47)/4</f>
        <v>-1.8671424480802105E-2</v>
      </c>
      <c r="U47" s="553">
        <f>M47</f>
        <v>-1.894781425813993E-2</v>
      </c>
    </row>
    <row r="51" spans="1:18" x14ac:dyDescent="0.25">
      <c r="A51" s="59"/>
      <c r="B51" s="58" t="str">
        <f>B4</f>
        <v>Fiscal Year</v>
      </c>
      <c r="C51" s="57">
        <f>C4</f>
        <v>2014</v>
      </c>
      <c r="D51" s="57">
        <f>D4</f>
        <v>2015</v>
      </c>
      <c r="E51" s="57">
        <f>E4</f>
        <v>2016</v>
      </c>
      <c r="F51" s="57">
        <f>F4</f>
        <v>2017</v>
      </c>
      <c r="G51" s="57">
        <f>G4</f>
        <v>2018</v>
      </c>
      <c r="H51" s="57">
        <f>H4</f>
        <v>2019</v>
      </c>
      <c r="I51" s="57">
        <f>I4</f>
        <v>2020</v>
      </c>
      <c r="J51" s="57">
        <f>J4</f>
        <v>2021</v>
      </c>
      <c r="K51" s="57">
        <f>K4</f>
        <v>2022</v>
      </c>
      <c r="L51" s="542">
        <f>L4</f>
        <v>2023</v>
      </c>
      <c r="M51" s="54" t="s">
        <v>447</v>
      </c>
      <c r="N51" s="54" t="s">
        <v>447</v>
      </c>
      <c r="O51" s="54" t="s">
        <v>447</v>
      </c>
      <c r="P51" s="54" t="s">
        <v>447</v>
      </c>
      <c r="Q51" s="54" t="s">
        <v>447</v>
      </c>
      <c r="R51" s="89"/>
    </row>
    <row r="52" spans="1:18" x14ac:dyDescent="0.25">
      <c r="A52" s="53" t="s">
        <v>361</v>
      </c>
      <c r="B52" s="52" t="s">
        <v>307</v>
      </c>
      <c r="C52" s="51">
        <v>-9</v>
      </c>
      <c r="D52" s="51">
        <v>-8</v>
      </c>
      <c r="E52" s="51">
        <v>-7</v>
      </c>
      <c r="F52" s="51">
        <v>-6</v>
      </c>
      <c r="G52" s="51">
        <v>-5</v>
      </c>
      <c r="H52" s="51">
        <v>-4</v>
      </c>
      <c r="I52" s="51">
        <v>-3</v>
      </c>
      <c r="J52" s="51">
        <v>-2</v>
      </c>
      <c r="K52" s="51">
        <v>-1</v>
      </c>
      <c r="L52" s="50">
        <v>0</v>
      </c>
      <c r="M52" s="47">
        <v>1</v>
      </c>
      <c r="N52" s="47">
        <v>2</v>
      </c>
      <c r="O52" s="47">
        <v>3</v>
      </c>
      <c r="P52" s="47">
        <v>4</v>
      </c>
      <c r="Q52" s="47">
        <v>5</v>
      </c>
      <c r="R52" s="87"/>
    </row>
    <row r="53" spans="1:18" ht="16.5" thickBot="1" x14ac:dyDescent="0.3">
      <c r="A53" s="86"/>
      <c r="B53" s="202"/>
      <c r="C53" s="202"/>
      <c r="D53" s="202"/>
      <c r="E53" s="202"/>
      <c r="F53" s="202"/>
      <c r="G53" s="202"/>
      <c r="H53" s="202"/>
      <c r="I53" s="202"/>
      <c r="J53" s="202"/>
      <c r="K53" s="202"/>
      <c r="L53" s="252"/>
      <c r="M53" s="185"/>
      <c r="N53" s="185"/>
      <c r="O53" s="74"/>
      <c r="P53" s="543"/>
      <c r="Q53" s="543"/>
      <c r="R53" s="543"/>
    </row>
    <row r="54" spans="1:18" x14ac:dyDescent="0.25">
      <c r="A54" s="251" t="s">
        <v>359</v>
      </c>
      <c r="B54" s="202"/>
      <c r="C54" s="466">
        <f>'Raw Data'!B73</f>
        <v>112640</v>
      </c>
      <c r="D54" s="466">
        <f>'Raw Data'!C73</f>
        <v>116199</v>
      </c>
      <c r="E54" s="466">
        <f>'Raw Data'!D73</f>
        <v>118719</v>
      </c>
      <c r="F54" s="466">
        <f>'Raw Data'!E73</f>
        <v>129025</v>
      </c>
      <c r="G54" s="466">
        <f>'Raw Data'!F73</f>
        <v>141576</v>
      </c>
      <c r="H54" s="466">
        <f>'Raw Data'!G73</f>
        <v>152703</v>
      </c>
      <c r="I54" s="466">
        <f>'Raw Data'!H73</f>
        <v>166761</v>
      </c>
      <c r="J54" s="466">
        <f>'Raw Data'!I73</f>
        <v>195929</v>
      </c>
      <c r="K54" s="466">
        <f>'Raw Data'!J73</f>
        <v>226954</v>
      </c>
      <c r="L54" s="466">
        <f>'Raw Data'!K73</f>
        <v>242290</v>
      </c>
      <c r="M54" s="416">
        <f>L54*(1+Q6)</f>
        <v>258662.3020523983</v>
      </c>
      <c r="N54" s="416">
        <f>M54*(1+R6)</f>
        <v>277515.55647817237</v>
      </c>
      <c r="O54" s="416">
        <f>N54*(1+S6)</f>
        <v>299217.79497287626</v>
      </c>
      <c r="P54" s="416">
        <f>O54*(1+T6)</f>
        <v>324207.33986348624</v>
      </c>
      <c r="Q54" s="416">
        <f>P54*(1+U6)</f>
        <v>353006.87147612247</v>
      </c>
      <c r="R54" s="540"/>
    </row>
    <row r="55" spans="1:18" x14ac:dyDescent="0.25">
      <c r="A55" s="248" t="s">
        <v>358</v>
      </c>
      <c r="B55" s="215"/>
      <c r="C55" s="477">
        <f>'Raw Data'!B74</f>
        <v>97429</v>
      </c>
      <c r="D55" s="477">
        <f>'Raw Data'!C74</f>
        <v>99938</v>
      </c>
      <c r="E55" s="477">
        <f>'Raw Data'!D74</f>
        <v>101646</v>
      </c>
      <c r="F55" s="477">
        <f>'Raw Data'!E74</f>
        <v>110563</v>
      </c>
      <c r="G55" s="477">
        <f>'Raw Data'!F74</f>
        <v>121715</v>
      </c>
      <c r="H55" s="477">
        <f>'Raw Data'!G74</f>
        <v>131394</v>
      </c>
      <c r="I55" s="477">
        <f>'Raw Data'!H74</f>
        <v>143186</v>
      </c>
      <c r="J55" s="477">
        <f>'Raw Data'!I74</f>
        <v>168903</v>
      </c>
      <c r="K55" s="477">
        <f>'Raw Data'!J74</f>
        <v>197482</v>
      </c>
      <c r="L55" s="477">
        <f>'Raw Data'!K74</f>
        <v>210509</v>
      </c>
      <c r="M55" s="435">
        <f>M54*Q9</f>
        <v>224733.75930805362</v>
      </c>
      <c r="N55" s="435">
        <f>N54*R9</f>
        <v>240602.17140983883</v>
      </c>
      <c r="O55" s="435">
        <f>O54*S9</f>
        <v>258865.80928974421</v>
      </c>
      <c r="P55" s="435">
        <f>P54*T9</f>
        <v>279887.31064020144</v>
      </c>
      <c r="Q55" s="435">
        <f>Q54*U9</f>
        <v>304098.74966023862</v>
      </c>
      <c r="R55" s="540"/>
    </row>
    <row r="56" spans="1:18" x14ac:dyDescent="0.25">
      <c r="A56" s="245" t="s">
        <v>47</v>
      </c>
      <c r="B56" s="211"/>
      <c r="C56" s="485">
        <f>C54-C55</f>
        <v>15211</v>
      </c>
      <c r="D56" s="485">
        <f>D54-D55</f>
        <v>16261</v>
      </c>
      <c r="E56" s="485">
        <f>E54-E55</f>
        <v>17073</v>
      </c>
      <c r="F56" s="485">
        <f>F54-F55</f>
        <v>18462</v>
      </c>
      <c r="G56" s="485">
        <f>G54-G55</f>
        <v>19861</v>
      </c>
      <c r="H56" s="485">
        <f>H54-H55</f>
        <v>21309</v>
      </c>
      <c r="I56" s="485">
        <f>I54-I55</f>
        <v>23575</v>
      </c>
      <c r="J56" s="485">
        <f>J54-J55</f>
        <v>27026</v>
      </c>
      <c r="K56" s="485">
        <f>K54-K55</f>
        <v>29472</v>
      </c>
      <c r="L56" s="485">
        <f>L54-L55</f>
        <v>31781</v>
      </c>
      <c r="M56" s="539">
        <f>M54-M55</f>
        <v>33928.542744344682</v>
      </c>
      <c r="N56" s="539">
        <f>N54-N55</f>
        <v>36913.385068333533</v>
      </c>
      <c r="O56" s="539">
        <f>O54-O55</f>
        <v>40351.98568313205</v>
      </c>
      <c r="P56" s="539">
        <f>P54-P55</f>
        <v>44320.029223284801</v>
      </c>
      <c r="Q56" s="539">
        <f>Q54-Q55</f>
        <v>48908.121815883846</v>
      </c>
      <c r="R56" s="540"/>
    </row>
    <row r="57" spans="1:18" x14ac:dyDescent="0.25">
      <c r="A57" s="248" t="s">
        <v>464</v>
      </c>
      <c r="B57" s="215"/>
      <c r="C57" s="477">
        <f>'Raw Data'!B75</f>
        <v>10962</v>
      </c>
      <c r="D57" s="477">
        <f>'Raw Data'!C75</f>
        <v>11510</v>
      </c>
      <c r="E57" s="477">
        <f>'Raw Data'!D75</f>
        <v>12146</v>
      </c>
      <c r="F57" s="477">
        <f>'Raw Data'!E75</f>
        <v>13032</v>
      </c>
      <c r="G57" s="477">
        <f>'Raw Data'!F75</f>
        <v>13944</v>
      </c>
      <c r="H57" s="477">
        <f>'Raw Data'!G75</f>
        <v>14957</v>
      </c>
      <c r="I57" s="477">
        <f>'Raw Data'!H75</f>
        <v>15991</v>
      </c>
      <c r="J57" s="477">
        <f>'Raw Data'!I75</f>
        <v>18022</v>
      </c>
      <c r="K57" s="477">
        <f>'Raw Data'!J75</f>
        <v>19779</v>
      </c>
      <c r="L57" s="477">
        <f>'Raw Data'!K75</f>
        <v>21590</v>
      </c>
      <c r="M57" s="435">
        <f>M54*Q10</f>
        <v>23048.904623844483</v>
      </c>
      <c r="N57" s="435">
        <f>N54*R10</f>
        <v>25231.304382947375</v>
      </c>
      <c r="O57" s="435">
        <f>O54*S10</f>
        <v>27746.15240307125</v>
      </c>
      <c r="P57" s="435">
        <f>P54*T10</f>
        <v>30650.361055208534</v>
      </c>
      <c r="Q57" s="435">
        <f>Q54*U10</f>
        <v>34012.14479322252</v>
      </c>
      <c r="R57" s="540"/>
    </row>
    <row r="58" spans="1:18" x14ac:dyDescent="0.25">
      <c r="A58" s="245" t="s">
        <v>356</v>
      </c>
      <c r="B58" s="211"/>
      <c r="C58" s="485">
        <f>C56-C57</f>
        <v>4249</v>
      </c>
      <c r="D58" s="485">
        <f>D56-D57</f>
        <v>4751</v>
      </c>
      <c r="E58" s="485">
        <f>E56-E57</f>
        <v>4927</v>
      </c>
      <c r="F58" s="485">
        <f>F56-F57</f>
        <v>5430</v>
      </c>
      <c r="G58" s="485">
        <f>G56-G57</f>
        <v>5917</v>
      </c>
      <c r="H58" s="485">
        <f>H56-H57</f>
        <v>6352</v>
      </c>
      <c r="I58" s="485">
        <f>I56-I57</f>
        <v>7584</v>
      </c>
      <c r="J58" s="485">
        <f>J56-J57</f>
        <v>9004</v>
      </c>
      <c r="K58" s="485">
        <f>K56-K57</f>
        <v>9693</v>
      </c>
      <c r="L58" s="485">
        <f>L56-L57</f>
        <v>10191</v>
      </c>
      <c r="M58" s="539">
        <f>M56-M57</f>
        <v>10879.6381205002</v>
      </c>
      <c r="N58" s="539">
        <f>N56-N57</f>
        <v>11682.080685386158</v>
      </c>
      <c r="O58" s="539">
        <f>O56-O57</f>
        <v>12605.8332800608</v>
      </c>
      <c r="P58" s="539">
        <f>P56-P57</f>
        <v>13669.668168076267</v>
      </c>
      <c r="Q58" s="539">
        <f>Q56-Q57</f>
        <v>14895.977022661325</v>
      </c>
      <c r="R58" s="540"/>
    </row>
    <row r="59" spans="1:18" x14ac:dyDescent="0.25">
      <c r="A59" s="248" t="s">
        <v>355</v>
      </c>
      <c r="B59" s="215"/>
      <c r="C59" s="477">
        <f>'Raw Data'!B77</f>
        <v>1029</v>
      </c>
      <c r="D59" s="477">
        <f>'Raw Data'!C77</f>
        <v>1127</v>
      </c>
      <c r="E59" s="477">
        <f>'Raw Data'!D77</f>
        <v>1255</v>
      </c>
      <c r="F59" s="477">
        <f>'Raw Data'!E77</f>
        <v>1370</v>
      </c>
      <c r="G59" s="477">
        <f>'Raw Data'!F77</f>
        <v>1437</v>
      </c>
      <c r="H59" s="477">
        <f>'Raw Data'!G77</f>
        <v>1492</v>
      </c>
      <c r="I59" s="477">
        <f>'Raw Data'!H77</f>
        <v>1645</v>
      </c>
      <c r="J59" s="477">
        <f>'Raw Data'!I77</f>
        <v>1781</v>
      </c>
      <c r="K59" s="477">
        <f>'Raw Data'!J77</f>
        <v>1900</v>
      </c>
      <c r="L59" s="477">
        <f>'Raw Data'!K77</f>
        <v>2077</v>
      </c>
      <c r="M59" s="435">
        <f>M84*Q11</f>
        <v>2217.3494628867525</v>
      </c>
      <c r="N59" s="435">
        <f>N84*R11</f>
        <v>2444.8124450371865</v>
      </c>
      <c r="O59" s="435">
        <f>O84*S11</f>
        <v>2707.8193100023668</v>
      </c>
      <c r="P59" s="435">
        <f>P84*T11</f>
        <v>3012.673597574912</v>
      </c>
      <c r="Q59" s="435">
        <f>Q84*U11</f>
        <v>3366.9609195437529</v>
      </c>
      <c r="R59" s="540"/>
    </row>
    <row r="60" spans="1:18" x14ac:dyDescent="0.25">
      <c r="A60" s="245" t="s">
        <v>354</v>
      </c>
      <c r="B60" s="211"/>
      <c r="C60" s="485">
        <f>C58-C59</f>
        <v>3220</v>
      </c>
      <c r="D60" s="485">
        <f>D58-D59</f>
        <v>3624</v>
      </c>
      <c r="E60" s="485">
        <f>E58-E59</f>
        <v>3672</v>
      </c>
      <c r="F60" s="485">
        <f>F58-F59</f>
        <v>4060</v>
      </c>
      <c r="G60" s="485">
        <f>G58-G59</f>
        <v>4480</v>
      </c>
      <c r="H60" s="485">
        <f>H58-H59</f>
        <v>4860</v>
      </c>
      <c r="I60" s="485">
        <f>I58-I59</f>
        <v>5939</v>
      </c>
      <c r="J60" s="485">
        <f>J58-J59</f>
        <v>7223</v>
      </c>
      <c r="K60" s="485">
        <f>K58-K59</f>
        <v>7793</v>
      </c>
      <c r="L60" s="552">
        <f>L58-L59</f>
        <v>8114</v>
      </c>
      <c r="M60" s="539">
        <f>M58-M59</f>
        <v>8662.2886576134479</v>
      </c>
      <c r="N60" s="539">
        <f>N58-N59</f>
        <v>9237.2682403489707</v>
      </c>
      <c r="O60" s="539">
        <f>O58-O59</f>
        <v>9898.0139700584332</v>
      </c>
      <c r="P60" s="539">
        <f>P58-P59</f>
        <v>10656.994570501354</v>
      </c>
      <c r="Q60" s="539">
        <f>Q58-Q59</f>
        <v>11529.016103117572</v>
      </c>
      <c r="R60" s="540"/>
    </row>
    <row r="61" spans="1:18" x14ac:dyDescent="0.25">
      <c r="A61" s="86" t="s">
        <v>353</v>
      </c>
      <c r="B61" s="202"/>
      <c r="C61" s="466">
        <f>'Raw Data'!B82</f>
        <v>113</v>
      </c>
      <c r="D61" s="466">
        <f>'Raw Data'!C82</f>
        <v>124</v>
      </c>
      <c r="E61" s="466">
        <f>'Raw Data'!D82</f>
        <v>133</v>
      </c>
      <c r="F61" s="466">
        <f>'Raw Data'!E82</f>
        <v>134</v>
      </c>
      <c r="G61" s="466">
        <f>'Raw Data'!F82</f>
        <v>159</v>
      </c>
      <c r="H61" s="466">
        <f>'Raw Data'!G82</f>
        <v>150</v>
      </c>
      <c r="I61" s="466">
        <f>'Raw Data'!H82</f>
        <v>160</v>
      </c>
      <c r="J61" s="466">
        <f>'Raw Data'!I82</f>
        <v>171</v>
      </c>
      <c r="K61" s="466">
        <f>'Raw Data'!J82</f>
        <v>158</v>
      </c>
      <c r="L61" s="466">
        <f>'Raw Data'!K82</f>
        <v>160</v>
      </c>
      <c r="M61" s="441">
        <f>Q14*(L96+L101)</f>
        <v>154.57179534201356</v>
      </c>
      <c r="N61" s="339">
        <f>R14*(M96+M101)+($U$15*M124)</f>
        <v>72.092184555345483</v>
      </c>
      <c r="O61" s="339">
        <f>S14*(N96+N101)+($U$15*N124)</f>
        <v>39.25781378462591</v>
      </c>
      <c r="P61" s="339">
        <f>T14*(O96+O101)+($U$15*O124)</f>
        <v>45.905406117003679</v>
      </c>
      <c r="Q61" s="339">
        <f>U14*(P96+P101)+($U$15*P124)</f>
        <v>98.650816028673034</v>
      </c>
      <c r="R61" s="551"/>
    </row>
    <row r="62" spans="1:18" x14ac:dyDescent="0.25">
      <c r="A62" s="86" t="s">
        <v>215</v>
      </c>
      <c r="B62" s="202"/>
      <c r="C62" s="466">
        <f>'Raw Data'!B83</f>
        <v>90</v>
      </c>
      <c r="D62" s="466">
        <f>'Raw Data'!C83</f>
        <v>104</v>
      </c>
      <c r="E62" s="466">
        <f>'Raw Data'!D83</f>
        <v>80</v>
      </c>
      <c r="F62" s="466">
        <f>'Raw Data'!E83</f>
        <v>62</v>
      </c>
      <c r="G62" s="466">
        <f>'Raw Data'!F83</f>
        <v>121</v>
      </c>
      <c r="H62" s="466">
        <f>'Raw Data'!G83</f>
        <v>178</v>
      </c>
      <c r="I62" s="466">
        <f>'Raw Data'!H83</f>
        <v>128</v>
      </c>
      <c r="J62" s="466">
        <f>'Raw Data'!I83</f>
        <v>143</v>
      </c>
      <c r="K62" s="466">
        <f>'Raw Data'!J83</f>
        <v>205</v>
      </c>
      <c r="L62" s="466">
        <f>'Raw Data'!K83</f>
        <v>533</v>
      </c>
      <c r="M62" s="441">
        <f>Q16*M54</f>
        <v>569.01649673502118</v>
      </c>
      <c r="N62" s="441">
        <f>R16*N54</f>
        <v>516.74378875245395</v>
      </c>
      <c r="O62" s="441">
        <f>S16*O54</f>
        <v>456.07602938484933</v>
      </c>
      <c r="P62" s="441">
        <f>T16*P54</f>
        <v>384.64602609337328</v>
      </c>
      <c r="Q62" s="441">
        <f>U16*Q54</f>
        <v>299.5658988086218</v>
      </c>
      <c r="R62" s="540"/>
    </row>
    <row r="63" spans="1:18" x14ac:dyDescent="0.25">
      <c r="A63" s="243" t="s">
        <v>40</v>
      </c>
      <c r="B63" s="215"/>
      <c r="C63" s="477">
        <f>'Raw Data'!B86</f>
        <v>0</v>
      </c>
      <c r="D63" s="477">
        <f>'Raw Data'!C86</f>
        <v>0</v>
      </c>
      <c r="E63" s="477">
        <f>'Raw Data'!D86</f>
        <v>0</v>
      </c>
      <c r="F63" s="477">
        <f>'Raw Data'!E86</f>
        <v>51</v>
      </c>
      <c r="G63" s="477">
        <f>'Raw Data'!F86</f>
        <v>0</v>
      </c>
      <c r="H63" s="477">
        <f>'Raw Data'!G86</f>
        <v>-123</v>
      </c>
      <c r="I63" s="477">
        <f>'Raw Data'!H86</f>
        <v>-540</v>
      </c>
      <c r="J63" s="477">
        <f>'Raw Data'!I86</f>
        <v>-515</v>
      </c>
      <c r="K63" s="477">
        <f>'Raw Data'!J86</f>
        <v>0</v>
      </c>
      <c r="L63" s="477">
        <f>'Raw Data'!K86</f>
        <v>0</v>
      </c>
      <c r="M63" s="435">
        <f>Q17*M54</f>
        <v>0</v>
      </c>
      <c r="N63" s="435">
        <f>R17*N54</f>
        <v>-29.780787032558543</v>
      </c>
      <c r="O63" s="435">
        <f>S17*O54</f>
        <v>-64.219401186180875</v>
      </c>
      <c r="P63" s="435">
        <f>T17*P54</f>
        <v>-104.3741460701814</v>
      </c>
      <c r="Q63" s="435">
        <f>U17*Q54</f>
        <v>-151.52768506203782</v>
      </c>
      <c r="R63" s="540"/>
    </row>
    <row r="64" spans="1:18" x14ac:dyDescent="0.25">
      <c r="A64" s="242" t="s">
        <v>352</v>
      </c>
      <c r="B64" s="211"/>
      <c r="C64" s="485">
        <f>C60-C61+C62+C63</f>
        <v>3197</v>
      </c>
      <c r="D64" s="485">
        <f>D60-D61+D62+D63</f>
        <v>3604</v>
      </c>
      <c r="E64" s="485">
        <f>E60-E61+E62+E63</f>
        <v>3619</v>
      </c>
      <c r="F64" s="485">
        <f>F60-F61+F62+F63</f>
        <v>4039</v>
      </c>
      <c r="G64" s="485">
        <f>G60-G61+G62+G63</f>
        <v>4442</v>
      </c>
      <c r="H64" s="485">
        <f>H60-H61+H62+H63</f>
        <v>4765</v>
      </c>
      <c r="I64" s="485">
        <f>I60-I61+I62+I63</f>
        <v>5367</v>
      </c>
      <c r="J64" s="485">
        <f>J60-J61+J62+J63</f>
        <v>6680</v>
      </c>
      <c r="K64" s="485">
        <f>K60-K61+K62+K63</f>
        <v>7840</v>
      </c>
      <c r="L64" s="485">
        <f>L60-L61+L62+L63</f>
        <v>8487</v>
      </c>
      <c r="M64" s="539">
        <f>M60-M61+M62+M63</f>
        <v>9076.7333590064554</v>
      </c>
      <c r="N64" s="539">
        <f>N60-N61+N62+N63</f>
        <v>9652.139057513521</v>
      </c>
      <c r="O64" s="539">
        <f>O60-O61+O62+O63</f>
        <v>10250.612784472474</v>
      </c>
      <c r="P64" s="539">
        <f>P60-P61+P62+P63</f>
        <v>10891.36104440754</v>
      </c>
      <c r="Q64" s="539">
        <f>Q60-Q61+Q62+Q63</f>
        <v>11578.403500835482</v>
      </c>
      <c r="R64" s="540"/>
    </row>
    <row r="65" spans="1:18" x14ac:dyDescent="0.25">
      <c r="A65" s="243" t="s">
        <v>351</v>
      </c>
      <c r="B65" s="215"/>
      <c r="C65" s="477">
        <f>'Raw Data'!B90</f>
        <v>1109</v>
      </c>
      <c r="D65" s="477">
        <f>'Raw Data'!C90</f>
        <v>1195</v>
      </c>
      <c r="E65" s="477">
        <f>'Raw Data'!D90</f>
        <v>1243</v>
      </c>
      <c r="F65" s="477">
        <f>'Raw Data'!E90</f>
        <v>1325</v>
      </c>
      <c r="G65" s="477">
        <f>'Raw Data'!F90</f>
        <v>1263</v>
      </c>
      <c r="H65" s="477">
        <f>'Raw Data'!G90</f>
        <v>1061</v>
      </c>
      <c r="I65" s="477">
        <f>'Raw Data'!H90</f>
        <v>1308</v>
      </c>
      <c r="J65" s="477">
        <f>'Raw Data'!I90</f>
        <v>1601</v>
      </c>
      <c r="K65" s="477">
        <f>'Raw Data'!J90</f>
        <v>1925</v>
      </c>
      <c r="L65" s="477">
        <f>'Raw Data'!K90</f>
        <v>2195</v>
      </c>
      <c r="M65" s="435">
        <f>M64*Q18</f>
        <v>2347.5232382489889</v>
      </c>
      <c r="N65" s="435">
        <f>N64*R18</f>
        <v>2496.3409015249413</v>
      </c>
      <c r="O65" s="435">
        <f>O64*S18</f>
        <v>2651.1246685421324</v>
      </c>
      <c r="P65" s="435">
        <f>P64*T18</f>
        <v>2816.8419338369918</v>
      </c>
      <c r="Q65" s="435">
        <f>Q64*U18</f>
        <v>2994.5323063902297</v>
      </c>
      <c r="R65" s="540"/>
    </row>
    <row r="66" spans="1:18" x14ac:dyDescent="0.25">
      <c r="A66" s="86" t="s">
        <v>320</v>
      </c>
      <c r="B66" s="202"/>
      <c r="C66" s="466">
        <f>C64-C65</f>
        <v>2088</v>
      </c>
      <c r="D66" s="466">
        <f>D64-D65</f>
        <v>2409</v>
      </c>
      <c r="E66" s="466">
        <f>E64-E65</f>
        <v>2376</v>
      </c>
      <c r="F66" s="466">
        <f>F64-F65</f>
        <v>2714</v>
      </c>
      <c r="G66" s="466">
        <f>G64-G65</f>
        <v>3179</v>
      </c>
      <c r="H66" s="466">
        <f>H64-H65</f>
        <v>3704</v>
      </c>
      <c r="I66" s="466">
        <f>I64-I65</f>
        <v>4059</v>
      </c>
      <c r="J66" s="466">
        <f>J64-J65</f>
        <v>5079</v>
      </c>
      <c r="K66" s="466">
        <f>K64-K65</f>
        <v>5915</v>
      </c>
      <c r="L66" s="466">
        <f>L64-L65</f>
        <v>6292</v>
      </c>
      <c r="M66" s="441">
        <f>M64-M65</f>
        <v>6729.2101207574669</v>
      </c>
      <c r="N66" s="441">
        <f>N64-N65</f>
        <v>7155.7981559885793</v>
      </c>
      <c r="O66" s="441">
        <f>O64-O65</f>
        <v>7599.4881159303422</v>
      </c>
      <c r="P66" s="441">
        <f>P64-P65</f>
        <v>8074.5191105705489</v>
      </c>
      <c r="Q66" s="441">
        <f>Q64-Q65</f>
        <v>8583.8711944452516</v>
      </c>
      <c r="R66" s="540"/>
    </row>
    <row r="67" spans="1:18" x14ac:dyDescent="0.25">
      <c r="A67" s="243" t="s">
        <v>350</v>
      </c>
      <c r="B67" s="215"/>
      <c r="C67" s="477">
        <f>'Raw Data'!B99</f>
        <v>30</v>
      </c>
      <c r="D67" s="477">
        <f>'Raw Data'!C99</f>
        <v>32</v>
      </c>
      <c r="E67" s="477">
        <f>'Raw Data'!D99</f>
        <v>26</v>
      </c>
      <c r="F67" s="477">
        <f>'Raw Data'!E99</f>
        <v>35</v>
      </c>
      <c r="G67" s="477">
        <f>'Raw Data'!F99</f>
        <v>45</v>
      </c>
      <c r="H67" s="477">
        <f>'Raw Data'!G99</f>
        <v>45</v>
      </c>
      <c r="I67" s="477">
        <f>'Raw Data'!H99</f>
        <v>57</v>
      </c>
      <c r="J67" s="477">
        <f>'Raw Data'!I99</f>
        <v>72</v>
      </c>
      <c r="K67" s="477">
        <f>'Raw Data'!J99</f>
        <v>71</v>
      </c>
      <c r="L67" s="477">
        <f>'Raw Data'!K99</f>
        <v>0</v>
      </c>
      <c r="M67" s="435">
        <f>Q19*M54</f>
        <v>0</v>
      </c>
      <c r="N67" s="435">
        <f>R19*N54</f>
        <v>19.939320125154893</v>
      </c>
      <c r="O67" s="435">
        <f>S19*O54</f>
        <v>42.99722492548922</v>
      </c>
      <c r="P67" s="435">
        <f>T19*P54</f>
        <v>69.882287160771085</v>
      </c>
      <c r="Q67" s="435">
        <f>U19*Q54</f>
        <v>101.45329661611871</v>
      </c>
      <c r="R67" s="540"/>
    </row>
    <row r="68" spans="1:18" x14ac:dyDescent="0.25">
      <c r="A68" s="242" t="s">
        <v>194</v>
      </c>
      <c r="B68" s="211"/>
      <c r="C68" s="485">
        <f>C66-C67</f>
        <v>2058</v>
      </c>
      <c r="D68" s="485">
        <f>D66-D67</f>
        <v>2377</v>
      </c>
      <c r="E68" s="485">
        <f>E66-E67</f>
        <v>2350</v>
      </c>
      <c r="F68" s="485">
        <f>F66-F67</f>
        <v>2679</v>
      </c>
      <c r="G68" s="485">
        <f>G66-G67</f>
        <v>3134</v>
      </c>
      <c r="H68" s="485">
        <f>H66-H67</f>
        <v>3659</v>
      </c>
      <c r="I68" s="485">
        <f>I66-I67</f>
        <v>4002</v>
      </c>
      <c r="J68" s="485">
        <f>J66-J67</f>
        <v>5007</v>
      </c>
      <c r="K68" s="485">
        <f>K66-K67</f>
        <v>5844</v>
      </c>
      <c r="L68" s="485">
        <f>L66-L67</f>
        <v>6292</v>
      </c>
      <c r="M68" s="539">
        <f>M66-M67</f>
        <v>6729.2101207574669</v>
      </c>
      <c r="N68" s="539">
        <f>N66-N67</f>
        <v>7135.8588358634242</v>
      </c>
      <c r="O68" s="539">
        <f>O66-O67</f>
        <v>7556.4908910048534</v>
      </c>
      <c r="P68" s="539">
        <f>P66-P67</f>
        <v>8004.6368234097781</v>
      </c>
      <c r="Q68" s="539">
        <f>Q66-Q67</f>
        <v>8482.4178978291329</v>
      </c>
      <c r="R68" s="540"/>
    </row>
    <row r="69" spans="1:18" x14ac:dyDescent="0.25">
      <c r="A69" s="86" t="s">
        <v>192</v>
      </c>
      <c r="B69" s="202"/>
      <c r="C69" s="466">
        <f>'Raw Data'!B105</f>
        <v>0</v>
      </c>
      <c r="D69" s="466">
        <f>'Raw Data'!C105</f>
        <v>0</v>
      </c>
      <c r="E69" s="466">
        <f>'Raw Data'!D105</f>
        <v>0</v>
      </c>
      <c r="F69" s="466">
        <f>'Raw Data'!E105</f>
        <v>0</v>
      </c>
      <c r="G69" s="466">
        <f>'Raw Data'!F105</f>
        <v>0</v>
      </c>
      <c r="H69" s="466">
        <f>'Raw Data'!G105</f>
        <v>0</v>
      </c>
      <c r="I69" s="466">
        <f>'Raw Data'!H105</f>
        <v>0</v>
      </c>
      <c r="J69" s="466">
        <f>'Raw Data'!I105</f>
        <v>0</v>
      </c>
      <c r="K69" s="466">
        <f>'Raw Data'!J105</f>
        <v>0</v>
      </c>
      <c r="L69" s="466">
        <f>'Raw Data'!K105</f>
        <v>0</v>
      </c>
      <c r="M69" s="441">
        <f>$L$69</f>
        <v>0</v>
      </c>
      <c r="N69" s="441">
        <f>$L$69</f>
        <v>0</v>
      </c>
      <c r="O69" s="441">
        <f>$L$69</f>
        <v>0</v>
      </c>
      <c r="P69" s="441">
        <f>$L$69</f>
        <v>0</v>
      </c>
      <c r="Q69" s="441">
        <f>$L$69</f>
        <v>0</v>
      </c>
      <c r="R69" s="540"/>
    </row>
    <row r="70" spans="1:18" ht="16.5" thickBot="1" x14ac:dyDescent="0.3">
      <c r="A70" s="240" t="s">
        <v>33</v>
      </c>
      <c r="B70" s="218"/>
      <c r="C70" s="472">
        <f>C68-C69</f>
        <v>2058</v>
      </c>
      <c r="D70" s="472">
        <f>D68-D69</f>
        <v>2377</v>
      </c>
      <c r="E70" s="472">
        <f>E68-E69</f>
        <v>2350</v>
      </c>
      <c r="F70" s="472">
        <f>F68-F69</f>
        <v>2679</v>
      </c>
      <c r="G70" s="472">
        <f>G68-G69</f>
        <v>3134</v>
      </c>
      <c r="H70" s="472">
        <f>H68-H69</f>
        <v>3659</v>
      </c>
      <c r="I70" s="472">
        <f>I68-I69</f>
        <v>4002</v>
      </c>
      <c r="J70" s="472">
        <f>J68-J69</f>
        <v>5007</v>
      </c>
      <c r="K70" s="472">
        <f>K68-K69</f>
        <v>5844</v>
      </c>
      <c r="L70" s="472">
        <f>L68-L69</f>
        <v>6292</v>
      </c>
      <c r="M70" s="522">
        <f>M68-M69</f>
        <v>6729.2101207574669</v>
      </c>
      <c r="N70" s="522">
        <f>N68-N69</f>
        <v>7135.8588358634242</v>
      </c>
      <c r="O70" s="522">
        <f>O68-O69</f>
        <v>7556.4908910048534</v>
      </c>
      <c r="P70" s="522">
        <f>P68-P69</f>
        <v>8004.6368234097781</v>
      </c>
      <c r="Q70" s="522">
        <f>Q68-Q69</f>
        <v>8482.4178978291329</v>
      </c>
      <c r="R70" s="540"/>
    </row>
    <row r="71" spans="1:18" ht="16.5" thickTop="1" x14ac:dyDescent="0.25">
      <c r="A71" s="86" t="s">
        <v>463</v>
      </c>
      <c r="B71" s="202"/>
      <c r="C71" s="466">
        <f>-C154</f>
        <v>584</v>
      </c>
      <c r="D71" s="466">
        <f>-D154</f>
        <v>2865</v>
      </c>
      <c r="E71" s="466">
        <f>-E154</f>
        <v>746</v>
      </c>
      <c r="F71" s="466">
        <f>-F154</f>
        <v>3904</v>
      </c>
      <c r="G71" s="466">
        <f>-G154</f>
        <v>689</v>
      </c>
      <c r="H71" s="466">
        <f>-H154</f>
        <v>1038</v>
      </c>
      <c r="I71" s="466">
        <f>-I154</f>
        <v>1479</v>
      </c>
      <c r="J71" s="466">
        <f>-J154</f>
        <v>5748</v>
      </c>
      <c r="K71" s="466">
        <f>-K154</f>
        <v>1498</v>
      </c>
      <c r="L71" s="466">
        <f>-L154</f>
        <v>1251</v>
      </c>
      <c r="M71" s="441">
        <f>Q20*M70</f>
        <v>1337.9278228015878</v>
      </c>
      <c r="N71" s="441">
        <f>R20*N70</f>
        <v>1974.7847446610401</v>
      </c>
      <c r="O71" s="441">
        <f>S20*O70</f>
        <v>2679.9707498162825</v>
      </c>
      <c r="P71" s="441">
        <f>T20*P70</f>
        <v>3462.6074371937689</v>
      </c>
      <c r="Q71" s="441">
        <f>U20*Q70</f>
        <v>4330.2091008348643</v>
      </c>
      <c r="R71" s="540"/>
    </row>
    <row r="72" spans="1:18" ht="16.5" thickBot="1" x14ac:dyDescent="0.3">
      <c r="A72" s="550" t="s">
        <v>462</v>
      </c>
      <c r="B72" s="549"/>
      <c r="C72" s="548">
        <f>C70-C71</f>
        <v>1474</v>
      </c>
      <c r="D72" s="548">
        <f>D70-D71</f>
        <v>-488</v>
      </c>
      <c r="E72" s="548">
        <f>E70-E71</f>
        <v>1604</v>
      </c>
      <c r="F72" s="548">
        <f>F70-F71</f>
        <v>-1225</v>
      </c>
      <c r="G72" s="548">
        <f>G70-G71</f>
        <v>2445</v>
      </c>
      <c r="H72" s="548">
        <f>H70-H71</f>
        <v>2621</v>
      </c>
      <c r="I72" s="548">
        <f>I70-I71</f>
        <v>2523</v>
      </c>
      <c r="J72" s="548">
        <f>J70-J71</f>
        <v>-741</v>
      </c>
      <c r="K72" s="548">
        <f>K70-K71</f>
        <v>4346</v>
      </c>
      <c r="L72" s="548">
        <f>L70-L71</f>
        <v>5041</v>
      </c>
      <c r="M72" s="497">
        <f>M70-M71</f>
        <v>5391.2822979558787</v>
      </c>
      <c r="N72" s="497">
        <f>N70-N71</f>
        <v>5161.0740912023839</v>
      </c>
      <c r="O72" s="497">
        <f>O70-O71</f>
        <v>4876.520141188571</v>
      </c>
      <c r="P72" s="497">
        <f>P70-P71</f>
        <v>4542.0293862160088</v>
      </c>
      <c r="Q72" s="497">
        <f>Q70-Q71</f>
        <v>4152.2087969942686</v>
      </c>
      <c r="R72" s="543"/>
    </row>
    <row r="73" spans="1:18" x14ac:dyDescent="0.25">
      <c r="A73" s="547" t="s">
        <v>461</v>
      </c>
      <c r="B73" s="185"/>
      <c r="C73" s="185"/>
      <c r="D73" s="185"/>
      <c r="E73" s="185"/>
      <c r="F73" s="185"/>
      <c r="G73" s="185"/>
      <c r="H73" s="185"/>
      <c r="I73" s="185"/>
      <c r="J73" s="185"/>
      <c r="K73" s="185"/>
      <c r="L73" s="546">
        <f>L70/L54</f>
        <v>2.5968880267448098E-2</v>
      </c>
      <c r="M73" s="545">
        <f>M70/M54</f>
        <v>2.6015426551776001E-2</v>
      </c>
      <c r="N73" s="545">
        <f>N70/N54</f>
        <v>2.5713365140395964E-2</v>
      </c>
      <c r="O73" s="545">
        <f>O70/O54</f>
        <v>2.5254149378681975E-2</v>
      </c>
      <c r="P73" s="545">
        <f>P70/P54</f>
        <v>2.4689869226218891E-2</v>
      </c>
      <c r="Q73" s="545">
        <f>Q70/Q54</f>
        <v>2.4029044710544359E-2</v>
      </c>
      <c r="R73" s="544" t="s">
        <v>386</v>
      </c>
    </row>
    <row r="74" spans="1:18" ht="16.5" thickBot="1" x14ac:dyDescent="0.3">
      <c r="A74" s="32"/>
      <c r="B74" s="185"/>
      <c r="C74" s="185"/>
      <c r="D74" s="185"/>
      <c r="E74" s="185"/>
      <c r="F74" s="185"/>
      <c r="G74" s="185"/>
      <c r="H74" s="185"/>
      <c r="I74" s="185"/>
      <c r="J74" s="185"/>
      <c r="K74" s="185"/>
      <c r="L74" s="185"/>
      <c r="M74" s="185"/>
      <c r="N74" s="185"/>
      <c r="O74" s="74"/>
      <c r="P74" s="543"/>
      <c r="Q74" s="543"/>
      <c r="R74" s="543"/>
    </row>
    <row r="75" spans="1:18" x14ac:dyDescent="0.25">
      <c r="A75" s="59"/>
      <c r="B75" s="58" t="str">
        <f>B51</f>
        <v>Fiscal Year</v>
      </c>
      <c r="C75" s="57">
        <f>C51</f>
        <v>2014</v>
      </c>
      <c r="D75" s="57">
        <f>D51</f>
        <v>2015</v>
      </c>
      <c r="E75" s="57">
        <f>E51</f>
        <v>2016</v>
      </c>
      <c r="F75" s="57">
        <f>F51</f>
        <v>2017</v>
      </c>
      <c r="G75" s="57">
        <f>G51</f>
        <v>2018</v>
      </c>
      <c r="H75" s="57">
        <f>H51</f>
        <v>2019</v>
      </c>
      <c r="I75" s="57">
        <f>I51</f>
        <v>2020</v>
      </c>
      <c r="J75" s="57">
        <f>J51</f>
        <v>2021</v>
      </c>
      <c r="K75" s="57">
        <f>K51</f>
        <v>2022</v>
      </c>
      <c r="L75" s="542">
        <f>L51</f>
        <v>2023</v>
      </c>
      <c r="M75" s="288" t="s">
        <v>447</v>
      </c>
      <c r="N75" s="288" t="s">
        <v>447</v>
      </c>
      <c r="O75" s="288" t="s">
        <v>447</v>
      </c>
      <c r="P75" s="288" t="s">
        <v>447</v>
      </c>
      <c r="Q75" s="288" t="s">
        <v>447</v>
      </c>
      <c r="R75" s="89"/>
    </row>
    <row r="76" spans="1:18" x14ac:dyDescent="0.25">
      <c r="A76" s="53" t="s">
        <v>346</v>
      </c>
      <c r="B76" s="52" t="s">
        <v>307</v>
      </c>
      <c r="C76" s="51">
        <v>-9</v>
      </c>
      <c r="D76" s="51">
        <v>-8</v>
      </c>
      <c r="E76" s="51">
        <v>-7</v>
      </c>
      <c r="F76" s="51">
        <v>-6</v>
      </c>
      <c r="G76" s="51">
        <v>-5</v>
      </c>
      <c r="H76" s="51">
        <v>-4</v>
      </c>
      <c r="I76" s="51">
        <v>-3</v>
      </c>
      <c r="J76" s="51">
        <v>-2</v>
      </c>
      <c r="K76" s="51">
        <v>-1</v>
      </c>
      <c r="L76" s="50">
        <v>0</v>
      </c>
      <c r="M76" s="48">
        <v>1</v>
      </c>
      <c r="N76" s="48">
        <v>2</v>
      </c>
      <c r="O76" s="48">
        <v>3</v>
      </c>
      <c r="P76" s="48">
        <v>4</v>
      </c>
      <c r="Q76" s="48">
        <v>5</v>
      </c>
      <c r="R76" s="87"/>
    </row>
    <row r="77" spans="1:18" x14ac:dyDescent="0.25">
      <c r="A77" s="32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101"/>
      <c r="N77" s="185"/>
      <c r="O77" s="74"/>
      <c r="P77" s="74"/>
      <c r="Q77" s="74"/>
      <c r="R77" s="74"/>
    </row>
    <row r="78" spans="1:18" ht="16.5" thickBot="1" x14ac:dyDescent="0.3">
      <c r="A78" s="192" t="s">
        <v>344</v>
      </c>
      <c r="B78" s="230"/>
      <c r="C78" s="230"/>
      <c r="D78" s="230"/>
      <c r="E78" s="230"/>
      <c r="F78" s="230"/>
      <c r="G78" s="229"/>
      <c r="H78" s="229"/>
      <c r="I78" s="229"/>
      <c r="J78" s="229"/>
      <c r="K78" s="229"/>
      <c r="L78" s="229"/>
      <c r="M78" s="541"/>
      <c r="N78" s="541"/>
      <c r="O78" s="541"/>
      <c r="P78" s="541"/>
      <c r="Q78" s="541"/>
      <c r="R78" s="87"/>
    </row>
    <row r="79" spans="1:18" x14ac:dyDescent="0.25">
      <c r="A79" s="85" t="s">
        <v>274</v>
      </c>
      <c r="B79" s="202"/>
      <c r="C79" s="466">
        <f>'Raw Data'!B7</f>
        <v>7315</v>
      </c>
      <c r="D79" s="466">
        <f>'Raw Data'!C7</f>
        <v>6419</v>
      </c>
      <c r="E79" s="466">
        <f>'Raw Data'!D7</f>
        <v>4729</v>
      </c>
      <c r="F79" s="466">
        <f>'Raw Data'!E7</f>
        <v>5779</v>
      </c>
      <c r="G79" s="466">
        <f>'Raw Data'!F7</f>
        <v>7259</v>
      </c>
      <c r="H79" s="466">
        <f>'Raw Data'!G7</f>
        <v>9444</v>
      </c>
      <c r="I79" s="466">
        <f>'Raw Data'!H7</f>
        <v>13305</v>
      </c>
      <c r="J79" s="466">
        <f>'Raw Data'!I7</f>
        <v>12175</v>
      </c>
      <c r="K79" s="466">
        <f>'Raw Data'!J7</f>
        <v>11049</v>
      </c>
      <c r="L79" s="466">
        <f>'Raw Data'!K7</f>
        <v>15234</v>
      </c>
      <c r="M79" s="416">
        <f>Q22*M$54</f>
        <v>16263.409589608467</v>
      </c>
      <c r="N79" s="416">
        <f>R22*N$54</f>
        <v>17004.690972653534</v>
      </c>
      <c r="O79" s="416">
        <f>S22*O$54</f>
        <v>17855.640654591261</v>
      </c>
      <c r="P79" s="416">
        <f>T22*P$54</f>
        <v>18828.035792635019</v>
      </c>
      <c r="Q79" s="416">
        <f>U22*Q$54</f>
        <v>19935.611701394791</v>
      </c>
      <c r="R79" s="540"/>
    </row>
    <row r="80" spans="1:18" x14ac:dyDescent="0.25">
      <c r="A80" s="85" t="s">
        <v>343</v>
      </c>
      <c r="B80" s="202"/>
      <c r="C80" s="466">
        <f>'Raw Data'!B10</f>
        <v>1148</v>
      </c>
      <c r="D80" s="466">
        <f>'Raw Data'!C10</f>
        <v>1224</v>
      </c>
      <c r="E80" s="466">
        <f>'Raw Data'!D10</f>
        <v>1252</v>
      </c>
      <c r="F80" s="466">
        <f>'Raw Data'!E10</f>
        <v>1432</v>
      </c>
      <c r="G80" s="466">
        <f>'Raw Data'!F10</f>
        <v>1669</v>
      </c>
      <c r="H80" s="466">
        <f>'Raw Data'!G10</f>
        <v>1535</v>
      </c>
      <c r="I80" s="466">
        <f>'Raw Data'!H10</f>
        <v>1550</v>
      </c>
      <c r="J80" s="466">
        <f>'Raw Data'!I10</f>
        <v>1803</v>
      </c>
      <c r="K80" s="466">
        <f>'Raw Data'!J10</f>
        <v>2241</v>
      </c>
      <c r="L80" s="466">
        <f>'Raw Data'!K10</f>
        <v>2285</v>
      </c>
      <c r="M80" s="441">
        <f>Q23*M$54</f>
        <v>2439.4046811248095</v>
      </c>
      <c r="N80" s="339">
        <f>R23*N$54</f>
        <v>2665.5569791578991</v>
      </c>
      <c r="O80" s="339">
        <f>S23*O$54</f>
        <v>2926.1397538109809</v>
      </c>
      <c r="P80" s="339">
        <f>T23*P$54</f>
        <v>3227.0049484051842</v>
      </c>
      <c r="Q80" s="339">
        <f>U23*Q$54</f>
        <v>3575.1643294866517</v>
      </c>
      <c r="R80" s="540"/>
    </row>
    <row r="81" spans="1:17" x14ac:dyDescent="0.25">
      <c r="A81" s="85" t="s">
        <v>83</v>
      </c>
      <c r="B81" s="202"/>
      <c r="C81" s="466">
        <f>'Raw Data'!B14</f>
        <v>8456</v>
      </c>
      <c r="D81" s="466">
        <f>'Raw Data'!C14</f>
        <v>8908</v>
      </c>
      <c r="E81" s="466">
        <f>'Raw Data'!D14</f>
        <v>8969</v>
      </c>
      <c r="F81" s="466">
        <f>'Raw Data'!E14</f>
        <v>9834</v>
      </c>
      <c r="G81" s="466">
        <f>'Raw Data'!F14</f>
        <v>11040</v>
      </c>
      <c r="H81" s="466">
        <f>'Raw Data'!G14</f>
        <v>11395</v>
      </c>
      <c r="I81" s="466">
        <f>'Raw Data'!H14</f>
        <v>12242</v>
      </c>
      <c r="J81" s="466">
        <f>'Raw Data'!I14</f>
        <v>14215</v>
      </c>
      <c r="K81" s="466">
        <f>'Raw Data'!J14</f>
        <v>17907</v>
      </c>
      <c r="L81" s="466">
        <f>'Raw Data'!K14</f>
        <v>16651</v>
      </c>
      <c r="M81" s="441">
        <f>Q24*M$54</f>
        <v>17776.160763855234</v>
      </c>
      <c r="N81" s="339">
        <f>R24*N$54</f>
        <v>19525.16560773924</v>
      </c>
      <c r="O81" s="339">
        <f>S24*O$54</f>
        <v>21540.867199158231</v>
      </c>
      <c r="P81" s="339">
        <f>T24*P$54</f>
        <v>23869.498809496501</v>
      </c>
      <c r="Q81" s="339">
        <f>U24*Q$54</f>
        <v>26566.506446711533</v>
      </c>
    </row>
    <row r="82" spans="1:17" x14ac:dyDescent="0.25">
      <c r="A82" s="199" t="s">
        <v>81</v>
      </c>
      <c r="B82" s="215"/>
      <c r="C82" s="477">
        <f>'Raw Data'!B19</f>
        <v>669</v>
      </c>
      <c r="D82" s="477">
        <f>'Raw Data'!C19</f>
        <v>748</v>
      </c>
      <c r="E82" s="477">
        <f>'Raw Data'!D19</f>
        <v>268</v>
      </c>
      <c r="F82" s="477">
        <f>'Raw Data'!E19</f>
        <v>272</v>
      </c>
      <c r="G82" s="477">
        <f>'Raw Data'!F19</f>
        <v>321</v>
      </c>
      <c r="H82" s="477">
        <f>'Raw Data'!G19</f>
        <v>1111</v>
      </c>
      <c r="I82" s="477">
        <f>'Raw Data'!H19</f>
        <v>1023</v>
      </c>
      <c r="J82" s="477">
        <f>'Raw Data'!I19</f>
        <v>1312</v>
      </c>
      <c r="K82" s="477">
        <f>'Raw Data'!J19</f>
        <v>1499</v>
      </c>
      <c r="L82" s="477">
        <f>'Raw Data'!K19</f>
        <v>1709</v>
      </c>
      <c r="M82" s="441">
        <f>Q25*M$54</f>
        <v>1824.4825383117284</v>
      </c>
      <c r="N82" s="339">
        <f>R25*N$54</f>
        <v>1844.3964798163308</v>
      </c>
      <c r="O82" s="339">
        <f>S25*O$54</f>
        <v>1866.7215468183717</v>
      </c>
      <c r="P82" s="339">
        <f>T25*P$54</f>
        <v>1890.5314209325313</v>
      </c>
      <c r="Q82" s="339">
        <f>U25*Q$54</f>
        <v>1914.6429836397222</v>
      </c>
    </row>
    <row r="83" spans="1:17" x14ac:dyDescent="0.25">
      <c r="A83" s="105" t="s">
        <v>80</v>
      </c>
      <c r="B83" s="211"/>
      <c r="C83" s="485">
        <f>SUM(C79:C82)</f>
        <v>17588</v>
      </c>
      <c r="D83" s="485">
        <f>SUM(D79:D82)</f>
        <v>17299</v>
      </c>
      <c r="E83" s="485">
        <f>SUM(E79:E82)</f>
        <v>15218</v>
      </c>
      <c r="F83" s="485">
        <f>SUM(F79:F82)</f>
        <v>17317</v>
      </c>
      <c r="G83" s="485">
        <f>SUM(G79:G82)</f>
        <v>20289</v>
      </c>
      <c r="H83" s="485">
        <f>SUM(H79:H82)</f>
        <v>23485</v>
      </c>
      <c r="I83" s="485">
        <f>SUM(I79:I82)</f>
        <v>28120</v>
      </c>
      <c r="J83" s="485">
        <f>SUM(J79:J82)</f>
        <v>29505</v>
      </c>
      <c r="K83" s="485">
        <f>SUM(K79:K82)</f>
        <v>32696</v>
      </c>
      <c r="L83" s="485">
        <f>SUM(L79:L82)</f>
        <v>35879</v>
      </c>
      <c r="M83" s="539">
        <f>SUM(M79:M82)</f>
        <v>38303.457572900239</v>
      </c>
      <c r="N83" s="539">
        <f>SUM(N79:N82)</f>
        <v>41039.810039367003</v>
      </c>
      <c r="O83" s="539">
        <f>SUM(O79:O82)</f>
        <v>44189.369154378845</v>
      </c>
      <c r="P83" s="539">
        <f>SUM(P79:P82)</f>
        <v>47815.070971469235</v>
      </c>
      <c r="Q83" s="539">
        <f>SUM(Q79:Q82)</f>
        <v>51991.925461232699</v>
      </c>
    </row>
    <row r="84" spans="1:17" x14ac:dyDescent="0.25">
      <c r="A84" s="85" t="s">
        <v>342</v>
      </c>
      <c r="B84" s="202"/>
      <c r="C84" s="466">
        <f>'Raw Data'!B23</f>
        <v>14830</v>
      </c>
      <c r="D84" s="466">
        <f>'Raw Data'!C23</f>
        <v>15401</v>
      </c>
      <c r="E84" s="466">
        <f>'Raw Data'!D23</f>
        <v>17043</v>
      </c>
      <c r="F84" s="466">
        <f>'Raw Data'!E23</f>
        <v>18161</v>
      </c>
      <c r="G84" s="466">
        <f>'Raw Data'!F23</f>
        <v>19681</v>
      </c>
      <c r="H84" s="466">
        <f>'Raw Data'!G23</f>
        <v>20890</v>
      </c>
      <c r="I84" s="466">
        <f>'Raw Data'!H23</f>
        <v>25187</v>
      </c>
      <c r="J84" s="466">
        <f>'Raw Data'!I23</f>
        <v>27382</v>
      </c>
      <c r="K84" s="466">
        <f>'Raw Data'!J23</f>
        <v>29040</v>
      </c>
      <c r="L84" s="466">
        <f>'Raw Data'!K23</f>
        <v>30722</v>
      </c>
      <c r="M84" s="441">
        <f>Q27*M54</f>
        <v>32797.98276302687</v>
      </c>
      <c r="N84" s="441">
        <f>R27*N54</f>
        <v>35861.946682567468</v>
      </c>
      <c r="O84" s="441">
        <f>S27*O54</f>
        <v>39392.479733067776</v>
      </c>
      <c r="P84" s="441">
        <f>T27*P54</f>
        <v>43469.090768931688</v>
      </c>
      <c r="Q84" s="441">
        <f>U27*Q54</f>
        <v>48187.0583101761</v>
      </c>
    </row>
    <row r="85" spans="1:17" x14ac:dyDescent="0.25">
      <c r="A85" s="186" t="s">
        <v>341</v>
      </c>
      <c r="B85" s="201"/>
      <c r="C85" s="493">
        <f>'Raw Data'!B24</f>
        <v>22675</v>
      </c>
      <c r="D85" s="493">
        <f>'Raw Data'!C24</f>
        <v>23664</v>
      </c>
      <c r="E85" s="493">
        <f>'Raw Data'!D24</f>
        <v>26167</v>
      </c>
      <c r="F85" s="493">
        <f>'Raw Data'!E24</f>
        <v>28341</v>
      </c>
      <c r="G85" s="493">
        <f>'Raw Data'!F24</f>
        <v>30714</v>
      </c>
      <c r="H85" s="493">
        <f>'Raw Data'!G24</f>
        <v>32626</v>
      </c>
      <c r="I85" s="493">
        <f>'Raw Data'!H24</f>
        <v>38083</v>
      </c>
      <c r="J85" s="493">
        <f>'Raw Data'!I24</f>
        <v>41548</v>
      </c>
      <c r="K85" s="493">
        <f>'Raw Data'!J24</f>
        <v>44326</v>
      </c>
      <c r="L85" s="493">
        <f>'Raw Data'!K24</f>
        <v>47407</v>
      </c>
      <c r="M85" s="429"/>
      <c r="N85" s="372"/>
      <c r="O85" s="372"/>
      <c r="P85" s="372"/>
      <c r="Q85" s="538"/>
    </row>
    <row r="86" spans="1:17" x14ac:dyDescent="0.25">
      <c r="A86" s="186" t="s">
        <v>340</v>
      </c>
      <c r="B86" s="201"/>
      <c r="C86" s="493">
        <f>'Raw Data'!B25</f>
        <v>7845</v>
      </c>
      <c r="D86" s="493">
        <f>'Raw Data'!C25</f>
        <v>8263</v>
      </c>
      <c r="E86" s="493">
        <f>'Raw Data'!D25</f>
        <v>9124</v>
      </c>
      <c r="F86" s="493">
        <f>'Raw Data'!E25</f>
        <v>10180</v>
      </c>
      <c r="G86" s="493">
        <f>'Raw Data'!F25</f>
        <v>11033</v>
      </c>
      <c r="H86" s="493">
        <f>'Raw Data'!G25</f>
        <v>11736</v>
      </c>
      <c r="I86" s="493">
        <f>'Raw Data'!H25</f>
        <v>12896</v>
      </c>
      <c r="J86" s="493">
        <f>'Raw Data'!I25</f>
        <v>14166</v>
      </c>
      <c r="K86" s="493">
        <f>'Raw Data'!J25</f>
        <v>15286</v>
      </c>
      <c r="L86" s="493">
        <f>'Raw Data'!K25</f>
        <v>16685</v>
      </c>
      <c r="M86" s="429"/>
      <c r="N86" s="372"/>
      <c r="O86" s="372"/>
      <c r="P86" s="372"/>
      <c r="Q86" s="538"/>
    </row>
    <row r="87" spans="1:17" x14ac:dyDescent="0.25">
      <c r="A87" s="85" t="s">
        <v>339</v>
      </c>
      <c r="B87" s="202"/>
      <c r="C87" s="466"/>
      <c r="D87" s="466"/>
      <c r="E87" s="466"/>
      <c r="F87" s="466"/>
      <c r="G87" s="466"/>
      <c r="H87" s="466"/>
      <c r="I87" s="466">
        <f>IF('Raw Data'!H26&gt;0,'Raw Data'!H26,0)</f>
        <v>0</v>
      </c>
      <c r="J87" s="466">
        <f>IF('Raw Data'!I26&gt;0,'Raw Data'!I26,0)</f>
        <v>0</v>
      </c>
      <c r="K87" s="466">
        <f>IF('Raw Data'!J26&gt;0,'Raw Data'!J26,0)</f>
        <v>0</v>
      </c>
      <c r="L87" s="466">
        <f>IF('Raw Data'!K26&gt;0,'Raw Data'!K26,0)</f>
        <v>0</v>
      </c>
      <c r="M87" s="441">
        <f>$L87</f>
        <v>0</v>
      </c>
      <c r="N87" s="441">
        <f>$L87</f>
        <v>0</v>
      </c>
      <c r="O87" s="441">
        <f>$L87</f>
        <v>0</v>
      </c>
      <c r="P87" s="441">
        <f>$L87</f>
        <v>0</v>
      </c>
      <c r="Q87" s="441">
        <f>$L87</f>
        <v>0</v>
      </c>
    </row>
    <row r="88" spans="1:17" x14ac:dyDescent="0.25">
      <c r="A88" s="85" t="s">
        <v>338</v>
      </c>
      <c r="B88" s="202"/>
      <c r="C88" s="466"/>
      <c r="D88" s="466"/>
      <c r="E88" s="466"/>
      <c r="F88" s="466"/>
      <c r="G88" s="466"/>
      <c r="H88" s="466"/>
      <c r="I88" s="466"/>
      <c r="J88" s="466">
        <f>IF('Raw Data'!I27&gt;0,'Raw Data'!I27,0)</f>
        <v>0</v>
      </c>
      <c r="K88" s="466">
        <f>IF('Raw Data'!J27&gt;0,'Raw Data'!J27,0)</f>
        <v>0</v>
      </c>
      <c r="L88" s="466">
        <f>IF('Raw Data'!K27&gt;0,'Raw Data'!K27,0)</f>
        <v>0</v>
      </c>
      <c r="M88" s="441">
        <f>$L88</f>
        <v>0</v>
      </c>
      <c r="N88" s="441">
        <f>$L88</f>
        <v>0</v>
      </c>
      <c r="O88" s="441">
        <f>$L88</f>
        <v>0</v>
      </c>
      <c r="P88" s="441">
        <f>$L88</f>
        <v>0</v>
      </c>
      <c r="Q88" s="441">
        <f>$L88</f>
        <v>0</v>
      </c>
    </row>
    <row r="89" spans="1:17" x14ac:dyDescent="0.25">
      <c r="A89" s="85" t="s">
        <v>74</v>
      </c>
      <c r="B89" s="202"/>
      <c r="C89" s="466">
        <f>'Raw Data'!B28</f>
        <v>0</v>
      </c>
      <c r="D89" s="466">
        <f>'Raw Data'!C28</f>
        <v>0</v>
      </c>
      <c r="E89" s="466">
        <f>'Raw Data'!D28</f>
        <v>0</v>
      </c>
      <c r="F89" s="466">
        <f>'Raw Data'!E28</f>
        <v>0</v>
      </c>
      <c r="G89" s="466">
        <f>'Raw Data'!F28</f>
        <v>0</v>
      </c>
      <c r="H89" s="466">
        <f>'Raw Data'!G28</f>
        <v>0</v>
      </c>
      <c r="I89" s="466">
        <f>'Raw Data'!H28</f>
        <v>988</v>
      </c>
      <c r="J89" s="466">
        <f>'Raw Data'!I28</f>
        <v>996</v>
      </c>
      <c r="K89" s="466">
        <f>'Raw Data'!J28</f>
        <v>993</v>
      </c>
      <c r="L89" s="466">
        <f>'Raw Data'!K28</f>
        <v>994</v>
      </c>
      <c r="M89" s="441">
        <f>$L89</f>
        <v>994</v>
      </c>
      <c r="N89" s="441">
        <f>$L89</f>
        <v>994</v>
      </c>
      <c r="O89" s="441">
        <f>$L89</f>
        <v>994</v>
      </c>
      <c r="P89" s="441">
        <f>$L89</f>
        <v>994</v>
      </c>
      <c r="Q89" s="441">
        <f>$L89</f>
        <v>994</v>
      </c>
    </row>
    <row r="90" spans="1:17" x14ac:dyDescent="0.25">
      <c r="A90" s="85" t="s">
        <v>72</v>
      </c>
      <c r="B90" s="202"/>
      <c r="C90" s="466">
        <f>'Raw Data'!B29</f>
        <v>606</v>
      </c>
      <c r="D90" s="466">
        <f>'Raw Data'!C29</f>
        <v>740</v>
      </c>
      <c r="E90" s="466">
        <f>'Raw Data'!D29</f>
        <v>902</v>
      </c>
      <c r="F90" s="466">
        <f>'Raw Data'!E29</f>
        <v>869</v>
      </c>
      <c r="G90" s="466">
        <f>'Raw Data'!F29</f>
        <v>860</v>
      </c>
      <c r="H90" s="466">
        <f>'Raw Data'!G29</f>
        <v>1025</v>
      </c>
      <c r="I90" s="466">
        <f>'Raw Data'!H29</f>
        <v>1261</v>
      </c>
      <c r="J90" s="466">
        <f>'Raw Data'!I29</f>
        <v>1385</v>
      </c>
      <c r="K90" s="466">
        <f>'Raw Data'!J29</f>
        <v>1437</v>
      </c>
      <c r="L90" s="466">
        <f>'Raw Data'!K29</f>
        <v>1399</v>
      </c>
      <c r="M90" s="441">
        <f>$L90</f>
        <v>1399</v>
      </c>
      <c r="N90" s="441">
        <f>$L90</f>
        <v>1399</v>
      </c>
      <c r="O90" s="441">
        <f>$L90</f>
        <v>1399</v>
      </c>
      <c r="P90" s="441">
        <f>$L90</f>
        <v>1399</v>
      </c>
      <c r="Q90" s="441">
        <f>$L90</f>
        <v>1399</v>
      </c>
    </row>
    <row r="91" spans="1:17" ht="16.5" thickBot="1" x14ac:dyDescent="0.3">
      <c r="A91" s="117" t="s">
        <v>460</v>
      </c>
      <c r="B91" s="218"/>
      <c r="C91" s="472">
        <f>C83+C84+C87+C88+C89+C90</f>
        <v>33024</v>
      </c>
      <c r="D91" s="472">
        <f>D83+D84+D87+D88+D89+D90</f>
        <v>33440</v>
      </c>
      <c r="E91" s="472">
        <f>E83+E84+E87+E88+E89+E90</f>
        <v>33163</v>
      </c>
      <c r="F91" s="472">
        <f>F83+F84+F87+F88+F89+F90</f>
        <v>36347</v>
      </c>
      <c r="G91" s="472">
        <f>G83+G84+G87+G88+G89+G90</f>
        <v>40830</v>
      </c>
      <c r="H91" s="472">
        <f>H83+H84+H87+H88+H89+H90</f>
        <v>45400</v>
      </c>
      <c r="I91" s="472">
        <f>I83+I84+I87+I88+I89+I90</f>
        <v>55556</v>
      </c>
      <c r="J91" s="472">
        <f>J83+J84+J87+J88+J89+J90</f>
        <v>59268</v>
      </c>
      <c r="K91" s="472">
        <f>K83+K84+K87+K88+K89+K90</f>
        <v>64166</v>
      </c>
      <c r="L91" s="472">
        <f>L83+L84+L87+L88+L89+L90</f>
        <v>68994</v>
      </c>
      <c r="M91" s="537">
        <f>SUM(M83:M90)</f>
        <v>73494.440335927109</v>
      </c>
      <c r="N91" s="537">
        <f>SUM(N83:N90)</f>
        <v>79294.756721934478</v>
      </c>
      <c r="O91" s="537">
        <f>SUM(O83:O90)</f>
        <v>85974.848887446627</v>
      </c>
      <c r="P91" s="537">
        <f>SUM(P83:P90)</f>
        <v>93677.161740400916</v>
      </c>
      <c r="Q91" s="537">
        <f>SUM(Q83:Q90)</f>
        <v>102571.98377140879</v>
      </c>
    </row>
    <row r="92" spans="1:17" ht="16.5" thickTop="1" x14ac:dyDescent="0.25">
      <c r="A92" s="86" t="s">
        <v>337</v>
      </c>
      <c r="B92" s="202"/>
      <c r="C92" s="466">
        <f>'Raw Data'!B32</f>
        <v>33024</v>
      </c>
      <c r="D92" s="466">
        <f>'Raw Data'!C32</f>
        <v>33440</v>
      </c>
      <c r="E92" s="466">
        <f>'Raw Data'!D32</f>
        <v>33163</v>
      </c>
      <c r="F92" s="466">
        <f>'Raw Data'!E32</f>
        <v>36347</v>
      </c>
      <c r="G92" s="466">
        <f>'Raw Data'!F32</f>
        <v>40830</v>
      </c>
      <c r="H92" s="466">
        <f>'Raw Data'!G32</f>
        <v>45400</v>
      </c>
      <c r="I92" s="466">
        <f>'Raw Data'!H32</f>
        <v>55556</v>
      </c>
      <c r="J92" s="466">
        <f>'Raw Data'!I32</f>
        <v>59268</v>
      </c>
      <c r="K92" s="466">
        <f>'Raw Data'!J32</f>
        <v>64166</v>
      </c>
      <c r="L92" s="466">
        <f>'Raw Data'!K32</f>
        <v>68994</v>
      </c>
      <c r="M92" s="429"/>
      <c r="N92" s="372"/>
      <c r="O92" s="469"/>
      <c r="P92" s="469"/>
      <c r="Q92" s="521"/>
    </row>
    <row r="93" spans="1:17" x14ac:dyDescent="0.25">
      <c r="A93" s="531"/>
      <c r="B93" s="536"/>
      <c r="C93" s="529"/>
      <c r="D93" s="529"/>
      <c r="E93" s="529"/>
      <c r="F93" s="529"/>
      <c r="G93" s="529"/>
      <c r="H93" s="529"/>
      <c r="I93" s="529"/>
      <c r="J93" s="529"/>
      <c r="K93" s="529"/>
      <c r="L93" s="529"/>
      <c r="M93" s="429"/>
      <c r="N93" s="372"/>
      <c r="O93" s="469"/>
      <c r="P93" s="469"/>
      <c r="Q93" s="521"/>
    </row>
    <row r="94" spans="1:17" x14ac:dyDescent="0.25">
      <c r="A94" s="86"/>
      <c r="B94" s="202"/>
      <c r="C94" s="466"/>
      <c r="D94" s="466"/>
      <c r="E94" s="466"/>
      <c r="F94" s="466"/>
      <c r="G94" s="466"/>
      <c r="H94" s="466"/>
      <c r="I94" s="466"/>
      <c r="J94" s="466"/>
      <c r="K94" s="466"/>
      <c r="L94" s="466"/>
      <c r="M94" s="429"/>
      <c r="N94" s="372"/>
      <c r="O94" s="469"/>
      <c r="P94" s="469"/>
      <c r="Q94" s="521"/>
    </row>
    <row r="95" spans="1:17" x14ac:dyDescent="0.25">
      <c r="A95" s="192" t="s">
        <v>335</v>
      </c>
      <c r="B95" s="191"/>
      <c r="C95" s="481"/>
      <c r="D95" s="481"/>
      <c r="E95" s="481"/>
      <c r="F95" s="481"/>
      <c r="G95" s="481"/>
      <c r="H95" s="481"/>
      <c r="I95" s="481"/>
      <c r="J95" s="481"/>
      <c r="K95" s="481"/>
      <c r="L95" s="481"/>
      <c r="M95" s="528"/>
      <c r="N95" s="527"/>
      <c r="O95" s="526"/>
      <c r="P95" s="525"/>
      <c r="Q95" s="524"/>
    </row>
    <row r="96" spans="1:17" x14ac:dyDescent="0.25">
      <c r="A96" s="85" t="s">
        <v>252</v>
      </c>
      <c r="B96" s="77"/>
      <c r="C96" s="466">
        <f>'Raw Data'!B34</f>
        <v>7</v>
      </c>
      <c r="D96" s="466">
        <f>'Raw Data'!C34</f>
        <v>1293</v>
      </c>
      <c r="E96" s="466">
        <f>'Raw Data'!D34</f>
        <v>1110</v>
      </c>
      <c r="F96" s="466">
        <f>'Raw Data'!E34</f>
        <v>93</v>
      </c>
      <c r="G96" s="466">
        <f>'Raw Data'!F34</f>
        <v>97</v>
      </c>
      <c r="H96" s="466">
        <f>'Raw Data'!G34</f>
        <v>1725</v>
      </c>
      <c r="I96" s="466">
        <f>'Raw Data'!H34</f>
        <v>357</v>
      </c>
      <c r="J96" s="466">
        <f>'Raw Data'!I34</f>
        <v>1093</v>
      </c>
      <c r="K96" s="466">
        <f>'Raw Data'!J34</f>
        <v>557</v>
      </c>
      <c r="L96" s="466">
        <f>'Raw Data'!K34</f>
        <v>1430</v>
      </c>
      <c r="M96" s="441">
        <f>$L$96</f>
        <v>1430</v>
      </c>
      <c r="N96" s="441">
        <f>$L$96</f>
        <v>1430</v>
      </c>
      <c r="O96" s="441">
        <f>$L$96</f>
        <v>1430</v>
      </c>
      <c r="P96" s="441">
        <f>$L$96</f>
        <v>1430</v>
      </c>
      <c r="Q96" s="441">
        <f>$L$96</f>
        <v>1430</v>
      </c>
    </row>
    <row r="97" spans="1:17" x14ac:dyDescent="0.25">
      <c r="A97" s="85" t="s">
        <v>70</v>
      </c>
      <c r="B97" s="202"/>
      <c r="C97" s="466">
        <f>'Raw Data'!B37</f>
        <v>8491</v>
      </c>
      <c r="D97" s="466">
        <f>'Raw Data'!C37</f>
        <v>9011</v>
      </c>
      <c r="E97" s="466">
        <f>'Raw Data'!D37</f>
        <v>7612</v>
      </c>
      <c r="F97" s="466">
        <f>'Raw Data'!E37</f>
        <v>9608</v>
      </c>
      <c r="G97" s="466">
        <f>'Raw Data'!F37</f>
        <v>11237</v>
      </c>
      <c r="H97" s="466">
        <f>'Raw Data'!G37</f>
        <v>11679</v>
      </c>
      <c r="I97" s="466">
        <f>'Raw Data'!H37</f>
        <v>14172</v>
      </c>
      <c r="J97" s="466">
        <f>'Raw Data'!I37</f>
        <v>16278</v>
      </c>
      <c r="K97" s="466">
        <f>'Raw Data'!J37</f>
        <v>17848</v>
      </c>
      <c r="L97" s="466">
        <f>'Raw Data'!K37</f>
        <v>17483</v>
      </c>
      <c r="M97" s="441">
        <f>M$54*Q35</f>
        <v>18664.381636807459</v>
      </c>
      <c r="N97" s="441">
        <f>N$54*R35</f>
        <v>20370.547558721421</v>
      </c>
      <c r="O97" s="441">
        <f>O$54*S35</f>
        <v>22336.367576551951</v>
      </c>
      <c r="P97" s="441">
        <f>P$54*T35</f>
        <v>24605.757136044478</v>
      </c>
      <c r="Q97" s="441">
        <f>Q$54*U35</f>
        <v>27231.323626690795</v>
      </c>
    </row>
    <row r="98" spans="1:17" x14ac:dyDescent="0.25">
      <c r="A98" s="85" t="s">
        <v>249</v>
      </c>
      <c r="B98" s="202"/>
      <c r="C98" s="466">
        <f>'Raw Data'!B38</f>
        <v>136</v>
      </c>
      <c r="D98" s="466">
        <f>'Raw Data'!C38</f>
        <v>491</v>
      </c>
      <c r="E98" s="466">
        <f>'Raw Data'!D38</f>
        <v>532</v>
      </c>
      <c r="F98" s="466">
        <f>'Raw Data'!E38</f>
        <v>0</v>
      </c>
      <c r="G98" s="466">
        <f>'Raw Data'!F38</f>
        <v>0</v>
      </c>
      <c r="H98" s="466">
        <f>'Raw Data'!G38</f>
        <v>0</v>
      </c>
      <c r="I98" s="466">
        <f>'Raw Data'!H38</f>
        <v>0</v>
      </c>
      <c r="J98" s="466">
        <f>'Raw Data'!I38</f>
        <v>0</v>
      </c>
      <c r="K98" s="466">
        <f>'Raw Data'!J38</f>
        <v>0</v>
      </c>
      <c r="L98" s="466">
        <f>'Raw Data'!K38</f>
        <v>0</v>
      </c>
      <c r="M98" s="441">
        <f>M$54*Q36</f>
        <v>0</v>
      </c>
      <c r="N98" s="441">
        <f>N$54*R36</f>
        <v>47.116036577953359</v>
      </c>
      <c r="O98" s="441">
        <f>O$54*S36</f>
        <v>101.60119851749964</v>
      </c>
      <c r="P98" s="441">
        <f>P$54*T36</f>
        <v>165.12982274977909</v>
      </c>
      <c r="Q98" s="441">
        <f>Q$54*U36</f>
        <v>239.73120469080524</v>
      </c>
    </row>
    <row r="99" spans="1:17" x14ac:dyDescent="0.25">
      <c r="A99" s="199" t="s">
        <v>248</v>
      </c>
      <c r="B99" s="215"/>
      <c r="C99" s="477">
        <f>'Raw Data'!B39</f>
        <v>5778</v>
      </c>
      <c r="D99" s="477">
        <f>'Raw Data'!C39</f>
        <v>5745</v>
      </c>
      <c r="E99" s="477">
        <f>'Raw Data'!D39</f>
        <v>6321</v>
      </c>
      <c r="F99" s="477">
        <f>'Raw Data'!E39</f>
        <v>7794</v>
      </c>
      <c r="G99" s="477">
        <f>'Raw Data'!F39</f>
        <v>8592</v>
      </c>
      <c r="H99" s="477">
        <f>'Raw Data'!G39</f>
        <v>9833</v>
      </c>
      <c r="I99" s="477">
        <f>'Raw Data'!H39</f>
        <v>10315</v>
      </c>
      <c r="J99" s="477">
        <f>'Raw Data'!I39</f>
        <v>12070</v>
      </c>
      <c r="K99" s="477">
        <f>'Raw Data'!J39</f>
        <v>13593</v>
      </c>
      <c r="L99" s="477">
        <f>'Raw Data'!K39</f>
        <v>14670</v>
      </c>
      <c r="M99" s="441">
        <f>M$54*Q37</f>
        <v>15661.29832477066</v>
      </c>
      <c r="N99" s="441">
        <f>N$54*R37</f>
        <v>16674.077942880256</v>
      </c>
      <c r="O99" s="441">
        <f>O$54*S37</f>
        <v>17839.221369171846</v>
      </c>
      <c r="P99" s="441">
        <f>P$54*T37</f>
        <v>19178.693090917917</v>
      </c>
      <c r="Q99" s="441">
        <f>Q$54*U37</f>
        <v>20718.595401056224</v>
      </c>
    </row>
    <row r="100" spans="1:17" x14ac:dyDescent="0.25">
      <c r="A100" s="105" t="s">
        <v>245</v>
      </c>
      <c r="B100" s="211"/>
      <c r="C100" s="485">
        <f>SUM(C96:C99)</f>
        <v>14412</v>
      </c>
      <c r="D100" s="485">
        <f>SUM(D96:D99)</f>
        <v>16540</v>
      </c>
      <c r="E100" s="485">
        <f>SUM(E96:E99)</f>
        <v>15575</v>
      </c>
      <c r="F100" s="485">
        <f>SUM(F96:F99)</f>
        <v>17495</v>
      </c>
      <c r="G100" s="485">
        <f>SUM(G96:G99)</f>
        <v>19926</v>
      </c>
      <c r="H100" s="485">
        <f>SUM(H96:H99)</f>
        <v>23237</v>
      </c>
      <c r="I100" s="485">
        <f>SUM(I96:I99)</f>
        <v>24844</v>
      </c>
      <c r="J100" s="485">
        <f>SUM(J96:J99)</f>
        <v>29441</v>
      </c>
      <c r="K100" s="485">
        <f>SUM(K96:K99)</f>
        <v>31998</v>
      </c>
      <c r="L100" s="485">
        <f>SUM(L96:L99)</f>
        <v>33583</v>
      </c>
      <c r="M100" s="535">
        <f>SUM(M96:M99)</f>
        <v>35755.67996157812</v>
      </c>
      <c r="N100" s="535">
        <f>SUM(N96:N99)</f>
        <v>38521.741538179631</v>
      </c>
      <c r="O100" s="535">
        <f>SUM(O96:O99)</f>
        <v>41707.190144241293</v>
      </c>
      <c r="P100" s="535">
        <f>SUM(P96:P99)</f>
        <v>45379.580049712175</v>
      </c>
      <c r="Q100" s="535">
        <f>SUM(Q96:Q99)</f>
        <v>49619.650232437823</v>
      </c>
    </row>
    <row r="101" spans="1:17" x14ac:dyDescent="0.25">
      <c r="A101" s="85" t="s">
        <v>244</v>
      </c>
      <c r="B101" s="202"/>
      <c r="C101" s="466">
        <f>'Raw Data'!B43</f>
        <v>5279</v>
      </c>
      <c r="D101" s="466">
        <f>'Raw Data'!C43</f>
        <v>5150</v>
      </c>
      <c r="E101" s="466">
        <f>'Raw Data'!D43</f>
        <v>4425</v>
      </c>
      <c r="F101" s="466">
        <f>'Raw Data'!E43</f>
        <v>6946</v>
      </c>
      <c r="G101" s="466">
        <f>'Raw Data'!F43</f>
        <v>6877</v>
      </c>
      <c r="H101" s="466">
        <f>'Raw Data'!G43</f>
        <v>5519</v>
      </c>
      <c r="I101" s="466">
        <f>'Raw Data'!H43</f>
        <v>10729</v>
      </c>
      <c r="J101" s="466">
        <f>'Raw Data'!I43</f>
        <v>10314</v>
      </c>
      <c r="K101" s="466">
        <f>'Raw Data'!J43</f>
        <v>10349</v>
      </c>
      <c r="L101" s="466">
        <f>'Raw Data'!K43</f>
        <v>9106</v>
      </c>
      <c r="M101" s="441">
        <f>$L$101</f>
        <v>9106</v>
      </c>
      <c r="N101" s="441">
        <f>$L$101</f>
        <v>9106</v>
      </c>
      <c r="O101" s="441">
        <f>$L$101</f>
        <v>9106</v>
      </c>
      <c r="P101" s="441">
        <f>$L$101</f>
        <v>9106</v>
      </c>
      <c r="Q101" s="441">
        <f>$L$101</f>
        <v>9106</v>
      </c>
    </row>
    <row r="102" spans="1:17" x14ac:dyDescent="0.25">
      <c r="A102" s="186" t="s">
        <v>334</v>
      </c>
      <c r="B102" s="201"/>
      <c r="C102" s="493">
        <f>SUM('Raw Data'!B45:B50)</f>
        <v>5093</v>
      </c>
      <c r="D102" s="493">
        <f>SUM('Raw Data'!C45:C50)</f>
        <v>4864</v>
      </c>
      <c r="E102" s="493">
        <f>SUM('Raw Data'!D45:D50)</f>
        <v>4061</v>
      </c>
      <c r="F102" s="493">
        <f>SUM('Raw Data'!E45:E50)</f>
        <v>6659</v>
      </c>
      <c r="G102" s="493">
        <f>SUM('Raw Data'!F45:F50)</f>
        <v>6577</v>
      </c>
      <c r="H102" s="493">
        <f>SUM('Raw Data'!G45:G50)</f>
        <v>5153</v>
      </c>
      <c r="I102" s="493">
        <f>SUM('Raw Data'!H45:H50)</f>
        <v>10120</v>
      </c>
      <c r="J102" s="493">
        <f>SUM('Raw Data'!I45:I50)</f>
        <v>9374</v>
      </c>
      <c r="K102" s="493">
        <f>SUM('Raw Data'!J45:J50)</f>
        <v>8999</v>
      </c>
      <c r="L102" s="493">
        <f>SUM('Raw Data'!K45:K50)</f>
        <v>7829</v>
      </c>
      <c r="M102" s="429"/>
      <c r="N102" s="372"/>
      <c r="O102" s="474"/>
      <c r="P102" s="469"/>
      <c r="Q102" s="521"/>
    </row>
    <row r="103" spans="1:17" x14ac:dyDescent="0.25">
      <c r="A103" s="186" t="s">
        <v>333</v>
      </c>
      <c r="B103" s="201"/>
      <c r="C103" s="493">
        <f>'Raw Data'!B51</f>
        <v>186</v>
      </c>
      <c r="D103" s="493">
        <f>'Raw Data'!C51</f>
        <v>286</v>
      </c>
      <c r="E103" s="493">
        <f>'Raw Data'!D51</f>
        <v>364</v>
      </c>
      <c r="F103" s="493">
        <f>'Raw Data'!E51</f>
        <v>380</v>
      </c>
      <c r="G103" s="493">
        <f>'Raw Data'!F51</f>
        <v>397</v>
      </c>
      <c r="H103" s="493">
        <f>'Raw Data'!G51</f>
        <v>395</v>
      </c>
      <c r="I103" s="493">
        <f>'Raw Data'!H51</f>
        <v>657</v>
      </c>
      <c r="J103" s="493">
        <f>'Raw Data'!I51</f>
        <v>980</v>
      </c>
      <c r="K103" s="493">
        <f>'Raw Data'!J51</f>
        <v>1383</v>
      </c>
      <c r="L103" s="493">
        <f>'Raw Data'!K51</f>
        <v>1303</v>
      </c>
      <c r="M103" s="429"/>
      <c r="N103" s="372"/>
      <c r="O103" s="474"/>
      <c r="P103" s="469"/>
      <c r="Q103" s="521"/>
    </row>
    <row r="104" spans="1:17" x14ac:dyDescent="0.25">
      <c r="A104" s="85" t="s">
        <v>60</v>
      </c>
      <c r="B104" s="77"/>
      <c r="C104" s="466">
        <f>'Raw Data'!B52</f>
        <v>389</v>
      </c>
      <c r="D104" s="466">
        <f>'Raw Data'!C52</f>
        <v>445</v>
      </c>
      <c r="E104" s="466">
        <f>'Raw Data'!D52</f>
        <v>534</v>
      </c>
      <c r="F104" s="466">
        <f>'Raw Data'!E52</f>
        <v>515</v>
      </c>
      <c r="G104" s="466">
        <f>'Raw Data'!F52</f>
        <v>607</v>
      </c>
      <c r="H104" s="466">
        <f>'Raw Data'!G52</f>
        <v>517</v>
      </c>
      <c r="I104" s="466">
        <f>'Raw Data'!H52</f>
        <v>613</v>
      </c>
      <c r="J104" s="466">
        <f>'Raw Data'!I52</f>
        <v>681</v>
      </c>
      <c r="K104" s="466">
        <f>'Raw Data'!J52</f>
        <v>448</v>
      </c>
      <c r="L104" s="466">
        <f>'Raw Data'!K52</f>
        <v>452</v>
      </c>
      <c r="M104" s="441">
        <f>$L104</f>
        <v>452</v>
      </c>
      <c r="N104" s="441">
        <f>$L104</f>
        <v>452</v>
      </c>
      <c r="O104" s="441">
        <f>$L104</f>
        <v>452</v>
      </c>
      <c r="P104" s="441">
        <f>$L104</f>
        <v>452</v>
      </c>
      <c r="Q104" s="441">
        <f>$L104</f>
        <v>452</v>
      </c>
    </row>
    <row r="105" spans="1:17" x14ac:dyDescent="0.25">
      <c r="A105" s="85" t="s">
        <v>332</v>
      </c>
      <c r="B105" s="77"/>
      <c r="C105" s="466">
        <f>'Raw Data'!B53</f>
        <v>429</v>
      </c>
      <c r="D105" s="466">
        <f>'Raw Data'!C53</f>
        <v>462</v>
      </c>
      <c r="E105" s="466">
        <f>'Raw Data'!D53</f>
        <v>297</v>
      </c>
      <c r="F105" s="466">
        <f>'Raw Data'!E53</f>
        <v>312</v>
      </c>
      <c r="G105" s="466">
        <f>'Raw Data'!F53</f>
        <v>317</v>
      </c>
      <c r="H105" s="466">
        <f>'Raw Data'!G53</f>
        <v>543</v>
      </c>
      <c r="I105" s="466">
        <f>'Raw Data'!H53</f>
        <v>665</v>
      </c>
      <c r="J105" s="466">
        <f>'Raw Data'!I53</f>
        <v>754</v>
      </c>
      <c r="K105" s="466">
        <f>'Raw Data'!J53</f>
        <v>724</v>
      </c>
      <c r="L105" s="466">
        <f>'Raw Data'!K53</f>
        <v>795</v>
      </c>
      <c r="M105" s="441">
        <f>$L105</f>
        <v>795</v>
      </c>
      <c r="N105" s="441">
        <f>$L105</f>
        <v>795</v>
      </c>
      <c r="O105" s="441">
        <f>$L105</f>
        <v>795</v>
      </c>
      <c r="P105" s="441">
        <f>$L105</f>
        <v>795</v>
      </c>
      <c r="Q105" s="441">
        <f>$L105</f>
        <v>795</v>
      </c>
    </row>
    <row r="106" spans="1:17" x14ac:dyDescent="0.25">
      <c r="A106" s="199" t="s">
        <v>58</v>
      </c>
      <c r="B106" s="134"/>
      <c r="C106" s="477">
        <f>'Raw Data'!B56</f>
        <v>0</v>
      </c>
      <c r="D106" s="477">
        <f>'Raw Data'!C56</f>
        <v>0</v>
      </c>
      <c r="E106" s="477">
        <f>'Raw Data'!D56</f>
        <v>0</v>
      </c>
      <c r="F106" s="477">
        <f>'Raw Data'!E56</f>
        <v>0</v>
      </c>
      <c r="G106" s="477">
        <f>'Raw Data'!F56</f>
        <v>0</v>
      </c>
      <c r="H106" s="477">
        <f>'Raw Data'!G56</f>
        <v>0</v>
      </c>
      <c r="I106" s="477">
        <f>'Raw Data'!H56</f>
        <v>0</v>
      </c>
      <c r="J106" s="477">
        <f>'Raw Data'!I56</f>
        <v>0</v>
      </c>
      <c r="K106" s="477">
        <f>'Raw Data'!J56</f>
        <v>0</v>
      </c>
      <c r="L106" s="477">
        <f>'Raw Data'!K56</f>
        <v>0</v>
      </c>
      <c r="M106" s="441">
        <f>$L106</f>
        <v>0</v>
      </c>
      <c r="N106" s="441">
        <f>$L106</f>
        <v>0</v>
      </c>
      <c r="O106" s="441">
        <f>$L106</f>
        <v>0</v>
      </c>
      <c r="P106" s="441">
        <f>$L106</f>
        <v>0</v>
      </c>
      <c r="Q106" s="441">
        <f>$L106</f>
        <v>0</v>
      </c>
    </row>
    <row r="107" spans="1:17" ht="16.5" thickBot="1" x14ac:dyDescent="0.3">
      <c r="A107" s="117" t="s">
        <v>459</v>
      </c>
      <c r="B107" s="116"/>
      <c r="C107" s="472">
        <f>C100+C101+C104+C105+C106</f>
        <v>20509</v>
      </c>
      <c r="D107" s="472">
        <f>D100+D101+D104+D105+D106</f>
        <v>22597</v>
      </c>
      <c r="E107" s="472">
        <f>E100+E101+E104+E105+E106</f>
        <v>20831</v>
      </c>
      <c r="F107" s="472">
        <f>F100+F101+F104+F105+F106</f>
        <v>25268</v>
      </c>
      <c r="G107" s="472">
        <f>G100+G101+G104+G105+G106</f>
        <v>27727</v>
      </c>
      <c r="H107" s="472">
        <f>H100+H101+H104+H105+H106</f>
        <v>29816</v>
      </c>
      <c r="I107" s="472">
        <f>I100+I101+I104+I105+I106</f>
        <v>36851</v>
      </c>
      <c r="J107" s="472">
        <f>J100+J101+J104+J105+J106</f>
        <v>41190</v>
      </c>
      <c r="K107" s="472">
        <f>K100+K101+K104+K105+K106</f>
        <v>43519</v>
      </c>
      <c r="L107" s="472">
        <f>L100+L101+L104+L105+L106</f>
        <v>43936</v>
      </c>
      <c r="M107" s="522">
        <f>SUM(M100:M106)</f>
        <v>46108.67996157812</v>
      </c>
      <c r="N107" s="522">
        <f>SUM(N100:N106)</f>
        <v>48874.741538179631</v>
      </c>
      <c r="O107" s="522">
        <f>SUM(O100:O106)</f>
        <v>52060.190144241293</v>
      </c>
      <c r="P107" s="522">
        <f>SUM(P100:P106)</f>
        <v>55732.580049712175</v>
      </c>
      <c r="Q107" s="522">
        <f>SUM(Q100:Q106)</f>
        <v>59972.650232437823</v>
      </c>
    </row>
    <row r="108" spans="1:17" ht="16.5" thickTop="1" x14ac:dyDescent="0.25">
      <c r="A108" s="534"/>
      <c r="B108" s="77"/>
      <c r="C108" s="466"/>
      <c r="D108" s="466"/>
      <c r="E108" s="466"/>
      <c r="F108" s="466"/>
      <c r="G108" s="466"/>
      <c r="H108" s="466"/>
      <c r="I108" s="466"/>
      <c r="J108" s="466"/>
      <c r="K108" s="466"/>
      <c r="L108" s="466"/>
      <c r="M108" s="533"/>
      <c r="N108" s="516"/>
      <c r="O108" s="516"/>
      <c r="P108" s="516"/>
      <c r="Q108" s="532"/>
    </row>
    <row r="109" spans="1:17" x14ac:dyDescent="0.25">
      <c r="A109" s="531"/>
      <c r="B109" s="530"/>
      <c r="C109" s="529"/>
      <c r="D109" s="529"/>
      <c r="E109" s="529"/>
      <c r="F109" s="529"/>
      <c r="G109" s="529"/>
      <c r="H109" s="529"/>
      <c r="I109" s="529"/>
      <c r="J109" s="529"/>
      <c r="K109" s="529"/>
      <c r="L109" s="529"/>
      <c r="M109" s="429"/>
      <c r="N109" s="372"/>
      <c r="O109" s="469"/>
      <c r="P109" s="469"/>
      <c r="Q109" s="521"/>
    </row>
    <row r="110" spans="1:17" x14ac:dyDescent="0.25">
      <c r="A110" s="86"/>
      <c r="B110" s="77"/>
      <c r="C110" s="466"/>
      <c r="D110" s="466"/>
      <c r="E110" s="466"/>
      <c r="F110" s="466"/>
      <c r="G110" s="466"/>
      <c r="H110" s="466"/>
      <c r="I110" s="466"/>
      <c r="J110" s="466"/>
      <c r="K110" s="466"/>
      <c r="L110" s="466"/>
      <c r="M110" s="429"/>
      <c r="N110" s="372"/>
      <c r="O110" s="469"/>
      <c r="P110" s="469"/>
      <c r="Q110" s="521"/>
    </row>
    <row r="111" spans="1:17" x14ac:dyDescent="0.25">
      <c r="A111" s="192" t="s">
        <v>329</v>
      </c>
      <c r="B111" s="158"/>
      <c r="C111" s="481"/>
      <c r="D111" s="481"/>
      <c r="E111" s="481"/>
      <c r="F111" s="481"/>
      <c r="G111" s="481"/>
      <c r="H111" s="481"/>
      <c r="I111" s="481"/>
      <c r="J111" s="481"/>
      <c r="K111" s="481"/>
      <c r="L111" s="481"/>
      <c r="M111" s="528"/>
      <c r="N111" s="527"/>
      <c r="O111" s="526"/>
      <c r="P111" s="525"/>
      <c r="Q111" s="524"/>
    </row>
    <row r="112" spans="1:17" x14ac:dyDescent="0.25">
      <c r="A112" s="85" t="s">
        <v>230</v>
      </c>
      <c r="B112" s="77"/>
      <c r="C112" s="466">
        <f>'Raw Data'!B59</f>
        <v>0</v>
      </c>
      <c r="D112" s="466">
        <f>'Raw Data'!C59</f>
        <v>0</v>
      </c>
      <c r="E112" s="466">
        <f>'Raw Data'!D59</f>
        <v>0</v>
      </c>
      <c r="F112" s="466">
        <f>'Raw Data'!E59</f>
        <v>0</v>
      </c>
      <c r="G112" s="466">
        <f>'Raw Data'!F59</f>
        <v>0</v>
      </c>
      <c r="H112" s="466">
        <f>'Raw Data'!G59</f>
        <v>0</v>
      </c>
      <c r="I112" s="466">
        <f>'Raw Data'!H59</f>
        <v>0</v>
      </c>
      <c r="J112" s="466">
        <f>'Raw Data'!I59</f>
        <v>0</v>
      </c>
      <c r="K112" s="466">
        <f>'Raw Data'!J59</f>
        <v>0</v>
      </c>
      <c r="L112" s="466">
        <f>'Raw Data'!K59</f>
        <v>0</v>
      </c>
      <c r="M112" s="441">
        <f>$L$112</f>
        <v>0</v>
      </c>
      <c r="N112" s="441">
        <f>$L$112</f>
        <v>0</v>
      </c>
      <c r="O112" s="441">
        <f>$L$112</f>
        <v>0</v>
      </c>
      <c r="P112" s="441">
        <f>$L$112</f>
        <v>0</v>
      </c>
      <c r="Q112" s="441">
        <f>$L$112</f>
        <v>0</v>
      </c>
    </row>
    <row r="113" spans="1:17" x14ac:dyDescent="0.25">
      <c r="A113" s="523" t="s">
        <v>458</v>
      </c>
      <c r="B113" s="77"/>
      <c r="C113" s="466">
        <f>SUM(C114:C116)-C117</f>
        <v>12303</v>
      </c>
      <c r="D113" s="466">
        <f>SUM(D114:D116)-D117</f>
        <v>10617</v>
      </c>
      <c r="E113" s="466">
        <f>SUM(E114:E116)-E117</f>
        <v>12079</v>
      </c>
      <c r="F113" s="466">
        <f>SUM(F114:F116)-F117</f>
        <v>10778</v>
      </c>
      <c r="G113" s="466">
        <f>SUM(G114:G116)-G117</f>
        <v>12799</v>
      </c>
      <c r="H113" s="466">
        <f>SUM(H114:H116)-H117</f>
        <v>15243</v>
      </c>
      <c r="I113" s="466">
        <f>SUM(I114:I116)-I117</f>
        <v>18284</v>
      </c>
      <c r="J113" s="466">
        <f>SUM(J114:J116)-J117</f>
        <v>17564</v>
      </c>
      <c r="K113" s="466">
        <f>SUM(K114:K116)-K117</f>
        <v>20642</v>
      </c>
      <c r="L113" s="466">
        <f>SUM(L114:L116)-L117</f>
        <v>25058</v>
      </c>
      <c r="M113" s="441">
        <f>SUM(M114:M116)-M117</f>
        <v>30449.282297955877</v>
      </c>
      <c r="N113" s="441">
        <f>SUM(N114:N116)-N117</f>
        <v>35610.35638915826</v>
      </c>
      <c r="O113" s="441">
        <f>SUM(O114:O116)-O117</f>
        <v>40486.876530346832</v>
      </c>
      <c r="P113" s="441">
        <f>SUM(P114:P116)-P117</f>
        <v>45028.905916562842</v>
      </c>
      <c r="Q113" s="441">
        <f>SUM(Q114:Q116)-Q117</f>
        <v>49181.114713557108</v>
      </c>
    </row>
    <row r="114" spans="1:17" x14ac:dyDescent="0.25">
      <c r="A114" s="186" t="s">
        <v>226</v>
      </c>
      <c r="B114" s="139"/>
      <c r="C114" s="493">
        <f>'Raw Data'!B63</f>
        <v>2</v>
      </c>
      <c r="D114" s="493">
        <f>'Raw Data'!C63</f>
        <v>2</v>
      </c>
      <c r="E114" s="493">
        <f>'Raw Data'!D63</f>
        <v>2</v>
      </c>
      <c r="F114" s="493">
        <f>'Raw Data'!E63</f>
        <v>4</v>
      </c>
      <c r="G114" s="493">
        <f>'Raw Data'!F63</f>
        <v>4</v>
      </c>
      <c r="H114" s="493">
        <f>'Raw Data'!G63</f>
        <v>4</v>
      </c>
      <c r="I114" s="493">
        <f>'Raw Data'!H63</f>
        <v>4</v>
      </c>
      <c r="J114" s="493">
        <f>'Raw Data'!I63</f>
        <v>4</v>
      </c>
      <c r="K114" s="493">
        <f>'Raw Data'!J63</f>
        <v>2</v>
      </c>
      <c r="L114" s="493">
        <f>'Raw Data'!K63</f>
        <v>2</v>
      </c>
      <c r="M114" s="441">
        <f>$L114</f>
        <v>2</v>
      </c>
      <c r="N114" s="441">
        <f>$L114</f>
        <v>2</v>
      </c>
      <c r="O114" s="441">
        <f>$L114</f>
        <v>2</v>
      </c>
      <c r="P114" s="441">
        <f>$L114</f>
        <v>2</v>
      </c>
      <c r="Q114" s="441">
        <f>$L114</f>
        <v>2</v>
      </c>
    </row>
    <row r="115" spans="1:17" x14ac:dyDescent="0.25">
      <c r="A115" s="186" t="s">
        <v>225</v>
      </c>
      <c r="B115" s="139"/>
      <c r="C115" s="493">
        <f>'Raw Data'!B64</f>
        <v>4919</v>
      </c>
      <c r="D115" s="493">
        <f>'Raw Data'!C64</f>
        <v>5218</v>
      </c>
      <c r="E115" s="493">
        <f>'Raw Data'!D64</f>
        <v>5490</v>
      </c>
      <c r="F115" s="493">
        <f>'Raw Data'!E64</f>
        <v>5800</v>
      </c>
      <c r="G115" s="493">
        <f>'Raw Data'!F64</f>
        <v>6107</v>
      </c>
      <c r="H115" s="493">
        <f>'Raw Data'!G64</f>
        <v>6417</v>
      </c>
      <c r="I115" s="493">
        <f>'Raw Data'!H64</f>
        <v>6698</v>
      </c>
      <c r="J115" s="493">
        <f>'Raw Data'!I64</f>
        <v>7031</v>
      </c>
      <c r="K115" s="493">
        <f>'Raw Data'!J64</f>
        <v>6884</v>
      </c>
      <c r="L115" s="493">
        <f>'Raw Data'!K64</f>
        <v>7340</v>
      </c>
      <c r="M115" s="441">
        <f>$L115</f>
        <v>7340</v>
      </c>
      <c r="N115" s="441">
        <f>$L115</f>
        <v>7340</v>
      </c>
      <c r="O115" s="441">
        <f>$L115</f>
        <v>7340</v>
      </c>
      <c r="P115" s="441">
        <f>$L115</f>
        <v>7340</v>
      </c>
      <c r="Q115" s="441">
        <f>$L115</f>
        <v>7340</v>
      </c>
    </row>
    <row r="116" spans="1:17" x14ac:dyDescent="0.25">
      <c r="A116" s="186" t="s">
        <v>224</v>
      </c>
      <c r="B116" s="139"/>
      <c r="C116" s="493">
        <f>'Raw Data'!B65</f>
        <v>7382</v>
      </c>
      <c r="D116" s="493">
        <f>'Raw Data'!C65</f>
        <v>5397</v>
      </c>
      <c r="E116" s="493">
        <f>'Raw Data'!D65</f>
        <v>6587</v>
      </c>
      <c r="F116" s="493">
        <f>'Raw Data'!E65</f>
        <v>4974</v>
      </c>
      <c r="G116" s="493">
        <f>'Raw Data'!F65</f>
        <v>6688</v>
      </c>
      <c r="H116" s="493">
        <f>'Raw Data'!G65</f>
        <v>8822</v>
      </c>
      <c r="I116" s="493">
        <f>'Raw Data'!H65</f>
        <v>11582</v>
      </c>
      <c r="J116" s="493">
        <f>'Raw Data'!I65</f>
        <v>10529</v>
      </c>
      <c r="K116" s="493">
        <f>'Raw Data'!J65</f>
        <v>13756</v>
      </c>
      <c r="L116" s="493">
        <f>'Raw Data'!K65</f>
        <v>17716</v>
      </c>
      <c r="M116" s="441">
        <f>L116+M72</f>
        <v>23107.282297955877</v>
      </c>
      <c r="N116" s="441">
        <f>M116+N72</f>
        <v>28268.35638915826</v>
      </c>
      <c r="O116" s="441">
        <f>N116+O72</f>
        <v>33144.876530346832</v>
      </c>
      <c r="P116" s="441">
        <f>O116+P72</f>
        <v>37686.905916562842</v>
      </c>
      <c r="Q116" s="441">
        <f>P116+Q72</f>
        <v>41839.114713557108</v>
      </c>
    </row>
    <row r="117" spans="1:17" x14ac:dyDescent="0.25">
      <c r="A117" s="186" t="s">
        <v>223</v>
      </c>
      <c r="B117" s="139"/>
      <c r="C117" s="493">
        <f>'Raw Data'!B66</f>
        <v>0</v>
      </c>
      <c r="D117" s="493">
        <f>'Raw Data'!C66</f>
        <v>0</v>
      </c>
      <c r="E117" s="493">
        <f>'Raw Data'!D66</f>
        <v>0</v>
      </c>
      <c r="F117" s="493">
        <f>'Raw Data'!E66</f>
        <v>0</v>
      </c>
      <c r="G117" s="493">
        <f>'Raw Data'!F66</f>
        <v>0</v>
      </c>
      <c r="H117" s="493">
        <f>'Raw Data'!G66</f>
        <v>0</v>
      </c>
      <c r="I117" s="493">
        <f>'Raw Data'!H66</f>
        <v>0</v>
      </c>
      <c r="J117" s="493">
        <f>'Raw Data'!I66</f>
        <v>0</v>
      </c>
      <c r="K117" s="493">
        <f>'Raw Data'!J66</f>
        <v>0</v>
      </c>
      <c r="L117" s="493">
        <f>'Raw Data'!K66</f>
        <v>0</v>
      </c>
      <c r="M117" s="441">
        <f>$L117</f>
        <v>0</v>
      </c>
      <c r="N117" s="441">
        <f>$L117</f>
        <v>0</v>
      </c>
      <c r="O117" s="441">
        <f>$L117</f>
        <v>0</v>
      </c>
      <c r="P117" s="441">
        <f>$L117</f>
        <v>0</v>
      </c>
      <c r="Q117" s="441">
        <f>$L117</f>
        <v>0</v>
      </c>
    </row>
    <row r="118" spans="1:17" x14ac:dyDescent="0.25">
      <c r="A118" s="85" t="s">
        <v>52</v>
      </c>
      <c r="B118" s="77"/>
      <c r="C118" s="466">
        <f>C112+C113</f>
        <v>12303</v>
      </c>
      <c r="D118" s="466">
        <f>D112+D113</f>
        <v>10617</v>
      </c>
      <c r="E118" s="466">
        <f>E112+E113</f>
        <v>12079</v>
      </c>
      <c r="F118" s="466">
        <f>F112+F113</f>
        <v>10778</v>
      </c>
      <c r="G118" s="466">
        <f>G112+G113</f>
        <v>12799</v>
      </c>
      <c r="H118" s="466">
        <f>H112+H113</f>
        <v>15243</v>
      </c>
      <c r="I118" s="466">
        <f>I112+I113</f>
        <v>18284</v>
      </c>
      <c r="J118" s="466">
        <f>J112+J113</f>
        <v>17564</v>
      </c>
      <c r="K118" s="466">
        <f>K112+K113</f>
        <v>20642</v>
      </c>
      <c r="L118" s="466">
        <f>L112+L113</f>
        <v>25058</v>
      </c>
      <c r="M118" s="441">
        <f>M120-M119</f>
        <v>30449.282297955877</v>
      </c>
      <c r="N118" s="441">
        <f>N120-N119</f>
        <v>35610.35638915826</v>
      </c>
      <c r="O118" s="441">
        <f>O120-O119</f>
        <v>40486.876530346832</v>
      </c>
      <c r="P118" s="441">
        <f>P120-P119</f>
        <v>45028.905916562842</v>
      </c>
      <c r="Q118" s="441">
        <f>Q120-Q119</f>
        <v>49181.114713557108</v>
      </c>
    </row>
    <row r="119" spans="1:17" x14ac:dyDescent="0.25">
      <c r="A119" s="85" t="s">
        <v>51</v>
      </c>
      <c r="B119" s="77"/>
      <c r="C119" s="466">
        <f>'Raw Data'!B68</f>
        <v>212</v>
      </c>
      <c r="D119" s="466">
        <f>'Raw Data'!C68</f>
        <v>226</v>
      </c>
      <c r="E119" s="466">
        <f>'Raw Data'!D68</f>
        <v>253</v>
      </c>
      <c r="F119" s="466">
        <f>'Raw Data'!E68</f>
        <v>301</v>
      </c>
      <c r="G119" s="466">
        <f>'Raw Data'!F68</f>
        <v>304</v>
      </c>
      <c r="H119" s="466">
        <f>'Raw Data'!G68</f>
        <v>341</v>
      </c>
      <c r="I119" s="466">
        <f>'Raw Data'!H68</f>
        <v>421</v>
      </c>
      <c r="J119" s="466">
        <f>'Raw Data'!I68</f>
        <v>514</v>
      </c>
      <c r="K119" s="466">
        <f>'Raw Data'!J68</f>
        <v>5</v>
      </c>
      <c r="L119" s="466">
        <f>'Raw Data'!K68</f>
        <v>0</v>
      </c>
      <c r="M119" s="441">
        <f>$L$119</f>
        <v>0</v>
      </c>
      <c r="N119" s="441">
        <f>$L$119</f>
        <v>0</v>
      </c>
      <c r="O119" s="441">
        <f>$L$119</f>
        <v>0</v>
      </c>
      <c r="P119" s="441">
        <f>$L$119</f>
        <v>0</v>
      </c>
      <c r="Q119" s="441">
        <f>$L$119</f>
        <v>0</v>
      </c>
    </row>
    <row r="120" spans="1:17" ht="16.5" thickBot="1" x14ac:dyDescent="0.3">
      <c r="A120" s="117" t="s">
        <v>222</v>
      </c>
      <c r="B120" s="116"/>
      <c r="C120" s="472">
        <f>C118+C119</f>
        <v>12515</v>
      </c>
      <c r="D120" s="472">
        <f>D118+D119</f>
        <v>10843</v>
      </c>
      <c r="E120" s="472">
        <f>E118+E119</f>
        <v>12332</v>
      </c>
      <c r="F120" s="472">
        <f>F118+F119</f>
        <v>11079</v>
      </c>
      <c r="G120" s="472">
        <f>G118+G119</f>
        <v>13103</v>
      </c>
      <c r="H120" s="472">
        <f>H118+H119</f>
        <v>15584</v>
      </c>
      <c r="I120" s="472">
        <f>I118+I119</f>
        <v>18705</v>
      </c>
      <c r="J120" s="472">
        <f>J118+J119</f>
        <v>18078</v>
      </c>
      <c r="K120" s="472">
        <f>K118+K119</f>
        <v>20647</v>
      </c>
      <c r="L120" s="472">
        <f>L118+L119</f>
        <v>25058</v>
      </c>
      <c r="M120" s="522">
        <f>SUM(M112:M113)+M119</f>
        <v>30449.282297955877</v>
      </c>
      <c r="N120" s="522">
        <f>SUM(N112:N113)+N119</f>
        <v>35610.35638915826</v>
      </c>
      <c r="O120" s="522">
        <f>SUM(O112:O113)+O119</f>
        <v>40486.876530346832</v>
      </c>
      <c r="P120" s="522">
        <f>SUM(P112:P113)+P119</f>
        <v>45028.905916562842</v>
      </c>
      <c r="Q120" s="522">
        <f>SUM(Q112:Q113)+Q119</f>
        <v>49181.114713557108</v>
      </c>
    </row>
    <row r="121" spans="1:17" ht="16.5" thickTop="1" x14ac:dyDescent="0.25">
      <c r="A121" s="85"/>
      <c r="B121" s="77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429"/>
      <c r="N121" s="372"/>
      <c r="O121" s="474"/>
      <c r="P121" s="469"/>
      <c r="Q121" s="521"/>
    </row>
    <row r="122" spans="1:17" ht="16.5" thickBot="1" x14ac:dyDescent="0.3">
      <c r="A122" s="117" t="s">
        <v>457</v>
      </c>
      <c r="B122" s="116"/>
      <c r="C122" s="472">
        <f>C107+C120</f>
        <v>33024</v>
      </c>
      <c r="D122" s="472">
        <f>D107+D120</f>
        <v>33440</v>
      </c>
      <c r="E122" s="472">
        <f>E107+E120</f>
        <v>33163</v>
      </c>
      <c r="F122" s="472">
        <f>F107+F120</f>
        <v>36347</v>
      </c>
      <c r="G122" s="472">
        <f>G107+G120</f>
        <v>40830</v>
      </c>
      <c r="H122" s="472">
        <f>H107+H120</f>
        <v>45400</v>
      </c>
      <c r="I122" s="472">
        <f>I107+I120</f>
        <v>55556</v>
      </c>
      <c r="J122" s="472">
        <f>J107+J120</f>
        <v>59268</v>
      </c>
      <c r="K122" s="472">
        <f>K107+K120</f>
        <v>64166</v>
      </c>
      <c r="L122" s="472">
        <f>L107+L120</f>
        <v>68994</v>
      </c>
      <c r="M122" s="520">
        <f>M120+M107</f>
        <v>76557.96225953399</v>
      </c>
      <c r="N122" s="520">
        <f>N120+N107</f>
        <v>84485.097927337891</v>
      </c>
      <c r="O122" s="520">
        <f>O120+O107</f>
        <v>92547.066674588132</v>
      </c>
      <c r="P122" s="520">
        <f>P120+P107</f>
        <v>100761.48596627501</v>
      </c>
      <c r="Q122" s="520">
        <f>Q120+Q107</f>
        <v>109153.76494599493</v>
      </c>
    </row>
    <row r="123" spans="1:17" s="510" customFormat="1" ht="17.25" thickTop="1" thickBot="1" x14ac:dyDescent="0.3">
      <c r="A123" s="519"/>
      <c r="B123" s="518"/>
      <c r="C123" s="517"/>
      <c r="D123" s="517"/>
      <c r="E123" s="517"/>
      <c r="F123" s="517"/>
      <c r="G123" s="517"/>
      <c r="H123" s="517"/>
      <c r="I123" s="517"/>
      <c r="J123" s="517"/>
      <c r="K123" s="517"/>
      <c r="L123" s="517"/>
      <c r="M123" s="516"/>
      <c r="N123" s="516"/>
      <c r="O123" s="516"/>
      <c r="P123" s="516"/>
      <c r="Q123" s="516"/>
    </row>
    <row r="124" spans="1:17" s="510" customFormat="1" ht="16.5" thickBot="1" x14ac:dyDescent="0.3">
      <c r="A124" s="515" t="s">
        <v>456</v>
      </c>
      <c r="B124" s="514"/>
      <c r="C124" s="513"/>
      <c r="D124" s="513"/>
      <c r="E124" s="513"/>
      <c r="F124" s="513"/>
      <c r="G124" s="513"/>
      <c r="H124" s="513"/>
      <c r="I124" s="513"/>
      <c r="J124" s="513"/>
      <c r="K124" s="513"/>
      <c r="L124" s="512"/>
      <c r="M124" s="511">
        <f>M91-M122</f>
        <v>-3063.5219236068806</v>
      </c>
      <c r="N124" s="511">
        <f>N91-N122</f>
        <v>-5190.3412054034125</v>
      </c>
      <c r="O124" s="511">
        <f>O91-O122</f>
        <v>-6572.2177871415042</v>
      </c>
      <c r="P124" s="511">
        <f>P91-P122</f>
        <v>-7084.3242258740938</v>
      </c>
      <c r="Q124" s="511">
        <f>Q91-Q122</f>
        <v>-6581.78117458614</v>
      </c>
    </row>
    <row r="125" spans="1:17" ht="16.5" thickBot="1" x14ac:dyDescent="0.3">
      <c r="A125" s="32"/>
      <c r="B125" s="31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509"/>
      <c r="P125" s="509"/>
      <c r="Q125" s="509"/>
    </row>
    <row r="126" spans="1:17" x14ac:dyDescent="0.25">
      <c r="A126" s="508" t="s">
        <v>325</v>
      </c>
      <c r="B126" s="507"/>
      <c r="C126" s="506">
        <f>'Constructed Financials'!C79</f>
        <v>-4132</v>
      </c>
      <c r="D126" s="506">
        <f>'Constructed Financials'!D79</f>
        <v>-4367</v>
      </c>
      <c r="E126" s="506">
        <f>'Constructed Financials'!E79</f>
        <v>-3976</v>
      </c>
      <c r="F126" s="506">
        <f>'Constructed Financials'!F79</f>
        <v>-5864</v>
      </c>
      <c r="G126" s="506">
        <f>'Constructed Financials'!G79</f>
        <v>-6799</v>
      </c>
      <c r="H126" s="506">
        <f>'Constructed Financials'!H79</f>
        <v>-7471</v>
      </c>
      <c r="I126" s="506">
        <f>'Constructed Financials'!I79</f>
        <v>-9672</v>
      </c>
      <c r="J126" s="506">
        <f>'Constructed Financials'!J79</f>
        <v>-11018</v>
      </c>
      <c r="K126" s="506">
        <f>'Constructed Financials'!K79</f>
        <v>-9794</v>
      </c>
      <c r="L126" s="505">
        <f>'Constructed Financials'!L79</f>
        <v>-11508</v>
      </c>
      <c r="M126" s="416">
        <f>SUM(M80:M82)-SUM(M97:M99)</f>
        <v>-12285.63197828635</v>
      </c>
      <c r="N126" s="416">
        <f>SUM(N80:N82)-SUM(N97:N99)</f>
        <v>-13056.622471466158</v>
      </c>
      <c r="O126" s="416">
        <f>SUM(O80:O82)-SUM(O97:O99)</f>
        <v>-13943.46164445371</v>
      </c>
      <c r="P126" s="416">
        <f>SUM(P80:P82)-SUM(P97:P99)</f>
        <v>-14962.544870877959</v>
      </c>
      <c r="Q126" s="416">
        <f>SUM(Q80:Q82)-SUM(Q97:Q99)</f>
        <v>-16133.336472599916</v>
      </c>
    </row>
    <row r="127" spans="1:17" ht="16.5" thickBot="1" x14ac:dyDescent="0.3">
      <c r="A127" s="504" t="s">
        <v>296</v>
      </c>
      <c r="B127" s="503"/>
      <c r="C127" s="502" t="str">
        <f>'Constructed Financials'!C80</f>
        <v>N/A</v>
      </c>
      <c r="D127" s="502">
        <f>'Constructed Financials'!D80</f>
        <v>235</v>
      </c>
      <c r="E127" s="502">
        <f>'Constructed Financials'!E80</f>
        <v>-391</v>
      </c>
      <c r="F127" s="502">
        <f>'Constructed Financials'!F80</f>
        <v>1888</v>
      </c>
      <c r="G127" s="502">
        <f>'Constructed Financials'!G80</f>
        <v>935</v>
      </c>
      <c r="H127" s="34">
        <f>'Constructed Financials'!H80</f>
        <v>672</v>
      </c>
      <c r="I127" s="34">
        <f>'Constructed Financials'!I80</f>
        <v>2201</v>
      </c>
      <c r="J127" s="34">
        <f>'Constructed Financials'!J80</f>
        <v>1346</v>
      </c>
      <c r="K127" s="34">
        <f>'Constructed Financials'!K80</f>
        <v>-1224</v>
      </c>
      <c r="L127" s="501">
        <f>'Constructed Financials'!L80</f>
        <v>1714</v>
      </c>
      <c r="M127" s="441">
        <f>L126-M126</f>
        <v>777.6319782863502</v>
      </c>
      <c r="N127" s="441">
        <f>M126-N126</f>
        <v>770.99049317980825</v>
      </c>
      <c r="O127" s="441">
        <f>N126-O126</f>
        <v>886.83917298755114</v>
      </c>
      <c r="P127" s="441">
        <f>O126-P126</f>
        <v>1019.083226424249</v>
      </c>
      <c r="Q127" s="441">
        <f>P126-Q126</f>
        <v>1170.7916017219577</v>
      </c>
    </row>
    <row r="129" spans="1:17" x14ac:dyDescent="0.25">
      <c r="A129" s="59"/>
      <c r="B129" s="58" t="str">
        <f>B75</f>
        <v>Fiscal Year</v>
      </c>
      <c r="C129" s="57">
        <f>C75</f>
        <v>2014</v>
      </c>
      <c r="D129" s="57">
        <f>D75</f>
        <v>2015</v>
      </c>
      <c r="E129" s="57">
        <f>E75</f>
        <v>2016</v>
      </c>
      <c r="F129" s="57">
        <f>F75</f>
        <v>2017</v>
      </c>
      <c r="G129" s="57">
        <f>G75</f>
        <v>2018</v>
      </c>
      <c r="H129" s="253">
        <f>H75</f>
        <v>2019</v>
      </c>
      <c r="I129" s="253">
        <f>I75</f>
        <v>2020</v>
      </c>
      <c r="J129" s="253">
        <f>J75</f>
        <v>2021</v>
      </c>
      <c r="K129" s="253">
        <f>K75</f>
        <v>2022</v>
      </c>
      <c r="L129" s="500">
        <f>L75</f>
        <v>2023</v>
      </c>
      <c r="M129" s="54" t="s">
        <v>447</v>
      </c>
      <c r="N129" s="54" t="s">
        <v>447</v>
      </c>
      <c r="O129" s="54" t="s">
        <v>447</v>
      </c>
      <c r="P129" s="54" t="s">
        <v>447</v>
      </c>
      <c r="Q129" s="54" t="s">
        <v>447</v>
      </c>
    </row>
    <row r="130" spans="1:17" x14ac:dyDescent="0.25">
      <c r="A130" s="53" t="s">
        <v>322</v>
      </c>
      <c r="B130" s="52" t="s">
        <v>307</v>
      </c>
      <c r="C130" s="51">
        <v>-9</v>
      </c>
      <c r="D130" s="51">
        <v>-8</v>
      </c>
      <c r="E130" s="51">
        <v>-7</v>
      </c>
      <c r="F130" s="51">
        <v>-6</v>
      </c>
      <c r="G130" s="51">
        <v>-5</v>
      </c>
      <c r="H130" s="51">
        <v>-4</v>
      </c>
      <c r="I130" s="51">
        <v>-3</v>
      </c>
      <c r="J130" s="51">
        <v>-2</v>
      </c>
      <c r="K130" s="51">
        <v>-1</v>
      </c>
      <c r="L130" s="50">
        <v>0</v>
      </c>
      <c r="M130" s="47">
        <v>1</v>
      </c>
      <c r="N130" s="47">
        <v>2</v>
      </c>
      <c r="O130" s="47">
        <v>3</v>
      </c>
      <c r="P130" s="47">
        <v>4</v>
      </c>
      <c r="Q130" s="47">
        <v>5</v>
      </c>
    </row>
    <row r="131" spans="1:17" x14ac:dyDescent="0.25">
      <c r="A131" s="32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99"/>
      <c r="M131" s="31"/>
      <c r="N131" s="31"/>
      <c r="O131" s="74"/>
      <c r="P131" s="74"/>
      <c r="Q131" s="74"/>
    </row>
    <row r="132" spans="1:17" ht="16.5" thickBot="1" x14ac:dyDescent="0.3">
      <c r="A132" s="159" t="s">
        <v>195</v>
      </c>
      <c r="B132" s="158"/>
      <c r="C132" s="158"/>
      <c r="D132" s="158"/>
      <c r="E132" s="158"/>
      <c r="F132" s="158"/>
      <c r="G132" s="158"/>
      <c r="H132" s="158"/>
      <c r="I132" s="158"/>
      <c r="J132" s="158"/>
      <c r="K132" s="158"/>
      <c r="L132" s="157"/>
      <c r="M132" s="153"/>
      <c r="N132" s="153"/>
      <c r="O132" s="499"/>
      <c r="P132" s="498"/>
      <c r="Q132" s="498"/>
    </row>
    <row r="133" spans="1:17" x14ac:dyDescent="0.25">
      <c r="A133" s="475" t="s">
        <v>320</v>
      </c>
      <c r="B133" s="466"/>
      <c r="C133" s="466">
        <f>'Raw Data'!B113</f>
        <v>2088</v>
      </c>
      <c r="D133" s="466">
        <f>'Raw Data'!C113</f>
        <v>2409</v>
      </c>
      <c r="E133" s="466">
        <f>'Raw Data'!D113</f>
        <v>2376</v>
      </c>
      <c r="F133" s="466">
        <f>'Raw Data'!E113</f>
        <v>2714</v>
      </c>
      <c r="G133" s="466">
        <f>'Raw Data'!F113</f>
        <v>3179</v>
      </c>
      <c r="H133" s="466">
        <f>'Raw Data'!G113</f>
        <v>3704</v>
      </c>
      <c r="I133" s="466">
        <f>'Raw Data'!H113</f>
        <v>4059</v>
      </c>
      <c r="J133" s="466">
        <f>'Raw Data'!I113</f>
        <v>5079</v>
      </c>
      <c r="K133" s="466">
        <f>'Raw Data'!J113</f>
        <v>5915</v>
      </c>
      <c r="L133" s="466">
        <f>'Raw Data'!K113</f>
        <v>6292</v>
      </c>
      <c r="M133" s="416">
        <f>M66</f>
        <v>6729.2101207574669</v>
      </c>
      <c r="N133" s="416">
        <f>N66</f>
        <v>7155.7981559885793</v>
      </c>
      <c r="O133" s="416">
        <f>O66</f>
        <v>7599.4881159303422</v>
      </c>
      <c r="P133" s="416">
        <f>P66</f>
        <v>8074.5191105705489</v>
      </c>
      <c r="Q133" s="416">
        <f>Q66</f>
        <v>8583.8711944452516</v>
      </c>
    </row>
    <row r="134" spans="1:17" ht="16.5" thickBot="1" x14ac:dyDescent="0.3">
      <c r="A134" s="475" t="s">
        <v>193</v>
      </c>
      <c r="B134" s="466"/>
      <c r="C134" s="466">
        <f>'Raw Data'!B114</f>
        <v>1029</v>
      </c>
      <c r="D134" s="466">
        <f>'Raw Data'!C114</f>
        <v>1127</v>
      </c>
      <c r="E134" s="466">
        <f>'Raw Data'!D114</f>
        <v>1255</v>
      </c>
      <c r="F134" s="466">
        <f>'Raw Data'!E114</f>
        <v>1370</v>
      </c>
      <c r="G134" s="466">
        <f>'Raw Data'!F114</f>
        <v>1437</v>
      </c>
      <c r="H134" s="466">
        <f>'Raw Data'!G114</f>
        <v>1492</v>
      </c>
      <c r="I134" s="466">
        <f>'Raw Data'!H114</f>
        <v>1645</v>
      </c>
      <c r="J134" s="466">
        <f>'Raw Data'!I114</f>
        <v>1781</v>
      </c>
      <c r="K134" s="466">
        <f>'Raw Data'!J114</f>
        <v>1900</v>
      </c>
      <c r="L134" s="466">
        <f>'Raw Data'!K114</f>
        <v>2077</v>
      </c>
      <c r="M134" s="497">
        <f>M84*Q45</f>
        <v>2217.3494628867525</v>
      </c>
      <c r="N134" s="497">
        <f>N84*R45</f>
        <v>2444.8124450371865</v>
      </c>
      <c r="O134" s="497">
        <f>O84*S45</f>
        <v>2707.8193100023668</v>
      </c>
      <c r="P134" s="497">
        <f>P84*T45</f>
        <v>3012.673597574912</v>
      </c>
      <c r="Q134" s="497">
        <f>Q84*U45</f>
        <v>3366.9609195437529</v>
      </c>
    </row>
    <row r="135" spans="1:17" x14ac:dyDescent="0.25">
      <c r="A135" s="475" t="s">
        <v>192</v>
      </c>
      <c r="B135" s="466"/>
      <c r="C135" s="466">
        <f>'Raw Data'!B115</f>
        <v>0</v>
      </c>
      <c r="D135" s="466">
        <f>'Raw Data'!C115</f>
        <v>0</v>
      </c>
      <c r="E135" s="466">
        <f>'Raw Data'!D115</f>
        <v>0</v>
      </c>
      <c r="F135" s="466">
        <f>'Raw Data'!E115</f>
        <v>0</v>
      </c>
      <c r="G135" s="466">
        <f>'Raw Data'!F115</f>
        <v>0</v>
      </c>
      <c r="H135" s="466">
        <f>'Raw Data'!G115</f>
        <v>0</v>
      </c>
      <c r="I135" s="466">
        <f>'Raw Data'!H115</f>
        <v>0</v>
      </c>
      <c r="J135" s="466">
        <f>'Raw Data'!I115</f>
        <v>0</v>
      </c>
      <c r="K135" s="466">
        <f>'Raw Data'!J115</f>
        <v>0</v>
      </c>
      <c r="L135" s="465">
        <f>'Raw Data'!K115</f>
        <v>0</v>
      </c>
      <c r="M135" s="372"/>
      <c r="N135" s="372"/>
      <c r="O135" s="372"/>
      <c r="P135" s="372"/>
      <c r="Q135" s="372"/>
    </row>
    <row r="136" spans="1:17" x14ac:dyDescent="0.25">
      <c r="A136" s="496" t="s">
        <v>191</v>
      </c>
      <c r="B136" s="466"/>
      <c r="C136" s="466">
        <f>'Raw Data'!B116</f>
        <v>-63</v>
      </c>
      <c r="D136" s="466">
        <f>'Raw Data'!C116</f>
        <v>-101</v>
      </c>
      <c r="E136" s="466">
        <f>'Raw Data'!D116</f>
        <v>269</v>
      </c>
      <c r="F136" s="466">
        <f>'Raw Data'!E116</f>
        <v>-29</v>
      </c>
      <c r="G136" s="466">
        <f>'Raw Data'!F116</f>
        <v>-49</v>
      </c>
      <c r="H136" s="466">
        <f>'Raw Data'!G116</f>
        <v>147</v>
      </c>
      <c r="I136" s="466">
        <f>'Raw Data'!H116</f>
        <v>104</v>
      </c>
      <c r="J136" s="466">
        <f>'Raw Data'!I116</f>
        <v>59</v>
      </c>
      <c r="K136" s="466">
        <f>'Raw Data'!J116</f>
        <v>-37</v>
      </c>
      <c r="L136" s="465">
        <f>'Raw Data'!K116</f>
        <v>0</v>
      </c>
      <c r="M136" s="372"/>
      <c r="N136" s="372"/>
      <c r="O136" s="474"/>
      <c r="P136" s="469"/>
      <c r="Q136" s="469"/>
    </row>
    <row r="137" spans="1:17" x14ac:dyDescent="0.25">
      <c r="A137" s="496" t="s">
        <v>190</v>
      </c>
      <c r="B137" s="466"/>
      <c r="C137" s="466">
        <f>'Raw Data'!B117</f>
        <v>0</v>
      </c>
      <c r="D137" s="466">
        <f>'Raw Data'!C117</f>
        <v>0</v>
      </c>
      <c r="E137" s="466">
        <f>'Raw Data'!D117</f>
        <v>0</v>
      </c>
      <c r="F137" s="466">
        <f>'Raw Data'!E117</f>
        <v>0</v>
      </c>
      <c r="G137" s="466">
        <f>'Raw Data'!F117</f>
        <v>0</v>
      </c>
      <c r="H137" s="466">
        <f>'Raw Data'!G117</f>
        <v>0</v>
      </c>
      <c r="I137" s="466">
        <f>'Raw Data'!H117</f>
        <v>0</v>
      </c>
      <c r="J137" s="466">
        <f>'Raw Data'!I117</f>
        <v>0</v>
      </c>
      <c r="K137" s="466">
        <f>'Raw Data'!J117</f>
        <v>0</v>
      </c>
      <c r="L137" s="465">
        <f>'Raw Data'!K117</f>
        <v>0</v>
      </c>
      <c r="M137" s="372"/>
      <c r="N137" s="372"/>
      <c r="O137" s="474"/>
      <c r="P137" s="469"/>
      <c r="Q137" s="469"/>
    </row>
    <row r="138" spans="1:17" x14ac:dyDescent="0.25">
      <c r="A138" s="496" t="s">
        <v>455</v>
      </c>
      <c r="B138" s="466"/>
      <c r="C138" s="466">
        <f>'Raw Data'!B118</f>
        <v>0</v>
      </c>
      <c r="D138" s="466">
        <f>'Raw Data'!C118</f>
        <v>0</v>
      </c>
      <c r="E138" s="466">
        <f>'Raw Data'!D118</f>
        <v>0</v>
      </c>
      <c r="F138" s="466">
        <f>'Raw Data'!E118</f>
        <v>0</v>
      </c>
      <c r="G138" s="466">
        <f>'Raw Data'!F118</f>
        <v>0</v>
      </c>
      <c r="H138" s="466">
        <f>'Raw Data'!G118</f>
        <v>0</v>
      </c>
      <c r="I138" s="466">
        <f>'Raw Data'!H118</f>
        <v>0</v>
      </c>
      <c r="J138" s="466">
        <f>'Raw Data'!I118</f>
        <v>0</v>
      </c>
      <c r="K138" s="466">
        <f>'Raw Data'!J118</f>
        <v>0</v>
      </c>
      <c r="L138" s="465">
        <f>'Raw Data'!K118</f>
        <v>0</v>
      </c>
      <c r="M138" s="372"/>
      <c r="N138" s="372"/>
      <c r="O138" s="474"/>
      <c r="P138" s="469"/>
      <c r="Q138" s="469"/>
    </row>
    <row r="139" spans="1:17" ht="16.5" thickBot="1" x14ac:dyDescent="0.3">
      <c r="A139" s="496" t="s">
        <v>188</v>
      </c>
      <c r="B139" s="466"/>
      <c r="C139" s="466">
        <f>'Raw Data'!B119</f>
        <v>265</v>
      </c>
      <c r="D139" s="466">
        <f>'Raw Data'!C119</f>
        <v>303</v>
      </c>
      <c r="E139" s="466">
        <f>'Raw Data'!D119</f>
        <v>402</v>
      </c>
      <c r="F139" s="466">
        <f>'Raw Data'!E119</f>
        <v>500</v>
      </c>
      <c r="G139" s="466">
        <f>'Raw Data'!F119</f>
        <v>538</v>
      </c>
      <c r="H139" s="466">
        <f>'Raw Data'!G119</f>
        <v>604</v>
      </c>
      <c r="I139" s="466">
        <f>'Raw Data'!H119</f>
        <v>855</v>
      </c>
      <c r="J139" s="466">
        <f>'Raw Data'!I119</f>
        <v>1036</v>
      </c>
      <c r="K139" s="466">
        <f>'Raw Data'!J119</f>
        <v>1177</v>
      </c>
      <c r="L139" s="465">
        <f>'Raw Data'!K119</f>
        <v>1681</v>
      </c>
      <c r="M139" s="372"/>
      <c r="N139" s="372"/>
      <c r="O139" s="474"/>
      <c r="P139" s="469"/>
      <c r="Q139" s="469"/>
    </row>
    <row r="140" spans="1:17" ht="16.5" thickBot="1" x14ac:dyDescent="0.3">
      <c r="A140" s="495" t="s">
        <v>318</v>
      </c>
      <c r="B140" s="485"/>
      <c r="C140" s="485">
        <f>SUM(C141:C145)</f>
        <v>665</v>
      </c>
      <c r="D140" s="485">
        <f>SUM(D141:D145)</f>
        <v>547</v>
      </c>
      <c r="E140" s="485">
        <f>SUM(E141:E145)</f>
        <v>-1010</v>
      </c>
      <c r="F140" s="485">
        <f>SUM(F141:F145)</f>
        <v>2171</v>
      </c>
      <c r="G140" s="485">
        <f>SUM(G141:G145)</f>
        <v>669</v>
      </c>
      <c r="H140" s="485">
        <f>SUM(H141:H145)</f>
        <v>409</v>
      </c>
      <c r="I140" s="485">
        <f>SUM(I141:I145)</f>
        <v>2198</v>
      </c>
      <c r="J140" s="485">
        <f>SUM(J141:J145)</f>
        <v>1003</v>
      </c>
      <c r="K140" s="485">
        <f>SUM(K141:K145)</f>
        <v>-1563</v>
      </c>
      <c r="L140" s="485">
        <f>SUM(L141:L145)</f>
        <v>1018</v>
      </c>
      <c r="M140" s="486">
        <f>M54*Q46</f>
        <v>1086.7894815689524</v>
      </c>
      <c r="N140" s="486">
        <f>N54*R46</f>
        <v>1166.1488431585019</v>
      </c>
      <c r="O140" s="486">
        <f>O54*S46</f>
        <v>1257.5012596380477</v>
      </c>
      <c r="P140" s="486">
        <f>P54*T46</f>
        <v>1362.6935630539754</v>
      </c>
      <c r="Q140" s="486">
        <f>Q54*U46</f>
        <v>1483.9281217341638</v>
      </c>
    </row>
    <row r="141" spans="1:17" x14ac:dyDescent="0.25">
      <c r="A141" s="494" t="s">
        <v>187</v>
      </c>
      <c r="B141" s="493"/>
      <c r="C141" s="493">
        <f>'Raw Data'!B120</f>
        <v>0</v>
      </c>
      <c r="D141" s="493">
        <f>'Raw Data'!C120</f>
        <v>0</v>
      </c>
      <c r="E141" s="493">
        <f>'Raw Data'!D120</f>
        <v>0</v>
      </c>
      <c r="F141" s="493">
        <f>'Raw Data'!E120</f>
        <v>0</v>
      </c>
      <c r="G141" s="493">
        <f>'Raw Data'!F120</f>
        <v>0</v>
      </c>
      <c r="H141" s="493">
        <f>'Raw Data'!G120</f>
        <v>0</v>
      </c>
      <c r="I141" s="493">
        <f>'Raw Data'!H120</f>
        <v>0</v>
      </c>
      <c r="J141" s="493">
        <f>'Raw Data'!I120</f>
        <v>0</v>
      </c>
      <c r="K141" s="493">
        <f>'Raw Data'!J120</f>
        <v>0</v>
      </c>
      <c r="L141" s="492">
        <f>'Raw Data'!K120</f>
        <v>0</v>
      </c>
      <c r="M141" s="372"/>
      <c r="N141" s="372"/>
      <c r="O141" s="474"/>
      <c r="P141" s="469"/>
      <c r="Q141" s="469"/>
    </row>
    <row r="142" spans="1:17" x14ac:dyDescent="0.25">
      <c r="A142" s="494" t="s">
        <v>186</v>
      </c>
      <c r="B142" s="493"/>
      <c r="C142" s="493">
        <f>'Raw Data'!B121</f>
        <v>-563</v>
      </c>
      <c r="D142" s="493">
        <f>'Raw Data'!C121</f>
        <v>-890</v>
      </c>
      <c r="E142" s="493">
        <f>'Raw Data'!D121</f>
        <v>-25</v>
      </c>
      <c r="F142" s="493">
        <f>'Raw Data'!E121</f>
        <v>-894</v>
      </c>
      <c r="G142" s="493">
        <f>'Raw Data'!F121</f>
        <v>-1313</v>
      </c>
      <c r="H142" s="493">
        <f>'Raw Data'!G121</f>
        <v>-536</v>
      </c>
      <c r="I142" s="493">
        <f>'Raw Data'!H121</f>
        <v>-791</v>
      </c>
      <c r="J142" s="493">
        <f>'Raw Data'!I121</f>
        <v>-1892</v>
      </c>
      <c r="K142" s="493">
        <f>'Raw Data'!J121</f>
        <v>-4003</v>
      </c>
      <c r="L142" s="492">
        <f>'Raw Data'!K121</f>
        <v>1228</v>
      </c>
      <c r="M142" s="372"/>
      <c r="N142" s="372"/>
      <c r="O142" s="474"/>
      <c r="P142" s="469"/>
      <c r="Q142" s="469"/>
    </row>
    <row r="143" spans="1:17" x14ac:dyDescent="0.25">
      <c r="A143" s="494" t="s">
        <v>185</v>
      </c>
      <c r="B143" s="493"/>
      <c r="C143" s="493">
        <f>'Raw Data'!B122</f>
        <v>529</v>
      </c>
      <c r="D143" s="493">
        <f>'Raw Data'!C122</f>
        <v>880</v>
      </c>
      <c r="E143" s="493">
        <f>'Raw Data'!D122</f>
        <v>-1532</v>
      </c>
      <c r="F143" s="493">
        <f>'Raw Data'!E122</f>
        <v>2258</v>
      </c>
      <c r="G143" s="493">
        <f>'Raw Data'!F122</f>
        <v>1561</v>
      </c>
      <c r="H143" s="493">
        <f>'Raw Data'!G122</f>
        <v>322</v>
      </c>
      <c r="I143" s="493">
        <f>'Raw Data'!H122</f>
        <v>2261</v>
      </c>
      <c r="J143" s="493">
        <f>'Raw Data'!I122</f>
        <v>1838</v>
      </c>
      <c r="K143" s="493">
        <f>'Raw Data'!J122</f>
        <v>1891</v>
      </c>
      <c r="L143" s="492">
        <f>'Raw Data'!K122</f>
        <v>-382</v>
      </c>
      <c r="M143" s="372"/>
      <c r="N143" s="372"/>
      <c r="O143" s="474"/>
      <c r="P143" s="469"/>
      <c r="Q143" s="469"/>
    </row>
    <row r="144" spans="1:17" x14ac:dyDescent="0.25">
      <c r="A144" s="494" t="s">
        <v>184</v>
      </c>
      <c r="B144" s="493"/>
      <c r="C144" s="493">
        <f>'Raw Data'!B123</f>
        <v>0</v>
      </c>
      <c r="D144" s="493">
        <f>'Raw Data'!C123</f>
        <v>0</v>
      </c>
      <c r="E144" s="493">
        <f>'Raw Data'!D123</f>
        <v>0</v>
      </c>
      <c r="F144" s="493">
        <f>'Raw Data'!E123</f>
        <v>0</v>
      </c>
      <c r="G144" s="493">
        <f>'Raw Data'!F123</f>
        <v>0</v>
      </c>
      <c r="H144" s="493">
        <f>'Raw Data'!G123</f>
        <v>0</v>
      </c>
      <c r="I144" s="493">
        <f>'Raw Data'!H123</f>
        <v>0</v>
      </c>
      <c r="J144" s="493">
        <f>'Raw Data'!I123</f>
        <v>0</v>
      </c>
      <c r="K144" s="493">
        <f>'Raw Data'!J123</f>
        <v>0</v>
      </c>
      <c r="L144" s="492">
        <f>'Raw Data'!K123</f>
        <v>0</v>
      </c>
      <c r="M144" s="372"/>
      <c r="N144" s="372"/>
      <c r="O144" s="474"/>
      <c r="P144" s="469"/>
      <c r="Q144" s="469"/>
    </row>
    <row r="145" spans="1:17" ht="16.5" thickBot="1" x14ac:dyDescent="0.3">
      <c r="A145" s="491" t="s">
        <v>183</v>
      </c>
      <c r="B145" s="490"/>
      <c r="C145" s="490">
        <f>'Raw Data'!B124</f>
        <v>699</v>
      </c>
      <c r="D145" s="490">
        <f>'Raw Data'!C124</f>
        <v>557</v>
      </c>
      <c r="E145" s="490">
        <f>'Raw Data'!D124</f>
        <v>547</v>
      </c>
      <c r="F145" s="490">
        <f>'Raw Data'!E124</f>
        <v>807</v>
      </c>
      <c r="G145" s="490">
        <f>'Raw Data'!F124</f>
        <v>421</v>
      </c>
      <c r="H145" s="490">
        <f>'Raw Data'!G124</f>
        <v>623</v>
      </c>
      <c r="I145" s="490">
        <f>'Raw Data'!H124</f>
        <v>728</v>
      </c>
      <c r="J145" s="490">
        <f>'Raw Data'!I124</f>
        <v>1057</v>
      </c>
      <c r="K145" s="490">
        <f>'Raw Data'!J124</f>
        <v>549</v>
      </c>
      <c r="L145" s="489">
        <f>'Raw Data'!K124</f>
        <v>172</v>
      </c>
      <c r="M145" s="372"/>
      <c r="N145" s="372"/>
      <c r="O145" s="474"/>
      <c r="P145" s="469"/>
      <c r="Q145" s="469"/>
    </row>
    <row r="146" spans="1:17" ht="16.5" thickBot="1" x14ac:dyDescent="0.3">
      <c r="A146" s="488" t="s">
        <v>23</v>
      </c>
      <c r="B146" s="487"/>
      <c r="C146" s="487">
        <f>SUM(C133:C140)</f>
        <v>3984</v>
      </c>
      <c r="D146" s="487">
        <f>SUM(D133:D140)</f>
        <v>4285</v>
      </c>
      <c r="E146" s="487">
        <f>SUM(E133:E140)</f>
        <v>3292</v>
      </c>
      <c r="F146" s="487">
        <f>SUM(F133:F140)</f>
        <v>6726</v>
      </c>
      <c r="G146" s="487">
        <f>SUM(G133:G140)</f>
        <v>5774</v>
      </c>
      <c r="H146" s="487">
        <f>SUM(H133:H140)</f>
        <v>6356</v>
      </c>
      <c r="I146" s="487">
        <f>SUM(I133:I140)</f>
        <v>8861</v>
      </c>
      <c r="J146" s="487">
        <f>SUM(J133:J140)</f>
        <v>8958</v>
      </c>
      <c r="K146" s="487">
        <f>SUM(K133:K140)</f>
        <v>7392</v>
      </c>
      <c r="L146" s="487">
        <f>SUM(L133:L140)</f>
        <v>11068</v>
      </c>
      <c r="M146" s="486">
        <f>SUM(M133:M140)</f>
        <v>10033.349065213171</v>
      </c>
      <c r="N146" s="486">
        <f>SUM(N133:N140)</f>
        <v>10766.759444184268</v>
      </c>
      <c r="O146" s="486">
        <f>SUM(O133:O140)</f>
        <v>11564.808685570757</v>
      </c>
      <c r="P146" s="486">
        <f>SUM(P133:P140)</f>
        <v>12449.886271199437</v>
      </c>
      <c r="Q146" s="486">
        <f>SUM(Q133:Q140)</f>
        <v>13434.760235723168</v>
      </c>
    </row>
    <row r="147" spans="1:17" ht="16.5" thickTop="1" x14ac:dyDescent="0.25">
      <c r="A147" s="468"/>
      <c r="B147" s="485"/>
      <c r="C147" s="485"/>
      <c r="D147" s="485"/>
      <c r="E147" s="485"/>
      <c r="F147" s="485"/>
      <c r="G147" s="485"/>
      <c r="H147" s="485"/>
      <c r="I147" s="485"/>
      <c r="J147" s="485"/>
      <c r="K147" s="485"/>
      <c r="L147" s="484"/>
      <c r="M147" s="483"/>
      <c r="N147" s="483"/>
      <c r="O147" s="483"/>
      <c r="P147" s="483"/>
      <c r="Q147" s="483"/>
    </row>
    <row r="148" spans="1:17" ht="16.5" thickBot="1" x14ac:dyDescent="0.3">
      <c r="A148" s="482" t="s">
        <v>182</v>
      </c>
      <c r="B148" s="481"/>
      <c r="C148" s="481"/>
      <c r="D148" s="481"/>
      <c r="E148" s="481"/>
      <c r="F148" s="481"/>
      <c r="G148" s="481"/>
      <c r="H148" s="481"/>
      <c r="I148" s="481"/>
      <c r="J148" s="481"/>
      <c r="K148" s="481"/>
      <c r="L148" s="480"/>
      <c r="M148" s="372"/>
      <c r="N148" s="372"/>
      <c r="O148" s="470"/>
      <c r="P148" s="469"/>
      <c r="Q148" s="469"/>
    </row>
    <row r="149" spans="1:17" ht="16.5" thickBot="1" x14ac:dyDescent="0.3">
      <c r="A149" s="475" t="s">
        <v>316</v>
      </c>
      <c r="B149" s="466"/>
      <c r="C149" s="466">
        <f>-'Raw Data'!B130</f>
        <v>-1993</v>
      </c>
      <c r="D149" s="466">
        <f>-'Raw Data'!C130</f>
        <v>-2393</v>
      </c>
      <c r="E149" s="466">
        <f>-'Raw Data'!D130</f>
        <v>-2649</v>
      </c>
      <c r="F149" s="466">
        <f>-'Raw Data'!E130</f>
        <v>-2502</v>
      </c>
      <c r="G149" s="466">
        <f>-'Raw Data'!F130</f>
        <v>-2969</v>
      </c>
      <c r="H149" s="466">
        <f>-'Raw Data'!G130</f>
        <v>-2998</v>
      </c>
      <c r="I149" s="466">
        <f>-'Raw Data'!H130</f>
        <v>-2810</v>
      </c>
      <c r="J149" s="466">
        <f>-'Raw Data'!I130</f>
        <v>-3588</v>
      </c>
      <c r="K149" s="466">
        <f>-'Raw Data'!J130</f>
        <v>-3891</v>
      </c>
      <c r="L149" s="466">
        <f>-'Raw Data'!K130</f>
        <v>-4323</v>
      </c>
      <c r="M149" s="479">
        <f>M54*Q47</f>
        <v>-4615.1187905919269</v>
      </c>
      <c r="N149" s="479">
        <f>N54*R47</f>
        <v>-5028.2058293044001</v>
      </c>
      <c r="O149" s="479">
        <f>O54*S47</f>
        <v>-5504.12172242012</v>
      </c>
      <c r="P149" s="479">
        <f>P54*T47</f>
        <v>-6053.4128623828256</v>
      </c>
      <c r="Q149" s="479">
        <f>Q54*U47</f>
        <v>-6688.7086325766431</v>
      </c>
    </row>
    <row r="150" spans="1:17" x14ac:dyDescent="0.25">
      <c r="A150" s="475" t="s">
        <v>315</v>
      </c>
      <c r="B150" s="466"/>
      <c r="C150" s="466">
        <f>-'Raw Data'!B131</f>
        <v>0</v>
      </c>
      <c r="D150" s="466">
        <f>-'Raw Data'!C131</f>
        <v>0</v>
      </c>
      <c r="E150" s="466">
        <f>-'Raw Data'!D131</f>
        <v>0</v>
      </c>
      <c r="F150" s="466">
        <f>-'Raw Data'!E131</f>
        <v>0</v>
      </c>
      <c r="G150" s="466">
        <f>-'Raw Data'!F131</f>
        <v>0</v>
      </c>
      <c r="H150" s="466">
        <f>-'Raw Data'!G131</f>
        <v>0</v>
      </c>
      <c r="I150" s="466">
        <f>-'Raw Data'!H131</f>
        <v>0</v>
      </c>
      <c r="J150" s="466">
        <f>-'Raw Data'!I131</f>
        <v>0</v>
      </c>
      <c r="K150" s="466">
        <f>-'Raw Data'!J131</f>
        <v>0</v>
      </c>
      <c r="L150" s="466">
        <f>-'Raw Data'!K131</f>
        <v>0</v>
      </c>
      <c r="M150" s="476"/>
      <c r="N150" s="372"/>
      <c r="O150" s="474"/>
      <c r="P150" s="469"/>
      <c r="Q150" s="469"/>
    </row>
    <row r="151" spans="1:17" ht="16.5" thickBot="1" x14ac:dyDescent="0.3">
      <c r="A151" s="473" t="s">
        <v>176</v>
      </c>
      <c r="B151" s="472"/>
      <c r="C151" s="472">
        <f>SUM(C149:C150)</f>
        <v>-1993</v>
      </c>
      <c r="D151" s="472">
        <f>SUM(D149:D150)</f>
        <v>-2393</v>
      </c>
      <c r="E151" s="472">
        <f>SUM(E149:E150)</f>
        <v>-2649</v>
      </c>
      <c r="F151" s="472">
        <f>SUM(F149:F150)</f>
        <v>-2502</v>
      </c>
      <c r="G151" s="472">
        <f>SUM(G149:G150)</f>
        <v>-2969</v>
      </c>
      <c r="H151" s="472">
        <f>SUM(H149:H150)</f>
        <v>-2998</v>
      </c>
      <c r="I151" s="472">
        <f>SUM(I149:I150)</f>
        <v>-2810</v>
      </c>
      <c r="J151" s="472">
        <f>SUM(J149:J150)</f>
        <v>-3588</v>
      </c>
      <c r="K151" s="472">
        <f>SUM(K149:K150)</f>
        <v>-3891</v>
      </c>
      <c r="L151" s="472">
        <f>SUM(L149:L150)</f>
        <v>-4323</v>
      </c>
      <c r="M151" s="476"/>
      <c r="N151" s="372"/>
      <c r="O151" s="470"/>
      <c r="P151" s="469"/>
      <c r="Q151" s="469"/>
    </row>
    <row r="152" spans="1:17" ht="16.5" thickTop="1" x14ac:dyDescent="0.25">
      <c r="A152" s="478" t="s">
        <v>175</v>
      </c>
      <c r="B152" s="477"/>
      <c r="C152" s="477"/>
      <c r="D152" s="477"/>
      <c r="E152" s="477"/>
      <c r="F152" s="477"/>
      <c r="G152" s="477"/>
      <c r="H152" s="477"/>
      <c r="I152" s="477"/>
      <c r="J152" s="477"/>
      <c r="K152" s="477"/>
      <c r="L152" s="477"/>
      <c r="M152" s="476"/>
      <c r="N152" s="372"/>
      <c r="O152" s="470"/>
      <c r="P152" s="469"/>
      <c r="Q152" s="469"/>
    </row>
    <row r="153" spans="1:17" x14ac:dyDescent="0.25">
      <c r="A153" s="475" t="s">
        <v>314</v>
      </c>
      <c r="B153" s="466"/>
      <c r="C153" s="466">
        <f>'Raw Data'!B136-'Raw Data'!B137</f>
        <v>-460</v>
      </c>
      <c r="D153" s="466">
        <f>'Raw Data'!C136-'Raw Data'!C137</f>
        <v>-659</v>
      </c>
      <c r="E153" s="466">
        <f>'Raw Data'!D136-'Raw Data'!D137</f>
        <v>-706</v>
      </c>
      <c r="F153" s="466">
        <f>'Raw Data'!E136-'Raw Data'!E137</f>
        <v>-671</v>
      </c>
      <c r="G153" s="466">
        <f>'Raw Data'!F136-'Raw Data'!F137</f>
        <v>-545</v>
      </c>
      <c r="H153" s="466">
        <f>'Raw Data'!G136-'Raw Data'!G137</f>
        <v>-519</v>
      </c>
      <c r="I153" s="466">
        <f>'Raw Data'!H136-'Raw Data'!H137</f>
        <v>-526</v>
      </c>
      <c r="J153" s="466">
        <f>'Raw Data'!I136-'Raw Data'!I137</f>
        <v>-808</v>
      </c>
      <c r="K153" s="466">
        <f>'Raw Data'!J136-'Raw Data'!J137</f>
        <v>-802</v>
      </c>
      <c r="L153" s="466">
        <f>'Raw Data'!K136-'Raw Data'!K137</f>
        <v>-979</v>
      </c>
      <c r="M153" s="476"/>
      <c r="N153" s="372"/>
      <c r="O153" s="474"/>
      <c r="P153" s="469"/>
      <c r="Q153" s="469"/>
    </row>
    <row r="154" spans="1:17" x14ac:dyDescent="0.25">
      <c r="A154" s="475" t="s">
        <v>18</v>
      </c>
      <c r="B154" s="466"/>
      <c r="C154" s="466">
        <f>-'Raw Data'!B138</f>
        <v>-584</v>
      </c>
      <c r="D154" s="466">
        <f>-'Raw Data'!C138</f>
        <v>-2865</v>
      </c>
      <c r="E154" s="466">
        <f>-'Raw Data'!D138</f>
        <v>-746</v>
      </c>
      <c r="F154" s="466">
        <f>-'Raw Data'!E138</f>
        <v>-3904</v>
      </c>
      <c r="G154" s="466">
        <f>-'Raw Data'!F138</f>
        <v>-689</v>
      </c>
      <c r="H154" s="466">
        <f>-'Raw Data'!G138</f>
        <v>-1038</v>
      </c>
      <c r="I154" s="466">
        <f>-'Raw Data'!H138</f>
        <v>-1479</v>
      </c>
      <c r="J154" s="466">
        <f>-'Raw Data'!I138</f>
        <v>-5748</v>
      </c>
      <c r="K154" s="466">
        <f>-'Raw Data'!J138</f>
        <v>-1498</v>
      </c>
      <c r="L154" s="465">
        <f>-'Raw Data'!K138</f>
        <v>-1251</v>
      </c>
      <c r="M154" s="372"/>
      <c r="N154" s="372"/>
      <c r="O154" s="474"/>
      <c r="P154" s="469"/>
      <c r="Q154" s="469"/>
    </row>
    <row r="155" spans="1:17" x14ac:dyDescent="0.25">
      <c r="A155" s="475" t="s">
        <v>313</v>
      </c>
      <c r="B155" s="466"/>
      <c r="C155" s="466">
        <f>'Raw Data'!B139-'Raw Data'!B140</f>
        <v>117</v>
      </c>
      <c r="D155" s="466">
        <f>'Raw Data'!C139-'Raw Data'!C140</f>
        <v>1125</v>
      </c>
      <c r="E155" s="466">
        <f>'Raw Data'!D139-'Raw Data'!D140</f>
        <v>-1103</v>
      </c>
      <c r="F155" s="466">
        <f>'Raw Data'!E139-'Raw Data'!E140</f>
        <v>1582</v>
      </c>
      <c r="G155" s="466">
        <f>'Raw Data'!F139-'Raw Data'!F140</f>
        <v>-86</v>
      </c>
      <c r="H155" s="466">
        <f>'Raw Data'!G139-'Raw Data'!G140</f>
        <v>209</v>
      </c>
      <c r="I155" s="466">
        <f>'Raw Data'!H139-'Raw Data'!H140</f>
        <v>792</v>
      </c>
      <c r="J155" s="466">
        <f>'Raw Data'!I139-'Raw Data'!I140</f>
        <v>-94</v>
      </c>
      <c r="K155" s="466">
        <f>'Raw Data'!J139-'Raw Data'!J140</f>
        <v>-800</v>
      </c>
      <c r="L155" s="465">
        <f>'Raw Data'!K139-'Raw Data'!K140</f>
        <v>-366</v>
      </c>
      <c r="M155" s="372"/>
      <c r="N155" s="372"/>
      <c r="O155" s="474"/>
      <c r="P155" s="469"/>
      <c r="Q155" s="469"/>
    </row>
    <row r="156" spans="1:17" x14ac:dyDescent="0.25">
      <c r="A156" s="475" t="s">
        <v>312</v>
      </c>
      <c r="B156" s="466"/>
      <c r="C156" s="466">
        <f>'Raw Data'!B141</f>
        <v>-35</v>
      </c>
      <c r="D156" s="466">
        <f>'Raw Data'!C141</f>
        <v>0</v>
      </c>
      <c r="E156" s="466">
        <f>'Raw Data'!D141</f>
        <v>0</v>
      </c>
      <c r="F156" s="466">
        <f>'Raw Data'!E141</f>
        <v>0</v>
      </c>
      <c r="G156" s="466">
        <f>'Raw Data'!F141</f>
        <v>0</v>
      </c>
      <c r="H156" s="466">
        <f>'Raw Data'!G141</f>
        <v>0</v>
      </c>
      <c r="I156" s="466">
        <f>'Raw Data'!H141</f>
        <v>0</v>
      </c>
      <c r="J156" s="466">
        <f>'Raw Data'!I141</f>
        <v>41</v>
      </c>
      <c r="K156" s="466">
        <f>'Raw Data'!J141</f>
        <v>0</v>
      </c>
      <c r="L156" s="465">
        <f>'Raw Data'!K141</f>
        <v>-18</v>
      </c>
      <c r="M156" s="372"/>
      <c r="N156" s="372"/>
      <c r="O156" s="474"/>
      <c r="P156" s="469"/>
      <c r="Q156" s="469"/>
    </row>
    <row r="157" spans="1:17" x14ac:dyDescent="0.25">
      <c r="A157" s="475" t="s">
        <v>169</v>
      </c>
      <c r="B157" s="466"/>
      <c r="C157" s="466">
        <f>'Raw Data'!B142</f>
        <v>92</v>
      </c>
      <c r="D157" s="466">
        <f>'Raw Data'!C142</f>
        <v>-11</v>
      </c>
      <c r="E157" s="466">
        <f>'Raw Data'!D142</f>
        <v>62</v>
      </c>
      <c r="F157" s="466">
        <f>'Raw Data'!E142</f>
        <v>-263</v>
      </c>
      <c r="G157" s="466">
        <f>'Raw Data'!F142</f>
        <v>39</v>
      </c>
      <c r="H157" s="466">
        <f>'Raw Data'!G142</f>
        <v>201</v>
      </c>
      <c r="I157" s="466">
        <f>'Raw Data'!H142</f>
        <v>66</v>
      </c>
      <c r="J157" s="466">
        <f>'Raw Data'!I142</f>
        <v>121</v>
      </c>
      <c r="K157" s="466">
        <f>'Raw Data'!J142</f>
        <v>-1183</v>
      </c>
      <c r="L157" s="465">
        <f>'Raw Data'!K142</f>
        <v>0</v>
      </c>
      <c r="M157" s="372"/>
      <c r="N157" s="372"/>
      <c r="O157" s="474"/>
      <c r="P157" s="469"/>
      <c r="Q157" s="469"/>
    </row>
    <row r="158" spans="1:17" ht="16.5" thickBot="1" x14ac:dyDescent="0.3">
      <c r="A158" s="473" t="s">
        <v>168</v>
      </c>
      <c r="B158" s="472"/>
      <c r="C158" s="472">
        <f>SUM(C153:C157)</f>
        <v>-870</v>
      </c>
      <c r="D158" s="472">
        <f>SUM(D153:D157)</f>
        <v>-2410</v>
      </c>
      <c r="E158" s="472">
        <f>SUM(E153:E157)</f>
        <v>-2493</v>
      </c>
      <c r="F158" s="472">
        <f>SUM(F153:F157)</f>
        <v>-3256</v>
      </c>
      <c r="G158" s="472">
        <f>SUM(G153:G157)</f>
        <v>-1281</v>
      </c>
      <c r="H158" s="472">
        <f>SUM(H153:H157)</f>
        <v>-1147</v>
      </c>
      <c r="I158" s="472">
        <f>SUM(I153:I157)</f>
        <v>-1147</v>
      </c>
      <c r="J158" s="472">
        <f>SUM(J153:J157)</f>
        <v>-6488</v>
      </c>
      <c r="K158" s="472">
        <f>SUM(K153:K157)</f>
        <v>-4283</v>
      </c>
      <c r="L158" s="471">
        <f>SUM(L153:L157)</f>
        <v>-2614</v>
      </c>
      <c r="M158" s="372"/>
      <c r="N158" s="372"/>
      <c r="O158" s="470"/>
      <c r="P158" s="469"/>
      <c r="Q158" s="469"/>
    </row>
    <row r="159" spans="1:17" ht="16.5" thickTop="1" x14ac:dyDescent="0.25">
      <c r="A159" s="475" t="s">
        <v>167</v>
      </c>
      <c r="B159" s="466"/>
      <c r="C159" s="466">
        <f>'Raw Data'!B144</f>
        <v>-11</v>
      </c>
      <c r="D159" s="466">
        <f>'Raw Data'!C144</f>
        <v>-418</v>
      </c>
      <c r="E159" s="466">
        <f>'Raw Data'!D144</f>
        <v>50</v>
      </c>
      <c r="F159" s="466">
        <f>'Raw Data'!E144</f>
        <v>25</v>
      </c>
      <c r="G159" s="466">
        <f>'Raw Data'!F144</f>
        <v>-37</v>
      </c>
      <c r="H159" s="466">
        <f>'Raw Data'!G144</f>
        <v>-15</v>
      </c>
      <c r="I159" s="466">
        <f>'Raw Data'!H144</f>
        <v>70</v>
      </c>
      <c r="J159" s="466">
        <f>'Raw Data'!I144</f>
        <v>46</v>
      </c>
      <c r="K159" s="466">
        <f>'Raw Data'!J144</f>
        <v>-249</v>
      </c>
      <c r="L159" s="465">
        <f>'Raw Data'!K144</f>
        <v>15</v>
      </c>
      <c r="M159" s="372"/>
      <c r="N159" s="372"/>
      <c r="O159" s="474"/>
      <c r="P159" s="469"/>
      <c r="Q159" s="469"/>
    </row>
    <row r="160" spans="1:17" ht="16.5" thickBot="1" x14ac:dyDescent="0.3">
      <c r="A160" s="473" t="s">
        <v>166</v>
      </c>
      <c r="B160" s="472"/>
      <c r="C160" s="472">
        <f>C146+C151+C158+C159</f>
        <v>1110</v>
      </c>
      <c r="D160" s="472">
        <f>D146+D151+D158+D159</f>
        <v>-936</v>
      </c>
      <c r="E160" s="472">
        <f>E146+E151+E158+E159</f>
        <v>-1800</v>
      </c>
      <c r="F160" s="472">
        <f>F146+F151+F158+F159</f>
        <v>993</v>
      </c>
      <c r="G160" s="472">
        <f>G146+G151+G158+G159</f>
        <v>1487</v>
      </c>
      <c r="H160" s="472">
        <f>H146+H151+H158+H159</f>
        <v>2196</v>
      </c>
      <c r="I160" s="472">
        <f>I146+I151+I158+I159</f>
        <v>4974</v>
      </c>
      <c r="J160" s="472">
        <f>J146+J151+J158+J159</f>
        <v>-1072</v>
      </c>
      <c r="K160" s="472">
        <f>K146+K151+K158+K159</f>
        <v>-1031</v>
      </c>
      <c r="L160" s="471">
        <f>L146+L151+L158+L159</f>
        <v>4146</v>
      </c>
      <c r="M160" s="372"/>
      <c r="N160" s="372"/>
      <c r="O160" s="470"/>
      <c r="P160" s="469"/>
      <c r="Q160" s="469"/>
    </row>
    <row r="161" spans="1:17" ht="16.5" thickTop="1" x14ac:dyDescent="0.25">
      <c r="A161" s="468" t="s">
        <v>311</v>
      </c>
      <c r="B161" s="466"/>
      <c r="C161" s="466">
        <f>'Raw Data'!B145</f>
        <v>1094</v>
      </c>
      <c r="D161" s="466">
        <f>'Raw Data'!C145</f>
        <v>-937</v>
      </c>
      <c r="E161" s="466">
        <f>'Raw Data'!D145</f>
        <v>-1422</v>
      </c>
      <c r="F161" s="466">
        <f>'Raw Data'!E145</f>
        <v>1167</v>
      </c>
      <c r="G161" s="466">
        <f>'Raw Data'!F145</f>
        <v>1509</v>
      </c>
      <c r="H161" s="466">
        <f>'Raw Data'!G145</f>
        <v>2329</v>
      </c>
      <c r="I161" s="466">
        <f>'Raw Data'!H145</f>
        <v>3893</v>
      </c>
      <c r="J161" s="466">
        <f>'Raw Data'!I145</f>
        <v>-1019</v>
      </c>
      <c r="K161" s="466">
        <f>'Raw Data'!J145</f>
        <v>-1055</v>
      </c>
      <c r="L161" s="465">
        <f>'Raw Data'!K145</f>
        <v>3497</v>
      </c>
      <c r="M161" s="437"/>
      <c r="N161" s="437"/>
      <c r="O161" s="437"/>
      <c r="P161" s="437"/>
      <c r="Q161" s="437"/>
    </row>
    <row r="162" spans="1:17" x14ac:dyDescent="0.25">
      <c r="A162" s="467" t="s">
        <v>454</v>
      </c>
      <c r="B162" s="466"/>
      <c r="C162" s="466"/>
      <c r="D162" s="466"/>
      <c r="E162" s="466"/>
      <c r="F162" s="466"/>
      <c r="G162" s="466"/>
      <c r="H162" s="466">
        <f>H163-H160</f>
        <v>-11</v>
      </c>
      <c r="I162" s="466">
        <f>I163-I160</f>
        <v>-1113</v>
      </c>
      <c r="J162" s="466">
        <f>J163-J160</f>
        <v>-58</v>
      </c>
      <c r="K162" s="466">
        <f>K163-K160</f>
        <v>-95</v>
      </c>
      <c r="L162" s="465">
        <f>L163-L160</f>
        <v>39</v>
      </c>
      <c r="M162" s="437"/>
      <c r="N162" s="437"/>
      <c r="O162" s="437"/>
      <c r="P162" s="437"/>
      <c r="Q162" s="437"/>
    </row>
    <row r="163" spans="1:17" ht="16.5" thickBot="1" x14ac:dyDescent="0.3">
      <c r="A163" s="464" t="s">
        <v>309</v>
      </c>
      <c r="B163" s="463"/>
      <c r="C163" s="463"/>
      <c r="D163" s="463"/>
      <c r="E163" s="463"/>
      <c r="F163" s="463"/>
      <c r="G163" s="463"/>
      <c r="H163" s="463">
        <f>H79-G79</f>
        <v>2185</v>
      </c>
      <c r="I163" s="463">
        <f>I79-H79</f>
        <v>3861</v>
      </c>
      <c r="J163" s="463">
        <f>J79-I79</f>
        <v>-1130</v>
      </c>
      <c r="K163" s="463">
        <f>K79-J79</f>
        <v>-1126</v>
      </c>
      <c r="L163" s="462">
        <f>L79-K79</f>
        <v>4185</v>
      </c>
      <c r="M163" s="437"/>
      <c r="N163" s="437"/>
      <c r="O163" s="437"/>
      <c r="P163" s="437"/>
      <c r="Q163" s="437"/>
    </row>
    <row r="164" spans="1:17" ht="16.5" thickBot="1" x14ac:dyDescent="0.3">
      <c r="A164" s="32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</row>
    <row r="165" spans="1:17" x14ac:dyDescent="0.25">
      <c r="A165" s="59"/>
      <c r="B165" s="58" t="str">
        <f>B129</f>
        <v>Fiscal Year</v>
      </c>
      <c r="C165" s="57">
        <f>C129</f>
        <v>2014</v>
      </c>
      <c r="D165" s="57">
        <f>D129</f>
        <v>2015</v>
      </c>
      <c r="E165" s="57">
        <f>E129</f>
        <v>2016</v>
      </c>
      <c r="F165" s="57">
        <f>F129</f>
        <v>2017</v>
      </c>
      <c r="G165" s="57">
        <f>G129</f>
        <v>2018</v>
      </c>
      <c r="H165" s="57">
        <f>H129</f>
        <v>2019</v>
      </c>
      <c r="I165" s="57">
        <f>I129</f>
        <v>2020</v>
      </c>
      <c r="J165" s="57">
        <f>J129</f>
        <v>2021</v>
      </c>
      <c r="K165" s="57">
        <f>K129</f>
        <v>2022</v>
      </c>
      <c r="L165" s="57">
        <f>L129</f>
        <v>2023</v>
      </c>
    </row>
    <row r="166" spans="1:17" x14ac:dyDescent="0.25">
      <c r="A166" s="53" t="s">
        <v>308</v>
      </c>
      <c r="B166" s="52" t="s">
        <v>307</v>
      </c>
      <c r="C166" s="51">
        <v>-9</v>
      </c>
      <c r="D166" s="51">
        <v>-8</v>
      </c>
      <c r="E166" s="51">
        <v>-7</v>
      </c>
      <c r="F166" s="51">
        <v>-6</v>
      </c>
      <c r="G166" s="51">
        <v>-5</v>
      </c>
      <c r="H166" s="51">
        <v>-4</v>
      </c>
      <c r="I166" s="51">
        <v>-3</v>
      </c>
      <c r="J166" s="51">
        <v>-2</v>
      </c>
      <c r="K166" s="51">
        <v>-1</v>
      </c>
      <c r="L166" s="50">
        <v>0</v>
      </c>
    </row>
    <row r="167" spans="1:17" x14ac:dyDescent="0.25">
      <c r="A167" s="86" t="s">
        <v>306</v>
      </c>
      <c r="B167" s="77"/>
      <c r="C167" s="76">
        <f>'Raw Data'!B334</f>
        <v>121.08</v>
      </c>
      <c r="D167" s="76">
        <f>'Raw Data'!C334</f>
        <v>140.05000000000001</v>
      </c>
      <c r="E167" s="76">
        <f>'Raw Data'!D334</f>
        <v>162.09</v>
      </c>
      <c r="F167" s="76">
        <f>'Raw Data'!E334</f>
        <v>156.74</v>
      </c>
      <c r="G167" s="76">
        <f>'Raw Data'!F334</f>
        <v>233.13</v>
      </c>
      <c r="H167" s="76">
        <f>'Raw Data'!G334</f>
        <v>294.76</v>
      </c>
      <c r="I167" s="76">
        <f>'Raw Data'!H334</f>
        <v>347.66</v>
      </c>
      <c r="J167" s="76">
        <f>'Raw Data'!I334</f>
        <v>455.49</v>
      </c>
      <c r="K167" s="76">
        <f>'Raw Data'!J334</f>
        <v>522.1</v>
      </c>
      <c r="L167" s="461">
        <f>'Raw Data'!K334</f>
        <v>549.28</v>
      </c>
    </row>
    <row r="168" spans="1:17" x14ac:dyDescent="0.25">
      <c r="A168" s="85" t="s">
        <v>305</v>
      </c>
      <c r="B168" s="77"/>
      <c r="C168" s="202">
        <f>'Raw Data'!B313</f>
        <v>437.68299999999999</v>
      </c>
      <c r="D168" s="202">
        <f>'Raw Data'!C313</f>
        <v>437.952</v>
      </c>
      <c r="E168" s="202">
        <f>'Raw Data'!D313</f>
        <v>437.524</v>
      </c>
      <c r="F168" s="202">
        <f>'Raw Data'!E313</f>
        <v>437.20400000000001</v>
      </c>
      <c r="G168" s="202">
        <f>'Raw Data'!F313</f>
        <v>438.18900000000002</v>
      </c>
      <c r="H168" s="202">
        <f>'Raw Data'!G313</f>
        <v>439.625</v>
      </c>
      <c r="I168" s="202">
        <f>'Raw Data'!H313</f>
        <v>441.255</v>
      </c>
      <c r="J168" s="202">
        <f>'Raw Data'!I313</f>
        <v>441.82499999999999</v>
      </c>
      <c r="K168" s="202">
        <f>'Raw Data'!J313</f>
        <v>442.66399999999999</v>
      </c>
      <c r="L168" s="460">
        <f>'Raw Data'!K313</f>
        <v>442.79300000000001</v>
      </c>
    </row>
    <row r="169" spans="1:17" x14ac:dyDescent="0.25">
      <c r="A169" s="85" t="s">
        <v>304</v>
      </c>
      <c r="B169" s="77"/>
      <c r="C169" s="76">
        <f>'Raw Data'!B328</f>
        <v>1.33</v>
      </c>
      <c r="D169" s="76">
        <f>'Raw Data'!C328</f>
        <v>6.51</v>
      </c>
      <c r="E169" s="76">
        <f>'Raw Data'!D328</f>
        <v>1.7</v>
      </c>
      <c r="F169" s="76">
        <f>'Raw Data'!E328</f>
        <v>8.9</v>
      </c>
      <c r="G169" s="76">
        <f>'Raw Data'!F328</f>
        <v>2.14</v>
      </c>
      <c r="H169" s="76">
        <f>'Raw Data'!G328</f>
        <v>2.44</v>
      </c>
      <c r="I169" s="76">
        <f>'Raw Data'!H328</f>
        <v>2.7</v>
      </c>
      <c r="J169" s="76">
        <f>'Raw Data'!I328</f>
        <v>12.98</v>
      </c>
      <c r="K169" s="76">
        <f>'Raw Data'!J328</f>
        <v>3.38</v>
      </c>
      <c r="L169" s="298">
        <f>'Raw Data'!K328</f>
        <v>3.84</v>
      </c>
    </row>
    <row r="170" spans="1:17" x14ac:dyDescent="0.25">
      <c r="A170" s="85" t="s">
        <v>31</v>
      </c>
      <c r="B170" s="77"/>
      <c r="C170" s="84">
        <f>'Raw Data'!B306</f>
        <v>4.6900000000000004</v>
      </c>
      <c r="D170" s="84">
        <f>'Raw Data'!C306</f>
        <v>5.41</v>
      </c>
      <c r="E170" s="84">
        <f>'Raw Data'!D306</f>
        <v>5.36</v>
      </c>
      <c r="F170" s="84">
        <f>'Raw Data'!E306</f>
        <v>6.11</v>
      </c>
      <c r="G170" s="84">
        <f>'Raw Data'!F306</f>
        <v>7.15</v>
      </c>
      <c r="H170" s="84">
        <f>'Raw Data'!G306</f>
        <v>8.32</v>
      </c>
      <c r="I170" s="84">
        <f>'Raw Data'!H306</f>
        <v>9.0500000000000007</v>
      </c>
      <c r="J170" s="84">
        <f>'Raw Data'!I306</f>
        <v>11.3</v>
      </c>
      <c r="K170" s="84">
        <f>'Raw Data'!J306</f>
        <v>13.17</v>
      </c>
      <c r="L170" s="83">
        <f>'Raw Data'!K306</f>
        <v>14.18</v>
      </c>
    </row>
    <row r="171" spans="1:17" x14ac:dyDescent="0.25">
      <c r="A171" s="85" t="s">
        <v>303</v>
      </c>
      <c r="B171" s="77"/>
      <c r="C171" s="202">
        <f>'Raw Data'!B310</f>
        <v>438.69299999999998</v>
      </c>
      <c r="D171" s="202">
        <f>'Raw Data'!C310</f>
        <v>439.45499999999998</v>
      </c>
      <c r="E171" s="202">
        <f>'Raw Data'!D310</f>
        <v>438.58499999999998</v>
      </c>
      <c r="F171" s="202">
        <f>'Raw Data'!E310</f>
        <v>438.43700000000001</v>
      </c>
      <c r="G171" s="202">
        <f>'Raw Data'!F310</f>
        <v>438.51499999999999</v>
      </c>
      <c r="H171" s="202">
        <f>'Raw Data'!G310</f>
        <v>439.755</v>
      </c>
      <c r="I171" s="202">
        <f>'Raw Data'!H310</f>
        <v>442.29700000000003</v>
      </c>
      <c r="J171" s="202">
        <f>'Raw Data'!I310</f>
        <v>443.089</v>
      </c>
      <c r="K171" s="202">
        <f>'Raw Data'!J310</f>
        <v>443.65100000000001</v>
      </c>
      <c r="L171" s="252">
        <f>'Raw Data'!K310</f>
        <v>443.85399999999998</v>
      </c>
    </row>
    <row r="172" spans="1:17" x14ac:dyDescent="0.25">
      <c r="A172" s="85" t="s">
        <v>29</v>
      </c>
      <c r="B172" s="77"/>
      <c r="C172" s="84">
        <f>'Raw Data'!B308</f>
        <v>4.6500000000000004</v>
      </c>
      <c r="D172" s="84">
        <f>'Raw Data'!C308</f>
        <v>5.37</v>
      </c>
      <c r="E172" s="84">
        <f>'Raw Data'!D308</f>
        <v>5.33</v>
      </c>
      <c r="F172" s="84">
        <f>'Raw Data'!E308</f>
        <v>6.08</v>
      </c>
      <c r="G172" s="84">
        <f>'Raw Data'!F308</f>
        <v>7.09</v>
      </c>
      <c r="H172" s="84">
        <f>'Raw Data'!G308</f>
        <v>8.26</v>
      </c>
      <c r="I172" s="84">
        <f>'Raw Data'!H308</f>
        <v>9.02</v>
      </c>
      <c r="J172" s="84">
        <f>'Raw Data'!I308</f>
        <v>11.27</v>
      </c>
      <c r="K172" s="84">
        <f>'Raw Data'!J308</f>
        <v>13.14</v>
      </c>
      <c r="L172" s="83">
        <f>'Raw Data'!K308</f>
        <v>14.16</v>
      </c>
    </row>
    <row r="173" spans="1:17" ht="16.5" thickBot="1" x14ac:dyDescent="0.3">
      <c r="A173" s="82" t="s">
        <v>453</v>
      </c>
      <c r="B173" s="81"/>
      <c r="C173" s="459">
        <f>'Raw Data'!B312</f>
        <v>442.48500000000001</v>
      </c>
      <c r="D173" s="459">
        <f>'Raw Data'!C312</f>
        <v>442.71600000000001</v>
      </c>
      <c r="E173" s="459">
        <f>'Raw Data'!D312</f>
        <v>441.26299999999998</v>
      </c>
      <c r="F173" s="459">
        <f>'Raw Data'!E312</f>
        <v>440.93700000000001</v>
      </c>
      <c r="G173" s="459">
        <f>'Raw Data'!F312</f>
        <v>441.834</v>
      </c>
      <c r="H173" s="459">
        <f>'Raw Data'!G312</f>
        <v>442.923</v>
      </c>
      <c r="I173" s="459">
        <f>'Raw Data'!H312</f>
        <v>443.90100000000001</v>
      </c>
      <c r="J173" s="459">
        <f>'Raw Data'!I312</f>
        <v>444.346</v>
      </c>
      <c r="K173" s="459">
        <f>'Raw Data'!J312</f>
        <v>444.75700000000001</v>
      </c>
      <c r="L173" s="458">
        <f>'Raw Data'!K312</f>
        <v>444.452</v>
      </c>
    </row>
    <row r="174" spans="1:17" x14ac:dyDescent="0.25">
      <c r="A174" s="85"/>
      <c r="B174" s="77"/>
      <c r="C174" s="76"/>
      <c r="D174" s="76"/>
      <c r="E174" s="76"/>
      <c r="F174" s="76"/>
      <c r="G174" s="76"/>
      <c r="H174" s="76"/>
      <c r="I174" s="76"/>
      <c r="J174" s="76"/>
      <c r="K174" s="76"/>
      <c r="L174" s="76"/>
    </row>
    <row r="175" spans="1:17" ht="16.5" thickBot="1" x14ac:dyDescent="0.3">
      <c r="A175" s="457" t="s">
        <v>452</v>
      </c>
      <c r="B175" s="423"/>
      <c r="C175" s="456"/>
      <c r="D175" s="456"/>
      <c r="E175" s="456"/>
      <c r="F175" s="456"/>
      <c r="G175" s="456"/>
      <c r="H175" s="456"/>
      <c r="I175" s="456"/>
      <c r="J175" s="456"/>
      <c r="K175" s="456"/>
      <c r="L175" s="455"/>
    </row>
    <row r="176" spans="1:17" x14ac:dyDescent="0.25">
      <c r="A176" s="420" t="s">
        <v>413</v>
      </c>
      <c r="B176" s="454"/>
      <c r="C176" s="453">
        <f>C167*C168</f>
        <v>52994.657639999998</v>
      </c>
      <c r="D176" s="453">
        <f>D167*D168</f>
        <v>61335.177600000003</v>
      </c>
      <c r="E176" s="453">
        <f>E167*E168</f>
        <v>70918.265159999995</v>
      </c>
      <c r="F176" s="453">
        <f>F167*F168</f>
        <v>68527.354960000011</v>
      </c>
      <c r="G176" s="453">
        <f>G167*G168</f>
        <v>102155.00157000001</v>
      </c>
      <c r="H176" s="453">
        <f>H167*H168</f>
        <v>129583.86499999999</v>
      </c>
      <c r="I176" s="453">
        <f>I167*I168</f>
        <v>153406.7133</v>
      </c>
      <c r="J176" s="453">
        <f>J167*J168</f>
        <v>201246.86924999999</v>
      </c>
      <c r="K176" s="453">
        <f>K167*K168</f>
        <v>231114.8744</v>
      </c>
      <c r="L176" s="452">
        <f>L167*L168</f>
        <v>243217.33903999999</v>
      </c>
    </row>
    <row r="177" spans="1:18" x14ac:dyDescent="0.25">
      <c r="A177" s="243" t="s">
        <v>451</v>
      </c>
      <c r="B177" s="134"/>
      <c r="C177" s="215">
        <f>C96+C101+C124</f>
        <v>5286</v>
      </c>
      <c r="D177" s="215">
        <f>D96+D101+D124</f>
        <v>6443</v>
      </c>
      <c r="E177" s="215">
        <f>E96+E101+E124</f>
        <v>5535</v>
      </c>
      <c r="F177" s="215">
        <f>F96+F101+F124</f>
        <v>7039</v>
      </c>
      <c r="G177" s="215">
        <f>G96+G101+G124</f>
        <v>6974</v>
      </c>
      <c r="H177" s="215">
        <f>H96+H101+H124</f>
        <v>7244</v>
      </c>
      <c r="I177" s="215">
        <f>I96+I101+I124</f>
        <v>11086</v>
      </c>
      <c r="J177" s="215">
        <f>J96+J101+J124</f>
        <v>11407</v>
      </c>
      <c r="K177" s="215">
        <f>K96+K101+K124</f>
        <v>10906</v>
      </c>
      <c r="L177" s="451">
        <f>L96+L101+L124</f>
        <v>10536</v>
      </c>
      <c r="M177" s="31"/>
      <c r="N177" s="31"/>
      <c r="O177" s="75"/>
      <c r="P177" s="74"/>
      <c r="Q177" s="73"/>
      <c r="R177" s="73"/>
    </row>
    <row r="178" spans="1:18" ht="16.5" thickBot="1" x14ac:dyDescent="0.3">
      <c r="A178" s="450" t="s">
        <v>450</v>
      </c>
      <c r="B178" s="449"/>
      <c r="C178" s="448">
        <f>C176+C177</f>
        <v>58280.657639999998</v>
      </c>
      <c r="D178" s="448">
        <f>D176+D177</f>
        <v>67778.177599999995</v>
      </c>
      <c r="E178" s="448">
        <f>E176+E177</f>
        <v>76453.265159999995</v>
      </c>
      <c r="F178" s="448">
        <f>F176+F177</f>
        <v>75566.354960000011</v>
      </c>
      <c r="G178" s="448">
        <f>G176+G177</f>
        <v>109129.00157000001</v>
      </c>
      <c r="H178" s="448">
        <f>H176+H177</f>
        <v>136827.86499999999</v>
      </c>
      <c r="I178" s="448">
        <f>I176+I177</f>
        <v>164492.7133</v>
      </c>
      <c r="J178" s="448">
        <f>J176+J177</f>
        <v>212653.86924999999</v>
      </c>
      <c r="K178" s="448">
        <f>K176+K177</f>
        <v>242020.8744</v>
      </c>
      <c r="L178" s="447">
        <f>L176+L177</f>
        <v>253753.33903999999</v>
      </c>
      <c r="M178" s="31"/>
      <c r="N178" s="31"/>
      <c r="O178" s="75"/>
      <c r="P178" s="74"/>
      <c r="Q178" s="73"/>
      <c r="R178" s="73"/>
    </row>
    <row r="179" spans="1:18" ht="16.5" thickTop="1" x14ac:dyDescent="0.25">
      <c r="A179" s="86" t="s">
        <v>368</v>
      </c>
      <c r="B179" s="77"/>
      <c r="C179" s="446">
        <f>C177/C178</f>
        <v>9.0699045172956974E-2</v>
      </c>
      <c r="D179" s="446">
        <f>D177/D178</f>
        <v>9.5060094976646289E-2</v>
      </c>
      <c r="E179" s="446">
        <f>E177/E178</f>
        <v>7.2397169544249726E-2</v>
      </c>
      <c r="F179" s="446">
        <f>F177/F178</f>
        <v>9.3149921069052441E-2</v>
      </c>
      <c r="G179" s="446">
        <f>G177/G178</f>
        <v>6.3906018562137928E-2</v>
      </c>
      <c r="H179" s="446">
        <f>H177/H178</f>
        <v>5.2942432449706062E-2</v>
      </c>
      <c r="I179" s="446">
        <f>I177/I178</f>
        <v>6.7395082600294129E-2</v>
      </c>
      <c r="J179" s="446">
        <f>J177/J178</f>
        <v>5.3641158941668307E-2</v>
      </c>
      <c r="K179" s="446">
        <f>K177/K178</f>
        <v>4.5062228731456891E-2</v>
      </c>
      <c r="L179" s="445">
        <f>L177/L178</f>
        <v>4.152063590516606E-2</v>
      </c>
      <c r="M179" s="31"/>
      <c r="N179" s="31"/>
      <c r="O179" s="75"/>
      <c r="P179" s="74"/>
      <c r="Q179" s="73"/>
      <c r="R179" s="73"/>
    </row>
    <row r="180" spans="1:18" ht="16.5" thickBot="1" x14ac:dyDescent="0.3">
      <c r="A180" s="444" t="s">
        <v>367</v>
      </c>
      <c r="B180" s="81"/>
      <c r="C180" s="443">
        <f>C176/C178</f>
        <v>0.90930095482704298</v>
      </c>
      <c r="D180" s="443">
        <f>D176/D178</f>
        <v>0.90493990502335386</v>
      </c>
      <c r="E180" s="443">
        <f>E176/E178</f>
        <v>0.92760283045575032</v>
      </c>
      <c r="F180" s="443">
        <f>F176/F178</f>
        <v>0.9068500789309476</v>
      </c>
      <c r="G180" s="443">
        <f>G176/G178</f>
        <v>0.93609398143786204</v>
      </c>
      <c r="H180" s="443">
        <f>H176/H178</f>
        <v>0.94705756755029391</v>
      </c>
      <c r="I180" s="443">
        <f>I176/I178</f>
        <v>0.93260491739970586</v>
      </c>
      <c r="J180" s="443">
        <f>J176/J178</f>
        <v>0.94635884105833168</v>
      </c>
      <c r="K180" s="443">
        <f>K176/K178</f>
        <v>0.95493777126854307</v>
      </c>
      <c r="L180" s="442">
        <f>L176/L178</f>
        <v>0.95847936409483392</v>
      </c>
      <c r="M180" s="31"/>
      <c r="N180" s="31"/>
      <c r="O180" s="75"/>
      <c r="P180" s="74"/>
      <c r="Q180" s="73"/>
      <c r="R180" s="73"/>
    </row>
    <row r="181" spans="1:18" x14ac:dyDescent="0.25">
      <c r="A181" s="32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74"/>
      <c r="P181" s="74"/>
      <c r="Q181" s="74"/>
      <c r="R181" s="74"/>
    </row>
    <row r="182" spans="1:18" ht="16.5" thickBot="1" x14ac:dyDescent="0.3">
      <c r="A182" s="53" t="s">
        <v>301</v>
      </c>
      <c r="B182" s="346"/>
      <c r="C182" s="346"/>
      <c r="D182" s="346"/>
      <c r="E182" s="346"/>
      <c r="F182" s="346"/>
      <c r="G182" s="346"/>
      <c r="H182" s="346"/>
      <c r="I182" s="346"/>
      <c r="J182" s="346"/>
      <c r="K182" s="346"/>
      <c r="L182" s="346"/>
      <c r="M182" s="31"/>
      <c r="N182" s="31"/>
      <c r="O182" s="74"/>
      <c r="P182" s="74"/>
      <c r="Q182" s="74"/>
      <c r="R182" s="74"/>
    </row>
    <row r="183" spans="1:18" x14ac:dyDescent="0.25">
      <c r="A183" s="59"/>
      <c r="B183" s="58" t="str">
        <f>B165</f>
        <v>Fiscal Year</v>
      </c>
      <c r="C183" s="57">
        <f>C51</f>
        <v>2014</v>
      </c>
      <c r="D183" s="57">
        <f>D51</f>
        <v>2015</v>
      </c>
      <c r="E183" s="57">
        <f>E51</f>
        <v>2016</v>
      </c>
      <c r="F183" s="57">
        <f>F51</f>
        <v>2017</v>
      </c>
      <c r="G183" s="57">
        <f>G51</f>
        <v>2018</v>
      </c>
      <c r="H183" s="57">
        <f>H51</f>
        <v>2019</v>
      </c>
      <c r="I183" s="57">
        <f>I51</f>
        <v>2020</v>
      </c>
      <c r="J183" s="57">
        <f>J51</f>
        <v>2021</v>
      </c>
      <c r="K183" s="57">
        <f>K51</f>
        <v>2022</v>
      </c>
      <c r="L183" s="57">
        <f>L51</f>
        <v>2023</v>
      </c>
      <c r="M183" s="54" t="s">
        <v>447</v>
      </c>
      <c r="N183" s="54" t="s">
        <v>447</v>
      </c>
      <c r="O183" s="54" t="s">
        <v>447</v>
      </c>
      <c r="P183" s="54" t="s">
        <v>447</v>
      </c>
      <c r="Q183" s="54" t="s">
        <v>447</v>
      </c>
      <c r="R183" s="89"/>
    </row>
    <row r="184" spans="1:18" ht="16.5" thickBot="1" x14ac:dyDescent="0.3">
      <c r="A184" s="53" t="s">
        <v>300</v>
      </c>
      <c r="B184" s="52" t="s">
        <v>307</v>
      </c>
      <c r="C184" s="51">
        <v>-9</v>
      </c>
      <c r="D184" s="51">
        <v>-8</v>
      </c>
      <c r="E184" s="51">
        <v>-7</v>
      </c>
      <c r="F184" s="51">
        <v>-6</v>
      </c>
      <c r="G184" s="51">
        <v>-5</v>
      </c>
      <c r="H184" s="51">
        <v>-4</v>
      </c>
      <c r="I184" s="51">
        <v>-3</v>
      </c>
      <c r="J184" s="51">
        <v>-2</v>
      </c>
      <c r="K184" s="51">
        <v>-1</v>
      </c>
      <c r="L184" s="50">
        <v>0</v>
      </c>
      <c r="M184" s="47">
        <v>1</v>
      </c>
      <c r="N184" s="47">
        <v>2</v>
      </c>
      <c r="O184" s="47">
        <v>3</v>
      </c>
      <c r="P184" s="47">
        <v>4</v>
      </c>
      <c r="Q184" s="47">
        <v>5</v>
      </c>
      <c r="R184" s="46" t="s">
        <v>286</v>
      </c>
    </row>
    <row r="185" spans="1:18" x14ac:dyDescent="0.25">
      <c r="A185" s="32" t="s">
        <v>298</v>
      </c>
      <c r="B185" s="31"/>
      <c r="C185" s="436">
        <f>'Constructed Financials'!C130</f>
        <v>3132.0215827338134</v>
      </c>
      <c r="D185" s="436">
        <f>'Constructed Financials'!D130</f>
        <v>3549.3684794672586</v>
      </c>
      <c r="E185" s="436">
        <f>'Constructed Financials'!E130</f>
        <v>3665.7963525835867</v>
      </c>
      <c r="F185" s="436">
        <f>'Constructed Financials'!F130</f>
        <v>4098.1109185441946</v>
      </c>
      <c r="G185" s="436">
        <f>'Constructed Financials'!G130</f>
        <v>4643.1954074741107</v>
      </c>
      <c r="H185" s="436">
        <f>'Constructed Financials'!H130</f>
        <v>5269.846799580273</v>
      </c>
      <c r="I185" s="436">
        <f>'Constructed Financials'!I130</f>
        <v>6136.5969815539411</v>
      </c>
      <c r="J185" s="436">
        <f>'Constructed Financials'!J130</f>
        <v>7272.8588323353297</v>
      </c>
      <c r="K185" s="436">
        <f>'Constructed Financials'!K130</f>
        <v>7779.5401785714284</v>
      </c>
      <c r="L185" s="436">
        <f>'Constructed Financials'!L130</f>
        <v>8092.4693059974079</v>
      </c>
      <c r="M185" s="416">
        <f>M60*(1-Q18)+M59</f>
        <v>8639.3030664809339</v>
      </c>
      <c r="N185" s="416">
        <f>N60*(1-R18)+N59</f>
        <v>9293.0381747739284</v>
      </c>
      <c r="O185" s="416">
        <f>O60*(1-S18)+O59</f>
        <v>10045.901541604542</v>
      </c>
      <c r="P185" s="416">
        <f>P60*(1-T18)+P59</f>
        <v>10913.440633935761</v>
      </c>
      <c r="Q185" s="416">
        <f>Q60*(1-U18)+Q59</f>
        <v>11914.217820782796</v>
      </c>
      <c r="R185" s="24" t="s">
        <v>449</v>
      </c>
    </row>
    <row r="186" spans="1:18" x14ac:dyDescent="0.25">
      <c r="A186" s="32" t="s">
        <v>284</v>
      </c>
      <c r="B186" s="31"/>
      <c r="C186" s="390">
        <f>'Constructed Financials'!C131</f>
        <v>-1993</v>
      </c>
      <c r="D186" s="390">
        <f>'Constructed Financials'!D131</f>
        <v>-2393</v>
      </c>
      <c r="E186" s="390">
        <f>'Constructed Financials'!E131</f>
        <v>-2649</v>
      </c>
      <c r="F186" s="390">
        <f>'Constructed Financials'!F131</f>
        <v>-2502</v>
      </c>
      <c r="G186" s="390">
        <f>'Constructed Financials'!G131</f>
        <v>-2969</v>
      </c>
      <c r="H186" s="390">
        <f>'Constructed Financials'!H131</f>
        <v>-2998</v>
      </c>
      <c r="I186" s="390">
        <f>'Constructed Financials'!I131</f>
        <v>-2810</v>
      </c>
      <c r="J186" s="390">
        <f>'Constructed Financials'!J131</f>
        <v>-3588</v>
      </c>
      <c r="K186" s="390">
        <f>'Constructed Financials'!K131</f>
        <v>-3891</v>
      </c>
      <c r="L186" s="390">
        <f>'Constructed Financials'!L131</f>
        <v>-4323</v>
      </c>
      <c r="M186" s="441">
        <f>M149</f>
        <v>-4615.1187905919269</v>
      </c>
      <c r="N186" s="441">
        <f>N149</f>
        <v>-5028.2058293044001</v>
      </c>
      <c r="O186" s="441">
        <f>O149</f>
        <v>-5504.12172242012</v>
      </c>
      <c r="P186" s="441">
        <f>P149</f>
        <v>-6053.4128623828256</v>
      </c>
      <c r="Q186" s="441">
        <f>Q149</f>
        <v>-6688.7086325766431</v>
      </c>
      <c r="R186" s="24" t="s">
        <v>446</v>
      </c>
    </row>
    <row r="187" spans="1:18" x14ac:dyDescent="0.25">
      <c r="A187" s="32" t="s">
        <v>296</v>
      </c>
      <c r="B187" s="31"/>
      <c r="C187" s="384">
        <f>'Constructed Financials'!C132</f>
        <v>665</v>
      </c>
      <c r="D187" s="384">
        <f>'Constructed Financials'!D132</f>
        <v>547</v>
      </c>
      <c r="E187" s="384">
        <f>'Constructed Financials'!E132</f>
        <v>-1010</v>
      </c>
      <c r="F187" s="384">
        <f>'Constructed Financials'!F132</f>
        <v>2171</v>
      </c>
      <c r="G187" s="384">
        <f>'Constructed Financials'!G132</f>
        <v>669</v>
      </c>
      <c r="H187" s="384">
        <f>'Constructed Financials'!H132</f>
        <v>409</v>
      </c>
      <c r="I187" s="384">
        <f>'Constructed Financials'!I132</f>
        <v>2198</v>
      </c>
      <c r="J187" s="384">
        <f>'Constructed Financials'!J132</f>
        <v>1003</v>
      </c>
      <c r="K187" s="384">
        <f>'Constructed Financials'!K132</f>
        <v>-1563</v>
      </c>
      <c r="L187" s="384">
        <f>'Constructed Financials'!L132</f>
        <v>1018</v>
      </c>
      <c r="M187" s="435">
        <f>M140</f>
        <v>1086.7894815689524</v>
      </c>
      <c r="N187" s="435">
        <f>N140</f>
        <v>1166.1488431585019</v>
      </c>
      <c r="O187" s="435">
        <f>O140</f>
        <v>1257.5012596380477</v>
      </c>
      <c r="P187" s="435">
        <f>P140</f>
        <v>1362.6935630539754</v>
      </c>
      <c r="Q187" s="435">
        <f>Q140</f>
        <v>1483.9281217341638</v>
      </c>
      <c r="R187" s="24" t="s">
        <v>446</v>
      </c>
    </row>
    <row r="188" spans="1:18" ht="16.5" thickBot="1" x14ac:dyDescent="0.3">
      <c r="A188" s="19" t="s">
        <v>282</v>
      </c>
      <c r="B188" s="433"/>
      <c r="C188" s="440">
        <f>'Constructed Financials'!C133</f>
        <v>1804.0215827338134</v>
      </c>
      <c r="D188" s="440">
        <f>'Constructed Financials'!D133</f>
        <v>1703.3684794672586</v>
      </c>
      <c r="E188" s="440">
        <f>'Constructed Financials'!E133</f>
        <v>6.7963525835866676</v>
      </c>
      <c r="F188" s="440">
        <f>'Constructed Financials'!F133</f>
        <v>3767.1109185441946</v>
      </c>
      <c r="G188" s="440">
        <f>'Constructed Financials'!G133</f>
        <v>2343.1954074741107</v>
      </c>
      <c r="H188" s="440">
        <f>'Constructed Financials'!H133</f>
        <v>2680.846799580273</v>
      </c>
      <c r="I188" s="440">
        <f>'Constructed Financials'!I133</f>
        <v>5524.5969815539411</v>
      </c>
      <c r="J188" s="440">
        <f>'Constructed Financials'!J133</f>
        <v>4687.8588323353297</v>
      </c>
      <c r="K188" s="440">
        <f>'Constructed Financials'!K133</f>
        <v>2325.5401785714284</v>
      </c>
      <c r="L188" s="439">
        <f>'Constructed Financials'!L133</f>
        <v>4787.4693059974079</v>
      </c>
      <c r="M188" s="438">
        <f>SUM(M185:M187)</f>
        <v>5110.9737574579594</v>
      </c>
      <c r="N188" s="438">
        <f>SUM(N185:N187)</f>
        <v>5430.9811886280304</v>
      </c>
      <c r="O188" s="438">
        <f>SUM(O185:O187)</f>
        <v>5799.2810788224697</v>
      </c>
      <c r="P188" s="438">
        <f>SUM(P185:P187)</f>
        <v>6222.7213346069111</v>
      </c>
      <c r="Q188" s="438">
        <f>SUM(Q185:Q187)</f>
        <v>6709.4373099403174</v>
      </c>
    </row>
    <row r="189" spans="1:18" ht="16.5" thickBot="1" x14ac:dyDescent="0.3">
      <c r="A189" s="32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</row>
    <row r="190" spans="1:18" x14ac:dyDescent="0.25">
      <c r="A190" s="59"/>
      <c r="B190" s="58"/>
      <c r="C190" s="57">
        <f>C183</f>
        <v>2014</v>
      </c>
      <c r="D190" s="57">
        <f>D183</f>
        <v>2015</v>
      </c>
      <c r="E190" s="57">
        <f>E183</f>
        <v>2016</v>
      </c>
      <c r="F190" s="57">
        <f>F183</f>
        <v>2017</v>
      </c>
      <c r="G190" s="57">
        <f>G183</f>
        <v>2018</v>
      </c>
      <c r="H190" s="57">
        <f>H183</f>
        <v>2019</v>
      </c>
      <c r="I190" s="57">
        <f>I183</f>
        <v>2020</v>
      </c>
      <c r="J190" s="57">
        <f>J183</f>
        <v>2021</v>
      </c>
      <c r="K190" s="57">
        <f>K183</f>
        <v>2022</v>
      </c>
      <c r="L190" s="57">
        <f>L183</f>
        <v>2023</v>
      </c>
      <c r="M190" s="54" t="s">
        <v>447</v>
      </c>
      <c r="N190" s="54" t="s">
        <v>447</v>
      </c>
      <c r="O190" s="54" t="s">
        <v>447</v>
      </c>
      <c r="P190" s="54" t="s">
        <v>447</v>
      </c>
      <c r="Q190" s="54" t="s">
        <v>447</v>
      </c>
    </row>
    <row r="191" spans="1:18" ht="16.5" thickBot="1" x14ac:dyDescent="0.3">
      <c r="A191" s="53" t="s">
        <v>299</v>
      </c>
      <c r="B191" s="52" t="s">
        <v>307</v>
      </c>
      <c r="C191" s="51">
        <v>-9</v>
      </c>
      <c r="D191" s="51">
        <v>-8</v>
      </c>
      <c r="E191" s="51">
        <v>-7</v>
      </c>
      <c r="F191" s="51">
        <v>-6</v>
      </c>
      <c r="G191" s="51">
        <v>-5</v>
      </c>
      <c r="H191" s="51">
        <v>-4</v>
      </c>
      <c r="I191" s="51">
        <v>-3</v>
      </c>
      <c r="J191" s="51">
        <v>-2</v>
      </c>
      <c r="K191" s="51">
        <v>-1</v>
      </c>
      <c r="L191" s="50">
        <v>0</v>
      </c>
      <c r="M191" s="47">
        <v>1</v>
      </c>
      <c r="N191" s="47">
        <v>2</v>
      </c>
      <c r="O191" s="47">
        <v>3</v>
      </c>
      <c r="P191" s="47">
        <v>4</v>
      </c>
      <c r="Q191" s="47">
        <v>5</v>
      </c>
      <c r="R191" s="46" t="s">
        <v>286</v>
      </c>
    </row>
    <row r="192" spans="1:18" x14ac:dyDescent="0.25">
      <c r="A192" s="32" t="s">
        <v>298</v>
      </c>
      <c r="B192" s="31"/>
      <c r="C192" s="31"/>
      <c r="D192" s="436">
        <f>'Constructed Financials'!D137</f>
        <v>3549.3684794672586</v>
      </c>
      <c r="E192" s="436">
        <f>'Constructed Financials'!E137</f>
        <v>3665.7963525835867</v>
      </c>
      <c r="F192" s="436">
        <f>'Constructed Financials'!F137</f>
        <v>4098.1109185441946</v>
      </c>
      <c r="G192" s="436">
        <f>'Constructed Financials'!G137</f>
        <v>4643.1954074741107</v>
      </c>
      <c r="H192" s="436">
        <f>'Constructed Financials'!H137</f>
        <v>5269.846799580273</v>
      </c>
      <c r="I192" s="436">
        <f>'Constructed Financials'!I137</f>
        <v>6136.5969815539411</v>
      </c>
      <c r="J192" s="436">
        <f>'Constructed Financials'!J137</f>
        <v>7272.8588323353297</v>
      </c>
      <c r="K192" s="436">
        <f>'Constructed Financials'!K137</f>
        <v>7779.5401785714284</v>
      </c>
      <c r="L192" s="436">
        <f>'Constructed Financials'!L137</f>
        <v>8092.4693059974079</v>
      </c>
      <c r="M192" s="416">
        <f>M60*(1-Q18)+M59</f>
        <v>8639.3030664809339</v>
      </c>
      <c r="N192" s="416">
        <f>N60*(1-R18)+N59</f>
        <v>9293.0381747739284</v>
      </c>
      <c r="O192" s="416">
        <f>O60*(1-S18)+O59</f>
        <v>10045.901541604542</v>
      </c>
      <c r="P192" s="416">
        <f>P60*(1-T18)+P59</f>
        <v>10913.440633935761</v>
      </c>
      <c r="Q192" s="416">
        <f>Q60*(1-U18)+Q59</f>
        <v>11914.217820782796</v>
      </c>
      <c r="R192" s="434" t="s">
        <v>449</v>
      </c>
    </row>
    <row r="193" spans="1:30" x14ac:dyDescent="0.25">
      <c r="A193" s="32" t="s">
        <v>284</v>
      </c>
      <c r="B193" s="31"/>
      <c r="C193" s="31"/>
      <c r="D193" s="390">
        <f>'Constructed Financials'!D138</f>
        <v>-2393</v>
      </c>
      <c r="E193" s="390">
        <f>'Constructed Financials'!E138</f>
        <v>-2649</v>
      </c>
      <c r="F193" s="390">
        <f>'Constructed Financials'!F138</f>
        <v>-2502</v>
      </c>
      <c r="G193" s="390">
        <f>'Constructed Financials'!G138</f>
        <v>-2969</v>
      </c>
      <c r="H193" s="390">
        <f>'Constructed Financials'!H138</f>
        <v>-2998</v>
      </c>
      <c r="I193" s="390">
        <f>'Constructed Financials'!I138</f>
        <v>-2810</v>
      </c>
      <c r="J193" s="390">
        <f>'Constructed Financials'!J138</f>
        <v>-3588</v>
      </c>
      <c r="K193" s="390">
        <f>'Constructed Financials'!K138</f>
        <v>-3891</v>
      </c>
      <c r="L193" s="390">
        <f>'Constructed Financials'!L138</f>
        <v>-4323</v>
      </c>
      <c r="M193" s="441">
        <f>M149</f>
        <v>-4615.1187905919269</v>
      </c>
      <c r="N193" s="441">
        <f>N149</f>
        <v>-5028.2058293044001</v>
      </c>
      <c r="O193" s="441">
        <f>O149</f>
        <v>-5504.12172242012</v>
      </c>
      <c r="P193" s="441">
        <f>P149</f>
        <v>-6053.4128623828256</v>
      </c>
      <c r="Q193" s="441">
        <f>Q149</f>
        <v>-6688.7086325766431</v>
      </c>
      <c r="R193" s="434" t="s">
        <v>446</v>
      </c>
      <c r="S193" s="31"/>
      <c r="T193" s="31"/>
      <c r="U193" s="31"/>
      <c r="V193" s="31"/>
      <c r="W193" s="31"/>
      <c r="X193" s="31"/>
      <c r="Y193" s="276"/>
      <c r="Z193" s="276"/>
      <c r="AA193" s="276"/>
      <c r="AB193" s="276"/>
      <c r="AC193" s="276"/>
      <c r="AD193" s="276"/>
    </row>
    <row r="194" spans="1:30" x14ac:dyDescent="0.25">
      <c r="A194" s="32" t="s">
        <v>296</v>
      </c>
      <c r="B194" s="31"/>
      <c r="C194" s="31"/>
      <c r="D194" s="384">
        <f>'Constructed Financials'!D139</f>
        <v>235</v>
      </c>
      <c r="E194" s="384">
        <f>'Constructed Financials'!E139</f>
        <v>-391</v>
      </c>
      <c r="F194" s="384">
        <f>'Constructed Financials'!F139</f>
        <v>1888</v>
      </c>
      <c r="G194" s="384">
        <f>'Constructed Financials'!G139</f>
        <v>935</v>
      </c>
      <c r="H194" s="384">
        <f>'Constructed Financials'!H139</f>
        <v>672</v>
      </c>
      <c r="I194" s="384">
        <f>'Constructed Financials'!I139</f>
        <v>2201</v>
      </c>
      <c r="J194" s="384">
        <f>'Constructed Financials'!J139</f>
        <v>1346</v>
      </c>
      <c r="K194" s="384">
        <f>'Constructed Financials'!K139</f>
        <v>-1224</v>
      </c>
      <c r="L194" s="384">
        <f>'Constructed Financials'!L139</f>
        <v>1714</v>
      </c>
      <c r="M194" s="435">
        <f>M127</f>
        <v>777.6319782863502</v>
      </c>
      <c r="N194" s="435">
        <f>N127</f>
        <v>770.99049317980825</v>
      </c>
      <c r="O194" s="435">
        <f>O127</f>
        <v>886.83917298755114</v>
      </c>
      <c r="P194" s="435">
        <f>P127</f>
        <v>1019.083226424249</v>
      </c>
      <c r="Q194" s="435">
        <f>Q127</f>
        <v>1170.7916017219577</v>
      </c>
      <c r="R194" s="434" t="s">
        <v>448</v>
      </c>
      <c r="S194" s="31"/>
      <c r="T194" s="31"/>
      <c r="U194" s="31"/>
      <c r="V194" s="31"/>
      <c r="W194" s="31"/>
      <c r="X194" s="31"/>
      <c r="Y194" s="276"/>
      <c r="Z194" s="276"/>
      <c r="AA194" s="276"/>
      <c r="AB194" s="276"/>
      <c r="AC194" s="276"/>
      <c r="AD194" s="276"/>
    </row>
    <row r="195" spans="1:30" ht="16.5" thickBot="1" x14ac:dyDescent="0.3">
      <c r="A195" s="19" t="s">
        <v>282</v>
      </c>
      <c r="B195" s="433"/>
      <c r="C195" s="433"/>
      <c r="D195" s="440">
        <f>'Constructed Financials'!D140</f>
        <v>1391.3684794672586</v>
      </c>
      <c r="E195" s="440">
        <f>'Constructed Financials'!E140</f>
        <v>625.79635258358667</v>
      </c>
      <c r="F195" s="440">
        <f>'Constructed Financials'!F140</f>
        <v>3484.1109185441946</v>
      </c>
      <c r="G195" s="440">
        <f>'Constructed Financials'!G140</f>
        <v>2609.1954074741107</v>
      </c>
      <c r="H195" s="440">
        <f>'Constructed Financials'!H140</f>
        <v>2943.846799580273</v>
      </c>
      <c r="I195" s="440">
        <f>'Constructed Financials'!I140</f>
        <v>5527.5969815539411</v>
      </c>
      <c r="J195" s="440">
        <f>'Constructed Financials'!J140</f>
        <v>5030.8588323353297</v>
      </c>
      <c r="K195" s="440">
        <f>'Constructed Financials'!K140</f>
        <v>2664.5401785714284</v>
      </c>
      <c r="L195" s="439">
        <f>'Constructed Financials'!L140</f>
        <v>5483.4693059974079</v>
      </c>
      <c r="M195" s="438">
        <f>SUM(M192:M194)</f>
        <v>4801.8162541753572</v>
      </c>
      <c r="N195" s="438">
        <f>SUM(N192:N194)</f>
        <v>5035.8228386493365</v>
      </c>
      <c r="O195" s="438">
        <f>SUM(O192:O194)</f>
        <v>5428.6189921719733</v>
      </c>
      <c r="P195" s="438">
        <f>SUM(P192:P194)</f>
        <v>5879.1109979771845</v>
      </c>
      <c r="Q195" s="438">
        <f>SUM(Q192:Q194)</f>
        <v>6396.300789928111</v>
      </c>
      <c r="R195" s="437"/>
      <c r="S195" s="31"/>
      <c r="T195" s="31"/>
      <c r="U195" s="31"/>
      <c r="V195" s="31"/>
      <c r="W195" s="31"/>
      <c r="X195" s="31"/>
      <c r="Y195" s="276"/>
      <c r="Z195" s="276"/>
      <c r="AA195" s="276"/>
      <c r="AB195" s="276"/>
      <c r="AC195" s="276"/>
      <c r="AD195" s="276"/>
    </row>
    <row r="196" spans="1:30" ht="16.5" thickBot="1" x14ac:dyDescent="0.3">
      <c r="A196" s="32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S196" s="31"/>
      <c r="T196" s="31"/>
      <c r="U196" s="31"/>
      <c r="V196" s="31"/>
      <c r="W196" s="31"/>
      <c r="X196" s="31"/>
      <c r="Y196" s="276"/>
      <c r="Z196" s="276"/>
      <c r="AA196" s="276"/>
      <c r="AB196" s="276"/>
      <c r="AC196" s="276"/>
      <c r="AD196" s="276"/>
    </row>
    <row r="197" spans="1:30" x14ac:dyDescent="0.25">
      <c r="A197" s="59"/>
      <c r="B197" s="58"/>
      <c r="C197" s="57">
        <f>C183</f>
        <v>2014</v>
      </c>
      <c r="D197" s="57">
        <f>D183</f>
        <v>2015</v>
      </c>
      <c r="E197" s="57">
        <f>E183</f>
        <v>2016</v>
      </c>
      <c r="F197" s="57">
        <f>F183</f>
        <v>2017</v>
      </c>
      <c r="G197" s="57">
        <f>G183</f>
        <v>2018</v>
      </c>
      <c r="H197" s="57">
        <f>H183</f>
        <v>2019</v>
      </c>
      <c r="I197" s="57">
        <f>I183</f>
        <v>2020</v>
      </c>
      <c r="J197" s="57">
        <f>J183</f>
        <v>2021</v>
      </c>
      <c r="K197" s="57">
        <f>K183</f>
        <v>2022</v>
      </c>
      <c r="L197" s="57">
        <f>L183</f>
        <v>2023</v>
      </c>
      <c r="M197" s="54" t="s">
        <v>447</v>
      </c>
      <c r="N197" s="54" t="s">
        <v>447</v>
      </c>
      <c r="O197" s="54" t="s">
        <v>447</v>
      </c>
      <c r="P197" s="54" t="s">
        <v>447</v>
      </c>
      <c r="Q197" s="54" t="s">
        <v>447</v>
      </c>
      <c r="S197" s="31"/>
      <c r="T197" s="31"/>
      <c r="U197" s="31"/>
      <c r="V197" s="31"/>
      <c r="W197" s="31"/>
      <c r="X197" s="31"/>
      <c r="Y197" s="276"/>
      <c r="Z197" s="276"/>
      <c r="AA197" s="276"/>
      <c r="AB197" s="276"/>
      <c r="AC197" s="276"/>
      <c r="AD197" s="276"/>
    </row>
    <row r="198" spans="1:30" ht="16.5" thickBot="1" x14ac:dyDescent="0.3">
      <c r="A198" s="53" t="s">
        <v>290</v>
      </c>
      <c r="B198" s="52" t="s">
        <v>307</v>
      </c>
      <c r="C198" s="51">
        <v>-9</v>
      </c>
      <c r="D198" s="51">
        <v>-8</v>
      </c>
      <c r="E198" s="51">
        <v>-7</v>
      </c>
      <c r="F198" s="51">
        <v>-6</v>
      </c>
      <c r="G198" s="51">
        <v>-5</v>
      </c>
      <c r="H198" s="51">
        <v>-4</v>
      </c>
      <c r="I198" s="51">
        <v>-3</v>
      </c>
      <c r="J198" s="51">
        <v>-2</v>
      </c>
      <c r="K198" s="51">
        <v>-1</v>
      </c>
      <c r="L198" s="50">
        <v>0</v>
      </c>
      <c r="M198" s="47">
        <v>1</v>
      </c>
      <c r="N198" s="47">
        <v>2</v>
      </c>
      <c r="O198" s="47">
        <v>3</v>
      </c>
      <c r="P198" s="47">
        <v>4</v>
      </c>
      <c r="Q198" s="47">
        <v>5</v>
      </c>
      <c r="R198" s="46" t="s">
        <v>286</v>
      </c>
      <c r="S198" s="31"/>
      <c r="T198" s="31"/>
      <c r="U198" s="31"/>
      <c r="V198" s="31"/>
      <c r="W198" s="31"/>
      <c r="X198" s="31"/>
      <c r="Y198" s="276"/>
      <c r="Z198" s="276"/>
      <c r="AA198" s="276"/>
      <c r="AB198" s="276"/>
      <c r="AC198" s="276"/>
      <c r="AD198" s="276"/>
    </row>
    <row r="199" spans="1:30" x14ac:dyDescent="0.25">
      <c r="A199" s="32" t="s">
        <v>285</v>
      </c>
      <c r="B199" s="31"/>
      <c r="C199" s="436">
        <f>'Constructed Financials'!C144</f>
        <v>3984</v>
      </c>
      <c r="D199" s="436">
        <f>'Constructed Financials'!D144</f>
        <v>4285</v>
      </c>
      <c r="E199" s="436">
        <f>'Constructed Financials'!E144</f>
        <v>3292</v>
      </c>
      <c r="F199" s="436">
        <f>'Constructed Financials'!F144</f>
        <v>6726</v>
      </c>
      <c r="G199" s="436">
        <f>'Constructed Financials'!G144</f>
        <v>5774</v>
      </c>
      <c r="H199" s="436">
        <f>'Constructed Financials'!H144</f>
        <v>6356</v>
      </c>
      <c r="I199" s="436">
        <f>'Constructed Financials'!I144</f>
        <v>8861</v>
      </c>
      <c r="J199" s="436">
        <f>'Constructed Financials'!J144</f>
        <v>8958</v>
      </c>
      <c r="K199" s="436">
        <f>'Constructed Financials'!K144</f>
        <v>7392</v>
      </c>
      <c r="L199" s="436">
        <f>'Constructed Financials'!L144</f>
        <v>11068</v>
      </c>
      <c r="M199" s="416">
        <f>M146</f>
        <v>10033.349065213171</v>
      </c>
      <c r="N199" s="416">
        <f>N146</f>
        <v>10766.759444184268</v>
      </c>
      <c r="O199" s="416">
        <f>O146</f>
        <v>11564.808685570757</v>
      </c>
      <c r="P199" s="416">
        <f>P146</f>
        <v>12449.886271199437</v>
      </c>
      <c r="Q199" s="416">
        <f>Q146</f>
        <v>13434.760235723168</v>
      </c>
      <c r="R199" s="434" t="s">
        <v>446</v>
      </c>
      <c r="S199" s="31"/>
      <c r="T199" s="31"/>
      <c r="U199" s="31"/>
      <c r="V199" s="31"/>
      <c r="W199" s="31"/>
      <c r="X199" s="31"/>
      <c r="Y199" s="276"/>
      <c r="Z199" s="276"/>
      <c r="AA199" s="276"/>
      <c r="AB199" s="276"/>
      <c r="AC199" s="276"/>
      <c r="AD199" s="276"/>
    </row>
    <row r="200" spans="1:30" x14ac:dyDescent="0.25">
      <c r="A200" s="32" t="s">
        <v>284</v>
      </c>
      <c r="B200" s="31"/>
      <c r="C200" s="384">
        <f>'Constructed Financials'!C145</f>
        <v>-1993</v>
      </c>
      <c r="D200" s="384">
        <f>'Constructed Financials'!D145</f>
        <v>-2393</v>
      </c>
      <c r="E200" s="384">
        <f>'Constructed Financials'!E145</f>
        <v>-2649</v>
      </c>
      <c r="F200" s="384">
        <f>'Constructed Financials'!F145</f>
        <v>-2502</v>
      </c>
      <c r="G200" s="384">
        <f>'Constructed Financials'!G145</f>
        <v>-2969</v>
      </c>
      <c r="H200" s="384">
        <f>'Constructed Financials'!H145</f>
        <v>-2998</v>
      </c>
      <c r="I200" s="384">
        <f>'Constructed Financials'!I145</f>
        <v>-2810</v>
      </c>
      <c r="J200" s="384">
        <f>'Constructed Financials'!J145</f>
        <v>-3588</v>
      </c>
      <c r="K200" s="384">
        <f>'Constructed Financials'!K145</f>
        <v>-3891</v>
      </c>
      <c r="L200" s="384">
        <f>'Constructed Financials'!L145</f>
        <v>-4323</v>
      </c>
      <c r="M200" s="435">
        <f>M149</f>
        <v>-4615.1187905919269</v>
      </c>
      <c r="N200" s="435">
        <f>N149</f>
        <v>-5028.2058293044001</v>
      </c>
      <c r="O200" s="435">
        <f>O149</f>
        <v>-5504.12172242012</v>
      </c>
      <c r="P200" s="435">
        <f>P149</f>
        <v>-6053.4128623828256</v>
      </c>
      <c r="Q200" s="435">
        <f>Q149</f>
        <v>-6688.7086325766431</v>
      </c>
      <c r="R200" s="434" t="s">
        <v>446</v>
      </c>
      <c r="S200" s="31"/>
      <c r="T200" s="31"/>
      <c r="U200" s="31"/>
      <c r="V200" s="31"/>
      <c r="W200" s="31"/>
      <c r="X200" s="31"/>
      <c r="Y200" s="276"/>
      <c r="Z200" s="276"/>
      <c r="AA200" s="276"/>
      <c r="AB200" s="276"/>
      <c r="AC200" s="276"/>
      <c r="AD200" s="276"/>
    </row>
    <row r="201" spans="1:30" ht="16.5" thickBot="1" x14ac:dyDescent="0.3">
      <c r="A201" s="19" t="s">
        <v>282</v>
      </c>
      <c r="B201" s="433"/>
      <c r="C201" s="432">
        <f>'Constructed Financials'!C146</f>
        <v>1991</v>
      </c>
      <c r="D201" s="432">
        <f>'Constructed Financials'!D146</f>
        <v>1892</v>
      </c>
      <c r="E201" s="432">
        <f>'Constructed Financials'!E146</f>
        <v>643</v>
      </c>
      <c r="F201" s="432">
        <f>'Constructed Financials'!F146</f>
        <v>4224</v>
      </c>
      <c r="G201" s="432">
        <f>'Constructed Financials'!G146</f>
        <v>2805</v>
      </c>
      <c r="H201" s="432">
        <f>'Constructed Financials'!H146</f>
        <v>3358</v>
      </c>
      <c r="I201" s="432">
        <f>'Constructed Financials'!I146</f>
        <v>6051</v>
      </c>
      <c r="J201" s="432">
        <f>'Constructed Financials'!J146</f>
        <v>5370</v>
      </c>
      <c r="K201" s="432">
        <f>'Constructed Financials'!K146</f>
        <v>3501</v>
      </c>
      <c r="L201" s="431">
        <f>'Constructed Financials'!L146</f>
        <v>6745</v>
      </c>
      <c r="M201" s="430">
        <f>SUM(M199:M200)</f>
        <v>5418.2302746212445</v>
      </c>
      <c r="N201" s="430">
        <f>SUM(N199:N200)</f>
        <v>5738.5536148798683</v>
      </c>
      <c r="O201" s="430">
        <f>SUM(O199:O200)</f>
        <v>6060.686963150637</v>
      </c>
      <c r="P201" s="430">
        <f>SUM(P199:P200)</f>
        <v>6396.4734088166115</v>
      </c>
      <c r="Q201" s="430">
        <f>SUM(Q199:Q200)</f>
        <v>6746.0516031465249</v>
      </c>
      <c r="R201" s="429"/>
      <c r="S201" s="31"/>
      <c r="T201" s="31"/>
      <c r="U201" s="31"/>
      <c r="V201" s="31"/>
      <c r="W201" s="31"/>
      <c r="X201" s="31"/>
      <c r="Y201" s="276"/>
      <c r="Z201" s="276"/>
      <c r="AA201" s="276"/>
      <c r="AB201" s="276"/>
      <c r="AC201" s="276"/>
      <c r="AD201" s="276"/>
    </row>
    <row r="202" spans="1:30" ht="16.5" thickBot="1" x14ac:dyDescent="0.3">
      <c r="V202" s="11"/>
      <c r="W202" s="11"/>
      <c r="X202" s="11"/>
      <c r="Y202" s="11"/>
      <c r="Z202" s="11"/>
      <c r="AA202" s="11"/>
      <c r="AB202" s="11"/>
      <c r="AC202" s="11"/>
      <c r="AD202" s="11"/>
    </row>
    <row r="203" spans="1:30" ht="16.5" thickBot="1" x14ac:dyDescent="0.3">
      <c r="A203" s="428" t="s">
        <v>445</v>
      </c>
      <c r="B203" s="360"/>
      <c r="C203" s="360"/>
      <c r="D203" s="360"/>
      <c r="E203" s="360"/>
      <c r="F203" s="360"/>
      <c r="G203" s="360"/>
      <c r="H203" s="360"/>
      <c r="I203" s="360"/>
      <c r="J203" s="360"/>
      <c r="K203" s="360"/>
      <c r="L203" s="360"/>
      <c r="M203" s="360"/>
      <c r="N203" s="360"/>
      <c r="O203" s="360"/>
      <c r="P203" s="360"/>
      <c r="Q203" s="360"/>
      <c r="R203" s="360"/>
      <c r="S203" s="360"/>
      <c r="T203" s="360"/>
      <c r="U203" s="360"/>
      <c r="V203" s="360"/>
      <c r="W203" s="360"/>
      <c r="X203" s="360"/>
      <c r="Y203" s="360"/>
      <c r="Z203" s="360"/>
      <c r="AA203" s="360"/>
      <c r="AB203" s="360"/>
      <c r="AC203" s="360"/>
      <c r="AD203" s="360"/>
    </row>
    <row r="204" spans="1:30" ht="16.5" thickBot="1" x14ac:dyDescent="0.3">
      <c r="A204" s="32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11"/>
      <c r="X204" s="11"/>
      <c r="Y204" s="11"/>
      <c r="Z204" s="276"/>
      <c r="AA204" s="276"/>
      <c r="AB204" s="276"/>
      <c r="AC204" s="276"/>
      <c r="AD204" s="276"/>
    </row>
    <row r="205" spans="1:30" ht="16.5" thickBot="1" x14ac:dyDescent="0.3">
      <c r="A205" s="427" t="s">
        <v>415</v>
      </c>
      <c r="B205" s="426"/>
      <c r="C205" s="346"/>
      <c r="D205" s="346"/>
      <c r="E205" s="346"/>
      <c r="F205" s="346"/>
      <c r="G205" s="31"/>
      <c r="H205" s="409"/>
      <c r="I205" s="345" t="s">
        <v>444</v>
      </c>
      <c r="J205" s="423"/>
      <c r="K205" s="423"/>
      <c r="L205" s="345"/>
      <c r="M205" s="345" t="s">
        <v>443</v>
      </c>
      <c r="N205" s="345"/>
      <c r="O205" s="345"/>
      <c r="P205" s="345"/>
      <c r="Q205" s="345"/>
      <c r="R205" s="425" t="s">
        <v>442</v>
      </c>
      <c r="S205" s="425"/>
      <c r="T205" s="31"/>
      <c r="U205" s="31"/>
      <c r="V205" s="31"/>
      <c r="W205" s="11"/>
      <c r="X205" s="11"/>
      <c r="Y205" s="11"/>
      <c r="Z205" s="276"/>
      <c r="AA205" s="276"/>
      <c r="AB205" s="276"/>
      <c r="AC205" s="276"/>
      <c r="AD205" s="276"/>
    </row>
    <row r="206" spans="1:30" ht="16.5" thickBot="1" x14ac:dyDescent="0.3">
      <c r="A206" s="424" t="s">
        <v>425</v>
      </c>
      <c r="B206" s="346"/>
      <c r="C206" s="346"/>
      <c r="D206" s="346"/>
      <c r="E206" s="346"/>
      <c r="F206" s="346"/>
      <c r="G206" s="31"/>
      <c r="H206" s="31"/>
      <c r="I206" s="345" t="s">
        <v>441</v>
      </c>
      <c r="J206" s="423"/>
      <c r="K206" s="423"/>
      <c r="L206" s="345">
        <v>0</v>
      </c>
      <c r="M206" s="345">
        <v>1</v>
      </c>
      <c r="N206" s="345">
        <v>2</v>
      </c>
      <c r="O206" s="345">
        <v>3</v>
      </c>
      <c r="P206" s="345">
        <v>4</v>
      </c>
      <c r="Q206" s="345">
        <v>5</v>
      </c>
      <c r="R206" s="422">
        <v>0.03</v>
      </c>
      <c r="S206" s="421"/>
      <c r="T206" s="315"/>
      <c r="U206" s="31"/>
      <c r="V206" s="31"/>
      <c r="W206" s="11"/>
      <c r="X206" s="11"/>
      <c r="Y206" s="11"/>
      <c r="Z206" s="276"/>
      <c r="AA206" s="276"/>
      <c r="AB206" s="276"/>
      <c r="AC206" s="276"/>
      <c r="AD206" s="276"/>
    </row>
    <row r="207" spans="1:30" ht="16.5" thickBot="1" x14ac:dyDescent="0.3">
      <c r="A207" s="420" t="s">
        <v>368</v>
      </c>
      <c r="B207" s="419">
        <f>L179</f>
        <v>4.152063590516606E-2</v>
      </c>
      <c r="C207" s="398"/>
      <c r="D207" s="398"/>
      <c r="E207" s="398"/>
      <c r="F207" s="398"/>
      <c r="G207" s="315"/>
      <c r="H207" s="409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X207" s="418"/>
      <c r="Y207" s="418"/>
      <c r="Z207" s="417"/>
      <c r="AA207" s="417"/>
      <c r="AB207" s="417"/>
      <c r="AC207" s="417"/>
      <c r="AD207" s="417"/>
    </row>
    <row r="208" spans="1:30" ht="16.5" thickBot="1" x14ac:dyDescent="0.3">
      <c r="A208" s="86" t="s">
        <v>440</v>
      </c>
      <c r="B208" s="387">
        <v>4.4999999999999998E-2</v>
      </c>
      <c r="C208" s="386"/>
      <c r="D208" s="386"/>
      <c r="E208" s="386"/>
      <c r="F208" s="386"/>
      <c r="G208" s="31"/>
      <c r="H208" s="409"/>
      <c r="I208" s="102" t="s">
        <v>439</v>
      </c>
      <c r="J208" s="390"/>
      <c r="K208" s="390"/>
      <c r="L208" s="390"/>
      <c r="M208" s="416">
        <f>M188</f>
        <v>5110.9737574579594</v>
      </c>
      <c r="N208" s="416">
        <f>N188</f>
        <v>5430.9811886280304</v>
      </c>
      <c r="O208" s="416">
        <f>O188</f>
        <v>5799.2810788224697</v>
      </c>
      <c r="P208" s="416">
        <f>P188</f>
        <v>6222.7213346069111</v>
      </c>
      <c r="Q208" s="416">
        <f>Q188</f>
        <v>6709.4373099403174</v>
      </c>
      <c r="R208" s="31"/>
      <c r="S208" s="31"/>
      <c r="T208" s="31"/>
      <c r="U208" s="31"/>
      <c r="V208" s="31"/>
      <c r="W208" s="415">
        <f>L216</f>
        <v>255.35185798110624</v>
      </c>
      <c r="X208" s="42">
        <f>Y208-0.0025</f>
        <v>7.6506116524928572E-2</v>
      </c>
      <c r="Y208" s="41">
        <f>Z208-0.0025</f>
        <v>7.9006116524928574E-2</v>
      </c>
      <c r="Z208" s="413">
        <f>AA208-0.0025</f>
        <v>8.1506116524928576E-2</v>
      </c>
      <c r="AA208" s="414">
        <v>8.4006116524928579E-2</v>
      </c>
      <c r="AB208" s="413">
        <f>AA208+0.0025</f>
        <v>8.6506116524928581E-2</v>
      </c>
      <c r="AC208" s="413">
        <f>AB208+0.0025</f>
        <v>8.9006116524928583E-2</v>
      </c>
      <c r="AD208" s="412">
        <f>AC208+0.0025</f>
        <v>9.1506116524928585E-2</v>
      </c>
    </row>
    <row r="209" spans="1:30" x14ac:dyDescent="0.25">
      <c r="A209" s="86" t="s">
        <v>438</v>
      </c>
      <c r="B209" s="411">
        <f>Q18</f>
        <v>0.25863084717803697</v>
      </c>
      <c r="C209" s="410"/>
      <c r="D209" s="410"/>
      <c r="E209" s="410"/>
      <c r="F209" s="410"/>
      <c r="G209" s="315"/>
      <c r="H209" s="409"/>
      <c r="I209" s="337" t="s">
        <v>437</v>
      </c>
      <c r="J209" s="390"/>
      <c r="K209" s="390"/>
      <c r="L209" s="390"/>
      <c r="M209" s="408"/>
      <c r="N209" s="384"/>
      <c r="O209" s="384"/>
      <c r="P209" s="384"/>
      <c r="Q209" s="382">
        <f>Q208*(1+$R$206)/($B$216-$R$206)</f>
        <v>127961.81014142391</v>
      </c>
      <c r="R209" s="407"/>
      <c r="S209" s="31"/>
      <c r="T209" s="31"/>
      <c r="U209" s="31"/>
      <c r="V209" s="31"/>
      <c r="W209" s="406">
        <v>0.03</v>
      </c>
      <c r="X209" s="405">
        <f t="dataTable" ref="X209:AD215" dt2D="1" dtr="1" r1="B216" r2="R206"/>
        <v>295.48917804892056</v>
      </c>
      <c r="Y209" s="341">
        <v>280.74301207030965</v>
      </c>
      <c r="Z209" s="403">
        <v>267.43026747549703</v>
      </c>
      <c r="AA209" s="404">
        <v>255.35185798110624</v>
      </c>
      <c r="AB209" s="403">
        <v>244.34393031942631</v>
      </c>
      <c r="AC209" s="403">
        <v>234.27040038493439</v>
      </c>
      <c r="AD209" s="402">
        <v>225.01730965194835</v>
      </c>
    </row>
    <row r="210" spans="1:30" ht="16.5" thickBot="1" x14ac:dyDescent="0.3">
      <c r="A210" s="242" t="s">
        <v>436</v>
      </c>
      <c r="B210" s="401">
        <f>B208*(1-B209)</f>
        <v>3.3361611876988335E-2</v>
      </c>
      <c r="C210" s="365"/>
      <c r="D210" s="365"/>
      <c r="E210" s="365"/>
      <c r="F210" s="365"/>
      <c r="G210" s="31"/>
      <c r="H210" s="31"/>
      <c r="I210" s="264" t="s">
        <v>435</v>
      </c>
      <c r="J210" s="390"/>
      <c r="K210" s="390"/>
      <c r="L210" s="390"/>
      <c r="M210" s="400">
        <f>SUM(M208:M209)</f>
        <v>5110.9737574579594</v>
      </c>
      <c r="N210" s="400">
        <f>SUM(N208:N209)</f>
        <v>5430.9811886280304</v>
      </c>
      <c r="O210" s="400">
        <f>SUM(O208:O209)</f>
        <v>5799.2810788224697</v>
      </c>
      <c r="P210" s="400">
        <f>SUM(P208:P209)</f>
        <v>6222.7213346069111</v>
      </c>
      <c r="Q210" s="400">
        <f>SUM(Q208:Q209)</f>
        <v>134671.24745136424</v>
      </c>
      <c r="R210" s="31"/>
      <c r="S210" s="31"/>
      <c r="T210" s="31"/>
      <c r="U210" s="31"/>
      <c r="V210" s="31"/>
      <c r="W210" s="371">
        <f>W209+0.005</f>
        <v>3.4999999999999996E-2</v>
      </c>
      <c r="X210" s="381">
        <v>324.71502957709356</v>
      </c>
      <c r="Y210" s="338">
        <v>306.66070846415965</v>
      </c>
      <c r="Z210" s="380">
        <v>290.54934790163531</v>
      </c>
      <c r="AA210" s="380">
        <v>276.08357101473632</v>
      </c>
      <c r="AB210" s="380">
        <v>263.0237374660681</v>
      </c>
      <c r="AC210" s="380">
        <v>251.17458002492432</v>
      </c>
      <c r="AD210" s="379">
        <v>240.37538856610803</v>
      </c>
    </row>
    <row r="211" spans="1:30" x14ac:dyDescent="0.25">
      <c r="A211" s="86" t="s">
        <v>367</v>
      </c>
      <c r="B211" s="399">
        <f>1-B207</f>
        <v>0.95847936409483392</v>
      </c>
      <c r="C211" s="398"/>
      <c r="D211" s="398"/>
      <c r="E211" s="398"/>
      <c r="F211" s="398"/>
      <c r="G211" s="315"/>
      <c r="H211" s="31"/>
      <c r="I211" s="264" t="s">
        <v>434</v>
      </c>
      <c r="J211" s="375"/>
      <c r="K211" s="374"/>
      <c r="L211" s="397">
        <f>NPV(B216,M210:Q210)</f>
        <v>108370.01525102797</v>
      </c>
      <c r="M211" s="372"/>
      <c r="N211" s="372"/>
      <c r="O211" s="372"/>
      <c r="P211" s="372"/>
      <c r="Q211" s="372"/>
      <c r="R211" s="31"/>
      <c r="S211" s="31"/>
      <c r="T211" s="31"/>
      <c r="U211" s="31"/>
      <c r="V211" s="31"/>
      <c r="W211" s="371">
        <f>W210+0.005</f>
        <v>3.9999999999999994E-2</v>
      </c>
      <c r="X211" s="381">
        <v>361.94662214546065</v>
      </c>
      <c r="Y211" s="338">
        <v>339.22292594928166</v>
      </c>
      <c r="Z211" s="380">
        <v>319.23847013408243</v>
      </c>
      <c r="AA211" s="380">
        <v>301.52638211172001</v>
      </c>
      <c r="AB211" s="380">
        <v>285.72017909919271</v>
      </c>
      <c r="AC211" s="380">
        <v>271.52816166586462</v>
      </c>
      <c r="AD211" s="379">
        <v>258.71526458522447</v>
      </c>
    </row>
    <row r="212" spans="1:30" x14ac:dyDescent="0.25">
      <c r="A212" s="86" t="s">
        <v>433</v>
      </c>
      <c r="B212" s="387">
        <v>0.04</v>
      </c>
      <c r="C212" s="386"/>
      <c r="D212" s="386"/>
      <c r="E212" s="386"/>
      <c r="F212" s="386"/>
      <c r="G212" s="31"/>
      <c r="H212" s="31"/>
      <c r="I212" s="396" t="s">
        <v>432</v>
      </c>
      <c r="J212" s="395"/>
      <c r="K212" s="394"/>
      <c r="L212" s="393">
        <f>L79</f>
        <v>15234</v>
      </c>
      <c r="M212" s="372"/>
      <c r="N212" s="372"/>
      <c r="O212" s="372"/>
      <c r="P212" s="372"/>
      <c r="Q212" s="372"/>
      <c r="R212" s="31"/>
      <c r="S212" s="31"/>
      <c r="T212" s="31"/>
      <c r="U212" s="31"/>
      <c r="V212" s="31"/>
      <c r="W212" s="371">
        <f>W211+0.005</f>
        <v>4.4999999999999991E-2</v>
      </c>
      <c r="X212" s="381">
        <v>410.99547328928827</v>
      </c>
      <c r="Y212" s="338">
        <v>381.36054363079239</v>
      </c>
      <c r="Z212" s="380">
        <v>355.78630892238584</v>
      </c>
      <c r="AA212" s="380">
        <v>333.49196793320704</v>
      </c>
      <c r="AB212" s="380">
        <v>313.88483687330313</v>
      </c>
      <c r="AC212" s="380">
        <v>296.50691436215362</v>
      </c>
      <c r="AD212" s="379">
        <v>280.99868123717044</v>
      </c>
    </row>
    <row r="213" spans="1:30" x14ac:dyDescent="0.25">
      <c r="A213" s="86" t="s">
        <v>431</v>
      </c>
      <c r="B213" s="392">
        <v>0.77</v>
      </c>
      <c r="C213" s="391"/>
      <c r="D213" s="391"/>
      <c r="E213" s="391"/>
      <c r="F213" s="391"/>
      <c r="G213" s="315"/>
      <c r="H213" s="31"/>
      <c r="I213" s="102" t="s">
        <v>430</v>
      </c>
      <c r="J213" s="390"/>
      <c r="K213" s="389"/>
      <c r="L213" s="388">
        <f>L119</f>
        <v>0</v>
      </c>
      <c r="M213" s="372"/>
      <c r="N213" s="372"/>
      <c r="O213" s="372"/>
      <c r="P213" s="372"/>
      <c r="Q213" s="372"/>
      <c r="R213" s="31"/>
      <c r="S213" s="31"/>
      <c r="T213" s="31"/>
      <c r="U213" s="31"/>
      <c r="V213" s="31"/>
      <c r="W213" s="371">
        <f>W212+0.005</f>
        <v>4.9999999999999989E-2</v>
      </c>
      <c r="X213" s="381">
        <v>478.54905374632864</v>
      </c>
      <c r="Y213" s="338">
        <v>438.02531031734031</v>
      </c>
      <c r="Z213" s="380">
        <v>403.93438373450567</v>
      </c>
      <c r="AA213" s="380">
        <v>374.85750561278252</v>
      </c>
      <c r="AB213" s="380">
        <v>349.76454638535392</v>
      </c>
      <c r="AC213" s="380">
        <v>327.88947110807817</v>
      </c>
      <c r="AD213" s="379">
        <v>308.65080460456232</v>
      </c>
    </row>
    <row r="214" spans="1:30" x14ac:dyDescent="0.25">
      <c r="A214" s="86" t="s">
        <v>429</v>
      </c>
      <c r="B214" s="387">
        <v>0.06</v>
      </c>
      <c r="C214" s="386"/>
      <c r="D214" s="386"/>
      <c r="E214" s="386"/>
      <c r="F214" s="386"/>
      <c r="G214" s="315"/>
      <c r="H214" s="31"/>
      <c r="I214" s="385" t="s">
        <v>428</v>
      </c>
      <c r="J214" s="384"/>
      <c r="K214" s="383"/>
      <c r="L214" s="382">
        <f>L96+L101</f>
        <v>10536</v>
      </c>
      <c r="M214" s="372"/>
      <c r="N214" s="372"/>
      <c r="O214" s="372"/>
      <c r="P214" s="372"/>
      <c r="Q214" s="372"/>
      <c r="R214" s="31"/>
      <c r="S214" s="31"/>
      <c r="T214" s="31"/>
      <c r="U214" s="31"/>
      <c r="V214" s="31"/>
      <c r="W214" s="371">
        <f>W213+0.005</f>
        <v>5.4999999999999986E-2</v>
      </c>
      <c r="X214" s="381">
        <v>577.51396798775363</v>
      </c>
      <c r="Y214" s="338">
        <v>518.29438077693123</v>
      </c>
      <c r="Z214" s="380">
        <v>470.24735070155032</v>
      </c>
      <c r="AA214" s="380">
        <v>430.4840139548815</v>
      </c>
      <c r="AB214" s="380">
        <v>397.03242856656283</v>
      </c>
      <c r="AC214" s="380">
        <v>368.50053141538956</v>
      </c>
      <c r="AD214" s="379">
        <v>343.8775828516396</v>
      </c>
    </row>
    <row r="215" spans="1:30" ht="16.5" thickBot="1" x14ac:dyDescent="0.3">
      <c r="A215" s="378" t="s">
        <v>427</v>
      </c>
      <c r="B215" s="377">
        <f>B212+B213*(B214)</f>
        <v>8.6199999999999999E-2</v>
      </c>
      <c r="C215" s="376"/>
      <c r="D215" s="376"/>
      <c r="E215" s="376"/>
      <c r="F215" s="376"/>
      <c r="G215" s="31"/>
      <c r="H215" s="31"/>
      <c r="I215" s="264" t="s">
        <v>426</v>
      </c>
      <c r="J215" s="375"/>
      <c r="K215" s="374"/>
      <c r="L215" s="373">
        <f>L211+L212-L213-L214</f>
        <v>113068.01525102797</v>
      </c>
      <c r="M215" s="372"/>
      <c r="N215" s="372"/>
      <c r="O215" s="372"/>
      <c r="P215" s="372"/>
      <c r="Q215" s="372"/>
      <c r="R215" s="31"/>
      <c r="S215" s="31"/>
      <c r="T215" s="31"/>
      <c r="U215" s="31"/>
      <c r="V215" s="31"/>
      <c r="W215" s="371">
        <f>W214+0.005</f>
        <v>5.9999999999999984E-2</v>
      </c>
      <c r="X215" s="370">
        <v>736.4353923458749</v>
      </c>
      <c r="Y215" s="334">
        <v>640.79673458733646</v>
      </c>
      <c r="Z215" s="369">
        <v>567.39478603492159</v>
      </c>
      <c r="AA215" s="369">
        <v>509.28232865072198</v>
      </c>
      <c r="AB215" s="369">
        <v>462.13313138626654</v>
      </c>
      <c r="AC215" s="369">
        <v>423.11245263505702</v>
      </c>
      <c r="AD215" s="368">
        <v>390.28529424203373</v>
      </c>
    </row>
    <row r="216" spans="1:30" ht="16.5" thickBot="1" x14ac:dyDescent="0.3">
      <c r="A216" s="367" t="s">
        <v>425</v>
      </c>
      <c r="B216" s="366">
        <f>(B207*B210)+(B215*B211)</f>
        <v>8.4006116524928579E-2</v>
      </c>
      <c r="C216" s="365"/>
      <c r="D216" s="365"/>
      <c r="E216" s="365"/>
      <c r="F216" s="365"/>
      <c r="G216" s="31"/>
      <c r="H216" s="31"/>
      <c r="I216" s="264" t="s">
        <v>306</v>
      </c>
      <c r="J216" s="264"/>
      <c r="K216" s="364"/>
      <c r="L216" s="363">
        <f>L215/L168</f>
        <v>255.35185798110624</v>
      </c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11"/>
      <c r="X216" s="11"/>
      <c r="Y216" s="11"/>
      <c r="Z216" s="276"/>
      <c r="AA216" s="276"/>
      <c r="AB216" s="276"/>
      <c r="AC216" s="276"/>
      <c r="AD216" s="276"/>
    </row>
    <row r="217" spans="1:30" x14ac:dyDescent="0.25">
      <c r="A217" s="32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11"/>
      <c r="X217" s="11"/>
      <c r="Y217" s="11"/>
      <c r="Z217" s="276"/>
      <c r="AA217" s="276"/>
      <c r="AB217" s="276"/>
      <c r="AC217" s="276"/>
      <c r="AD217" s="276"/>
    </row>
    <row r="218" spans="1:30" ht="16.5" thickBot="1" x14ac:dyDescent="0.3">
      <c r="A218" s="92"/>
      <c r="B218" s="91"/>
      <c r="C218" s="91"/>
      <c r="D218" s="91"/>
      <c r="E218" s="91"/>
      <c r="F218" s="91"/>
      <c r="G218" s="91"/>
      <c r="H218" s="91"/>
      <c r="I218" s="91"/>
      <c r="J218" s="91"/>
      <c r="K218" s="91"/>
      <c r="L218" s="91"/>
      <c r="M218" s="91"/>
      <c r="N218" s="91"/>
      <c r="O218" s="91"/>
      <c r="P218" s="91"/>
      <c r="Q218" s="91"/>
      <c r="R218" s="91"/>
      <c r="S218" s="91"/>
      <c r="T218" s="91"/>
      <c r="U218" s="91"/>
      <c r="V218" s="91"/>
      <c r="W218" s="91"/>
      <c r="X218" s="91"/>
      <c r="Y218" s="91"/>
      <c r="Z218" s="91"/>
      <c r="AA218" s="91"/>
      <c r="AB218" s="91"/>
      <c r="AC218" s="91"/>
      <c r="AD218" s="91"/>
    </row>
    <row r="219" spans="1:30" s="11" customFormat="1" ht="16.5" thickBot="1" x14ac:dyDescent="0.3"/>
    <row r="220" spans="1:30" s="11" customFormat="1" ht="16.5" thickBot="1" x14ac:dyDescent="0.3">
      <c r="A220" s="362" t="s">
        <v>424</v>
      </c>
      <c r="B220" s="361"/>
      <c r="C220" s="361"/>
      <c r="D220" s="361"/>
      <c r="E220" s="361"/>
      <c r="F220" s="361"/>
      <c r="G220" s="361"/>
      <c r="H220" s="361"/>
      <c r="I220" s="360"/>
      <c r="J220" s="360"/>
      <c r="K220" s="360"/>
      <c r="L220" s="360"/>
      <c r="M220" s="360"/>
      <c r="N220" s="360"/>
      <c r="O220" s="360"/>
    </row>
    <row r="221" spans="1:30" ht="16.5" thickBot="1" x14ac:dyDescent="0.3">
      <c r="I221" s="359"/>
      <c r="J221" s="359"/>
      <c r="K221" s="359"/>
      <c r="L221" s="344" t="s">
        <v>420</v>
      </c>
      <c r="M221" s="344" t="s">
        <v>420</v>
      </c>
      <c r="N221" s="344" t="s">
        <v>420</v>
      </c>
      <c r="O221" s="31"/>
      <c r="P221" s="276"/>
      <c r="Q221" s="276"/>
      <c r="R221" s="276"/>
      <c r="S221" s="276"/>
      <c r="T221" s="276"/>
      <c r="U221" s="276"/>
      <c r="V221" s="276"/>
      <c r="W221" s="276"/>
      <c r="X221" s="276"/>
      <c r="Y221" s="276"/>
      <c r="Z221" s="276"/>
      <c r="AA221" s="276"/>
      <c r="AB221" s="276"/>
      <c r="AC221" s="276"/>
      <c r="AD221" s="276"/>
    </row>
    <row r="222" spans="1:30" s="11" customFormat="1" x14ac:dyDescent="0.25">
      <c r="A222" s="358"/>
      <c r="B222" s="357"/>
      <c r="C222" s="357"/>
      <c r="D222" s="357"/>
      <c r="E222" s="357"/>
      <c r="F222" s="357"/>
      <c r="G222" s="357"/>
      <c r="H222" s="357"/>
      <c r="I222" s="356" t="s">
        <v>419</v>
      </c>
      <c r="J222" s="356"/>
      <c r="K222" s="355" t="s">
        <v>376</v>
      </c>
      <c r="L222" s="355" t="s">
        <v>423</v>
      </c>
      <c r="M222" s="355" t="s">
        <v>417</v>
      </c>
      <c r="N222" s="355" t="s">
        <v>417</v>
      </c>
      <c r="O222" s="31"/>
    </row>
    <row r="223" spans="1:30" s="11" customFormat="1" ht="16.5" thickBot="1" x14ac:dyDescent="0.3">
      <c r="A223" s="32"/>
      <c r="B223" s="31"/>
      <c r="C223" s="31"/>
      <c r="D223" s="31"/>
      <c r="E223" s="31"/>
      <c r="F223" s="31"/>
      <c r="G223" s="102"/>
      <c r="H223" s="102"/>
      <c r="I223" s="345"/>
      <c r="J223" s="345"/>
      <c r="K223" s="344" t="s">
        <v>416</v>
      </c>
      <c r="L223" s="344" t="s">
        <v>415</v>
      </c>
      <c r="M223" s="344" t="s">
        <v>413</v>
      </c>
      <c r="N223" s="344" t="s">
        <v>306</v>
      </c>
      <c r="O223" s="102"/>
      <c r="P223" s="102"/>
      <c r="Q223" s="354"/>
      <c r="R223" s="354"/>
      <c r="S223" s="353"/>
      <c r="T223" s="353"/>
      <c r="U223" s="353"/>
      <c r="V223" s="353"/>
    </row>
    <row r="224" spans="1:30" s="11" customFormat="1" ht="16.5" thickBot="1" x14ac:dyDescent="0.3">
      <c r="A224" s="32"/>
      <c r="B224" s="31"/>
      <c r="C224" s="31"/>
      <c r="D224" s="31"/>
      <c r="E224" s="31"/>
      <c r="F224" s="31"/>
      <c r="G224" s="102"/>
      <c r="H224" s="102"/>
      <c r="I224" s="343" t="str">
        <f>I1</f>
        <v>COST</v>
      </c>
      <c r="J224" s="102"/>
      <c r="K224" s="352">
        <f>'Financial Ratios'!L44</f>
        <v>38.655012561983469</v>
      </c>
      <c r="L224" s="342">
        <f>$L$70</f>
        <v>6292</v>
      </c>
      <c r="M224" s="342">
        <f>K224*L224</f>
        <v>243217.33903999999</v>
      </c>
      <c r="N224" s="341">
        <f>M224/$L$168</f>
        <v>549.28</v>
      </c>
      <c r="O224" s="102"/>
      <c r="P224" s="102"/>
      <c r="Q224" s="351"/>
      <c r="R224" s="102"/>
      <c r="S224" s="350"/>
      <c r="T224" s="349"/>
      <c r="U224" s="349"/>
      <c r="V224" s="349"/>
    </row>
    <row r="225" spans="9:15" s="11" customFormat="1" x14ac:dyDescent="0.25">
      <c r="I225" s="337" t="s">
        <v>412</v>
      </c>
      <c r="J225" s="102"/>
      <c r="K225" s="348">
        <v>28.63</v>
      </c>
      <c r="L225" s="339">
        <f>$L$70</f>
        <v>6292</v>
      </c>
      <c r="M225" s="339">
        <f>K225*L225</f>
        <v>180139.96</v>
      </c>
      <c r="N225" s="338">
        <f>M225/$L$168</f>
        <v>406.82657584921168</v>
      </c>
      <c r="O225" s="102"/>
    </row>
    <row r="226" spans="9:15" s="11" customFormat="1" ht="16.5" thickBot="1" x14ac:dyDescent="0.3">
      <c r="I226" s="337" t="s">
        <v>411</v>
      </c>
      <c r="J226" s="102"/>
      <c r="K226" s="347">
        <v>29.6</v>
      </c>
      <c r="L226" s="335">
        <f>$L$70</f>
        <v>6292</v>
      </c>
      <c r="M226" s="335">
        <f>K226*L226</f>
        <v>186243.20000000001</v>
      </c>
      <c r="N226" s="334">
        <f>M226/$L$168</f>
        <v>420.61008191186403</v>
      </c>
      <c r="O226" s="102"/>
    </row>
    <row r="227" spans="9:15" s="11" customFormat="1" x14ac:dyDescent="0.25">
      <c r="I227" s="102"/>
      <c r="J227" s="102"/>
      <c r="K227" s="102"/>
      <c r="L227" s="102"/>
      <c r="M227" s="102"/>
      <c r="N227" s="102"/>
      <c r="O227" s="102"/>
    </row>
    <row r="228" spans="9:15" s="11" customFormat="1" x14ac:dyDescent="0.25">
      <c r="I228" s="346"/>
      <c r="J228" s="346"/>
      <c r="K228" s="346"/>
      <c r="L228" s="344" t="s">
        <v>420</v>
      </c>
      <c r="M228" s="344" t="s">
        <v>420</v>
      </c>
      <c r="N228" s="344" t="s">
        <v>420</v>
      </c>
      <c r="O228" s="344" t="s">
        <v>420</v>
      </c>
    </row>
    <row r="229" spans="9:15" s="11" customFormat="1" x14ac:dyDescent="0.25">
      <c r="I229" s="345" t="s">
        <v>419</v>
      </c>
      <c r="J229" s="345"/>
      <c r="K229" s="344" t="s">
        <v>422</v>
      </c>
      <c r="L229" s="344" t="s">
        <v>421</v>
      </c>
      <c r="M229" s="344" t="s">
        <v>417</v>
      </c>
      <c r="N229" s="344" t="s">
        <v>417</v>
      </c>
      <c r="O229" s="344" t="s">
        <v>417</v>
      </c>
    </row>
    <row r="230" spans="9:15" s="11" customFormat="1" ht="16.5" thickBot="1" x14ac:dyDescent="0.3">
      <c r="I230" s="345"/>
      <c r="J230" s="345"/>
      <c r="K230" s="344" t="s">
        <v>416</v>
      </c>
      <c r="L230" s="344" t="s">
        <v>415</v>
      </c>
      <c r="M230" s="344" t="s">
        <v>414</v>
      </c>
      <c r="N230" s="344" t="s">
        <v>413</v>
      </c>
      <c r="O230" s="344" t="s">
        <v>306</v>
      </c>
    </row>
    <row r="231" spans="9:15" s="11" customFormat="1" ht="16.5" thickBot="1" x14ac:dyDescent="0.3">
      <c r="I231" s="343" t="str">
        <f>I224</f>
        <v>COST</v>
      </c>
      <c r="J231" s="102"/>
      <c r="K231" s="84">
        <f>'Financial Ratios'!L50</f>
        <v>23.404900308115003</v>
      </c>
      <c r="L231" s="342">
        <f>$L$58</f>
        <v>10191</v>
      </c>
      <c r="M231" s="342">
        <f>K231*L231</f>
        <v>238519.33903999999</v>
      </c>
      <c r="N231" s="342">
        <f>M231-($L$101+$L$96)+$L$79</f>
        <v>243217.33903999999</v>
      </c>
      <c r="O231" s="341">
        <f>N231/$L$168</f>
        <v>549.28</v>
      </c>
    </row>
    <row r="232" spans="9:15" s="11" customFormat="1" x14ac:dyDescent="0.25">
      <c r="I232" s="337" t="s">
        <v>412</v>
      </c>
      <c r="J232" s="102"/>
      <c r="K232" s="340">
        <v>15.11</v>
      </c>
      <c r="L232" s="339">
        <f>$L$58</f>
        <v>10191</v>
      </c>
      <c r="M232" s="339">
        <f>K232*L232</f>
        <v>153986.00999999998</v>
      </c>
      <c r="N232" s="339">
        <f>M232-($L$101+$L$96)+$L$79</f>
        <v>158684.00999999998</v>
      </c>
      <c r="O232" s="338">
        <f>N232/$L$168</f>
        <v>358.37063819888749</v>
      </c>
    </row>
    <row r="233" spans="9:15" s="11" customFormat="1" ht="16.5" thickBot="1" x14ac:dyDescent="0.3">
      <c r="I233" s="337" t="s">
        <v>411</v>
      </c>
      <c r="J233" s="102"/>
      <c r="K233" s="336">
        <v>12.5</v>
      </c>
      <c r="L233" s="335">
        <f>$L$58</f>
        <v>10191</v>
      </c>
      <c r="M233" s="335">
        <f>K233*L233</f>
        <v>127387.5</v>
      </c>
      <c r="N233" s="335">
        <f>M233-($L$101+$L$96)+$L$79</f>
        <v>132085.5</v>
      </c>
      <c r="O233" s="334">
        <f>N233/$L$168</f>
        <v>298.30078614612245</v>
      </c>
    </row>
    <row r="234" spans="9:15" s="11" customFormat="1" x14ac:dyDescent="0.25">
      <c r="I234" s="102"/>
      <c r="J234" s="102"/>
      <c r="K234" s="102"/>
      <c r="L234" s="102"/>
      <c r="M234" s="102"/>
      <c r="N234" s="102"/>
      <c r="O234" s="102"/>
    </row>
    <row r="235" spans="9:15" s="11" customFormat="1" x14ac:dyDescent="0.25">
      <c r="I235" s="346"/>
      <c r="J235" s="346"/>
      <c r="K235" s="346"/>
      <c r="L235" s="344" t="s">
        <v>420</v>
      </c>
      <c r="M235" s="344" t="s">
        <v>420</v>
      </c>
      <c r="N235" s="344" t="s">
        <v>420</v>
      </c>
      <c r="O235" s="344" t="s">
        <v>420</v>
      </c>
    </row>
    <row r="236" spans="9:15" s="11" customFormat="1" x14ac:dyDescent="0.25">
      <c r="I236" s="345" t="s">
        <v>419</v>
      </c>
      <c r="J236" s="345"/>
      <c r="K236" s="344" t="s">
        <v>418</v>
      </c>
      <c r="L236" s="344" t="s">
        <v>359</v>
      </c>
      <c r="M236" s="344" t="s">
        <v>417</v>
      </c>
      <c r="N236" s="344" t="s">
        <v>417</v>
      </c>
      <c r="O236" s="344" t="s">
        <v>417</v>
      </c>
    </row>
    <row r="237" spans="9:15" s="11" customFormat="1" ht="16.5" thickBot="1" x14ac:dyDescent="0.3">
      <c r="I237" s="345"/>
      <c r="J237" s="345"/>
      <c r="K237" s="344" t="s">
        <v>416</v>
      </c>
      <c r="L237" s="344" t="s">
        <v>415</v>
      </c>
      <c r="M237" s="344" t="s">
        <v>414</v>
      </c>
      <c r="N237" s="344" t="s">
        <v>413</v>
      </c>
      <c r="O237" s="344" t="s">
        <v>306</v>
      </c>
    </row>
    <row r="238" spans="9:15" s="11" customFormat="1" ht="16.5" thickBot="1" x14ac:dyDescent="0.3">
      <c r="I238" s="343" t="str">
        <f>I231</f>
        <v>COST</v>
      </c>
      <c r="J238" s="102"/>
      <c r="K238" s="84">
        <f>'Financial Ratios'!L48</f>
        <v>0.98443740575343597</v>
      </c>
      <c r="L238" s="342">
        <f>$L$54</f>
        <v>242290</v>
      </c>
      <c r="M238" s="342">
        <f>K238*L238</f>
        <v>238519.33903999999</v>
      </c>
      <c r="N238" s="342">
        <f>M238-($L$101+$L$96)+$L$79</f>
        <v>243217.33903999999</v>
      </c>
      <c r="O238" s="341">
        <f>N238/$L$168</f>
        <v>549.28</v>
      </c>
    </row>
    <row r="239" spans="9:15" x14ac:dyDescent="0.25">
      <c r="I239" s="337" t="s">
        <v>412</v>
      </c>
      <c r="J239" s="102"/>
      <c r="K239" s="340">
        <v>0.91</v>
      </c>
      <c r="L239" s="339">
        <f>$L$54</f>
        <v>242290</v>
      </c>
      <c r="M239" s="339">
        <f>K239*L239</f>
        <v>220483.9</v>
      </c>
      <c r="N239" s="339">
        <f>M239-($L$101+$L$96)+$L$79</f>
        <v>225181.9</v>
      </c>
      <c r="O239" s="338">
        <f>N239/$L$168</f>
        <v>508.5489156332643</v>
      </c>
    </row>
    <row r="240" spans="9:15" ht="16.5" thickBot="1" x14ac:dyDescent="0.3">
      <c r="I240" s="337" t="s">
        <v>411</v>
      </c>
      <c r="J240" s="102"/>
      <c r="K240" s="336">
        <v>0.9</v>
      </c>
      <c r="L240" s="335">
        <f>$L$54</f>
        <v>242290</v>
      </c>
      <c r="M240" s="335">
        <f>K240*L240</f>
        <v>218061</v>
      </c>
      <c r="N240" s="335">
        <f>M240-($L$101+$L$96)+$L$79</f>
        <v>222759</v>
      </c>
      <c r="O240" s="334">
        <f>N240/$L$168</f>
        <v>503.07705858042021</v>
      </c>
    </row>
    <row r="1000" spans="648:648" x14ac:dyDescent="0.25">
      <c r="XX1000" s="10">
        <v>117383</v>
      </c>
    </row>
  </sheetData>
  <mergeCells count="2">
    <mergeCell ref="R205:S205"/>
    <mergeCell ref="R206:S206"/>
  </mergeCells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0687C-8028-4D8F-9BBA-0C0B0EB8344B}">
  <dimension ref="E1:U11"/>
  <sheetViews>
    <sheetView zoomScale="70" zoomScaleNormal="70" workbookViewId="0">
      <selection activeCell="R109" sqref="R109"/>
    </sheetView>
  </sheetViews>
  <sheetFormatPr defaultColWidth="7.625" defaultRowHeight="12.75" x14ac:dyDescent="0.2"/>
  <cols>
    <col min="1" max="4" width="7.625" style="9"/>
    <col min="5" max="5" width="17.125" style="9" bestFit="1" customWidth="1"/>
    <col min="6" max="12" width="9.75" style="9" bestFit="1" customWidth="1"/>
    <col min="13" max="15" width="7.625" style="9"/>
    <col min="16" max="16" width="16.25" style="9" bestFit="1" customWidth="1"/>
    <col min="17" max="16384" width="7.625" style="9"/>
  </cols>
  <sheetData>
    <row r="1" spans="5:21" ht="13.5" thickBot="1" x14ac:dyDescent="0.25">
      <c r="F1" s="9">
        <v>2022</v>
      </c>
      <c r="G1" s="9">
        <v>2023</v>
      </c>
      <c r="H1" s="645" t="s">
        <v>522</v>
      </c>
      <c r="I1" s="645" t="s">
        <v>521</v>
      </c>
      <c r="J1" s="645" t="s">
        <v>520</v>
      </c>
      <c r="K1" s="645" t="s">
        <v>519</v>
      </c>
      <c r="L1" s="645" t="s">
        <v>518</v>
      </c>
      <c r="P1" s="654" t="s">
        <v>528</v>
      </c>
      <c r="Q1" s="653">
        <v>2019</v>
      </c>
      <c r="R1" s="653">
        <v>2020</v>
      </c>
      <c r="S1" s="653">
        <v>2021</v>
      </c>
      <c r="T1" s="653">
        <v>2022</v>
      </c>
      <c r="U1" s="652">
        <v>2023</v>
      </c>
    </row>
    <row r="2" spans="5:21" x14ac:dyDescent="0.2">
      <c r="E2" s="9" t="s">
        <v>527</v>
      </c>
      <c r="F2" s="644">
        <f>'Forecasting &amp; Valuation'!K54</f>
        <v>226954</v>
      </c>
      <c r="G2" s="644">
        <f>'Forecasting &amp; Valuation'!L54</f>
        <v>242290</v>
      </c>
      <c r="H2" s="644">
        <f>'Forecasting &amp; Valuation'!M54</f>
        <v>258662.3020523983</v>
      </c>
      <c r="I2" s="644">
        <f>'Forecasting &amp; Valuation'!N54</f>
        <v>277515.55647817237</v>
      </c>
      <c r="J2" s="644">
        <f>'Forecasting &amp; Valuation'!O54</f>
        <v>299217.79497287626</v>
      </c>
      <c r="K2" s="644">
        <f>'Forecasting &amp; Valuation'!P54</f>
        <v>324207.33986348624</v>
      </c>
      <c r="L2" s="644">
        <f>'Forecasting &amp; Valuation'!Q54</f>
        <v>353006.87147612247</v>
      </c>
      <c r="P2" s="651" t="s">
        <v>526</v>
      </c>
      <c r="Q2" s="650">
        <f>'Financial Ratios'!H30</f>
        <v>0.13954539203551994</v>
      </c>
      <c r="R2" s="650">
        <f>'Financial Ratios'!I30</f>
        <v>0.14136998458872277</v>
      </c>
      <c r="S2" s="650">
        <f>'Financial Ratios'!J30</f>
        <v>0.13793772233819393</v>
      </c>
      <c r="T2" s="650">
        <f>'Financial Ratios'!K30</f>
        <v>0.12985891414119161</v>
      </c>
      <c r="U2" s="649">
        <f>'Financial Ratios'!L30</f>
        <v>0.13116925997771267</v>
      </c>
    </row>
    <row r="3" spans="5:21" x14ac:dyDescent="0.2">
      <c r="E3" s="9" t="s">
        <v>525</v>
      </c>
      <c r="F3" s="644">
        <f>'Forecasting &amp; Valuation'!K60</f>
        <v>7793</v>
      </c>
      <c r="G3" s="644">
        <f>'Forecasting &amp; Valuation'!L60</f>
        <v>8114</v>
      </c>
      <c r="H3" s="644">
        <f>'Forecasting &amp; Valuation'!M60</f>
        <v>8662.2886576134479</v>
      </c>
      <c r="I3" s="644">
        <f>'Forecasting &amp; Valuation'!N60</f>
        <v>9237.2682403489707</v>
      </c>
      <c r="J3" s="644">
        <f>'Forecasting &amp; Valuation'!O60</f>
        <v>9898.0139700584332</v>
      </c>
      <c r="K3" s="644">
        <f>'Forecasting &amp; Valuation'!P60</f>
        <v>10656.994570501354</v>
      </c>
      <c r="L3" s="644">
        <f>'Forecasting &amp; Valuation'!Q60</f>
        <v>11529.016103117572</v>
      </c>
      <c r="P3" s="651" t="s">
        <v>387</v>
      </c>
      <c r="Q3" s="650">
        <f>'Financial Ratios'!H31</f>
        <v>3.1826486709494901E-2</v>
      </c>
      <c r="R3" s="650">
        <f>'Financial Ratios'!I31</f>
        <v>3.5613842565108147E-2</v>
      </c>
      <c r="S3" s="650">
        <f>'Financial Ratios'!J31</f>
        <v>3.6865395117619139E-2</v>
      </c>
      <c r="T3" s="650">
        <f>'Financial Ratios'!K31</f>
        <v>3.4337354706240032E-2</v>
      </c>
      <c r="U3" s="649">
        <f>'Financial Ratios'!L31</f>
        <v>3.3488794419910026E-2</v>
      </c>
    </row>
    <row r="4" spans="5:21" x14ac:dyDescent="0.2">
      <c r="E4" s="9" t="s">
        <v>524</v>
      </c>
      <c r="F4" s="644">
        <f>'Forecasting &amp; Valuation'!K70</f>
        <v>5844</v>
      </c>
      <c r="G4" s="644">
        <f>'Forecasting &amp; Valuation'!L70</f>
        <v>6292</v>
      </c>
      <c r="H4" s="644">
        <f>'Forecasting &amp; Valuation'!M70</f>
        <v>6729.2101207574669</v>
      </c>
      <c r="I4" s="644">
        <f>'Forecasting &amp; Valuation'!N70</f>
        <v>7135.8588358634242</v>
      </c>
      <c r="J4" s="644">
        <f>'Forecasting &amp; Valuation'!O70</f>
        <v>7556.4908910048534</v>
      </c>
      <c r="K4" s="644">
        <f>'Forecasting &amp; Valuation'!P70</f>
        <v>8004.6368234097781</v>
      </c>
      <c r="L4" s="644">
        <f>'Forecasting &amp; Valuation'!Q70</f>
        <v>8482.4178978291329</v>
      </c>
      <c r="P4" s="651" t="s">
        <v>523</v>
      </c>
      <c r="Q4" s="650">
        <f>'Financial Ratios'!H32</f>
        <v>2.3961546269555937E-2</v>
      </c>
      <c r="R4" s="650">
        <f>'Financial Ratios'!I32</f>
        <v>2.3998416896036844E-2</v>
      </c>
      <c r="S4" s="650">
        <f>'Financial Ratios'!J32</f>
        <v>2.5555175599324246E-2</v>
      </c>
      <c r="T4" s="650">
        <f>'Financial Ratios'!K32</f>
        <v>2.5749711395260715E-2</v>
      </c>
      <c r="U4" s="649">
        <f>'Financial Ratios'!L32</f>
        <v>2.5968880267448098E-2</v>
      </c>
    </row>
    <row r="5" spans="5:21" ht="13.5" thickBot="1" x14ac:dyDescent="0.25">
      <c r="F5" s="9">
        <v>2022</v>
      </c>
      <c r="G5" s="9">
        <v>2023</v>
      </c>
      <c r="H5" s="645" t="s">
        <v>522</v>
      </c>
      <c r="I5" s="645" t="s">
        <v>521</v>
      </c>
      <c r="J5" s="645" t="s">
        <v>520</v>
      </c>
      <c r="K5" s="645" t="s">
        <v>519</v>
      </c>
      <c r="L5" s="645" t="s">
        <v>518</v>
      </c>
      <c r="P5" s="648" t="s">
        <v>517</v>
      </c>
      <c r="Q5" s="647">
        <f>'Financial Ratios'!H36</f>
        <v>3.363502202643172</v>
      </c>
      <c r="R5" s="647">
        <f>'Financial Ratios'!I36</f>
        <v>3.001673986608107</v>
      </c>
      <c r="S5" s="647">
        <f>'Financial Ratios'!J36</f>
        <v>3.3058142673955593</v>
      </c>
      <c r="T5" s="647">
        <f>'Financial Ratios'!K36</f>
        <v>3.5369822024124926</v>
      </c>
      <c r="U5" s="646">
        <f>'Financial Ratios'!L36</f>
        <v>3.5117546453314783</v>
      </c>
    </row>
    <row r="6" spans="5:21" x14ac:dyDescent="0.2">
      <c r="E6" s="9" t="s">
        <v>516</v>
      </c>
      <c r="F6" s="644">
        <f>'Forecasting &amp; Valuation'!K91</f>
        <v>64166</v>
      </c>
      <c r="G6" s="644">
        <f>'Forecasting &amp; Valuation'!L91</f>
        <v>68994</v>
      </c>
      <c r="H6" s="644">
        <f>'Forecasting &amp; Valuation'!M91</f>
        <v>73494.440335927109</v>
      </c>
      <c r="I6" s="644">
        <f>'Forecasting &amp; Valuation'!N91</f>
        <v>79294.756721934478</v>
      </c>
      <c r="J6" s="644">
        <f>'Forecasting &amp; Valuation'!O91</f>
        <v>85974.848887446627</v>
      </c>
      <c r="K6" s="644">
        <f>'Forecasting &amp; Valuation'!P91</f>
        <v>93677.161740400916</v>
      </c>
      <c r="L6" s="644">
        <f>'Forecasting &amp; Valuation'!Q91</f>
        <v>102571.98377140879</v>
      </c>
    </row>
    <row r="7" spans="5:21" x14ac:dyDescent="0.2">
      <c r="E7" s="9" t="s">
        <v>515</v>
      </c>
      <c r="F7" s="644">
        <f>'Forecasting &amp; Valuation'!K122</f>
        <v>64166</v>
      </c>
      <c r="G7" s="644">
        <f>'Forecasting &amp; Valuation'!L122</f>
        <v>68994</v>
      </c>
      <c r="H7" s="644">
        <f>'Forecasting &amp; Valuation'!M122</f>
        <v>76557.96225953399</v>
      </c>
      <c r="I7" s="644">
        <f>'Forecasting &amp; Valuation'!N122</f>
        <v>84485.097927337891</v>
      </c>
      <c r="J7" s="644">
        <f>'Forecasting &amp; Valuation'!O122</f>
        <v>92547.066674588132</v>
      </c>
      <c r="K7" s="644">
        <f>'Forecasting &amp; Valuation'!P122</f>
        <v>100761.48596627501</v>
      </c>
      <c r="L7" s="644">
        <f>'Forecasting &amp; Valuation'!Q122</f>
        <v>109153.76494599493</v>
      </c>
    </row>
    <row r="8" spans="5:21" x14ac:dyDescent="0.2">
      <c r="E8" s="9" t="s">
        <v>514</v>
      </c>
      <c r="F8" s="644">
        <v>0</v>
      </c>
      <c r="G8" s="644">
        <v>0</v>
      </c>
      <c r="H8" s="644">
        <f>'Forecasting &amp; Valuation'!M124</f>
        <v>-3063.5219236068806</v>
      </c>
      <c r="I8" s="644">
        <f>'Forecasting &amp; Valuation'!N124</f>
        <v>-5190.3412054034125</v>
      </c>
      <c r="J8" s="644">
        <f>'Forecasting &amp; Valuation'!O124</f>
        <v>-6572.2177871415042</v>
      </c>
      <c r="K8" s="644">
        <f>'Forecasting &amp; Valuation'!P124</f>
        <v>-7084.3242258740938</v>
      </c>
      <c r="L8" s="644">
        <f>'Forecasting &amp; Valuation'!Q124</f>
        <v>-6581.78117458614</v>
      </c>
    </row>
    <row r="9" spans="5:21" x14ac:dyDescent="0.2">
      <c r="H9" s="645"/>
      <c r="I9" s="645"/>
      <c r="J9" s="645"/>
      <c r="K9" s="645"/>
      <c r="L9" s="645"/>
    </row>
    <row r="10" spans="5:21" x14ac:dyDescent="0.2">
      <c r="H10" s="644"/>
      <c r="I10" s="644"/>
      <c r="J10" s="644"/>
      <c r="K10" s="644"/>
      <c r="L10" s="644"/>
    </row>
    <row r="11" spans="5:21" x14ac:dyDescent="0.2">
      <c r="H11" s="643"/>
      <c r="I11" s="643"/>
      <c r="J11" s="643"/>
      <c r="K11" s="643"/>
      <c r="L11" s="64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 Data</vt:lpstr>
      <vt:lpstr>Constructed Financials</vt:lpstr>
      <vt:lpstr>Financial Ratios</vt:lpstr>
      <vt:lpstr>Forecasting &amp; Valuation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robinson</dc:creator>
  <cp:lastModifiedBy>kevin robinson</cp:lastModifiedBy>
  <dcterms:created xsi:type="dcterms:W3CDTF">2025-05-15T22:55:44Z</dcterms:created>
  <dcterms:modified xsi:type="dcterms:W3CDTF">2025-05-15T22:57:18Z</dcterms:modified>
</cp:coreProperties>
</file>