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ml.chartshapes+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ml.chartshap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0.xml" ContentType="application/vnd.openxmlformats-officedocument.drawingml.chartshapes+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1.xml" ContentType="application/vnd.openxmlformats-officedocument.drawingml.chartshape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3.xml" ContentType="application/vnd.openxmlformats-officedocument.drawingml.chartshapes+xml"/>
  <Override PartName="/xl/drawings/drawing1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2.xml" ContentType="application/vnd.openxmlformats-officedocument.spreadsheetml.comments+xml"/>
  <Override PartName="/xl/drawings/drawing15.xml" ContentType="application/vnd.openxmlformats-officedocument.drawing+xml"/>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drawings/drawing16.xml" ContentType="application/vnd.openxmlformats-officedocument.drawing+xml"/>
  <Override PartName="/xl/comments4.xml" ContentType="application/vnd.openxmlformats-officedocument.spreadsheetml.comment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7.xml" ContentType="application/vnd.openxmlformats-officedocument.drawing+xml"/>
  <Override PartName="/xl/activeX/activeX9.xml" ContentType="application/vnd.ms-office.activeX+xml"/>
  <Override PartName="/xl/activeX/activeX9.bin" ContentType="application/vnd.ms-office.activeX"/>
  <Override PartName="/xl/ctrlProps/ctrlProp42.xml" ContentType="application/vnd.ms-excel.controlproperties+xml"/>
  <Override PartName="/xl/ctrlProps/ctrlProp4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koenr\Documents\MATLAB\H2\"/>
    </mc:Choice>
  </mc:AlternateContent>
  <xr:revisionPtr revIDLastSave="0" documentId="13_ncr:1_{98D0B045-FC18-4563-A928-F0DA0F88894D}" xr6:coauthVersionLast="47" xr6:coauthVersionMax="47" xr10:uidLastSave="{00000000-0000-0000-0000-000000000000}"/>
  <workbookProtection workbookAlgorithmName="SHA-512" workbookHashValue="FN64Le0kwa+Jkn+4+CYxcQUht7+A3s3d/WKEeAAMErhlGKpCCueDlRGM0lniF8s1BrfzGsGwagW861Bmr9nOFA==" workbookSaltValue="ea3fKbpT2ZvkAEFjgWpGOw==" workbookSpinCount="100000" lockStructure="1"/>
  <bookViews>
    <workbookView xWindow="-98" yWindow="-98" windowWidth="24196" windowHeight="13096" activeTab="5" xr2:uid="{6FAAA4A3-7BC1-4E3E-BDDB-EA01481A4B71}"/>
  </bookViews>
  <sheets>
    <sheet name="Introduction" sheetId="29" r:id="rId1"/>
    <sheet name="Results" sheetId="25" r:id="rId2"/>
    <sheet name="Calculations" sheetId="21" r:id="rId3"/>
    <sheet name="Hidden" sheetId="30" state="hidden" r:id="rId4"/>
    <sheet name="Learning rates" sheetId="23" r:id="rId5"/>
    <sheet name="Matlab Export" sheetId="27" r:id="rId6"/>
    <sheet name="Matlab Results" sheetId="32" r:id="rId7"/>
  </sheets>
  <functionGroups builtInGroupCount="19"/>
  <definedNames>
    <definedName name="CalcCAPEX">Calculations!$E$163:$J$172</definedName>
    <definedName name="CalcCAPEXfloating">Calculations!$AD$51</definedName>
    <definedName name="CalcCAPEXMonopile">Calculations!$AD$38</definedName>
    <definedName name="CalcCAPEXturbineBF">Calculations!$AD$24</definedName>
    <definedName name="CalcCAPEXturbineFL">Calculations!$AD$26</definedName>
    <definedName name="CalcCapFact20MW2050">Calculations!$K$11</definedName>
    <definedName name="CalcCostBreakdownEBF">Calculations!$E$214:$J$219</definedName>
    <definedName name="CalcCostBreakdownEFL">Calculations!$L$214:$O$219</definedName>
    <definedName name="CalcCostBreakdownH2BF">Calculations!$E$224:$J$230</definedName>
    <definedName name="CalcCostBreakdownH2FL">Calculations!$L$224:$O$230</definedName>
    <definedName name="CalcCostScen">Calculations!$N$6:$N$107</definedName>
    <definedName name="CalcDepth">Calculations!$G$6</definedName>
    <definedName name="CalcDepthGraphs">Calculations!$F$254:$Z$269</definedName>
    <definedName name="CalcDistance">Calculations!$G$7</definedName>
    <definedName name="CalcDistanceGraphs">Calculations!$F$233:$Z$251</definedName>
    <definedName name="CalcEpriceBF_onshore">Calculations!$F$112:$K$112</definedName>
    <definedName name="CalcEpriceBF_turbineBottom">Calculations!$F$110:$K$110</definedName>
    <definedName name="CalcEpriceFL_onshore">Calculations!$F$113:$K$113</definedName>
    <definedName name="CalcEpriceFL_turbineBottom">Calculations!$F$111:$K$111</definedName>
    <definedName name="CalcMainResults">Calculations!$E$190:$J$206</definedName>
    <definedName name="CalcMatLabResults">Calculations!$BI$190:$BN$194</definedName>
    <definedName name="CalcMatLabResultsBF">Calculations!$BI$190:$BN$194</definedName>
    <definedName name="CalcMatlabResultsFL">Calculations!$BI$199:$BN$203</definedName>
    <definedName name="CalcOp_Man">Calculations!$AN$190:$AS$203</definedName>
    <definedName name="CalcParameters">Calculations!$F$6:$K$107</definedName>
    <definedName name="CalcSensitivityGraphs">Calculations!$F$273:$P$303</definedName>
    <definedName name="CalcWACC">Calculations!$G$8</definedName>
    <definedName name="Depth_Floating">Calculations!$P$13:$U$13</definedName>
    <definedName name="Depth_MonopileMass">Calculations!$P$15:$U$15</definedName>
    <definedName name="Dist_Floating">Calculations!$P$11:$U$11</definedName>
    <definedName name="Dist_Maintenance">Calculations!$Y$15:$AD$15</definedName>
    <definedName name="Dist_Monopile">Calculations!$P$9:$U$9</definedName>
    <definedName name="HidDefaultCostScen">Hidden!$N$6:$N$107</definedName>
    <definedName name="HidDefaultParameters">Hidden!$F$6:$K$107</definedName>
    <definedName name="HidNoneCostScen">Hidden!$AC$6:$AC$107</definedName>
    <definedName name="HidProREScostScen">Hidden!$Y$6:$Y$107</definedName>
    <definedName name="HidReferenceCostScen">Hidden!$AA$6:$AA$107</definedName>
    <definedName name="HidUserDefCostScen">Hidden!$W$6:$W$107</definedName>
    <definedName name="HidUserDefParameters">Hidden!$P$6:$U$107</definedName>
    <definedName name="MatlabExport">'Matlab Export'!$F$57:$W$269</definedName>
    <definedName name="MatlabExportWACC">'Matlab Export'!$G$52</definedName>
    <definedName name="ResCalcResultsLCOE">Results!$D$12:$H$22</definedName>
    <definedName name="ResCalcResultsLCOH">Results!$I$12:$M$22</definedName>
    <definedName name="ResDepth">Results!$D$3</definedName>
    <definedName name="ResDepthDistanceLabel">Results!$D$112</definedName>
    <definedName name="ResDepthWACCLabel">Results!$H$112</definedName>
    <definedName name="ResDistance">Results!$D$4</definedName>
    <definedName name="ResDistanceDepthLabel">Results!$D$60</definedName>
    <definedName name="ResDistanceWACCLabel">Results!$H$60</definedName>
    <definedName name="ResMaxDepth">Results!$D$109</definedName>
    <definedName name="ResMaxDistance">Results!$D$57</definedName>
    <definedName name="ResMinDepth">Results!$D$108</definedName>
    <definedName name="ResMinDistance">Results!$D$56</definedName>
    <definedName name="ResSensDepthBF">Results!$L$152</definedName>
    <definedName name="ResSensDepthFL">Results!$L$174</definedName>
    <definedName name="ResSensDistanceBF">Results!$H$152</definedName>
    <definedName name="ResSensDistanceFL">Results!$H$174</definedName>
    <definedName name="ResSensTable">Results!$E$141:$G$150</definedName>
    <definedName name="ResWACC">Results!$D$5</definedName>
    <definedName name="test">Calculations!$G$12:$K$12</definedName>
    <definedName name="TestParameters">#REF!</definedName>
    <definedName name="TestSce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21" l="1"/>
  <c r="G6" i="21"/>
  <c r="G7" i="21"/>
  <c r="BI244" i="27" l="1"/>
  <c r="BH244" i="27"/>
  <c r="BG244" i="27"/>
  <c r="BF244" i="27"/>
  <c r="BE244" i="27"/>
  <c r="BD244" i="27"/>
  <c r="BC244" i="27"/>
  <c r="BB244" i="27"/>
  <c r="BA244" i="27"/>
  <c r="AZ244" i="27"/>
  <c r="AY244" i="27"/>
  <c r="AX244" i="27"/>
  <c r="AW244" i="27"/>
  <c r="AV244" i="27"/>
  <c r="AU244" i="27"/>
  <c r="AT244" i="27"/>
  <c r="AS244" i="27"/>
  <c r="BI243" i="27"/>
  <c r="BH243" i="27"/>
  <c r="BG243" i="27"/>
  <c r="BF243" i="27"/>
  <c r="BE243" i="27"/>
  <c r="BD243" i="27"/>
  <c r="BC243" i="27"/>
  <c r="BB243" i="27"/>
  <c r="BA243" i="27"/>
  <c r="AZ243" i="27"/>
  <c r="AY243" i="27"/>
  <c r="AX243" i="27"/>
  <c r="AW243" i="27"/>
  <c r="AV243" i="27"/>
  <c r="AU243" i="27"/>
  <c r="AT243" i="27"/>
  <c r="AS243" i="27"/>
  <c r="BI242" i="27"/>
  <c r="BH242" i="27"/>
  <c r="BG242" i="27"/>
  <c r="BF242" i="27"/>
  <c r="BE242" i="27"/>
  <c r="BD242" i="27"/>
  <c r="BC242" i="27"/>
  <c r="BB242" i="27"/>
  <c r="BA242" i="27"/>
  <c r="AZ242" i="27"/>
  <c r="AY242" i="27"/>
  <c r="AX242" i="27"/>
  <c r="AW242" i="27"/>
  <c r="AV242" i="27"/>
  <c r="AU242" i="27"/>
  <c r="AT242" i="27"/>
  <c r="AS242" i="27"/>
  <c r="BI241" i="27"/>
  <c r="BH241" i="27"/>
  <c r="BG241" i="27"/>
  <c r="BF241" i="27"/>
  <c r="BE241" i="27"/>
  <c r="BD241" i="27"/>
  <c r="BC241" i="27"/>
  <c r="BB241" i="27"/>
  <c r="BA241" i="27"/>
  <c r="AZ241" i="27"/>
  <c r="AY241" i="27"/>
  <c r="AX241" i="27"/>
  <c r="AW241" i="27"/>
  <c r="AV241" i="27"/>
  <c r="AU241" i="27"/>
  <c r="AT241" i="27"/>
  <c r="AS241" i="27"/>
  <c r="BI240" i="27"/>
  <c r="BH240" i="27"/>
  <c r="BG240" i="27"/>
  <c r="BF240" i="27"/>
  <c r="BE240" i="27"/>
  <c r="BD240" i="27"/>
  <c r="BC240" i="27"/>
  <c r="BB240" i="27"/>
  <c r="BA240" i="27"/>
  <c r="AZ240" i="27"/>
  <c r="AY240" i="27"/>
  <c r="AX240" i="27"/>
  <c r="AW240" i="27"/>
  <c r="AV240" i="27"/>
  <c r="AU240" i="27"/>
  <c r="AT240" i="27"/>
  <c r="AS240" i="27"/>
  <c r="BI239" i="27"/>
  <c r="BH239" i="27"/>
  <c r="BG239" i="27"/>
  <c r="BF239" i="27"/>
  <c r="BE239" i="27"/>
  <c r="BD239" i="27"/>
  <c r="BC239" i="27"/>
  <c r="BB239" i="27"/>
  <c r="BA239" i="27"/>
  <c r="AZ239" i="27"/>
  <c r="AY239" i="27"/>
  <c r="AX239" i="27"/>
  <c r="AW239" i="27"/>
  <c r="AV239" i="27"/>
  <c r="AU239" i="27"/>
  <c r="AT239" i="27"/>
  <c r="AS239" i="27"/>
  <c r="BI238" i="27"/>
  <c r="BH238" i="27"/>
  <c r="BG238" i="27"/>
  <c r="BF238" i="27"/>
  <c r="BE238" i="27"/>
  <c r="BD238" i="27"/>
  <c r="BC238" i="27"/>
  <c r="BB238" i="27"/>
  <c r="BA238" i="27"/>
  <c r="AZ238" i="27"/>
  <c r="AY238" i="27"/>
  <c r="AX238" i="27"/>
  <c r="AW238" i="27"/>
  <c r="AV238" i="27"/>
  <c r="AU238" i="27"/>
  <c r="AT238" i="27"/>
  <c r="AS238" i="27"/>
  <c r="BI237" i="27"/>
  <c r="BH237" i="27"/>
  <c r="BG237" i="27"/>
  <c r="BF237" i="27"/>
  <c r="BE237" i="27"/>
  <c r="BD237" i="27"/>
  <c r="BC237" i="27"/>
  <c r="BB237" i="27"/>
  <c r="BA237" i="27"/>
  <c r="AZ237" i="27"/>
  <c r="AY237" i="27"/>
  <c r="AX237" i="27"/>
  <c r="AW237" i="27"/>
  <c r="AV237" i="27"/>
  <c r="AU237" i="27"/>
  <c r="AT237" i="27"/>
  <c r="AS237" i="27"/>
  <c r="BI236" i="27"/>
  <c r="BH236" i="27"/>
  <c r="BG236" i="27"/>
  <c r="BF236" i="27"/>
  <c r="BE236" i="27"/>
  <c r="BD236" i="27"/>
  <c r="BC236" i="27"/>
  <c r="BB236" i="27"/>
  <c r="BA236" i="27"/>
  <c r="AZ236" i="27"/>
  <c r="AY236" i="27"/>
  <c r="AX236" i="27"/>
  <c r="AW236" i="27"/>
  <c r="AV236" i="27"/>
  <c r="AU236" i="27"/>
  <c r="AT236" i="27"/>
  <c r="AS236" i="27"/>
  <c r="BI235" i="27"/>
  <c r="BH235" i="27"/>
  <c r="BG235" i="27"/>
  <c r="BF235" i="27"/>
  <c r="BE235" i="27"/>
  <c r="BD235" i="27"/>
  <c r="BC235" i="27"/>
  <c r="BB235" i="27"/>
  <c r="BA235" i="27"/>
  <c r="AZ235" i="27"/>
  <c r="AY235" i="27"/>
  <c r="AX235" i="27"/>
  <c r="AW235" i="27"/>
  <c r="AV235" i="27"/>
  <c r="AU235" i="27"/>
  <c r="AT235" i="27"/>
  <c r="AS235" i="27"/>
  <c r="BI234" i="27"/>
  <c r="BH234" i="27"/>
  <c r="BG234" i="27"/>
  <c r="BF234" i="27"/>
  <c r="BE234" i="27"/>
  <c r="BD234" i="27"/>
  <c r="BC234" i="27"/>
  <c r="BB234" i="27"/>
  <c r="BA234" i="27"/>
  <c r="AZ234" i="27"/>
  <c r="AY234" i="27"/>
  <c r="AX234" i="27"/>
  <c r="AW234" i="27"/>
  <c r="AV234" i="27"/>
  <c r="AU234" i="27"/>
  <c r="AT234" i="27"/>
  <c r="AS234" i="27"/>
  <c r="BI233" i="27"/>
  <c r="BH233" i="27"/>
  <c r="BG233" i="27"/>
  <c r="BF233" i="27"/>
  <c r="BE233" i="27"/>
  <c r="BD233" i="27"/>
  <c r="BC233" i="27"/>
  <c r="BB233" i="27"/>
  <c r="BA233" i="27"/>
  <c r="AZ233" i="27"/>
  <c r="AY233" i="27"/>
  <c r="AX233" i="27"/>
  <c r="AW233" i="27"/>
  <c r="AV233" i="27"/>
  <c r="AU233" i="27"/>
  <c r="AT233" i="27"/>
  <c r="AS233" i="27"/>
  <c r="BI232" i="27"/>
  <c r="BH232" i="27"/>
  <c r="BG232" i="27"/>
  <c r="BF232" i="27"/>
  <c r="BE232" i="27"/>
  <c r="BD232" i="27"/>
  <c r="BC232" i="27"/>
  <c r="BB232" i="27"/>
  <c r="BA232" i="27"/>
  <c r="AZ232" i="27"/>
  <c r="AY232" i="27"/>
  <c r="AX232" i="27"/>
  <c r="AW232" i="27"/>
  <c r="AV232" i="27"/>
  <c r="AU232" i="27"/>
  <c r="AT232" i="27"/>
  <c r="AS232" i="27"/>
  <c r="BI231" i="27"/>
  <c r="BH231" i="27"/>
  <c r="BG231" i="27"/>
  <c r="BF231" i="27"/>
  <c r="BE231" i="27"/>
  <c r="BD231" i="27"/>
  <c r="BC231" i="27"/>
  <c r="BB231" i="27"/>
  <c r="BA231" i="27"/>
  <c r="AZ231" i="27"/>
  <c r="AY231" i="27"/>
  <c r="AX231" i="27"/>
  <c r="AW231" i="27"/>
  <c r="AV231" i="27"/>
  <c r="AU231" i="27"/>
  <c r="AT231" i="27"/>
  <c r="AS231" i="27"/>
  <c r="BI230" i="27"/>
  <c r="BH230" i="27"/>
  <c r="BG230" i="27"/>
  <c r="BF230" i="27"/>
  <c r="BE230" i="27"/>
  <c r="BD230" i="27"/>
  <c r="BC230" i="27"/>
  <c r="BB230" i="27"/>
  <c r="BA230" i="27"/>
  <c r="AZ230" i="27"/>
  <c r="AY230" i="27"/>
  <c r="AX230" i="27"/>
  <c r="AW230" i="27"/>
  <c r="AV230" i="27"/>
  <c r="AU230" i="27"/>
  <c r="AT230" i="27"/>
  <c r="AS230" i="27"/>
  <c r="BI229" i="27"/>
  <c r="BH229" i="27"/>
  <c r="BG229" i="27"/>
  <c r="BF229" i="27"/>
  <c r="BE229" i="27"/>
  <c r="BD229" i="27"/>
  <c r="BC229" i="27"/>
  <c r="BB229" i="27"/>
  <c r="BA229" i="27"/>
  <c r="AZ229" i="27"/>
  <c r="AY229" i="27"/>
  <c r="AX229" i="27"/>
  <c r="AW229" i="27"/>
  <c r="AV229" i="27"/>
  <c r="AU229" i="27"/>
  <c r="AT229" i="27"/>
  <c r="AS229" i="27"/>
  <c r="BI228" i="27"/>
  <c r="BH228" i="27"/>
  <c r="BG228" i="27"/>
  <c r="BF228" i="27"/>
  <c r="BE228" i="27"/>
  <c r="BD228" i="27"/>
  <c r="BC228" i="27"/>
  <c r="BB228" i="27"/>
  <c r="BA228" i="27"/>
  <c r="AZ228" i="27"/>
  <c r="AY228" i="27"/>
  <c r="AX228" i="27"/>
  <c r="AW228" i="27"/>
  <c r="AV228" i="27"/>
  <c r="AU228" i="27"/>
  <c r="AT228" i="27"/>
  <c r="AS228" i="27"/>
  <c r="BI227" i="27"/>
  <c r="BH227" i="27"/>
  <c r="BG227" i="27"/>
  <c r="BF227" i="27"/>
  <c r="BE227" i="27"/>
  <c r="BD227" i="27"/>
  <c r="BC227" i="27"/>
  <c r="BB227" i="27"/>
  <c r="BA227" i="27"/>
  <c r="AZ227" i="27"/>
  <c r="AY227" i="27"/>
  <c r="AX227" i="27"/>
  <c r="AW227" i="27"/>
  <c r="AV227" i="27"/>
  <c r="AU227" i="27"/>
  <c r="AT227" i="27"/>
  <c r="AS227" i="27"/>
  <c r="BI226" i="27"/>
  <c r="BH226" i="27"/>
  <c r="BG226" i="27"/>
  <c r="BF226" i="27"/>
  <c r="BE226" i="27"/>
  <c r="BD226" i="27"/>
  <c r="BC226" i="27"/>
  <c r="BB226" i="27"/>
  <c r="BA226" i="27"/>
  <c r="AZ226" i="27"/>
  <c r="AY226" i="27"/>
  <c r="AX226" i="27"/>
  <c r="AW226" i="27"/>
  <c r="AV226" i="27"/>
  <c r="AU226" i="27"/>
  <c r="AT226" i="27"/>
  <c r="AS226" i="27"/>
  <c r="BI223" i="27"/>
  <c r="BH223" i="27"/>
  <c r="BG223" i="27"/>
  <c r="BF223" i="27"/>
  <c r="BE223" i="27"/>
  <c r="BD223" i="27"/>
  <c r="BC223" i="27"/>
  <c r="BB223" i="27"/>
  <c r="BA223" i="27"/>
  <c r="AZ223" i="27"/>
  <c r="AY223" i="27"/>
  <c r="AX223" i="27"/>
  <c r="AW223" i="27"/>
  <c r="AV223" i="27"/>
  <c r="AU223" i="27"/>
  <c r="AT223" i="27"/>
  <c r="AS223" i="27"/>
  <c r="BI222" i="27"/>
  <c r="BH222" i="27"/>
  <c r="BG222" i="27"/>
  <c r="BF222" i="27"/>
  <c r="BE222" i="27"/>
  <c r="BD222" i="27"/>
  <c r="BC222" i="27"/>
  <c r="BB222" i="27"/>
  <c r="BA222" i="27"/>
  <c r="AZ222" i="27"/>
  <c r="AY222" i="27"/>
  <c r="AX222" i="27"/>
  <c r="AW222" i="27"/>
  <c r="AV222" i="27"/>
  <c r="AU222" i="27"/>
  <c r="AT222" i="27"/>
  <c r="AS222" i="27"/>
  <c r="BI221" i="27"/>
  <c r="BH221" i="27"/>
  <c r="BG221" i="27"/>
  <c r="BF221" i="27"/>
  <c r="BE221" i="27"/>
  <c r="BD221" i="27"/>
  <c r="BC221" i="27"/>
  <c r="BB221" i="27"/>
  <c r="BA221" i="27"/>
  <c r="AZ221" i="27"/>
  <c r="AY221" i="27"/>
  <c r="AX221" i="27"/>
  <c r="AW221" i="27"/>
  <c r="AV221" i="27"/>
  <c r="AU221" i="27"/>
  <c r="AT221" i="27"/>
  <c r="AS221" i="27"/>
  <c r="BI220" i="27"/>
  <c r="BH220" i="27"/>
  <c r="BG220" i="27"/>
  <c r="BF220" i="27"/>
  <c r="BE220" i="27"/>
  <c r="BD220" i="27"/>
  <c r="BC220" i="27"/>
  <c r="BB220" i="27"/>
  <c r="BA220" i="27"/>
  <c r="AZ220" i="27"/>
  <c r="AY220" i="27"/>
  <c r="AX220" i="27"/>
  <c r="AW220" i="27"/>
  <c r="AV220" i="27"/>
  <c r="AU220" i="27"/>
  <c r="AT220" i="27"/>
  <c r="AS220" i="27"/>
  <c r="BI219" i="27"/>
  <c r="BH219" i="27"/>
  <c r="BG219" i="27"/>
  <c r="BF219" i="27"/>
  <c r="BE219" i="27"/>
  <c r="BD219" i="27"/>
  <c r="BC219" i="27"/>
  <c r="BB219" i="27"/>
  <c r="BA219" i="27"/>
  <c r="AZ219" i="27"/>
  <c r="AY219" i="27"/>
  <c r="AX219" i="27"/>
  <c r="AW219" i="27"/>
  <c r="AV219" i="27"/>
  <c r="AU219" i="27"/>
  <c r="AT219" i="27"/>
  <c r="AS219" i="27"/>
  <c r="BI218" i="27"/>
  <c r="BH218" i="27"/>
  <c r="BG218" i="27"/>
  <c r="BF218" i="27"/>
  <c r="BE218" i="27"/>
  <c r="BD218" i="27"/>
  <c r="BC218" i="27"/>
  <c r="BB218" i="27"/>
  <c r="BA218" i="27"/>
  <c r="AZ218" i="27"/>
  <c r="AY218" i="27"/>
  <c r="AX218" i="27"/>
  <c r="AW218" i="27"/>
  <c r="AV218" i="27"/>
  <c r="AU218" i="27"/>
  <c r="AT218" i="27"/>
  <c r="AS218" i="27"/>
  <c r="BI217" i="27"/>
  <c r="BH217" i="27"/>
  <c r="BG217" i="27"/>
  <c r="BF217" i="27"/>
  <c r="BE217" i="27"/>
  <c r="BD217" i="27"/>
  <c r="BC217" i="27"/>
  <c r="BB217" i="27"/>
  <c r="BA217" i="27"/>
  <c r="AZ217" i="27"/>
  <c r="AY217" i="27"/>
  <c r="AX217" i="27"/>
  <c r="AW217" i="27"/>
  <c r="AV217" i="27"/>
  <c r="AU217" i="27"/>
  <c r="AT217" i="27"/>
  <c r="AS217" i="27"/>
  <c r="BI216" i="27"/>
  <c r="BH216" i="27"/>
  <c r="BG216" i="27"/>
  <c r="BF216" i="27"/>
  <c r="BE216" i="27"/>
  <c r="BD216" i="27"/>
  <c r="BC216" i="27"/>
  <c r="BB216" i="27"/>
  <c r="BA216" i="27"/>
  <c r="AZ216" i="27"/>
  <c r="AY216" i="27"/>
  <c r="AX216" i="27"/>
  <c r="AW216" i="27"/>
  <c r="AV216" i="27"/>
  <c r="AU216" i="27"/>
  <c r="AT216" i="27"/>
  <c r="AS216" i="27"/>
  <c r="BI215" i="27"/>
  <c r="BH215" i="27"/>
  <c r="BG215" i="27"/>
  <c r="BF215" i="27"/>
  <c r="BE215" i="27"/>
  <c r="BD215" i="27"/>
  <c r="BC215" i="27"/>
  <c r="BB215" i="27"/>
  <c r="BA215" i="27"/>
  <c r="AZ215" i="27"/>
  <c r="AY215" i="27"/>
  <c r="AX215" i="27"/>
  <c r="AW215" i="27"/>
  <c r="AV215" i="27"/>
  <c r="AU215" i="27"/>
  <c r="AT215" i="27"/>
  <c r="AS215" i="27"/>
  <c r="BI214" i="27"/>
  <c r="BH214" i="27"/>
  <c r="BG214" i="27"/>
  <c r="BF214" i="27"/>
  <c r="BE214" i="27"/>
  <c r="BD214" i="27"/>
  <c r="BC214" i="27"/>
  <c r="BB214" i="27"/>
  <c r="BA214" i="27"/>
  <c r="AZ214" i="27"/>
  <c r="AY214" i="27"/>
  <c r="AX214" i="27"/>
  <c r="AW214" i="27"/>
  <c r="AV214" i="27"/>
  <c r="AU214" i="27"/>
  <c r="AT214" i="27"/>
  <c r="AS214" i="27"/>
  <c r="BI213" i="27"/>
  <c r="BH213" i="27"/>
  <c r="BG213" i="27"/>
  <c r="BF213" i="27"/>
  <c r="BE213" i="27"/>
  <c r="BD213" i="27"/>
  <c r="BC213" i="27"/>
  <c r="BB213" i="27"/>
  <c r="BA213" i="27"/>
  <c r="AZ213" i="27"/>
  <c r="AY213" i="27"/>
  <c r="AX213" i="27"/>
  <c r="AW213" i="27"/>
  <c r="AV213" i="27"/>
  <c r="AU213" i="27"/>
  <c r="AT213" i="27"/>
  <c r="AS213" i="27"/>
  <c r="BI212" i="27"/>
  <c r="BH212" i="27"/>
  <c r="BG212" i="27"/>
  <c r="BF212" i="27"/>
  <c r="BE212" i="27"/>
  <c r="BD212" i="27"/>
  <c r="BC212" i="27"/>
  <c r="BB212" i="27"/>
  <c r="BA212" i="27"/>
  <c r="AZ212" i="27"/>
  <c r="AY212" i="27"/>
  <c r="AX212" i="27"/>
  <c r="AW212" i="27"/>
  <c r="AV212" i="27"/>
  <c r="AU212" i="27"/>
  <c r="AT212" i="27"/>
  <c r="AS212" i="27"/>
  <c r="BI211" i="27"/>
  <c r="BH211" i="27"/>
  <c r="BG211" i="27"/>
  <c r="BF211" i="27"/>
  <c r="BE211" i="27"/>
  <c r="BD211" i="27"/>
  <c r="BC211" i="27"/>
  <c r="BB211" i="27"/>
  <c r="BA211" i="27"/>
  <c r="AZ211" i="27"/>
  <c r="AY211" i="27"/>
  <c r="AX211" i="27"/>
  <c r="AW211" i="27"/>
  <c r="AV211" i="27"/>
  <c r="AU211" i="27"/>
  <c r="AT211" i="27"/>
  <c r="AS211" i="27"/>
  <c r="BI210" i="27"/>
  <c r="BH210" i="27"/>
  <c r="BG210" i="27"/>
  <c r="BF210" i="27"/>
  <c r="BE210" i="27"/>
  <c r="BD210" i="27"/>
  <c r="BC210" i="27"/>
  <c r="BB210" i="27"/>
  <c r="BA210" i="27"/>
  <c r="AZ210" i="27"/>
  <c r="AY210" i="27"/>
  <c r="AX210" i="27"/>
  <c r="AW210" i="27"/>
  <c r="AV210" i="27"/>
  <c r="AU210" i="27"/>
  <c r="AT210" i="27"/>
  <c r="AS210" i="27"/>
  <c r="BI209" i="27"/>
  <c r="BH209" i="27"/>
  <c r="BG209" i="27"/>
  <c r="BF209" i="27"/>
  <c r="BE209" i="27"/>
  <c r="BD209" i="27"/>
  <c r="BC209" i="27"/>
  <c r="BB209" i="27"/>
  <c r="BA209" i="27"/>
  <c r="AZ209" i="27"/>
  <c r="AY209" i="27"/>
  <c r="AX209" i="27"/>
  <c r="AW209" i="27"/>
  <c r="AV209" i="27"/>
  <c r="AU209" i="27"/>
  <c r="AT209" i="27"/>
  <c r="AS209" i="27"/>
  <c r="BI208" i="27"/>
  <c r="BH208" i="27"/>
  <c r="BG208" i="27"/>
  <c r="BF208" i="27"/>
  <c r="BE208" i="27"/>
  <c r="BD208" i="27"/>
  <c r="BC208" i="27"/>
  <c r="BB208" i="27"/>
  <c r="BA208" i="27"/>
  <c r="AZ208" i="27"/>
  <c r="AY208" i="27"/>
  <c r="AX208" i="27"/>
  <c r="AW208" i="27"/>
  <c r="AV208" i="27"/>
  <c r="AU208" i="27"/>
  <c r="AT208" i="27"/>
  <c r="AS208" i="27"/>
  <c r="BI207" i="27"/>
  <c r="BH207" i="27"/>
  <c r="BG207" i="27"/>
  <c r="BF207" i="27"/>
  <c r="BE207" i="27"/>
  <c r="BD207" i="27"/>
  <c r="BC207" i="27"/>
  <c r="BB207" i="27"/>
  <c r="BA207" i="27"/>
  <c r="AZ207" i="27"/>
  <c r="AY207" i="27"/>
  <c r="AX207" i="27"/>
  <c r="AW207" i="27"/>
  <c r="AV207" i="27"/>
  <c r="AU207" i="27"/>
  <c r="AT207" i="27"/>
  <c r="AS207" i="27"/>
  <c r="BI206" i="27"/>
  <c r="BH206" i="27"/>
  <c r="BG206" i="27"/>
  <c r="BF206" i="27"/>
  <c r="BE206" i="27"/>
  <c r="BD206" i="27"/>
  <c r="BC206" i="27"/>
  <c r="BB206" i="27"/>
  <c r="BA206" i="27"/>
  <c r="AZ206" i="27"/>
  <c r="AY206" i="27"/>
  <c r="AX206" i="27"/>
  <c r="AW206" i="27"/>
  <c r="AV206" i="27"/>
  <c r="AU206" i="27"/>
  <c r="AT206" i="27"/>
  <c r="AS206" i="27"/>
  <c r="BI205" i="27"/>
  <c r="BH205" i="27"/>
  <c r="BG205" i="27"/>
  <c r="BF205" i="27"/>
  <c r="BE205" i="27"/>
  <c r="BD205" i="27"/>
  <c r="BC205" i="27"/>
  <c r="BB205" i="27"/>
  <c r="BA205" i="27"/>
  <c r="AZ205" i="27"/>
  <c r="AY205" i="27"/>
  <c r="AX205" i="27"/>
  <c r="AW205" i="27"/>
  <c r="AV205" i="27"/>
  <c r="AU205" i="27"/>
  <c r="AT205" i="27"/>
  <c r="AS205" i="27"/>
  <c r="BI202" i="27"/>
  <c r="BH202" i="27"/>
  <c r="BG202" i="27"/>
  <c r="BF202" i="27"/>
  <c r="BE202" i="27"/>
  <c r="BD202" i="27"/>
  <c r="BC202" i="27"/>
  <c r="BB202" i="27"/>
  <c r="BA202" i="27"/>
  <c r="AZ202" i="27"/>
  <c r="AY202" i="27"/>
  <c r="AX202" i="27"/>
  <c r="AW202" i="27"/>
  <c r="AV202" i="27"/>
  <c r="AU202" i="27"/>
  <c r="AT202" i="27"/>
  <c r="AS202" i="27"/>
  <c r="BI201" i="27"/>
  <c r="BH201" i="27"/>
  <c r="BG201" i="27"/>
  <c r="BF201" i="27"/>
  <c r="BE201" i="27"/>
  <c r="BD201" i="27"/>
  <c r="BC201" i="27"/>
  <c r="BB201" i="27"/>
  <c r="BA201" i="27"/>
  <c r="AZ201" i="27"/>
  <c r="AY201" i="27"/>
  <c r="AX201" i="27"/>
  <c r="AW201" i="27"/>
  <c r="AV201" i="27"/>
  <c r="AU201" i="27"/>
  <c r="AT201" i="27"/>
  <c r="AS201" i="27"/>
  <c r="BI200" i="27"/>
  <c r="BH200" i="27"/>
  <c r="BG200" i="27"/>
  <c r="BF200" i="27"/>
  <c r="BE200" i="27"/>
  <c r="BD200" i="27"/>
  <c r="BC200" i="27"/>
  <c r="BB200" i="27"/>
  <c r="BA200" i="27"/>
  <c r="AZ200" i="27"/>
  <c r="AY200" i="27"/>
  <c r="AX200" i="27"/>
  <c r="AW200" i="27"/>
  <c r="AV200" i="27"/>
  <c r="AU200" i="27"/>
  <c r="AT200" i="27"/>
  <c r="AS200" i="27"/>
  <c r="BI199" i="27"/>
  <c r="BH199" i="27"/>
  <c r="BG199" i="27"/>
  <c r="BF199" i="27"/>
  <c r="BE199" i="27"/>
  <c r="BD199" i="27"/>
  <c r="BC199" i="27"/>
  <c r="BB199" i="27"/>
  <c r="BA199" i="27"/>
  <c r="AZ199" i="27"/>
  <c r="AY199" i="27"/>
  <c r="AX199" i="27"/>
  <c r="AW199" i="27"/>
  <c r="AV199" i="27"/>
  <c r="AU199" i="27"/>
  <c r="AT199" i="27"/>
  <c r="AS199" i="27"/>
  <c r="BI198" i="27"/>
  <c r="BH198" i="27"/>
  <c r="BG198" i="27"/>
  <c r="BF198" i="27"/>
  <c r="BE198" i="27"/>
  <c r="BD198" i="27"/>
  <c r="BC198" i="27"/>
  <c r="BB198" i="27"/>
  <c r="BA198" i="27"/>
  <c r="AZ198" i="27"/>
  <c r="AY198" i="27"/>
  <c r="AX198" i="27"/>
  <c r="AW198" i="27"/>
  <c r="AV198" i="27"/>
  <c r="AU198" i="27"/>
  <c r="AT198" i="27"/>
  <c r="AS198" i="27"/>
  <c r="BI197" i="27"/>
  <c r="BH197" i="27"/>
  <c r="BG197" i="27"/>
  <c r="BF197" i="27"/>
  <c r="BE197" i="27"/>
  <c r="BD197" i="27"/>
  <c r="BC197" i="27"/>
  <c r="BB197" i="27"/>
  <c r="BA197" i="27"/>
  <c r="AZ197" i="27"/>
  <c r="AY197" i="27"/>
  <c r="AX197" i="27"/>
  <c r="AW197" i="27"/>
  <c r="AV197" i="27"/>
  <c r="AU197" i="27"/>
  <c r="AT197" i="27"/>
  <c r="AS197" i="27"/>
  <c r="BI196" i="27"/>
  <c r="BH196" i="27"/>
  <c r="BG196" i="27"/>
  <c r="BF196" i="27"/>
  <c r="BE196" i="27"/>
  <c r="BD196" i="27"/>
  <c r="BC196" i="27"/>
  <c r="BB196" i="27"/>
  <c r="BA196" i="27"/>
  <c r="AZ196" i="27"/>
  <c r="AY196" i="27"/>
  <c r="AX196" i="27"/>
  <c r="AW196" i="27"/>
  <c r="AV196" i="27"/>
  <c r="AU196" i="27"/>
  <c r="AT196" i="27"/>
  <c r="AS196" i="27"/>
  <c r="BI195" i="27"/>
  <c r="BH195" i="27"/>
  <c r="BG195" i="27"/>
  <c r="BF195" i="27"/>
  <c r="BE195" i="27"/>
  <c r="BD195" i="27"/>
  <c r="BC195" i="27"/>
  <c r="BB195" i="27"/>
  <c r="BA195" i="27"/>
  <c r="AZ195" i="27"/>
  <c r="AY195" i="27"/>
  <c r="AX195" i="27"/>
  <c r="AW195" i="27"/>
  <c r="AV195" i="27"/>
  <c r="AU195" i="27"/>
  <c r="AT195" i="27"/>
  <c r="AS195" i="27"/>
  <c r="BI194" i="27"/>
  <c r="BH194" i="27"/>
  <c r="BG194" i="27"/>
  <c r="BF194" i="27"/>
  <c r="BE194" i="27"/>
  <c r="BD194" i="27"/>
  <c r="BC194" i="27"/>
  <c r="BB194" i="27"/>
  <c r="BA194" i="27"/>
  <c r="AZ194" i="27"/>
  <c r="AY194" i="27"/>
  <c r="AX194" i="27"/>
  <c r="AW194" i="27"/>
  <c r="AV194" i="27"/>
  <c r="AU194" i="27"/>
  <c r="AT194" i="27"/>
  <c r="AS194" i="27"/>
  <c r="BI193" i="27"/>
  <c r="BH193" i="27"/>
  <c r="BG193" i="27"/>
  <c r="BF193" i="27"/>
  <c r="BE193" i="27"/>
  <c r="BD193" i="27"/>
  <c r="BC193" i="27"/>
  <c r="BB193" i="27"/>
  <c r="BA193" i="27"/>
  <c r="AZ193" i="27"/>
  <c r="AY193" i="27"/>
  <c r="AX193" i="27"/>
  <c r="AW193" i="27"/>
  <c r="AV193" i="27"/>
  <c r="AU193" i="27"/>
  <c r="AT193" i="27"/>
  <c r="AS193" i="27"/>
  <c r="BI192" i="27"/>
  <c r="BH192" i="27"/>
  <c r="BG192" i="27"/>
  <c r="BF192" i="27"/>
  <c r="BE192" i="27"/>
  <c r="BD192" i="27"/>
  <c r="BC192" i="27"/>
  <c r="BB192" i="27"/>
  <c r="BA192" i="27"/>
  <c r="AZ192" i="27"/>
  <c r="AY192" i="27"/>
  <c r="AX192" i="27"/>
  <c r="AW192" i="27"/>
  <c r="AV192" i="27"/>
  <c r="AU192" i="27"/>
  <c r="AT192" i="27"/>
  <c r="AS192" i="27"/>
  <c r="BI191" i="27"/>
  <c r="BH191" i="27"/>
  <c r="BG191" i="27"/>
  <c r="BF191" i="27"/>
  <c r="BE191" i="27"/>
  <c r="BD191" i="27"/>
  <c r="BC191" i="27"/>
  <c r="BB191" i="27"/>
  <c r="BA191" i="27"/>
  <c r="AZ191" i="27"/>
  <c r="AY191" i="27"/>
  <c r="AX191" i="27"/>
  <c r="AW191" i="27"/>
  <c r="AV191" i="27"/>
  <c r="AU191" i="27"/>
  <c r="AT191" i="27"/>
  <c r="AS191" i="27"/>
  <c r="BI190" i="27"/>
  <c r="BH190" i="27"/>
  <c r="BG190" i="27"/>
  <c r="BF190" i="27"/>
  <c r="BE190" i="27"/>
  <c r="BD190" i="27"/>
  <c r="BC190" i="27"/>
  <c r="BB190" i="27"/>
  <c r="BA190" i="27"/>
  <c r="AZ190" i="27"/>
  <c r="AY190" i="27"/>
  <c r="AX190" i="27"/>
  <c r="AW190" i="27"/>
  <c r="AV190" i="27"/>
  <c r="AU190" i="27"/>
  <c r="AT190" i="27"/>
  <c r="AS190" i="27"/>
  <c r="BI189" i="27"/>
  <c r="BH189" i="27"/>
  <c r="BG189" i="27"/>
  <c r="BF189" i="27"/>
  <c r="BE189" i="27"/>
  <c r="BD189" i="27"/>
  <c r="BC189" i="27"/>
  <c r="BB189" i="27"/>
  <c r="BA189" i="27"/>
  <c r="AZ189" i="27"/>
  <c r="AY189" i="27"/>
  <c r="AX189" i="27"/>
  <c r="AW189" i="27"/>
  <c r="AV189" i="27"/>
  <c r="AU189" i="27"/>
  <c r="AT189" i="27"/>
  <c r="AS189" i="27"/>
  <c r="BI188" i="27"/>
  <c r="BH188" i="27"/>
  <c r="BG188" i="27"/>
  <c r="BF188" i="27"/>
  <c r="BE188" i="27"/>
  <c r="BD188" i="27"/>
  <c r="BC188" i="27"/>
  <c r="BB188" i="27"/>
  <c r="BA188" i="27"/>
  <c r="AZ188" i="27"/>
  <c r="AY188" i="27"/>
  <c r="AX188" i="27"/>
  <c r="AW188" i="27"/>
  <c r="AV188" i="27"/>
  <c r="AU188" i="27"/>
  <c r="AT188" i="27"/>
  <c r="AS188" i="27"/>
  <c r="BI187" i="27"/>
  <c r="BH187" i="27"/>
  <c r="BG187" i="27"/>
  <c r="BF187" i="27"/>
  <c r="BE187" i="27"/>
  <c r="BD187" i="27"/>
  <c r="BC187" i="27"/>
  <c r="BB187" i="27"/>
  <c r="BA187" i="27"/>
  <c r="AZ187" i="27"/>
  <c r="AY187" i="27"/>
  <c r="AX187" i="27"/>
  <c r="AW187" i="27"/>
  <c r="AV187" i="27"/>
  <c r="AU187" i="27"/>
  <c r="AT187" i="27"/>
  <c r="AS187" i="27"/>
  <c r="BI186" i="27"/>
  <c r="BH186" i="27"/>
  <c r="BG186" i="27"/>
  <c r="BF186" i="27"/>
  <c r="BE186" i="27"/>
  <c r="BD186" i="27"/>
  <c r="BC186" i="27"/>
  <c r="BB186" i="27"/>
  <c r="BA186" i="27"/>
  <c r="AZ186" i="27"/>
  <c r="AY186" i="27"/>
  <c r="AX186" i="27"/>
  <c r="AW186" i="27"/>
  <c r="AV186" i="27"/>
  <c r="AU186" i="27"/>
  <c r="AT186" i="27"/>
  <c r="AS186" i="27"/>
  <c r="BI185" i="27"/>
  <c r="BH185" i="27"/>
  <c r="BG185" i="27"/>
  <c r="BF185" i="27"/>
  <c r="BE185" i="27"/>
  <c r="BD185" i="27"/>
  <c r="BC185" i="27"/>
  <c r="BB185" i="27"/>
  <c r="BA185" i="27"/>
  <c r="AZ185" i="27"/>
  <c r="AY185" i="27"/>
  <c r="AX185" i="27"/>
  <c r="AW185" i="27"/>
  <c r="AV185" i="27"/>
  <c r="AU185" i="27"/>
  <c r="AT185" i="27"/>
  <c r="AS185" i="27"/>
  <c r="BI184" i="27"/>
  <c r="BH184" i="27"/>
  <c r="BG184" i="27"/>
  <c r="BF184" i="27"/>
  <c r="BE184" i="27"/>
  <c r="BD184" i="27"/>
  <c r="BC184" i="27"/>
  <c r="BB184" i="27"/>
  <c r="BA184" i="27"/>
  <c r="AZ184" i="27"/>
  <c r="AY184" i="27"/>
  <c r="AX184" i="27"/>
  <c r="AW184" i="27"/>
  <c r="AV184" i="27"/>
  <c r="AU184" i="27"/>
  <c r="AT184" i="27"/>
  <c r="AS184" i="27"/>
  <c r="BI181" i="27"/>
  <c r="BH181" i="27"/>
  <c r="BG181" i="27"/>
  <c r="BF181" i="27"/>
  <c r="BE181" i="27"/>
  <c r="BD181" i="27"/>
  <c r="BC181" i="27"/>
  <c r="BB181" i="27"/>
  <c r="BA181" i="27"/>
  <c r="AZ181" i="27"/>
  <c r="AY181" i="27"/>
  <c r="AX181" i="27"/>
  <c r="AW181" i="27"/>
  <c r="AV181" i="27"/>
  <c r="AU181" i="27"/>
  <c r="AT181" i="27"/>
  <c r="AS181" i="27"/>
  <c r="BI180" i="27"/>
  <c r="BH180" i="27"/>
  <c r="BG180" i="27"/>
  <c r="BF180" i="27"/>
  <c r="BE180" i="27"/>
  <c r="BD180" i="27"/>
  <c r="BC180" i="27"/>
  <c r="BB180" i="27"/>
  <c r="BA180" i="27"/>
  <c r="AZ180" i="27"/>
  <c r="AY180" i="27"/>
  <c r="AX180" i="27"/>
  <c r="AW180" i="27"/>
  <c r="AV180" i="27"/>
  <c r="AU180" i="27"/>
  <c r="AT180" i="27"/>
  <c r="AS180" i="27"/>
  <c r="BI179" i="27"/>
  <c r="BH179" i="27"/>
  <c r="BG179" i="27"/>
  <c r="BF179" i="27"/>
  <c r="BE179" i="27"/>
  <c r="BD179" i="27"/>
  <c r="BC179" i="27"/>
  <c r="BB179" i="27"/>
  <c r="BA179" i="27"/>
  <c r="AZ179" i="27"/>
  <c r="AY179" i="27"/>
  <c r="AX179" i="27"/>
  <c r="AW179" i="27"/>
  <c r="AV179" i="27"/>
  <c r="AU179" i="27"/>
  <c r="AT179" i="27"/>
  <c r="AS179" i="27"/>
  <c r="BI178" i="27"/>
  <c r="BH178" i="27"/>
  <c r="BG178" i="27"/>
  <c r="BF178" i="27"/>
  <c r="BE178" i="27"/>
  <c r="BD178" i="27"/>
  <c r="BC178" i="27"/>
  <c r="BB178" i="27"/>
  <c r="BA178" i="27"/>
  <c r="AZ178" i="27"/>
  <c r="AY178" i="27"/>
  <c r="AX178" i="27"/>
  <c r="AW178" i="27"/>
  <c r="AV178" i="27"/>
  <c r="AU178" i="27"/>
  <c r="AT178" i="27"/>
  <c r="AS178" i="27"/>
  <c r="BI177" i="27"/>
  <c r="BH177" i="27"/>
  <c r="BG177" i="27"/>
  <c r="BF177" i="27"/>
  <c r="BE177" i="27"/>
  <c r="BD177" i="27"/>
  <c r="BC177" i="27"/>
  <c r="BB177" i="27"/>
  <c r="BA177" i="27"/>
  <c r="AZ177" i="27"/>
  <c r="AY177" i="27"/>
  <c r="AX177" i="27"/>
  <c r="AW177" i="27"/>
  <c r="AV177" i="27"/>
  <c r="AU177" i="27"/>
  <c r="AT177" i="27"/>
  <c r="AS177" i="27"/>
  <c r="BI176" i="27"/>
  <c r="BH176" i="27"/>
  <c r="BG176" i="27"/>
  <c r="BF176" i="27"/>
  <c r="BE176" i="27"/>
  <c r="BD176" i="27"/>
  <c r="BC176" i="27"/>
  <c r="BB176" i="27"/>
  <c r="BA176" i="27"/>
  <c r="AZ176" i="27"/>
  <c r="AY176" i="27"/>
  <c r="AX176" i="27"/>
  <c r="AW176" i="27"/>
  <c r="AV176" i="27"/>
  <c r="AU176" i="27"/>
  <c r="AT176" i="27"/>
  <c r="AS176" i="27"/>
  <c r="BI175" i="27"/>
  <c r="BH175" i="27"/>
  <c r="BG175" i="27"/>
  <c r="BF175" i="27"/>
  <c r="BE175" i="27"/>
  <c r="BD175" i="27"/>
  <c r="BC175" i="27"/>
  <c r="BB175" i="27"/>
  <c r="BA175" i="27"/>
  <c r="AZ175" i="27"/>
  <c r="AY175" i="27"/>
  <c r="AX175" i="27"/>
  <c r="AW175" i="27"/>
  <c r="AV175" i="27"/>
  <c r="AU175" i="27"/>
  <c r="AT175" i="27"/>
  <c r="AS175" i="27"/>
  <c r="BI174" i="27"/>
  <c r="BH174" i="27"/>
  <c r="BG174" i="27"/>
  <c r="BF174" i="27"/>
  <c r="BE174" i="27"/>
  <c r="BD174" i="27"/>
  <c r="BC174" i="27"/>
  <c r="BB174" i="27"/>
  <c r="BA174" i="27"/>
  <c r="AZ174" i="27"/>
  <c r="AY174" i="27"/>
  <c r="AX174" i="27"/>
  <c r="AW174" i="27"/>
  <c r="AV174" i="27"/>
  <c r="AU174" i="27"/>
  <c r="AT174" i="27"/>
  <c r="AS174" i="27"/>
  <c r="BI173" i="27"/>
  <c r="BH173" i="27"/>
  <c r="BG173" i="27"/>
  <c r="BF173" i="27"/>
  <c r="BE173" i="27"/>
  <c r="BD173" i="27"/>
  <c r="BC173" i="27"/>
  <c r="BB173" i="27"/>
  <c r="BA173" i="27"/>
  <c r="AZ173" i="27"/>
  <c r="AY173" i="27"/>
  <c r="AX173" i="27"/>
  <c r="AW173" i="27"/>
  <c r="AV173" i="27"/>
  <c r="AU173" i="27"/>
  <c r="AT173" i="27"/>
  <c r="AS173" i="27"/>
  <c r="BI172" i="27"/>
  <c r="BH172" i="27"/>
  <c r="BG172" i="27"/>
  <c r="BF172" i="27"/>
  <c r="BE172" i="27"/>
  <c r="BD172" i="27"/>
  <c r="BC172" i="27"/>
  <c r="BB172" i="27"/>
  <c r="BA172" i="27"/>
  <c r="AZ172" i="27"/>
  <c r="AY172" i="27"/>
  <c r="AX172" i="27"/>
  <c r="AW172" i="27"/>
  <c r="AV172" i="27"/>
  <c r="AU172" i="27"/>
  <c r="AT172" i="27"/>
  <c r="AS172" i="27"/>
  <c r="BI171" i="27"/>
  <c r="BH171" i="27"/>
  <c r="BG171" i="27"/>
  <c r="BF171" i="27"/>
  <c r="BE171" i="27"/>
  <c r="BD171" i="27"/>
  <c r="BC171" i="27"/>
  <c r="BB171" i="27"/>
  <c r="BA171" i="27"/>
  <c r="AZ171" i="27"/>
  <c r="AY171" i="27"/>
  <c r="AX171" i="27"/>
  <c r="AW171" i="27"/>
  <c r="AV171" i="27"/>
  <c r="AU171" i="27"/>
  <c r="AT171" i="27"/>
  <c r="AS171" i="27"/>
  <c r="BI170" i="27"/>
  <c r="BH170" i="27"/>
  <c r="BG170" i="27"/>
  <c r="BF170" i="27"/>
  <c r="BE170" i="27"/>
  <c r="BD170" i="27"/>
  <c r="BC170" i="27"/>
  <c r="BB170" i="27"/>
  <c r="BA170" i="27"/>
  <c r="AZ170" i="27"/>
  <c r="AY170" i="27"/>
  <c r="AX170" i="27"/>
  <c r="AW170" i="27"/>
  <c r="AV170" i="27"/>
  <c r="AU170" i="27"/>
  <c r="AT170" i="27"/>
  <c r="AS170" i="27"/>
  <c r="BI169" i="27"/>
  <c r="BH169" i="27"/>
  <c r="BG169" i="27"/>
  <c r="BF169" i="27"/>
  <c r="BE169" i="27"/>
  <c r="BD169" i="27"/>
  <c r="BC169" i="27"/>
  <c r="BB169" i="27"/>
  <c r="BA169" i="27"/>
  <c r="AZ169" i="27"/>
  <c r="AY169" i="27"/>
  <c r="AX169" i="27"/>
  <c r="AW169" i="27"/>
  <c r="AV169" i="27"/>
  <c r="AU169" i="27"/>
  <c r="AT169" i="27"/>
  <c r="AS169" i="27"/>
  <c r="BI168" i="27"/>
  <c r="BH168" i="27"/>
  <c r="BG168" i="27"/>
  <c r="BF168" i="27"/>
  <c r="BE168" i="27"/>
  <c r="BD168" i="27"/>
  <c r="BC168" i="27"/>
  <c r="BB168" i="27"/>
  <c r="BA168" i="27"/>
  <c r="AZ168" i="27"/>
  <c r="AY168" i="27"/>
  <c r="AX168" i="27"/>
  <c r="AW168" i="27"/>
  <c r="AV168" i="27"/>
  <c r="AU168" i="27"/>
  <c r="AT168" i="27"/>
  <c r="AS168" i="27"/>
  <c r="BI167" i="27"/>
  <c r="BH167" i="27"/>
  <c r="BG167" i="27"/>
  <c r="BF167" i="27"/>
  <c r="BE167" i="27"/>
  <c r="BD167" i="27"/>
  <c r="BC167" i="27"/>
  <c r="BB167" i="27"/>
  <c r="BA167" i="27"/>
  <c r="AZ167" i="27"/>
  <c r="AY167" i="27"/>
  <c r="AX167" i="27"/>
  <c r="AW167" i="27"/>
  <c r="AV167" i="27"/>
  <c r="AU167" i="27"/>
  <c r="AT167" i="27"/>
  <c r="AS167" i="27"/>
  <c r="BI166" i="27"/>
  <c r="BH166" i="27"/>
  <c r="BG166" i="27"/>
  <c r="BF166" i="27"/>
  <c r="BE166" i="27"/>
  <c r="BD166" i="27"/>
  <c r="BC166" i="27"/>
  <c r="BB166" i="27"/>
  <c r="BA166" i="27"/>
  <c r="AZ166" i="27"/>
  <c r="AY166" i="27"/>
  <c r="AX166" i="27"/>
  <c r="AW166" i="27"/>
  <c r="AV166" i="27"/>
  <c r="AU166" i="27"/>
  <c r="AT166" i="27"/>
  <c r="AS166" i="27"/>
  <c r="BI165" i="27"/>
  <c r="BH165" i="27"/>
  <c r="BG165" i="27"/>
  <c r="BF165" i="27"/>
  <c r="BE165" i="27"/>
  <c r="BD165" i="27"/>
  <c r="BC165" i="27"/>
  <c r="BB165" i="27"/>
  <c r="BA165" i="27"/>
  <c r="AZ165" i="27"/>
  <c r="AY165" i="27"/>
  <c r="AX165" i="27"/>
  <c r="AW165" i="27"/>
  <c r="AV165" i="27"/>
  <c r="AU165" i="27"/>
  <c r="AT165" i="27"/>
  <c r="AS165" i="27"/>
  <c r="BI164" i="27"/>
  <c r="BH164" i="27"/>
  <c r="BG164" i="27"/>
  <c r="BF164" i="27"/>
  <c r="BE164" i="27"/>
  <c r="BD164" i="27"/>
  <c r="BC164" i="27"/>
  <c r="BB164" i="27"/>
  <c r="BA164" i="27"/>
  <c r="AZ164" i="27"/>
  <c r="AY164" i="27"/>
  <c r="AX164" i="27"/>
  <c r="AW164" i="27"/>
  <c r="AV164" i="27"/>
  <c r="AU164" i="27"/>
  <c r="AT164" i="27"/>
  <c r="AS164" i="27"/>
  <c r="BI163" i="27"/>
  <c r="BH163" i="27"/>
  <c r="BG163" i="27"/>
  <c r="BF163" i="27"/>
  <c r="BE163" i="27"/>
  <c r="BD163" i="27"/>
  <c r="BC163" i="27"/>
  <c r="BB163" i="27"/>
  <c r="BA163" i="27"/>
  <c r="AZ163" i="27"/>
  <c r="AY163" i="27"/>
  <c r="AX163" i="27"/>
  <c r="AW163" i="27"/>
  <c r="AV163" i="27"/>
  <c r="AU163" i="27"/>
  <c r="AT163" i="27"/>
  <c r="AS163" i="27"/>
  <c r="BI139" i="27"/>
  <c r="BH139" i="27"/>
  <c r="BG139" i="27"/>
  <c r="BF139" i="27"/>
  <c r="BE139" i="27"/>
  <c r="BD139" i="27"/>
  <c r="BC139" i="27"/>
  <c r="BB139" i="27"/>
  <c r="BA139" i="27"/>
  <c r="AZ139" i="27"/>
  <c r="AY139" i="27"/>
  <c r="AX139" i="27"/>
  <c r="AW139" i="27"/>
  <c r="AV139" i="27"/>
  <c r="AU139" i="27"/>
  <c r="AT139" i="27"/>
  <c r="AS139" i="27"/>
  <c r="BI138" i="27"/>
  <c r="BH138" i="27"/>
  <c r="BG138" i="27"/>
  <c r="BF138" i="27"/>
  <c r="BE138" i="27"/>
  <c r="BD138" i="27"/>
  <c r="BC138" i="27"/>
  <c r="BB138" i="27"/>
  <c r="BA138" i="27"/>
  <c r="AZ138" i="27"/>
  <c r="AY138" i="27"/>
  <c r="AX138" i="27"/>
  <c r="AW138" i="27"/>
  <c r="AV138" i="27"/>
  <c r="AU138" i="27"/>
  <c r="AT138" i="27"/>
  <c r="AS138" i="27"/>
  <c r="BI137" i="27"/>
  <c r="BH137" i="27"/>
  <c r="BG137" i="27"/>
  <c r="BF137" i="27"/>
  <c r="BE137" i="27"/>
  <c r="BD137" i="27"/>
  <c r="BC137" i="27"/>
  <c r="BB137" i="27"/>
  <c r="BA137" i="27"/>
  <c r="AZ137" i="27"/>
  <c r="AY137" i="27"/>
  <c r="AX137" i="27"/>
  <c r="AW137" i="27"/>
  <c r="AV137" i="27"/>
  <c r="AU137" i="27"/>
  <c r="AT137" i="27"/>
  <c r="AS137" i="27"/>
  <c r="BI136" i="27"/>
  <c r="BH136" i="27"/>
  <c r="BG136" i="27"/>
  <c r="BF136" i="27"/>
  <c r="BE136" i="27"/>
  <c r="BD136" i="27"/>
  <c r="BC136" i="27"/>
  <c r="BB136" i="27"/>
  <c r="BA136" i="27"/>
  <c r="AZ136" i="27"/>
  <c r="AY136" i="27"/>
  <c r="AX136" i="27"/>
  <c r="AW136" i="27"/>
  <c r="AV136" i="27"/>
  <c r="AU136" i="27"/>
  <c r="AT136" i="27"/>
  <c r="AS136" i="27"/>
  <c r="BI135" i="27"/>
  <c r="BH135" i="27"/>
  <c r="BG135" i="27"/>
  <c r="BF135" i="27"/>
  <c r="BE135" i="27"/>
  <c r="BD135" i="27"/>
  <c r="BC135" i="27"/>
  <c r="BB135" i="27"/>
  <c r="BA135" i="27"/>
  <c r="AZ135" i="27"/>
  <c r="AY135" i="27"/>
  <c r="AX135" i="27"/>
  <c r="AW135" i="27"/>
  <c r="AV135" i="27"/>
  <c r="AU135" i="27"/>
  <c r="AT135" i="27"/>
  <c r="AS135" i="27"/>
  <c r="BI134" i="27"/>
  <c r="BH134" i="27"/>
  <c r="BG134" i="27"/>
  <c r="BF134" i="27"/>
  <c r="BE134" i="27"/>
  <c r="BD134" i="27"/>
  <c r="BC134" i="27"/>
  <c r="BB134" i="27"/>
  <c r="BA134" i="27"/>
  <c r="AZ134" i="27"/>
  <c r="AY134" i="27"/>
  <c r="AX134" i="27"/>
  <c r="AW134" i="27"/>
  <c r="AV134" i="27"/>
  <c r="AU134" i="27"/>
  <c r="AT134" i="27"/>
  <c r="AS134" i="27"/>
  <c r="BI133" i="27"/>
  <c r="BH133" i="27"/>
  <c r="BG133" i="27"/>
  <c r="BF133" i="27"/>
  <c r="BE133" i="27"/>
  <c r="BD133" i="27"/>
  <c r="BC133" i="27"/>
  <c r="BB133" i="27"/>
  <c r="BA133" i="27"/>
  <c r="AZ133" i="27"/>
  <c r="AY133" i="27"/>
  <c r="AX133" i="27"/>
  <c r="AW133" i="27"/>
  <c r="AV133" i="27"/>
  <c r="AU133" i="27"/>
  <c r="AT133" i="27"/>
  <c r="AS133" i="27"/>
  <c r="BI132" i="27"/>
  <c r="BH132" i="27"/>
  <c r="BG132" i="27"/>
  <c r="BF132" i="27"/>
  <c r="BE132" i="27"/>
  <c r="BD132" i="27"/>
  <c r="BC132" i="27"/>
  <c r="BB132" i="27"/>
  <c r="BA132" i="27"/>
  <c r="AZ132" i="27"/>
  <c r="AY132" i="27"/>
  <c r="AX132" i="27"/>
  <c r="AW132" i="27"/>
  <c r="AV132" i="27"/>
  <c r="AU132" i="27"/>
  <c r="AT132" i="27"/>
  <c r="AS132" i="27"/>
  <c r="BI131" i="27"/>
  <c r="BH131" i="27"/>
  <c r="BG131" i="27"/>
  <c r="BF131" i="27"/>
  <c r="BE131" i="27"/>
  <c r="BD131" i="27"/>
  <c r="BC131" i="27"/>
  <c r="BB131" i="27"/>
  <c r="BA131" i="27"/>
  <c r="AZ131" i="27"/>
  <c r="AY131" i="27"/>
  <c r="AX131" i="27"/>
  <c r="AW131" i="27"/>
  <c r="AV131" i="27"/>
  <c r="AU131" i="27"/>
  <c r="AT131" i="27"/>
  <c r="AS131" i="27"/>
  <c r="BI130" i="27"/>
  <c r="BH130" i="27"/>
  <c r="BG130" i="27"/>
  <c r="BF130" i="27"/>
  <c r="BE130" i="27"/>
  <c r="BD130" i="27"/>
  <c r="BC130" i="27"/>
  <c r="BB130" i="27"/>
  <c r="BA130" i="27"/>
  <c r="AZ130" i="27"/>
  <c r="AY130" i="27"/>
  <c r="AX130" i="27"/>
  <c r="AW130" i="27"/>
  <c r="AV130" i="27"/>
  <c r="AU130" i="27"/>
  <c r="AT130" i="27"/>
  <c r="AS130" i="27"/>
  <c r="BI129" i="27"/>
  <c r="BH129" i="27"/>
  <c r="BG129" i="27"/>
  <c r="BF129" i="27"/>
  <c r="BE129" i="27"/>
  <c r="BD129" i="27"/>
  <c r="BC129" i="27"/>
  <c r="BB129" i="27"/>
  <c r="BA129" i="27"/>
  <c r="AZ129" i="27"/>
  <c r="AY129" i="27"/>
  <c r="AX129" i="27"/>
  <c r="AW129" i="27"/>
  <c r="AV129" i="27"/>
  <c r="AU129" i="27"/>
  <c r="AT129" i="27"/>
  <c r="AS129" i="27"/>
  <c r="BI128" i="27"/>
  <c r="BH128" i="27"/>
  <c r="BG128" i="27"/>
  <c r="BF128" i="27"/>
  <c r="BE128" i="27"/>
  <c r="BD128" i="27"/>
  <c r="BC128" i="27"/>
  <c r="BB128" i="27"/>
  <c r="BA128" i="27"/>
  <c r="AZ128" i="27"/>
  <c r="AY128" i="27"/>
  <c r="AX128" i="27"/>
  <c r="AW128" i="27"/>
  <c r="AV128" i="27"/>
  <c r="AU128" i="27"/>
  <c r="AT128" i="27"/>
  <c r="AS128" i="27"/>
  <c r="BI127" i="27"/>
  <c r="BH127" i="27"/>
  <c r="BG127" i="27"/>
  <c r="BF127" i="27"/>
  <c r="BE127" i="27"/>
  <c r="BD127" i="27"/>
  <c r="BC127" i="27"/>
  <c r="BB127" i="27"/>
  <c r="BA127" i="27"/>
  <c r="AZ127" i="27"/>
  <c r="AY127" i="27"/>
  <c r="AX127" i="27"/>
  <c r="AW127" i="27"/>
  <c r="AV127" i="27"/>
  <c r="AU127" i="27"/>
  <c r="AT127" i="27"/>
  <c r="AS127" i="27"/>
  <c r="BI126" i="27"/>
  <c r="BH126" i="27"/>
  <c r="BG126" i="27"/>
  <c r="BF126" i="27"/>
  <c r="BE126" i="27"/>
  <c r="BD126" i="27"/>
  <c r="BC126" i="27"/>
  <c r="BB126" i="27"/>
  <c r="BA126" i="27"/>
  <c r="AZ126" i="27"/>
  <c r="AY126" i="27"/>
  <c r="AX126" i="27"/>
  <c r="AW126" i="27"/>
  <c r="AV126" i="27"/>
  <c r="AU126" i="27"/>
  <c r="AT126" i="27"/>
  <c r="AS126" i="27"/>
  <c r="BI125" i="27"/>
  <c r="BH125" i="27"/>
  <c r="BG125" i="27"/>
  <c r="BF125" i="27"/>
  <c r="BE125" i="27"/>
  <c r="BD125" i="27"/>
  <c r="BC125" i="27"/>
  <c r="BB125" i="27"/>
  <c r="BA125" i="27"/>
  <c r="AZ125" i="27"/>
  <c r="AY125" i="27"/>
  <c r="AX125" i="27"/>
  <c r="AW125" i="27"/>
  <c r="AV125" i="27"/>
  <c r="AU125" i="27"/>
  <c r="AT125" i="27"/>
  <c r="AS125" i="27"/>
  <c r="BI124" i="27"/>
  <c r="BH124" i="27"/>
  <c r="BG124" i="27"/>
  <c r="BF124" i="27"/>
  <c r="BE124" i="27"/>
  <c r="BD124" i="27"/>
  <c r="BC124" i="27"/>
  <c r="BB124" i="27"/>
  <c r="BA124" i="27"/>
  <c r="AZ124" i="27"/>
  <c r="AY124" i="27"/>
  <c r="AX124" i="27"/>
  <c r="AW124" i="27"/>
  <c r="AV124" i="27"/>
  <c r="AU124" i="27"/>
  <c r="AT124" i="27"/>
  <c r="AS124" i="27"/>
  <c r="BI123" i="27"/>
  <c r="BH123" i="27"/>
  <c r="BG123" i="27"/>
  <c r="BF123" i="27"/>
  <c r="BE123" i="27"/>
  <c r="BD123" i="27"/>
  <c r="BC123" i="27"/>
  <c r="BB123" i="27"/>
  <c r="BA123" i="27"/>
  <c r="AZ123" i="27"/>
  <c r="AY123" i="27"/>
  <c r="AX123" i="27"/>
  <c r="AW123" i="27"/>
  <c r="AV123" i="27"/>
  <c r="AU123" i="27"/>
  <c r="AT123" i="27"/>
  <c r="AS123" i="27"/>
  <c r="BI122" i="27"/>
  <c r="BH122" i="27"/>
  <c r="BG122" i="27"/>
  <c r="BF122" i="27"/>
  <c r="BE122" i="27"/>
  <c r="BD122" i="27"/>
  <c r="BC122" i="27"/>
  <c r="BB122" i="27"/>
  <c r="BA122" i="27"/>
  <c r="AZ122" i="27"/>
  <c r="AY122" i="27"/>
  <c r="AX122" i="27"/>
  <c r="AW122" i="27"/>
  <c r="AV122" i="27"/>
  <c r="AU122" i="27"/>
  <c r="AT122" i="27"/>
  <c r="AS122" i="27"/>
  <c r="BI121" i="27"/>
  <c r="BH121" i="27"/>
  <c r="BG121" i="27"/>
  <c r="BF121" i="27"/>
  <c r="BE121" i="27"/>
  <c r="BD121" i="27"/>
  <c r="BC121" i="27"/>
  <c r="BB121" i="27"/>
  <c r="BA121" i="27"/>
  <c r="AZ121" i="27"/>
  <c r="AY121" i="27"/>
  <c r="AX121" i="27"/>
  <c r="AW121" i="27"/>
  <c r="AV121" i="27"/>
  <c r="AU121" i="27"/>
  <c r="AT121" i="27"/>
  <c r="AS121" i="27"/>
  <c r="BI118" i="27"/>
  <c r="BH118" i="27"/>
  <c r="BG118" i="27"/>
  <c r="BF118" i="27"/>
  <c r="BE118" i="27"/>
  <c r="BD118" i="27"/>
  <c r="BC118" i="27"/>
  <c r="BB118" i="27"/>
  <c r="BA118" i="27"/>
  <c r="AZ118" i="27"/>
  <c r="AY118" i="27"/>
  <c r="AX118" i="27"/>
  <c r="AW118" i="27"/>
  <c r="AV118" i="27"/>
  <c r="AU118" i="27"/>
  <c r="AT118" i="27"/>
  <c r="AS118" i="27"/>
  <c r="BI117" i="27"/>
  <c r="BH117" i="27"/>
  <c r="BG117" i="27"/>
  <c r="BF117" i="27"/>
  <c r="BE117" i="27"/>
  <c r="BD117" i="27"/>
  <c r="BC117" i="27"/>
  <c r="BB117" i="27"/>
  <c r="BA117" i="27"/>
  <c r="AZ117" i="27"/>
  <c r="AY117" i="27"/>
  <c r="AX117" i="27"/>
  <c r="AW117" i="27"/>
  <c r="AV117" i="27"/>
  <c r="AU117" i="27"/>
  <c r="AT117" i="27"/>
  <c r="AS117" i="27"/>
  <c r="BI116" i="27"/>
  <c r="BH116" i="27"/>
  <c r="BG116" i="27"/>
  <c r="BF116" i="27"/>
  <c r="BE116" i="27"/>
  <c r="BD116" i="27"/>
  <c r="BC116" i="27"/>
  <c r="BB116" i="27"/>
  <c r="BA116" i="27"/>
  <c r="AZ116" i="27"/>
  <c r="AY116" i="27"/>
  <c r="AX116" i="27"/>
  <c r="AW116" i="27"/>
  <c r="AV116" i="27"/>
  <c r="AU116" i="27"/>
  <c r="AT116" i="27"/>
  <c r="AS116" i="27"/>
  <c r="BI115" i="27"/>
  <c r="BH115" i="27"/>
  <c r="BG115" i="27"/>
  <c r="BF115" i="27"/>
  <c r="BE115" i="27"/>
  <c r="BD115" i="27"/>
  <c r="BC115" i="27"/>
  <c r="BB115" i="27"/>
  <c r="BA115" i="27"/>
  <c r="AZ115" i="27"/>
  <c r="AY115" i="27"/>
  <c r="AX115" i="27"/>
  <c r="AW115" i="27"/>
  <c r="AV115" i="27"/>
  <c r="AU115" i="27"/>
  <c r="AT115" i="27"/>
  <c r="AS115" i="27"/>
  <c r="BI114" i="27"/>
  <c r="BH114" i="27"/>
  <c r="BG114" i="27"/>
  <c r="BF114" i="27"/>
  <c r="BE114" i="27"/>
  <c r="BD114" i="27"/>
  <c r="BC114" i="27"/>
  <c r="BB114" i="27"/>
  <c r="BA114" i="27"/>
  <c r="AZ114" i="27"/>
  <c r="AY114" i="27"/>
  <c r="AX114" i="27"/>
  <c r="AW114" i="27"/>
  <c r="AV114" i="27"/>
  <c r="AU114" i="27"/>
  <c r="AT114" i="27"/>
  <c r="AS114" i="27"/>
  <c r="BI113" i="27"/>
  <c r="BH113" i="27"/>
  <c r="BG113" i="27"/>
  <c r="BF113" i="27"/>
  <c r="BE113" i="27"/>
  <c r="BD113" i="27"/>
  <c r="BC113" i="27"/>
  <c r="BB113" i="27"/>
  <c r="BA113" i="27"/>
  <c r="AZ113" i="27"/>
  <c r="AY113" i="27"/>
  <c r="AX113" i="27"/>
  <c r="AW113" i="27"/>
  <c r="AV113" i="27"/>
  <c r="AU113" i="27"/>
  <c r="AT113" i="27"/>
  <c r="AS113" i="27"/>
  <c r="BI112" i="27"/>
  <c r="BH112" i="27"/>
  <c r="BG112" i="27"/>
  <c r="BF112" i="27"/>
  <c r="BE112" i="27"/>
  <c r="BD112" i="27"/>
  <c r="BC112" i="27"/>
  <c r="BB112" i="27"/>
  <c r="BA112" i="27"/>
  <c r="AZ112" i="27"/>
  <c r="AY112" i="27"/>
  <c r="AX112" i="27"/>
  <c r="AW112" i="27"/>
  <c r="AV112" i="27"/>
  <c r="AU112" i="27"/>
  <c r="AT112" i="27"/>
  <c r="AS112" i="27"/>
  <c r="BI111" i="27"/>
  <c r="BH111" i="27"/>
  <c r="BG111" i="27"/>
  <c r="BF111" i="27"/>
  <c r="BE111" i="27"/>
  <c r="BD111" i="27"/>
  <c r="BC111" i="27"/>
  <c r="BB111" i="27"/>
  <c r="BA111" i="27"/>
  <c r="AZ111" i="27"/>
  <c r="AY111" i="27"/>
  <c r="AX111" i="27"/>
  <c r="AW111" i="27"/>
  <c r="AV111" i="27"/>
  <c r="AU111" i="27"/>
  <c r="AT111" i="27"/>
  <c r="AS111" i="27"/>
  <c r="BI110" i="27"/>
  <c r="BH110" i="27"/>
  <c r="BG110" i="27"/>
  <c r="BF110" i="27"/>
  <c r="BE110" i="27"/>
  <c r="BD110" i="27"/>
  <c r="BC110" i="27"/>
  <c r="BB110" i="27"/>
  <c r="BA110" i="27"/>
  <c r="AZ110" i="27"/>
  <c r="AY110" i="27"/>
  <c r="AX110" i="27"/>
  <c r="AW110" i="27"/>
  <c r="AV110" i="27"/>
  <c r="AU110" i="27"/>
  <c r="AT110" i="27"/>
  <c r="AS110" i="27"/>
  <c r="BI109" i="27"/>
  <c r="BH109" i="27"/>
  <c r="BG109" i="27"/>
  <c r="BF109" i="27"/>
  <c r="BE109" i="27"/>
  <c r="BD109" i="27"/>
  <c r="BC109" i="27"/>
  <c r="BB109" i="27"/>
  <c r="BA109" i="27"/>
  <c r="AZ109" i="27"/>
  <c r="AY109" i="27"/>
  <c r="AX109" i="27"/>
  <c r="AW109" i="27"/>
  <c r="AV109" i="27"/>
  <c r="AU109" i="27"/>
  <c r="AT109" i="27"/>
  <c r="AS109" i="27"/>
  <c r="BI108" i="27"/>
  <c r="BH108" i="27"/>
  <c r="BG108" i="27"/>
  <c r="BF108" i="27"/>
  <c r="BE108" i="27"/>
  <c r="BD108" i="27"/>
  <c r="BC108" i="27"/>
  <c r="BB108" i="27"/>
  <c r="BA108" i="27"/>
  <c r="AZ108" i="27"/>
  <c r="AY108" i="27"/>
  <c r="AX108" i="27"/>
  <c r="AW108" i="27"/>
  <c r="AV108" i="27"/>
  <c r="AU108" i="27"/>
  <c r="AT108" i="27"/>
  <c r="AS108" i="27"/>
  <c r="BI107" i="27"/>
  <c r="BH107" i="27"/>
  <c r="BG107" i="27"/>
  <c r="BF107" i="27"/>
  <c r="BE107" i="27"/>
  <c r="BD107" i="27"/>
  <c r="BC107" i="27"/>
  <c r="BB107" i="27"/>
  <c r="BA107" i="27"/>
  <c r="AZ107" i="27"/>
  <c r="AY107" i="27"/>
  <c r="AX107" i="27"/>
  <c r="AW107" i="27"/>
  <c r="AV107" i="27"/>
  <c r="AU107" i="27"/>
  <c r="AT107" i="27"/>
  <c r="AS107" i="27"/>
  <c r="BI106" i="27"/>
  <c r="BH106" i="27"/>
  <c r="BG106" i="27"/>
  <c r="BF106" i="27"/>
  <c r="BE106" i="27"/>
  <c r="BD106" i="27"/>
  <c r="BC106" i="27"/>
  <c r="BB106" i="27"/>
  <c r="BA106" i="27"/>
  <c r="AZ106" i="27"/>
  <c r="AY106" i="27"/>
  <c r="AX106" i="27"/>
  <c r="AW106" i="27"/>
  <c r="AV106" i="27"/>
  <c r="AU106" i="27"/>
  <c r="AT106" i="27"/>
  <c r="AS106" i="27"/>
  <c r="BI105" i="27"/>
  <c r="BH105" i="27"/>
  <c r="BG105" i="27"/>
  <c r="BF105" i="27"/>
  <c r="BE105" i="27"/>
  <c r="BD105" i="27"/>
  <c r="BC105" i="27"/>
  <c r="BB105" i="27"/>
  <c r="BA105" i="27"/>
  <c r="AZ105" i="27"/>
  <c r="AY105" i="27"/>
  <c r="AX105" i="27"/>
  <c r="AW105" i="27"/>
  <c r="AV105" i="27"/>
  <c r="AU105" i="27"/>
  <c r="AT105" i="27"/>
  <c r="AS105" i="27"/>
  <c r="BI104" i="27"/>
  <c r="BH104" i="27"/>
  <c r="BG104" i="27"/>
  <c r="BF104" i="27"/>
  <c r="BE104" i="27"/>
  <c r="BD104" i="27"/>
  <c r="BC104" i="27"/>
  <c r="BB104" i="27"/>
  <c r="BA104" i="27"/>
  <c r="AZ104" i="27"/>
  <c r="AY104" i="27"/>
  <c r="AX104" i="27"/>
  <c r="AW104" i="27"/>
  <c r="AV104" i="27"/>
  <c r="AU104" i="27"/>
  <c r="AT104" i="27"/>
  <c r="AS104" i="27"/>
  <c r="BI103" i="27"/>
  <c r="BH103" i="27"/>
  <c r="BG103" i="27"/>
  <c r="BF103" i="27"/>
  <c r="BE103" i="27"/>
  <c r="BD103" i="27"/>
  <c r="BC103" i="27"/>
  <c r="BB103" i="27"/>
  <c r="BA103" i="27"/>
  <c r="AZ103" i="27"/>
  <c r="AY103" i="27"/>
  <c r="AX103" i="27"/>
  <c r="AW103" i="27"/>
  <c r="AV103" i="27"/>
  <c r="AU103" i="27"/>
  <c r="AT103" i="27"/>
  <c r="AS103" i="27"/>
  <c r="BI102" i="27"/>
  <c r="BH102" i="27"/>
  <c r="BG102" i="27"/>
  <c r="BF102" i="27"/>
  <c r="BE102" i="27"/>
  <c r="BD102" i="27"/>
  <c r="BC102" i="27"/>
  <c r="BB102" i="27"/>
  <c r="BA102" i="27"/>
  <c r="AZ102" i="27"/>
  <c r="AY102" i="27"/>
  <c r="AX102" i="27"/>
  <c r="AW102" i="27"/>
  <c r="AV102" i="27"/>
  <c r="AU102" i="27"/>
  <c r="AT102" i="27"/>
  <c r="AS102" i="27"/>
  <c r="BI101" i="27"/>
  <c r="BH101" i="27"/>
  <c r="BG101" i="27"/>
  <c r="BF101" i="27"/>
  <c r="BE101" i="27"/>
  <c r="BD101" i="27"/>
  <c r="BC101" i="27"/>
  <c r="BB101" i="27"/>
  <c r="BA101" i="27"/>
  <c r="AZ101" i="27"/>
  <c r="AY101" i="27"/>
  <c r="AX101" i="27"/>
  <c r="AW101" i="27"/>
  <c r="AV101" i="27"/>
  <c r="AU101" i="27"/>
  <c r="AT101" i="27"/>
  <c r="AS101" i="27"/>
  <c r="BI100" i="27"/>
  <c r="BH100" i="27"/>
  <c r="BG100" i="27"/>
  <c r="BF100" i="27"/>
  <c r="BE100" i="27"/>
  <c r="BD100" i="27"/>
  <c r="BC100" i="27"/>
  <c r="BB100" i="27"/>
  <c r="BA100" i="27"/>
  <c r="AZ100" i="27"/>
  <c r="AY100" i="27"/>
  <c r="AX100" i="27"/>
  <c r="AW100" i="27"/>
  <c r="AV100" i="27"/>
  <c r="AU100" i="27"/>
  <c r="AT100" i="27"/>
  <c r="AS100" i="27"/>
  <c r="BI97" i="27"/>
  <c r="BH97" i="27"/>
  <c r="BG97" i="27"/>
  <c r="BF97" i="27"/>
  <c r="BE97" i="27"/>
  <c r="BD97" i="27"/>
  <c r="BC97" i="27"/>
  <c r="BB97" i="27"/>
  <c r="BA97" i="27"/>
  <c r="AZ97" i="27"/>
  <c r="AY97" i="27"/>
  <c r="AX97" i="27"/>
  <c r="AW97" i="27"/>
  <c r="AV97" i="27"/>
  <c r="AU97" i="27"/>
  <c r="AT97" i="27"/>
  <c r="AS97" i="27"/>
  <c r="BI96" i="27"/>
  <c r="BH96" i="27"/>
  <c r="BG96" i="27"/>
  <c r="BF96" i="27"/>
  <c r="BE96" i="27"/>
  <c r="BD96" i="27"/>
  <c r="BC96" i="27"/>
  <c r="BB96" i="27"/>
  <c r="BA96" i="27"/>
  <c r="AZ96" i="27"/>
  <c r="AY96" i="27"/>
  <c r="AX96" i="27"/>
  <c r="AW96" i="27"/>
  <c r="AV96" i="27"/>
  <c r="AU96" i="27"/>
  <c r="AT96" i="27"/>
  <c r="AS96" i="27"/>
  <c r="BI95" i="27"/>
  <c r="BH95" i="27"/>
  <c r="BG95" i="27"/>
  <c r="BF95" i="27"/>
  <c r="BE95" i="27"/>
  <c r="BD95" i="27"/>
  <c r="BC95" i="27"/>
  <c r="BB95" i="27"/>
  <c r="BA95" i="27"/>
  <c r="AZ95" i="27"/>
  <c r="AY95" i="27"/>
  <c r="AX95" i="27"/>
  <c r="AW95" i="27"/>
  <c r="AV95" i="27"/>
  <c r="AU95" i="27"/>
  <c r="AT95" i="27"/>
  <c r="AS95" i="27"/>
  <c r="BI94" i="27"/>
  <c r="BH94" i="27"/>
  <c r="BG94" i="27"/>
  <c r="BF94" i="27"/>
  <c r="BE94" i="27"/>
  <c r="BD94" i="27"/>
  <c r="BC94" i="27"/>
  <c r="BB94" i="27"/>
  <c r="BA94" i="27"/>
  <c r="AZ94" i="27"/>
  <c r="AY94" i="27"/>
  <c r="AX94" i="27"/>
  <c r="AW94" i="27"/>
  <c r="AV94" i="27"/>
  <c r="AU94" i="27"/>
  <c r="AT94" i="27"/>
  <c r="AS94" i="27"/>
  <c r="BI93" i="27"/>
  <c r="BH93" i="27"/>
  <c r="BG93" i="27"/>
  <c r="BF93" i="27"/>
  <c r="BE93" i="27"/>
  <c r="BD93" i="27"/>
  <c r="BC93" i="27"/>
  <c r="BB93" i="27"/>
  <c r="BA93" i="27"/>
  <c r="AZ93" i="27"/>
  <c r="AY93" i="27"/>
  <c r="AX93" i="27"/>
  <c r="AW93" i="27"/>
  <c r="AV93" i="27"/>
  <c r="AU93" i="27"/>
  <c r="AT93" i="27"/>
  <c r="AS93" i="27"/>
  <c r="BI92" i="27"/>
  <c r="BH92" i="27"/>
  <c r="BG92" i="27"/>
  <c r="BF92" i="27"/>
  <c r="BE92" i="27"/>
  <c r="BD92" i="27"/>
  <c r="BC92" i="27"/>
  <c r="BB92" i="27"/>
  <c r="BA92" i="27"/>
  <c r="AZ92" i="27"/>
  <c r="AY92" i="27"/>
  <c r="AX92" i="27"/>
  <c r="AW92" i="27"/>
  <c r="AV92" i="27"/>
  <c r="AU92" i="27"/>
  <c r="AT92" i="27"/>
  <c r="AS92" i="27"/>
  <c r="BI91" i="27"/>
  <c r="BH91" i="27"/>
  <c r="BG91" i="27"/>
  <c r="BF91" i="27"/>
  <c r="BE91" i="27"/>
  <c r="BD91" i="27"/>
  <c r="BC91" i="27"/>
  <c r="BB91" i="27"/>
  <c r="BA91" i="27"/>
  <c r="AZ91" i="27"/>
  <c r="AY91" i="27"/>
  <c r="AX91" i="27"/>
  <c r="AW91" i="27"/>
  <c r="AV91" i="27"/>
  <c r="AU91" i="27"/>
  <c r="AT91" i="27"/>
  <c r="AS91" i="27"/>
  <c r="BI90" i="27"/>
  <c r="BH90" i="27"/>
  <c r="BG90" i="27"/>
  <c r="BF90" i="27"/>
  <c r="BE90" i="27"/>
  <c r="BD90" i="27"/>
  <c r="BC90" i="27"/>
  <c r="BB90" i="27"/>
  <c r="BA90" i="27"/>
  <c r="AZ90" i="27"/>
  <c r="AY90" i="27"/>
  <c r="AX90" i="27"/>
  <c r="AW90" i="27"/>
  <c r="AV90" i="27"/>
  <c r="AU90" i="27"/>
  <c r="AT90" i="27"/>
  <c r="AS90" i="27"/>
  <c r="BI89" i="27"/>
  <c r="BH89" i="27"/>
  <c r="BG89" i="27"/>
  <c r="BF89" i="27"/>
  <c r="BE89" i="27"/>
  <c r="BD89" i="27"/>
  <c r="BC89" i="27"/>
  <c r="BB89" i="27"/>
  <c r="BA89" i="27"/>
  <c r="AZ89" i="27"/>
  <c r="AY89" i="27"/>
  <c r="AX89" i="27"/>
  <c r="AW89" i="27"/>
  <c r="AV89" i="27"/>
  <c r="AU89" i="27"/>
  <c r="AT89" i="27"/>
  <c r="AS89" i="27"/>
  <c r="BI88" i="27"/>
  <c r="BH88" i="27"/>
  <c r="BG88" i="27"/>
  <c r="BF88" i="27"/>
  <c r="BE88" i="27"/>
  <c r="BD88" i="27"/>
  <c r="BC88" i="27"/>
  <c r="BB88" i="27"/>
  <c r="BA88" i="27"/>
  <c r="AZ88" i="27"/>
  <c r="AY88" i="27"/>
  <c r="AX88" i="27"/>
  <c r="AW88" i="27"/>
  <c r="AV88" i="27"/>
  <c r="AU88" i="27"/>
  <c r="AT88" i="27"/>
  <c r="AS88" i="27"/>
  <c r="BI87" i="27"/>
  <c r="BH87" i="27"/>
  <c r="BG87" i="27"/>
  <c r="BF87" i="27"/>
  <c r="BE87" i="27"/>
  <c r="BD87" i="27"/>
  <c r="BC87" i="27"/>
  <c r="BB87" i="27"/>
  <c r="BA87" i="27"/>
  <c r="AZ87" i="27"/>
  <c r="AY87" i="27"/>
  <c r="AX87" i="27"/>
  <c r="AW87" i="27"/>
  <c r="AV87" i="27"/>
  <c r="AU87" i="27"/>
  <c r="AT87" i="27"/>
  <c r="AS87" i="27"/>
  <c r="BI86" i="27"/>
  <c r="BH86" i="27"/>
  <c r="BG86" i="27"/>
  <c r="BF86" i="27"/>
  <c r="BE86" i="27"/>
  <c r="BD86" i="27"/>
  <c r="BC86" i="27"/>
  <c r="BB86" i="27"/>
  <c r="BA86" i="27"/>
  <c r="AZ86" i="27"/>
  <c r="AY86" i="27"/>
  <c r="AX86" i="27"/>
  <c r="AW86" i="27"/>
  <c r="AV86" i="27"/>
  <c r="AU86" i="27"/>
  <c r="AT86" i="27"/>
  <c r="AS86" i="27"/>
  <c r="BI85" i="27"/>
  <c r="BH85" i="27"/>
  <c r="BG85" i="27"/>
  <c r="BF85" i="27"/>
  <c r="BE85" i="27"/>
  <c r="BD85" i="27"/>
  <c r="BC85" i="27"/>
  <c r="BB85" i="27"/>
  <c r="BA85" i="27"/>
  <c r="AZ85" i="27"/>
  <c r="AY85" i="27"/>
  <c r="AX85" i="27"/>
  <c r="AW85" i="27"/>
  <c r="AV85" i="27"/>
  <c r="AU85" i="27"/>
  <c r="AT85" i="27"/>
  <c r="AS85" i="27"/>
  <c r="BI84" i="27"/>
  <c r="BH84" i="27"/>
  <c r="BG84" i="27"/>
  <c r="BF84" i="27"/>
  <c r="BE84" i="27"/>
  <c r="BD84" i="27"/>
  <c r="BC84" i="27"/>
  <c r="BB84" i="27"/>
  <c r="BA84" i="27"/>
  <c r="AZ84" i="27"/>
  <c r="AY84" i="27"/>
  <c r="AX84" i="27"/>
  <c r="AW84" i="27"/>
  <c r="AV84" i="27"/>
  <c r="AU84" i="27"/>
  <c r="AT84" i="27"/>
  <c r="AS84" i="27"/>
  <c r="BI83" i="27"/>
  <c r="BH83" i="27"/>
  <c r="BG83" i="27"/>
  <c r="BF83" i="27"/>
  <c r="BE83" i="27"/>
  <c r="BD83" i="27"/>
  <c r="BC83" i="27"/>
  <c r="BB83" i="27"/>
  <c r="BA83" i="27"/>
  <c r="AZ83" i="27"/>
  <c r="AY83" i="27"/>
  <c r="AX83" i="27"/>
  <c r="AW83" i="27"/>
  <c r="AV83" i="27"/>
  <c r="AU83" i="27"/>
  <c r="AT83" i="27"/>
  <c r="AS83" i="27"/>
  <c r="BI82" i="27"/>
  <c r="BH82" i="27"/>
  <c r="BG82" i="27"/>
  <c r="BF82" i="27"/>
  <c r="BE82" i="27"/>
  <c r="BD82" i="27"/>
  <c r="BC82" i="27"/>
  <c r="BB82" i="27"/>
  <c r="BA82" i="27"/>
  <c r="AZ82" i="27"/>
  <c r="AY82" i="27"/>
  <c r="AX82" i="27"/>
  <c r="AW82" i="27"/>
  <c r="AV82" i="27"/>
  <c r="AU82" i="27"/>
  <c r="AT82" i="27"/>
  <c r="AS82" i="27"/>
  <c r="BI81" i="27"/>
  <c r="BH81" i="27"/>
  <c r="BG81" i="27"/>
  <c r="BF81" i="27"/>
  <c r="BE81" i="27"/>
  <c r="BD81" i="27"/>
  <c r="BC81" i="27"/>
  <c r="BB81" i="27"/>
  <c r="BA81" i="27"/>
  <c r="AZ81" i="27"/>
  <c r="AY81" i="27"/>
  <c r="AX81" i="27"/>
  <c r="AW81" i="27"/>
  <c r="AV81" i="27"/>
  <c r="AU81" i="27"/>
  <c r="AT81" i="27"/>
  <c r="AS81" i="27"/>
  <c r="BI80" i="27"/>
  <c r="BH80" i="27"/>
  <c r="BG80" i="27"/>
  <c r="BF80" i="27"/>
  <c r="BE80" i="27"/>
  <c r="BD80" i="27"/>
  <c r="BC80" i="27"/>
  <c r="BB80" i="27"/>
  <c r="BA80" i="27"/>
  <c r="AZ80" i="27"/>
  <c r="AY80" i="27"/>
  <c r="AX80" i="27"/>
  <c r="AW80" i="27"/>
  <c r="AV80" i="27"/>
  <c r="AU80" i="27"/>
  <c r="AT80" i="27"/>
  <c r="AS80" i="27"/>
  <c r="BI79" i="27"/>
  <c r="BH79" i="27"/>
  <c r="BG79" i="27"/>
  <c r="BF79" i="27"/>
  <c r="BE79" i="27"/>
  <c r="BD79" i="27"/>
  <c r="BC79" i="27"/>
  <c r="BB79" i="27"/>
  <c r="BA79" i="27"/>
  <c r="AZ79" i="27"/>
  <c r="AY79" i="27"/>
  <c r="AX79" i="27"/>
  <c r="AW79" i="27"/>
  <c r="AV79" i="27"/>
  <c r="AU79" i="27"/>
  <c r="AT79" i="27"/>
  <c r="AS79" i="27"/>
  <c r="BI76" i="27"/>
  <c r="BH76" i="27"/>
  <c r="BG76" i="27"/>
  <c r="BF76" i="27"/>
  <c r="BE76" i="27"/>
  <c r="BD76" i="27"/>
  <c r="BC76" i="27"/>
  <c r="BB76" i="27"/>
  <c r="BA76" i="27"/>
  <c r="AZ76" i="27"/>
  <c r="AY76" i="27"/>
  <c r="AX76" i="27"/>
  <c r="AW76" i="27"/>
  <c r="AV76" i="27"/>
  <c r="AU76" i="27"/>
  <c r="AT76" i="27"/>
  <c r="AS76" i="27"/>
  <c r="BI75" i="27"/>
  <c r="BH75" i="27"/>
  <c r="BG75" i="27"/>
  <c r="BF75" i="27"/>
  <c r="BE75" i="27"/>
  <c r="BD75" i="27"/>
  <c r="BC75" i="27"/>
  <c r="BB75" i="27"/>
  <c r="BA75" i="27"/>
  <c r="AZ75" i="27"/>
  <c r="AY75" i="27"/>
  <c r="AX75" i="27"/>
  <c r="AW75" i="27"/>
  <c r="AV75" i="27"/>
  <c r="AU75" i="27"/>
  <c r="AT75" i="27"/>
  <c r="AS75" i="27"/>
  <c r="BI74" i="27"/>
  <c r="BH74" i="27"/>
  <c r="BG74" i="27"/>
  <c r="BF74" i="27"/>
  <c r="BE74" i="27"/>
  <c r="BD74" i="27"/>
  <c r="BC74" i="27"/>
  <c r="BB74" i="27"/>
  <c r="BA74" i="27"/>
  <c r="AZ74" i="27"/>
  <c r="AY74" i="27"/>
  <c r="AX74" i="27"/>
  <c r="AW74" i="27"/>
  <c r="AV74" i="27"/>
  <c r="AU74" i="27"/>
  <c r="AT74" i="27"/>
  <c r="AS74" i="27"/>
  <c r="BI73" i="27"/>
  <c r="BH73" i="27"/>
  <c r="BG73" i="27"/>
  <c r="BF73" i="27"/>
  <c r="BE73" i="27"/>
  <c r="BD73" i="27"/>
  <c r="BC73" i="27"/>
  <c r="BB73" i="27"/>
  <c r="BA73" i="27"/>
  <c r="AZ73" i="27"/>
  <c r="AY73" i="27"/>
  <c r="AX73" i="27"/>
  <c r="AW73" i="27"/>
  <c r="AV73" i="27"/>
  <c r="AU73" i="27"/>
  <c r="AT73" i="27"/>
  <c r="AS73" i="27"/>
  <c r="BI72" i="27"/>
  <c r="BH72" i="27"/>
  <c r="BG72" i="27"/>
  <c r="BF72" i="27"/>
  <c r="BE72" i="27"/>
  <c r="BD72" i="27"/>
  <c r="BC72" i="27"/>
  <c r="BB72" i="27"/>
  <c r="BA72" i="27"/>
  <c r="AZ72" i="27"/>
  <c r="AY72" i="27"/>
  <c r="AX72" i="27"/>
  <c r="AW72" i="27"/>
  <c r="AV72" i="27"/>
  <c r="AU72" i="27"/>
  <c r="AT72" i="27"/>
  <c r="AS72" i="27"/>
  <c r="BI71" i="27"/>
  <c r="BH71" i="27"/>
  <c r="BG71" i="27"/>
  <c r="BF71" i="27"/>
  <c r="BE71" i="27"/>
  <c r="BD71" i="27"/>
  <c r="BC71" i="27"/>
  <c r="BB71" i="27"/>
  <c r="BA71" i="27"/>
  <c r="AZ71" i="27"/>
  <c r="AY71" i="27"/>
  <c r="AX71" i="27"/>
  <c r="AW71" i="27"/>
  <c r="AV71" i="27"/>
  <c r="AU71" i="27"/>
  <c r="AT71" i="27"/>
  <c r="AS71" i="27"/>
  <c r="BI70" i="27"/>
  <c r="BH70" i="27"/>
  <c r="BG70" i="27"/>
  <c r="BF70" i="27"/>
  <c r="BE70" i="27"/>
  <c r="BD70" i="27"/>
  <c r="BC70" i="27"/>
  <c r="BB70" i="27"/>
  <c r="BA70" i="27"/>
  <c r="AZ70" i="27"/>
  <c r="AY70" i="27"/>
  <c r="AX70" i="27"/>
  <c r="AW70" i="27"/>
  <c r="AV70" i="27"/>
  <c r="AU70" i="27"/>
  <c r="AT70" i="27"/>
  <c r="AS70" i="27"/>
  <c r="BI69" i="27"/>
  <c r="BH69" i="27"/>
  <c r="BG69" i="27"/>
  <c r="BF69" i="27"/>
  <c r="BE69" i="27"/>
  <c r="BD69" i="27"/>
  <c r="BC69" i="27"/>
  <c r="BB69" i="27"/>
  <c r="BA69" i="27"/>
  <c r="AZ69" i="27"/>
  <c r="AY69" i="27"/>
  <c r="AX69" i="27"/>
  <c r="AW69" i="27"/>
  <c r="AV69" i="27"/>
  <c r="AU69" i="27"/>
  <c r="AT69" i="27"/>
  <c r="AS69" i="27"/>
  <c r="BI68" i="27"/>
  <c r="BH68" i="27"/>
  <c r="BG68" i="27"/>
  <c r="BF68" i="27"/>
  <c r="BE68" i="27"/>
  <c r="BD68" i="27"/>
  <c r="BC68" i="27"/>
  <c r="BB68" i="27"/>
  <c r="BA68" i="27"/>
  <c r="AZ68" i="27"/>
  <c r="AY68" i="27"/>
  <c r="AX68" i="27"/>
  <c r="AW68" i="27"/>
  <c r="AV68" i="27"/>
  <c r="AU68" i="27"/>
  <c r="AT68" i="27"/>
  <c r="AS68" i="27"/>
  <c r="BI67" i="27"/>
  <c r="BH67" i="27"/>
  <c r="BG67" i="27"/>
  <c r="BF67" i="27"/>
  <c r="BE67" i="27"/>
  <c r="BD67" i="27"/>
  <c r="BC67" i="27"/>
  <c r="BB67" i="27"/>
  <c r="BA67" i="27"/>
  <c r="AZ67" i="27"/>
  <c r="AY67" i="27"/>
  <c r="AX67" i="27"/>
  <c r="AW67" i="27"/>
  <c r="AV67" i="27"/>
  <c r="AU67" i="27"/>
  <c r="AT67" i="27"/>
  <c r="AS67" i="27"/>
  <c r="BI66" i="27"/>
  <c r="BH66" i="27"/>
  <c r="BG66" i="27"/>
  <c r="BF66" i="27"/>
  <c r="BE66" i="27"/>
  <c r="BD66" i="27"/>
  <c r="BC66" i="27"/>
  <c r="BB66" i="27"/>
  <c r="BA66" i="27"/>
  <c r="AZ66" i="27"/>
  <c r="AY66" i="27"/>
  <c r="AX66" i="27"/>
  <c r="AW66" i="27"/>
  <c r="AV66" i="27"/>
  <c r="AU66" i="27"/>
  <c r="AT66" i="27"/>
  <c r="AS66" i="27"/>
  <c r="BI65" i="27"/>
  <c r="BH65" i="27"/>
  <c r="BG65" i="27"/>
  <c r="BF65" i="27"/>
  <c r="BE65" i="27"/>
  <c r="BD65" i="27"/>
  <c r="BC65" i="27"/>
  <c r="BB65" i="27"/>
  <c r="BA65" i="27"/>
  <c r="AZ65" i="27"/>
  <c r="AY65" i="27"/>
  <c r="AX65" i="27"/>
  <c r="AW65" i="27"/>
  <c r="AV65" i="27"/>
  <c r="AU65" i="27"/>
  <c r="AT65" i="27"/>
  <c r="AS65" i="27"/>
  <c r="BI64" i="27"/>
  <c r="BH64" i="27"/>
  <c r="BG64" i="27"/>
  <c r="BF64" i="27"/>
  <c r="BE64" i="27"/>
  <c r="BD64" i="27"/>
  <c r="BC64" i="27"/>
  <c r="BB64" i="27"/>
  <c r="BA64" i="27"/>
  <c r="AZ64" i="27"/>
  <c r="AY64" i="27"/>
  <c r="AX64" i="27"/>
  <c r="AW64" i="27"/>
  <c r="AV64" i="27"/>
  <c r="AU64" i="27"/>
  <c r="AT64" i="27"/>
  <c r="AS64" i="27"/>
  <c r="BI63" i="27"/>
  <c r="BH63" i="27"/>
  <c r="BG63" i="27"/>
  <c r="BF63" i="27"/>
  <c r="BE63" i="27"/>
  <c r="BD63" i="27"/>
  <c r="BC63" i="27"/>
  <c r="BB63" i="27"/>
  <c r="BA63" i="27"/>
  <c r="AZ63" i="27"/>
  <c r="AY63" i="27"/>
  <c r="AX63" i="27"/>
  <c r="AW63" i="27"/>
  <c r="AV63" i="27"/>
  <c r="AU63" i="27"/>
  <c r="AT63" i="27"/>
  <c r="AS63" i="27"/>
  <c r="BI62" i="27"/>
  <c r="BH62" i="27"/>
  <c r="BG62" i="27"/>
  <c r="BF62" i="27"/>
  <c r="BE62" i="27"/>
  <c r="BD62" i="27"/>
  <c r="BC62" i="27"/>
  <c r="BB62" i="27"/>
  <c r="BA62" i="27"/>
  <c r="AZ62" i="27"/>
  <c r="AY62" i="27"/>
  <c r="AX62" i="27"/>
  <c r="AW62" i="27"/>
  <c r="AV62" i="27"/>
  <c r="AU62" i="27"/>
  <c r="AT62" i="27"/>
  <c r="AS62" i="27"/>
  <c r="BI61" i="27"/>
  <c r="BH61" i="27"/>
  <c r="BG61" i="27"/>
  <c r="BF61" i="27"/>
  <c r="BE61" i="27"/>
  <c r="BD61" i="27"/>
  <c r="BC61" i="27"/>
  <c r="BB61" i="27"/>
  <c r="BA61" i="27"/>
  <c r="AZ61" i="27"/>
  <c r="AY61" i="27"/>
  <c r="AX61" i="27"/>
  <c r="AW61" i="27"/>
  <c r="AV61" i="27"/>
  <c r="AU61" i="27"/>
  <c r="AT61" i="27"/>
  <c r="AS61" i="27"/>
  <c r="BI60" i="27"/>
  <c r="BH60" i="27"/>
  <c r="BG60" i="27"/>
  <c r="BF60" i="27"/>
  <c r="BE60" i="27"/>
  <c r="BD60" i="27"/>
  <c r="BC60" i="27"/>
  <c r="BB60" i="27"/>
  <c r="BA60" i="27"/>
  <c r="AZ60" i="27"/>
  <c r="AY60" i="27"/>
  <c r="AX60" i="27"/>
  <c r="AW60" i="27"/>
  <c r="AV60" i="27"/>
  <c r="AU60" i="27"/>
  <c r="AT60" i="27"/>
  <c r="AS60" i="27"/>
  <c r="BI59" i="27"/>
  <c r="BH59" i="27"/>
  <c r="BG59" i="27"/>
  <c r="BF59" i="27"/>
  <c r="BE59" i="27"/>
  <c r="BD59" i="27"/>
  <c r="BC59" i="27"/>
  <c r="BB59" i="27"/>
  <c r="BA59" i="27"/>
  <c r="AZ59" i="27"/>
  <c r="AY59" i="27"/>
  <c r="AX59" i="27"/>
  <c r="AW59" i="27"/>
  <c r="AV59" i="27"/>
  <c r="AU59" i="27"/>
  <c r="AT59" i="27"/>
  <c r="AS59" i="27"/>
  <c r="BI58" i="27"/>
  <c r="BH58" i="27"/>
  <c r="BG58" i="27"/>
  <c r="BF58" i="27"/>
  <c r="BE58" i="27"/>
  <c r="BD58" i="27"/>
  <c r="BC58" i="27"/>
  <c r="BB58" i="27"/>
  <c r="BA58" i="27"/>
  <c r="AZ58" i="27"/>
  <c r="AY58" i="27"/>
  <c r="AX58" i="27"/>
  <c r="AW58" i="27"/>
  <c r="AV58" i="27"/>
  <c r="AU58" i="27"/>
  <c r="AT58" i="27"/>
  <c r="AS58" i="27"/>
  <c r="Q47" i="21"/>
  <c r="P47" i="21"/>
  <c r="Q32" i="21"/>
  <c r="P32" i="21"/>
  <c r="R26" i="21"/>
  <c r="U198" i="25"/>
  <c r="M107" i="30"/>
  <c r="M104" i="30"/>
  <c r="M100" i="30"/>
  <c r="M95" i="30"/>
  <c r="M94" i="30"/>
  <c r="M89" i="30"/>
  <c r="M86" i="30"/>
  <c r="M84" i="30"/>
  <c r="M70" i="30"/>
  <c r="M69" i="30"/>
  <c r="M67" i="30"/>
  <c r="M66" i="30"/>
  <c r="M65" i="30"/>
  <c r="M64" i="30"/>
  <c r="M63" i="30"/>
  <c r="M62" i="30"/>
  <c r="M61" i="30"/>
  <c r="M60" i="30"/>
  <c r="M48" i="30"/>
  <c r="M47" i="30"/>
  <c r="M46" i="30"/>
  <c r="M39" i="30"/>
  <c r="M38" i="30"/>
  <c r="M32" i="30"/>
  <c r="M31" i="30"/>
  <c r="M29" i="30"/>
  <c r="M28" i="30"/>
  <c r="M27" i="30"/>
  <c r="M14" i="30"/>
  <c r="M12" i="30"/>
  <c r="M27" i="21"/>
  <c r="M28" i="21"/>
  <c r="M29" i="21"/>
  <c r="M31" i="21"/>
  <c r="M32" i="21"/>
  <c r="M46" i="21"/>
  <c r="M47" i="21"/>
  <c r="M48" i="21"/>
  <c r="M60" i="21"/>
  <c r="M61" i="21"/>
  <c r="M62" i="21"/>
  <c r="M63" i="21"/>
  <c r="M64" i="21"/>
  <c r="M65" i="21"/>
  <c r="M66" i="21"/>
  <c r="M67" i="21"/>
  <c r="M69" i="21"/>
  <c r="M70" i="21"/>
  <c r="M84" i="21"/>
  <c r="M86" i="21"/>
  <c r="M89" i="21"/>
  <c r="M94" i="21"/>
  <c r="M95" i="21"/>
  <c r="M100" i="21"/>
  <c r="M104" i="21"/>
  <c r="M107" i="21"/>
  <c r="M39" i="21"/>
  <c r="M38" i="21"/>
  <c r="M14" i="21"/>
  <c r="M12" i="21"/>
  <c r="M25" i="21"/>
  <c r="U18" i="30" l="1"/>
  <c r="T18" i="30"/>
  <c r="S18" i="30"/>
  <c r="R18" i="30"/>
  <c r="Q18" i="30"/>
  <c r="P18" i="30"/>
  <c r="K18" i="30"/>
  <c r="J18" i="30"/>
  <c r="I18" i="30"/>
  <c r="H18" i="30"/>
  <c r="G18" i="30"/>
  <c r="F18" i="30"/>
  <c r="K18" i="21"/>
  <c r="K19" i="21" s="1"/>
  <c r="J18" i="21"/>
  <c r="J19" i="21" s="1"/>
  <c r="J91" i="21" s="1"/>
  <c r="I18" i="21"/>
  <c r="I19" i="21" s="1"/>
  <c r="I91" i="21" s="1"/>
  <c r="H18" i="21"/>
  <c r="H19" i="21" s="1"/>
  <c r="H91" i="21" s="1"/>
  <c r="G18" i="21"/>
  <c r="G19" i="21" s="1"/>
  <c r="G91" i="21" s="1"/>
  <c r="F18" i="21"/>
  <c r="D29" i="25" s="1"/>
  <c r="J29" i="25" s="1"/>
  <c r="K8" i="21"/>
  <c r="E117" i="30"/>
  <c r="E127" i="30" s="1"/>
  <c r="M30" i="30"/>
  <c r="M30" i="21"/>
  <c r="M26" i="21"/>
  <c r="G101" i="30"/>
  <c r="Q102" i="30"/>
  <c r="Q101" i="30"/>
  <c r="G102" i="30"/>
  <c r="G102" i="21"/>
  <c r="G101" i="21"/>
  <c r="Q8" i="30"/>
  <c r="U8" i="30" s="1"/>
  <c r="M57" i="30"/>
  <c r="M56" i="30"/>
  <c r="M54" i="30"/>
  <c r="M53" i="30"/>
  <c r="M52" i="30"/>
  <c r="M51" i="30"/>
  <c r="M57" i="21"/>
  <c r="M56" i="21"/>
  <c r="M54" i="21"/>
  <c r="M53" i="21"/>
  <c r="M52" i="21"/>
  <c r="M51" i="21"/>
  <c r="I7" i="21"/>
  <c r="K6" i="21"/>
  <c r="G16" i="27"/>
  <c r="F172" i="21"/>
  <c r="T200" i="21" s="1"/>
  <c r="E172" i="21"/>
  <c r="S200" i="21" s="1"/>
  <c r="F166" i="21"/>
  <c r="F164" i="21"/>
  <c r="E171" i="21"/>
  <c r="E170" i="21"/>
  <c r="E169" i="21"/>
  <c r="E168" i="21"/>
  <c r="E166" i="21"/>
  <c r="E164" i="21"/>
  <c r="F148" i="25"/>
  <c r="F141" i="25"/>
  <c r="M24" i="21"/>
  <c r="K76" i="21"/>
  <c r="J76" i="21"/>
  <c r="I76" i="21"/>
  <c r="H76" i="21"/>
  <c r="G76" i="21"/>
  <c r="K93" i="30"/>
  <c r="J93" i="30"/>
  <c r="I93" i="30"/>
  <c r="H93" i="30"/>
  <c r="G93" i="30"/>
  <c r="K78" i="30"/>
  <c r="J78" i="30"/>
  <c r="I78" i="30"/>
  <c r="H78" i="30"/>
  <c r="G78" i="30"/>
  <c r="K76" i="30"/>
  <c r="J76" i="30"/>
  <c r="I76" i="30"/>
  <c r="H76" i="30"/>
  <c r="G76" i="30"/>
  <c r="M26" i="30"/>
  <c r="M24" i="30"/>
  <c r="K10" i="30"/>
  <c r="J10" i="30"/>
  <c r="I10" i="30"/>
  <c r="H10" i="30"/>
  <c r="G10" i="30"/>
  <c r="F10" i="30"/>
  <c r="G7" i="30"/>
  <c r="F7" i="30" s="1"/>
  <c r="G6" i="30"/>
  <c r="F6" i="30" s="1"/>
  <c r="I27" i="25"/>
  <c r="W27" i="25" s="1"/>
  <c r="AB27" i="25" s="1"/>
  <c r="H27" i="25"/>
  <c r="N27" i="25" s="1"/>
  <c r="G27" i="25"/>
  <c r="U27" i="25" s="1"/>
  <c r="Z27" i="25" s="1"/>
  <c r="F27" i="25"/>
  <c r="L27" i="25" s="1"/>
  <c r="E27" i="25"/>
  <c r="K27" i="25" s="1"/>
  <c r="D27" i="25"/>
  <c r="J27" i="25" s="1"/>
  <c r="E35" i="25"/>
  <c r="D35" i="25"/>
  <c r="E34" i="25"/>
  <c r="E33" i="25"/>
  <c r="D33" i="25"/>
  <c r="D34" i="25"/>
  <c r="I28" i="25"/>
  <c r="W28" i="25" s="1"/>
  <c r="AB28" i="25" s="1"/>
  <c r="H28" i="25"/>
  <c r="N28" i="25" s="1"/>
  <c r="G28" i="25"/>
  <c r="M28" i="25" s="1"/>
  <c r="F28" i="25"/>
  <c r="L28" i="25" s="1"/>
  <c r="E28" i="25"/>
  <c r="K28" i="25" s="1"/>
  <c r="D28" i="25"/>
  <c r="J28" i="25" s="1"/>
  <c r="K19" i="30" l="1"/>
  <c r="K91" i="30" s="1"/>
  <c r="U19" i="30"/>
  <c r="T19" i="30"/>
  <c r="J19" i="30"/>
  <c r="J91" i="30" s="1"/>
  <c r="I19" i="30"/>
  <c r="I91" i="30" s="1"/>
  <c r="S19" i="30"/>
  <c r="R19" i="30"/>
  <c r="H19" i="30"/>
  <c r="H91" i="30" s="1"/>
  <c r="G19" i="30"/>
  <c r="Q19" i="30"/>
  <c r="I8" i="21"/>
  <c r="J8" i="21"/>
  <c r="F8" i="21"/>
  <c r="H8" i="21"/>
  <c r="R8" i="30"/>
  <c r="H122" i="30"/>
  <c r="S8" i="30"/>
  <c r="T8" i="30"/>
  <c r="P8" i="30"/>
  <c r="E119" i="30"/>
  <c r="E123" i="30" s="1"/>
  <c r="G91" i="30"/>
  <c r="K41" i="27"/>
  <c r="K42" i="27" s="1"/>
  <c r="G40" i="27"/>
  <c r="E40" i="27" s="1"/>
  <c r="K91" i="21"/>
  <c r="S190" i="21"/>
  <c r="S199" i="21"/>
  <c r="T192" i="21"/>
  <c r="T199" i="21"/>
  <c r="T202" i="21"/>
  <c r="S191" i="21"/>
  <c r="T193" i="21"/>
  <c r="T203" i="21"/>
  <c r="T191" i="21"/>
  <c r="T201" i="21"/>
  <c r="T190" i="21"/>
  <c r="T194" i="21"/>
  <c r="E141" i="25"/>
  <c r="G141" i="25" s="1"/>
  <c r="J6" i="30"/>
  <c r="G8" i="30"/>
  <c r="I6" i="30"/>
  <c r="K6" i="30"/>
  <c r="H6" i="30"/>
  <c r="F29" i="25"/>
  <c r="T29" i="25" s="1"/>
  <c r="S29" i="25" s="1"/>
  <c r="X29" i="25" s="1"/>
  <c r="G29" i="25"/>
  <c r="M29" i="25" s="1"/>
  <c r="H29" i="25"/>
  <c r="I6" i="21"/>
  <c r="V28" i="25"/>
  <c r="AA28" i="25" s="1"/>
  <c r="E29" i="25"/>
  <c r="K29" i="25" s="1"/>
  <c r="I29" i="25"/>
  <c r="W29" i="25" s="1"/>
  <c r="AB29" i="25" s="1"/>
  <c r="H6" i="21"/>
  <c r="F7" i="21"/>
  <c r="J7" i="21"/>
  <c r="K7" i="21"/>
  <c r="F6" i="21"/>
  <c r="J6" i="21"/>
  <c r="H7" i="21"/>
  <c r="D32" i="25"/>
  <c r="U28" i="25"/>
  <c r="Z28" i="25" s="1"/>
  <c r="T28" i="25"/>
  <c r="S28" i="25" s="1"/>
  <c r="X28" i="25" s="1"/>
  <c r="H7" i="30"/>
  <c r="K7" i="30"/>
  <c r="I7" i="30"/>
  <c r="J7" i="30"/>
  <c r="E32" i="25"/>
  <c r="O28" i="25"/>
  <c r="O27" i="25"/>
  <c r="V27" i="25"/>
  <c r="AA27" i="25" s="1"/>
  <c r="M27" i="25"/>
  <c r="T27" i="25"/>
  <c r="E49" i="27"/>
  <c r="E48" i="27"/>
  <c r="E47" i="27"/>
  <c r="E44" i="27"/>
  <c r="E43" i="27"/>
  <c r="E39" i="27"/>
  <c r="E38" i="27"/>
  <c r="E37" i="27"/>
  <c r="E36" i="27"/>
  <c r="E35" i="27"/>
  <c r="E32" i="27"/>
  <c r="E31" i="27"/>
  <c r="E30" i="27"/>
  <c r="E29" i="27"/>
  <c r="E28" i="27"/>
  <c r="E27" i="27"/>
  <c r="E26" i="27"/>
  <c r="E25" i="27"/>
  <c r="E24" i="27"/>
  <c r="E23" i="27"/>
  <c r="E22" i="27"/>
  <c r="E21" i="27"/>
  <c r="E18" i="27"/>
  <c r="E17" i="27"/>
  <c r="E16" i="27"/>
  <c r="E15" i="27"/>
  <c r="E14" i="27"/>
  <c r="E11" i="27"/>
  <c r="E9" i="27"/>
  <c r="E4" i="27"/>
  <c r="H8" i="30" l="1"/>
  <c r="K8" i="30"/>
  <c r="F8" i="30"/>
  <c r="J8" i="30"/>
  <c r="I8" i="30"/>
  <c r="E121" i="30"/>
  <c r="E124" i="30" s="1"/>
  <c r="U29" i="25"/>
  <c r="Z29" i="25" s="1"/>
  <c r="Y29" i="25"/>
  <c r="L29" i="25"/>
  <c r="Y28" i="25"/>
  <c r="O29" i="25"/>
  <c r="V29" i="25"/>
  <c r="AA29" i="25" s="1"/>
  <c r="N29" i="25"/>
  <c r="S27" i="25"/>
  <c r="X27" i="25" s="1"/>
  <c r="Y27" i="25"/>
  <c r="U93" i="30"/>
  <c r="T93" i="30"/>
  <c r="S93" i="30"/>
  <c r="R93" i="30"/>
  <c r="Q93" i="30"/>
  <c r="U91" i="30"/>
  <c r="T91" i="30"/>
  <c r="S91" i="30"/>
  <c r="R91" i="30"/>
  <c r="Q91" i="30"/>
  <c r="U78" i="30"/>
  <c r="T78" i="30"/>
  <c r="S78" i="30"/>
  <c r="R78" i="30"/>
  <c r="Q78" i="30"/>
  <c r="U76" i="30"/>
  <c r="T76" i="30"/>
  <c r="S76" i="30"/>
  <c r="R76" i="30"/>
  <c r="Q76" i="30"/>
  <c r="U10" i="30"/>
  <c r="T10" i="30"/>
  <c r="S10" i="30"/>
  <c r="R10" i="30"/>
  <c r="Q10" i="30"/>
  <c r="P10" i="30"/>
  <c r="Q7" i="30"/>
  <c r="Q6" i="30"/>
  <c r="R198" i="25"/>
  <c r="L136" i="23"/>
  <c r="K136" i="23"/>
  <c r="J136" i="23"/>
  <c r="D136" i="23"/>
  <c r="H132" i="23"/>
  <c r="I131" i="23"/>
  <c r="H131" i="23"/>
  <c r="C131" i="23"/>
  <c r="I130" i="23"/>
  <c r="H130" i="23"/>
  <c r="D130" i="23"/>
  <c r="J129" i="23"/>
  <c r="J130" i="23" s="1"/>
  <c r="I129" i="23"/>
  <c r="H129" i="23"/>
  <c r="I128" i="23"/>
  <c r="H128" i="23"/>
  <c r="I127" i="23"/>
  <c r="H127" i="23"/>
  <c r="K126" i="23"/>
  <c r="K127" i="23" s="1"/>
  <c r="K128" i="23" s="1"/>
  <c r="I126" i="23"/>
  <c r="H126" i="23"/>
  <c r="I125" i="23"/>
  <c r="H125" i="23"/>
  <c r="I124" i="23"/>
  <c r="H124" i="23"/>
  <c r="I123" i="23"/>
  <c r="H123" i="23"/>
  <c r="I122" i="23"/>
  <c r="H122" i="23"/>
  <c r="I121" i="23"/>
  <c r="H121" i="23"/>
  <c r="I120" i="23"/>
  <c r="H120" i="23"/>
  <c r="I119" i="23"/>
  <c r="H119" i="23"/>
  <c r="H118" i="23"/>
  <c r="P97" i="23"/>
  <c r="N97" i="23"/>
  <c r="AC96" i="23"/>
  <c r="U94" i="23"/>
  <c r="U93" i="23"/>
  <c r="U92" i="23"/>
  <c r="AB84" i="23"/>
  <c r="W83" i="23"/>
  <c r="S83" i="23"/>
  <c r="S84" i="23" s="1"/>
  <c r="S85" i="23" s="1"/>
  <c r="W82" i="23"/>
  <c r="S82" i="23"/>
  <c r="D11" i="23"/>
  <c r="D10" i="23"/>
  <c r="J313" i="21"/>
  <c r="I313" i="21"/>
  <c r="H313" i="21"/>
  <c r="G313" i="21"/>
  <c r="F313" i="21"/>
  <c r="J310" i="21"/>
  <c r="I310" i="21"/>
  <c r="H310" i="21"/>
  <c r="G310" i="21"/>
  <c r="F310" i="21"/>
  <c r="J307" i="21"/>
  <c r="I307" i="21"/>
  <c r="H307" i="21"/>
  <c r="G307" i="21"/>
  <c r="F307" i="21"/>
  <c r="E307" i="21"/>
  <c r="Z251" i="21"/>
  <c r="Y251" i="21"/>
  <c r="X251" i="21"/>
  <c r="W251" i="21"/>
  <c r="V251" i="21"/>
  <c r="U251" i="21"/>
  <c r="T251" i="21"/>
  <c r="S251" i="21"/>
  <c r="R251" i="21"/>
  <c r="Q251" i="21"/>
  <c r="P251" i="21"/>
  <c r="O251" i="21"/>
  <c r="N251" i="21"/>
  <c r="M251" i="21"/>
  <c r="L251" i="21"/>
  <c r="K251" i="21"/>
  <c r="J251" i="21"/>
  <c r="I251" i="21"/>
  <c r="H251" i="21"/>
  <c r="G251" i="21"/>
  <c r="F251" i="21"/>
  <c r="Z250" i="21"/>
  <c r="Y250" i="21"/>
  <c r="X250" i="21"/>
  <c r="W250" i="21"/>
  <c r="V250" i="21"/>
  <c r="U250" i="21"/>
  <c r="T250" i="21"/>
  <c r="S250" i="21"/>
  <c r="R250" i="21"/>
  <c r="Q250" i="21"/>
  <c r="P250" i="21"/>
  <c r="O250" i="21"/>
  <c r="N250" i="21"/>
  <c r="M250" i="21"/>
  <c r="L250" i="21"/>
  <c r="K250" i="21"/>
  <c r="J250" i="21"/>
  <c r="I250" i="21"/>
  <c r="H250" i="21"/>
  <c r="G250" i="21"/>
  <c r="F250" i="21"/>
  <c r="E184" i="21"/>
  <c r="M166" i="21"/>
  <c r="L166" i="21"/>
  <c r="K153" i="21"/>
  <c r="J153" i="21"/>
  <c r="I153" i="21"/>
  <c r="H153" i="21"/>
  <c r="G153" i="21"/>
  <c r="F153" i="21"/>
  <c r="K149" i="21"/>
  <c r="J149" i="21"/>
  <c r="I149" i="21"/>
  <c r="H149" i="21"/>
  <c r="G149" i="21"/>
  <c r="F120" i="21"/>
  <c r="J120" i="21" s="1"/>
  <c r="J121" i="21" s="1"/>
  <c r="K119" i="21"/>
  <c r="J119" i="21"/>
  <c r="I119" i="21"/>
  <c r="H119" i="21"/>
  <c r="G119" i="21"/>
  <c r="F119" i="21"/>
  <c r="Q94" i="21"/>
  <c r="Q89" i="21"/>
  <c r="Q84" i="21"/>
  <c r="U81" i="21"/>
  <c r="T81" i="21"/>
  <c r="S81" i="21"/>
  <c r="R81" i="21"/>
  <c r="Q81" i="21"/>
  <c r="AD79" i="21"/>
  <c r="AC79" i="21"/>
  <c r="AB79" i="21"/>
  <c r="AA79" i="21"/>
  <c r="Z79" i="21"/>
  <c r="S73" i="21"/>
  <c r="R73" i="21"/>
  <c r="Q73" i="21"/>
  <c r="U73" i="21"/>
  <c r="T73" i="21"/>
  <c r="Q69" i="21"/>
  <c r="P69" i="21"/>
  <c r="Q67" i="21"/>
  <c r="P67" i="21"/>
  <c r="Q66" i="21"/>
  <c r="P66" i="21"/>
  <c r="Q65" i="21"/>
  <c r="P65" i="21"/>
  <c r="Q64" i="21"/>
  <c r="P64" i="21"/>
  <c r="Q39" i="21"/>
  <c r="P39" i="21"/>
  <c r="Q31" i="21"/>
  <c r="P31" i="21"/>
  <c r="Q24" i="21"/>
  <c r="P24" i="21"/>
  <c r="U19" i="21"/>
  <c r="T19" i="21"/>
  <c r="S19" i="21"/>
  <c r="H184" i="21" s="1"/>
  <c r="O179" i="21" s="1"/>
  <c r="R19" i="21"/>
  <c r="G184" i="21" s="1"/>
  <c r="N179" i="21" s="1"/>
  <c r="Q19" i="21"/>
  <c r="P19" i="21"/>
  <c r="U18" i="21"/>
  <c r="J183" i="21" s="1"/>
  <c r="T18" i="21"/>
  <c r="I183" i="21" s="1"/>
  <c r="S18" i="21"/>
  <c r="H183" i="21" s="1"/>
  <c r="R18" i="21"/>
  <c r="G183" i="21" s="1"/>
  <c r="Q18" i="21"/>
  <c r="F183" i="21" s="1"/>
  <c r="P18" i="21"/>
  <c r="E183" i="21" s="1"/>
  <c r="M198" i="25"/>
  <c r="J52" i="21"/>
  <c r="J51" i="21"/>
  <c r="J56" i="21"/>
  <c r="J26" i="21"/>
  <c r="T26" i="21" l="1"/>
  <c r="H85" i="23"/>
  <c r="S86" i="23"/>
  <c r="D85" i="23"/>
  <c r="AA85" i="23" s="1"/>
  <c r="F85" i="23"/>
  <c r="W84" i="23"/>
  <c r="C132" i="23"/>
  <c r="J131" i="23"/>
  <c r="D131" i="23"/>
  <c r="P99" i="23"/>
  <c r="U95" i="23"/>
  <c r="N98" i="23"/>
  <c r="N99" i="23" s="1"/>
  <c r="P98" i="23"/>
  <c r="J119" i="23"/>
  <c r="J120" i="23"/>
  <c r="J121" i="23" s="1"/>
  <c r="J122" i="23" s="1"/>
  <c r="J123" i="23" s="1"/>
  <c r="J124" i="23" s="1"/>
  <c r="J125" i="23" s="1"/>
  <c r="J126" i="23" s="1"/>
  <c r="J127" i="23" s="1"/>
  <c r="L126" i="23"/>
  <c r="L127" i="23" s="1"/>
  <c r="L128" i="23" s="1"/>
  <c r="L129" i="23" s="1"/>
  <c r="L130" i="23" s="1"/>
  <c r="L131" i="23" s="1"/>
  <c r="L132" i="23" s="1"/>
  <c r="L133" i="23" s="1"/>
  <c r="K129" i="23"/>
  <c r="K130" i="23" s="1"/>
  <c r="K131" i="23" s="1"/>
  <c r="N176" i="21"/>
  <c r="N177" i="21"/>
  <c r="O177" i="21"/>
  <c r="O176" i="21"/>
  <c r="AB73" i="21"/>
  <c r="U6" i="30"/>
  <c r="K150" i="21"/>
  <c r="R6" i="30"/>
  <c r="S6" i="30"/>
  <c r="P6" i="30"/>
  <c r="T6" i="30"/>
  <c r="S7" i="30"/>
  <c r="P7" i="30"/>
  <c r="T7" i="30"/>
  <c r="U7" i="30"/>
  <c r="R7" i="30"/>
  <c r="F311" i="21"/>
  <c r="G78" i="21" s="1"/>
  <c r="K120" i="21"/>
  <c r="K121" i="21" s="1"/>
  <c r="AC73" i="21"/>
  <c r="AD73" i="21"/>
  <c r="G120" i="21"/>
  <c r="G121" i="21" s="1"/>
  <c r="I184" i="21"/>
  <c r="P179" i="21" s="1"/>
  <c r="H120" i="21"/>
  <c r="H121" i="21" s="1"/>
  <c r="H128" i="21" s="1"/>
  <c r="F121" i="21"/>
  <c r="F128" i="21" s="1"/>
  <c r="J184" i="21"/>
  <c r="Q179" i="21" s="1"/>
  <c r="Z76" i="21"/>
  <c r="I120" i="21"/>
  <c r="I121" i="21" s="1"/>
  <c r="J128" i="21"/>
  <c r="K132" i="23" l="1"/>
  <c r="D132" i="23"/>
  <c r="J132" i="23"/>
  <c r="I132" i="23"/>
  <c r="W85" i="23"/>
  <c r="C133" i="23"/>
  <c r="H86" i="23"/>
  <c r="F86" i="23"/>
  <c r="D86" i="23"/>
  <c r="AA86" i="23" s="1"/>
  <c r="S87" i="23"/>
  <c r="U96" i="23"/>
  <c r="P100" i="23"/>
  <c r="N100" i="23"/>
  <c r="P178" i="21"/>
  <c r="P177" i="21"/>
  <c r="P176" i="21"/>
  <c r="Q177" i="21"/>
  <c r="Q176" i="21"/>
  <c r="I169" i="21"/>
  <c r="F168" i="21"/>
  <c r="J169" i="21"/>
  <c r="H169" i="21"/>
  <c r="K122" i="21"/>
  <c r="I122" i="21"/>
  <c r="G122" i="21"/>
  <c r="Q175" i="21"/>
  <c r="AZ203" i="21" s="1"/>
  <c r="Q178" i="21"/>
  <c r="U97" i="23" l="1"/>
  <c r="P101" i="23"/>
  <c r="N101" i="23"/>
  <c r="AC101" i="23" s="1"/>
  <c r="H87" i="23"/>
  <c r="S88" i="23"/>
  <c r="F87" i="23"/>
  <c r="D87" i="23"/>
  <c r="AA87" i="23" s="1"/>
  <c r="J133" i="23"/>
  <c r="I133" i="23"/>
  <c r="K133" i="23"/>
  <c r="D133" i="23"/>
  <c r="W86" i="23"/>
  <c r="L85" i="23"/>
  <c r="J85" i="23"/>
  <c r="G132" i="23"/>
  <c r="Z89" i="21"/>
  <c r="AA73" i="21"/>
  <c r="Z73" i="21"/>
  <c r="Z75" i="21" s="1"/>
  <c r="AC97" i="23"/>
  <c r="AC99" i="23"/>
  <c r="AC98" i="23"/>
  <c r="AC100" i="23"/>
  <c r="AB85" i="23"/>
  <c r="K128" i="21"/>
  <c r="K127" i="21"/>
  <c r="J127" i="21"/>
  <c r="J129" i="21" s="1"/>
  <c r="J122" i="21"/>
  <c r="I128" i="21"/>
  <c r="I127" i="21"/>
  <c r="H122" i="21"/>
  <c r="H127" i="21"/>
  <c r="H129" i="21" s="1"/>
  <c r="G127" i="21"/>
  <c r="G128" i="21"/>
  <c r="F127" i="21"/>
  <c r="F129" i="21" s="1"/>
  <c r="F122" i="21"/>
  <c r="Q174" i="21"/>
  <c r="AZ194" i="21" s="1"/>
  <c r="P175" i="21"/>
  <c r="AY203" i="21" s="1"/>
  <c r="P174" i="21"/>
  <c r="AY194" i="21" s="1"/>
  <c r="O174" i="21"/>
  <c r="AX194" i="21" s="1"/>
  <c r="O175" i="21"/>
  <c r="AX203" i="21" s="1"/>
  <c r="O178" i="21"/>
  <c r="N178" i="21"/>
  <c r="N175" i="21"/>
  <c r="AW203" i="21" s="1"/>
  <c r="N174" i="21"/>
  <c r="AW194" i="21" s="1"/>
  <c r="F184" i="21"/>
  <c r="M176" i="21" s="1"/>
  <c r="G311" i="21"/>
  <c r="H78" i="21" s="1"/>
  <c r="G146" i="21"/>
  <c r="G151" i="21" s="1"/>
  <c r="J123" i="21"/>
  <c r="H308" i="21"/>
  <c r="I10" i="21" s="1"/>
  <c r="I146" i="21"/>
  <c r="F150" i="21"/>
  <c r="G308" i="21"/>
  <c r="H10" i="21" s="1"/>
  <c r="G123" i="21"/>
  <c r="G124" i="21" s="1"/>
  <c r="Q101" i="21" s="1"/>
  <c r="H146" i="21"/>
  <c r="H151" i="21" s="1"/>
  <c r="E308" i="21"/>
  <c r="F10" i="21" s="1"/>
  <c r="I314" i="21"/>
  <c r="J93" i="21" s="1"/>
  <c r="K123" i="21"/>
  <c r="K124" i="21" s="1"/>
  <c r="Z77" i="21"/>
  <c r="M168" i="21" s="1"/>
  <c r="E226" i="21" s="1"/>
  <c r="F209" i="21"/>
  <c r="G125" i="21"/>
  <c r="G126" i="21" s="1"/>
  <c r="Q102" i="21" s="1"/>
  <c r="G133" i="21"/>
  <c r="I123" i="21"/>
  <c r="I124" i="21" s="1"/>
  <c r="K146" i="21"/>
  <c r="K151" i="21" s="1"/>
  <c r="K152" i="21" s="1"/>
  <c r="J150" i="21"/>
  <c r="G150" i="21"/>
  <c r="I209" i="21"/>
  <c r="F308" i="21"/>
  <c r="G10" i="21" s="1"/>
  <c r="F314" i="21"/>
  <c r="G93" i="21" s="1"/>
  <c r="W87" i="23" l="1"/>
  <c r="J86" i="23"/>
  <c r="AB86" i="23" s="1"/>
  <c r="L86" i="23"/>
  <c r="G129" i="23"/>
  <c r="G126" i="23"/>
  <c r="G125" i="23"/>
  <c r="G124" i="23"/>
  <c r="G123" i="23"/>
  <c r="G122" i="23"/>
  <c r="G121" i="23"/>
  <c r="G120" i="23"/>
  <c r="G119" i="23"/>
  <c r="G128" i="23"/>
  <c r="G118" i="23"/>
  <c r="G127" i="23"/>
  <c r="G130" i="23"/>
  <c r="G131" i="23"/>
  <c r="H88" i="23"/>
  <c r="F88" i="23"/>
  <c r="D88" i="23"/>
  <c r="AA88" i="23" s="1"/>
  <c r="S89" i="23"/>
  <c r="N102" i="23"/>
  <c r="AC102" i="23" s="1"/>
  <c r="P102" i="23"/>
  <c r="U98" i="23"/>
  <c r="G169" i="21"/>
  <c r="K154" i="21"/>
  <c r="U15" i="21"/>
  <c r="F170" i="21"/>
  <c r="Z74" i="21"/>
  <c r="M169" i="21" s="1"/>
  <c r="F169" i="21"/>
  <c r="M172" i="21"/>
  <c r="L172" i="21"/>
  <c r="J32" i="25"/>
  <c r="K32" i="25"/>
  <c r="X32" i="25"/>
  <c r="Z90" i="21"/>
  <c r="M170" i="21" s="1"/>
  <c r="AA74" i="21"/>
  <c r="N169" i="21" s="1"/>
  <c r="I129" i="21"/>
  <c r="K129" i="21"/>
  <c r="J124" i="21"/>
  <c r="G129" i="21"/>
  <c r="M174" i="21"/>
  <c r="AV194" i="21" s="1"/>
  <c r="M178" i="21"/>
  <c r="J146" i="21"/>
  <c r="J151" i="21" s="1"/>
  <c r="J152" i="21" s="1"/>
  <c r="T15" i="21" s="1"/>
  <c r="H123" i="21"/>
  <c r="H124" i="21" s="1"/>
  <c r="H157" i="21"/>
  <c r="R13" i="21" s="1"/>
  <c r="F123" i="21"/>
  <c r="F124" i="21" s="1"/>
  <c r="Q60" i="21" s="1"/>
  <c r="I151" i="21"/>
  <c r="G152" i="21"/>
  <c r="I150" i="21"/>
  <c r="H150" i="21"/>
  <c r="H152" i="21" s="1"/>
  <c r="F146" i="21"/>
  <c r="F151" i="21" s="1"/>
  <c r="F152" i="21" s="1"/>
  <c r="P15" i="21" s="1"/>
  <c r="P38" i="21" s="1"/>
  <c r="H314" i="21"/>
  <c r="I93" i="21" s="1"/>
  <c r="I308" i="21"/>
  <c r="J10" i="21" s="1"/>
  <c r="H311" i="21"/>
  <c r="I78" i="21" s="1"/>
  <c r="I311" i="21"/>
  <c r="J78" i="21" s="1"/>
  <c r="G314" i="21"/>
  <c r="H93" i="21" s="1"/>
  <c r="Z98" i="21"/>
  <c r="J311" i="21"/>
  <c r="K78" i="21" s="1"/>
  <c r="J314" i="21"/>
  <c r="K93" i="21" s="1"/>
  <c r="J308" i="21"/>
  <c r="K10" i="21" s="1"/>
  <c r="K125" i="21"/>
  <c r="K133" i="21"/>
  <c r="H133" i="21"/>
  <c r="H125" i="21"/>
  <c r="H126" i="21" s="1"/>
  <c r="I133" i="21"/>
  <c r="I125" i="21"/>
  <c r="I126" i="21" s="1"/>
  <c r="G141" i="21"/>
  <c r="Z15" i="21" s="1"/>
  <c r="G136" i="21"/>
  <c r="J125" i="21"/>
  <c r="J126" i="21" s="1"/>
  <c r="J133" i="21"/>
  <c r="F125" i="21"/>
  <c r="F133" i="21"/>
  <c r="M180" i="21"/>
  <c r="AV191" i="21" s="1"/>
  <c r="AV192" i="21" s="1"/>
  <c r="P103" i="23" l="1"/>
  <c r="N103" i="23"/>
  <c r="AC103" i="23" s="1"/>
  <c r="U99" i="23"/>
  <c r="H89" i="23"/>
  <c r="S90" i="23"/>
  <c r="D89" i="23"/>
  <c r="AA89" i="23" s="1"/>
  <c r="F89" i="23"/>
  <c r="W88" i="23"/>
  <c r="L87" i="23"/>
  <c r="J87" i="23"/>
  <c r="AB87" i="23" s="1"/>
  <c r="Z28" i="21"/>
  <c r="Z78" i="21"/>
  <c r="F171" i="21"/>
  <c r="Z100" i="21"/>
  <c r="T171" i="21" s="1"/>
  <c r="Z91" i="21"/>
  <c r="T170" i="21" s="1"/>
  <c r="H154" i="21"/>
  <c r="R15" i="21"/>
  <c r="G154" i="21"/>
  <c r="Q15" i="21"/>
  <c r="Q38" i="21" s="1"/>
  <c r="E37" i="25" s="1"/>
  <c r="Q9" i="21"/>
  <c r="M164" i="21"/>
  <c r="L164" i="21"/>
  <c r="AD74" i="21"/>
  <c r="Q169" i="21" s="1"/>
  <c r="AB74" i="21"/>
  <c r="O169" i="21" s="1"/>
  <c r="AC74" i="21"/>
  <c r="P169" i="21" s="1"/>
  <c r="P62" i="21"/>
  <c r="Q62" i="21"/>
  <c r="E41" i="25" s="1"/>
  <c r="K41" i="25" s="1"/>
  <c r="L180" i="21"/>
  <c r="AU191" i="21" s="1"/>
  <c r="P60" i="21"/>
  <c r="I152" i="21"/>
  <c r="S15" i="21" s="1"/>
  <c r="D37" i="25"/>
  <c r="F154" i="21"/>
  <c r="O181" i="21"/>
  <c r="AX200" i="21" s="1"/>
  <c r="AX201" i="21" s="1"/>
  <c r="J154" i="21"/>
  <c r="Z99" i="21"/>
  <c r="M171" i="21" s="1"/>
  <c r="E227" i="21" s="1"/>
  <c r="O180" i="21"/>
  <c r="AX191" i="21" s="1"/>
  <c r="AX192" i="21" s="1"/>
  <c r="Q70" i="21"/>
  <c r="T169" i="21"/>
  <c r="P180" i="21"/>
  <c r="AY191" i="21" s="1"/>
  <c r="AY192" i="21" s="1"/>
  <c r="K126" i="21"/>
  <c r="Q181" i="21"/>
  <c r="AZ200" i="21" s="1"/>
  <c r="AZ201" i="21" s="1"/>
  <c r="Q180" i="21"/>
  <c r="AZ191" i="21" s="1"/>
  <c r="AZ192" i="21" s="1"/>
  <c r="F136" i="21"/>
  <c r="P9" i="21" s="1"/>
  <c r="F141" i="21"/>
  <c r="Y15" i="21" s="1"/>
  <c r="Y28" i="21" s="1"/>
  <c r="Q63" i="21"/>
  <c r="Q61" i="21"/>
  <c r="P61" i="21"/>
  <c r="P63" i="21"/>
  <c r="P181" i="21"/>
  <c r="AY200" i="21" s="1"/>
  <c r="AY201" i="21" s="1"/>
  <c r="N180" i="21"/>
  <c r="AW191" i="21" s="1"/>
  <c r="AW192" i="21" s="1"/>
  <c r="E38" i="25"/>
  <c r="H139" i="21"/>
  <c r="R11" i="21" s="1"/>
  <c r="N181" i="21"/>
  <c r="AW200" i="21" s="1"/>
  <c r="AW201" i="21" s="1"/>
  <c r="H90" i="23" l="1"/>
  <c r="F90" i="23"/>
  <c r="D90" i="23"/>
  <c r="AA90" i="23" s="1"/>
  <c r="S91" i="23"/>
  <c r="N104" i="23"/>
  <c r="AC104" i="23" s="1"/>
  <c r="P104" i="23"/>
  <c r="U100" i="23"/>
  <c r="W89" i="23"/>
  <c r="L88" i="23"/>
  <c r="J88" i="23"/>
  <c r="AB88" i="23" s="1"/>
  <c r="R56" i="21"/>
  <c r="T39" i="25" s="1"/>
  <c r="S39" i="25" s="1"/>
  <c r="R52" i="21"/>
  <c r="T38" i="25" s="1"/>
  <c r="S38" i="25" s="1"/>
  <c r="R51" i="21"/>
  <c r="T37" i="25" s="1"/>
  <c r="Z62" i="21"/>
  <c r="T167" i="21" s="1"/>
  <c r="P25" i="21"/>
  <c r="P27" i="21"/>
  <c r="Q27" i="21"/>
  <c r="Q25" i="21"/>
  <c r="D41" i="25"/>
  <c r="J41" i="25" s="1"/>
  <c r="D44" i="25"/>
  <c r="J44" i="25" s="1"/>
  <c r="E44" i="25"/>
  <c r="K44" i="25" s="1"/>
  <c r="Z60" i="21"/>
  <c r="E36" i="25"/>
  <c r="K36" i="25" s="1"/>
  <c r="K39" i="25" s="1"/>
  <c r="K42" i="25" s="1"/>
  <c r="Z38" i="21"/>
  <c r="Z40" i="21" s="1"/>
  <c r="I154" i="21"/>
  <c r="Y60" i="21"/>
  <c r="T163" i="21"/>
  <c r="T164" i="21"/>
  <c r="T34" i="25"/>
  <c r="P70" i="21"/>
  <c r="T168" i="21"/>
  <c r="U101" i="23" l="1"/>
  <c r="N105" i="23"/>
  <c r="AC105" i="23" s="1"/>
  <c r="P105" i="23"/>
  <c r="W90" i="23"/>
  <c r="L89" i="23"/>
  <c r="J89" i="23"/>
  <c r="AB89" i="23" s="1"/>
  <c r="H91" i="23"/>
  <c r="S92" i="23"/>
  <c r="F91" i="23"/>
  <c r="D91" i="23"/>
  <c r="AA91" i="23" s="1"/>
  <c r="Y62" i="21"/>
  <c r="S167" i="21" s="1"/>
  <c r="Z24" i="21"/>
  <c r="F163" i="21" s="1"/>
  <c r="Z39" i="21"/>
  <c r="M165" i="21" s="1"/>
  <c r="E215" i="21" s="1"/>
  <c r="F165" i="21"/>
  <c r="Y61" i="21"/>
  <c r="L167" i="21" s="1"/>
  <c r="E167" i="21"/>
  <c r="Z61" i="21"/>
  <c r="M167" i="21" s="1"/>
  <c r="E216" i="21" s="1"/>
  <c r="F167" i="21"/>
  <c r="T36" i="25"/>
  <c r="Y36" i="25" s="1"/>
  <c r="S37" i="25"/>
  <c r="K45" i="25"/>
  <c r="E39" i="25"/>
  <c r="E42" i="25" s="1"/>
  <c r="E45" i="25"/>
  <c r="E47" i="25" s="1"/>
  <c r="Y38" i="21"/>
  <c r="Y40" i="21" s="1"/>
  <c r="D38" i="25"/>
  <c r="D36" i="25" s="1"/>
  <c r="J36" i="25" s="1"/>
  <c r="Y24" i="21"/>
  <c r="Y25" i="21" s="1"/>
  <c r="AA51" i="21"/>
  <c r="G166" i="21" s="1"/>
  <c r="S164" i="21"/>
  <c r="S163" i="21"/>
  <c r="S93" i="23" l="1"/>
  <c r="H92" i="23"/>
  <c r="F92" i="23"/>
  <c r="D92" i="23"/>
  <c r="AA92" i="23" s="1"/>
  <c r="W91" i="23"/>
  <c r="J90" i="23"/>
  <c r="AB90" i="23" s="1"/>
  <c r="L90" i="23"/>
  <c r="N106" i="23"/>
  <c r="AC106" i="23" s="1"/>
  <c r="U102" i="23"/>
  <c r="P106" i="23"/>
  <c r="Z25" i="21"/>
  <c r="M163" i="21" s="1"/>
  <c r="E225" i="21"/>
  <c r="M190" i="21"/>
  <c r="AA190" i="21" s="1"/>
  <c r="S165" i="21"/>
  <c r="AN190" i="21" s="1"/>
  <c r="E165" i="21"/>
  <c r="L163" i="21"/>
  <c r="E163" i="21"/>
  <c r="Y39" i="21"/>
  <c r="L165" i="21" s="1"/>
  <c r="T165" i="21"/>
  <c r="AO190" i="21" s="1"/>
  <c r="S36" i="25"/>
  <c r="X36" i="25" s="1"/>
  <c r="X40" i="25" s="1"/>
  <c r="S40" i="25"/>
  <c r="J39" i="25"/>
  <c r="E48" i="25"/>
  <c r="K47" i="25"/>
  <c r="K48" i="25" s="1"/>
  <c r="D39" i="25"/>
  <c r="D42" i="25" s="1"/>
  <c r="AA52" i="21"/>
  <c r="N166" i="21" s="1"/>
  <c r="P107" i="23" l="1"/>
  <c r="U103" i="23"/>
  <c r="N107" i="23"/>
  <c r="AC107" i="23" s="1"/>
  <c r="L91" i="23"/>
  <c r="J91" i="23"/>
  <c r="AB91" i="23" s="1"/>
  <c r="W92" i="23"/>
  <c r="F93" i="23"/>
  <c r="H93" i="23"/>
  <c r="D93" i="23"/>
  <c r="AA93" i="23" s="1"/>
  <c r="S94" i="23"/>
  <c r="E224" i="21"/>
  <c r="E229" i="21" s="1"/>
  <c r="AH190" i="21"/>
  <c r="BJ190" i="21" s="1"/>
  <c r="BQ190" i="21" s="1"/>
  <c r="E214" i="21"/>
  <c r="E218" i="21" s="1"/>
  <c r="M193" i="21"/>
  <c r="AA193" i="21" s="1"/>
  <c r="AH193" i="21" s="1"/>
  <c r="M191" i="21"/>
  <c r="AA191" i="21" s="1"/>
  <c r="AH191" i="21" s="1"/>
  <c r="L190" i="21"/>
  <c r="L191" i="21" s="1"/>
  <c r="AN191" i="21"/>
  <c r="BB191" i="21" s="1"/>
  <c r="D51" i="25" s="1"/>
  <c r="J51" i="25" s="1"/>
  <c r="BB190" i="21"/>
  <c r="BC190" i="21"/>
  <c r="AO193" i="21"/>
  <c r="AO191" i="21"/>
  <c r="J42" i="25"/>
  <c r="D45" i="25"/>
  <c r="D94" i="23" l="1"/>
  <c r="AA94" i="23" s="1"/>
  <c r="S95" i="23"/>
  <c r="H94" i="23"/>
  <c r="F94" i="23"/>
  <c r="W93" i="23"/>
  <c r="L92" i="23"/>
  <c r="J92" i="23"/>
  <c r="AB92" i="23" s="1"/>
  <c r="P108" i="23"/>
  <c r="U104" i="23"/>
  <c r="N108" i="23"/>
  <c r="AC108" i="23" s="1"/>
  <c r="F190" i="21"/>
  <c r="D12" i="25" s="1"/>
  <c r="M194" i="21"/>
  <c r="AA194" i="21" s="1"/>
  <c r="AH194" i="21" s="1"/>
  <c r="M192" i="21"/>
  <c r="AA192" i="21" s="1"/>
  <c r="AH192" i="21" s="1"/>
  <c r="Z190" i="21"/>
  <c r="BJ191" i="21"/>
  <c r="BQ191" i="21" s="1"/>
  <c r="BJ193" i="21"/>
  <c r="BQ193" i="21" s="1"/>
  <c r="BC191" i="21"/>
  <c r="E217" i="21" s="1"/>
  <c r="E219" i="21" s="1"/>
  <c r="F218" i="21" s="1"/>
  <c r="AO192" i="21"/>
  <c r="BC192" i="21" s="1"/>
  <c r="BC193" i="21"/>
  <c r="F193" i="21" s="1"/>
  <c r="AO194" i="21"/>
  <c r="BC194" i="21" s="1"/>
  <c r="E228" i="21" s="1"/>
  <c r="E230" i="21" s="1"/>
  <c r="F224" i="21" s="1"/>
  <c r="Z191" i="21"/>
  <c r="AG191" i="21" s="1"/>
  <c r="J45" i="25"/>
  <c r="D47" i="25"/>
  <c r="J47" i="25" s="1"/>
  <c r="D95" i="23" l="1"/>
  <c r="AA95" i="23" s="1"/>
  <c r="S96" i="23"/>
  <c r="H95" i="23"/>
  <c r="F95" i="23"/>
  <c r="U105" i="23"/>
  <c r="P109" i="23"/>
  <c r="N109" i="23"/>
  <c r="AC109" i="23" s="1"/>
  <c r="W94" i="23"/>
  <c r="L93" i="23"/>
  <c r="J93" i="23"/>
  <c r="AB93" i="23" s="1"/>
  <c r="AG190" i="21"/>
  <c r="E190" i="21" s="1"/>
  <c r="F191" i="21"/>
  <c r="F217" i="21"/>
  <c r="F215" i="21"/>
  <c r="F216" i="21"/>
  <c r="E51" i="25"/>
  <c r="K51" i="25" s="1"/>
  <c r="K52" i="25" s="1"/>
  <c r="F214" i="21"/>
  <c r="F229" i="21"/>
  <c r="I15" i="25"/>
  <c r="F196" i="21"/>
  <c r="BI191" i="21"/>
  <c r="BP191" i="21" s="1"/>
  <c r="E191" i="21"/>
  <c r="BJ194" i="21"/>
  <c r="BQ194" i="21" s="1"/>
  <c r="F194" i="21"/>
  <c r="F197" i="21" s="1"/>
  <c r="BJ192" i="21"/>
  <c r="BQ192" i="21" s="1"/>
  <c r="F192" i="21"/>
  <c r="I14" i="25" s="1"/>
  <c r="F228" i="21"/>
  <c r="F225" i="21"/>
  <c r="F227" i="21"/>
  <c r="F226" i="21"/>
  <c r="J48" i="25"/>
  <c r="D48" i="25"/>
  <c r="H96" i="23" l="1"/>
  <c r="S97" i="23"/>
  <c r="F96" i="23"/>
  <c r="D5" i="23" s="1"/>
  <c r="D96" i="23"/>
  <c r="W95" i="23"/>
  <c r="L94" i="23"/>
  <c r="J94" i="23"/>
  <c r="AB94" i="23" s="1"/>
  <c r="N110" i="23"/>
  <c r="AC110" i="23" s="1"/>
  <c r="U106" i="23"/>
  <c r="P110" i="23"/>
  <c r="BI190" i="21"/>
  <c r="BP190" i="21" s="1"/>
  <c r="D13" i="25"/>
  <c r="H236" i="25" s="1"/>
  <c r="F219" i="21"/>
  <c r="I16" i="25"/>
  <c r="S236" i="25" s="1"/>
  <c r="F230" i="21"/>
  <c r="F195" i="21"/>
  <c r="J52" i="25"/>
  <c r="R27" i="30"/>
  <c r="J70" i="30"/>
  <c r="J51" i="30"/>
  <c r="J28" i="30"/>
  <c r="J67" i="30"/>
  <c r="R69" i="30"/>
  <c r="H94" i="30"/>
  <c r="H70" i="30"/>
  <c r="H65" i="30"/>
  <c r="J61" i="21"/>
  <c r="J65" i="21"/>
  <c r="J60" i="21"/>
  <c r="H94" i="21"/>
  <c r="H61" i="21"/>
  <c r="J28" i="21"/>
  <c r="H100" i="21"/>
  <c r="R65" i="30"/>
  <c r="R28" i="30"/>
  <c r="H62" i="30"/>
  <c r="J64" i="30"/>
  <c r="H100" i="30"/>
  <c r="H60" i="30"/>
  <c r="H61" i="30"/>
  <c r="J52" i="30"/>
  <c r="R66" i="30"/>
  <c r="J69" i="30"/>
  <c r="J26" i="30"/>
  <c r="R60" i="30"/>
  <c r="H63" i="21"/>
  <c r="J47" i="21"/>
  <c r="J27" i="21"/>
  <c r="J70" i="21"/>
  <c r="J62" i="21"/>
  <c r="H64" i="21"/>
  <c r="J67" i="21"/>
  <c r="H69" i="21"/>
  <c r="H69" i="30"/>
  <c r="R47" i="30"/>
  <c r="R61" i="30"/>
  <c r="R63" i="30"/>
  <c r="J47" i="30"/>
  <c r="J94" i="30"/>
  <c r="J61" i="30"/>
  <c r="R64" i="30"/>
  <c r="R67" i="30"/>
  <c r="H27" i="30"/>
  <c r="R94" i="30"/>
  <c r="J60" i="30"/>
  <c r="H70" i="21"/>
  <c r="H28" i="21"/>
  <c r="J100" i="21"/>
  <c r="H60" i="21"/>
  <c r="H66" i="21"/>
  <c r="J69" i="21"/>
  <c r="H27" i="21"/>
  <c r="J64" i="21"/>
  <c r="S100" i="30"/>
  <c r="J63" i="30"/>
  <c r="H47" i="30"/>
  <c r="R62" i="30"/>
  <c r="H28" i="30"/>
  <c r="J65" i="30"/>
  <c r="J66" i="30"/>
  <c r="J62" i="30"/>
  <c r="R70" i="30"/>
  <c r="J27" i="30"/>
  <c r="H66" i="30"/>
  <c r="H67" i="30"/>
  <c r="J94" i="21"/>
  <c r="J63" i="21"/>
  <c r="H47" i="21"/>
  <c r="H65" i="21"/>
  <c r="H67" i="21"/>
  <c r="J66" i="21"/>
  <c r="H62" i="21"/>
  <c r="R100" i="30"/>
  <c r="J56" i="30"/>
  <c r="H63" i="30"/>
  <c r="H64" i="30"/>
  <c r="T28" i="21" l="1"/>
  <c r="R47" i="21"/>
  <c r="J101" i="21"/>
  <c r="T101" i="21" s="1"/>
  <c r="J102" i="21"/>
  <c r="T102" i="21" s="1"/>
  <c r="R28" i="21"/>
  <c r="T47" i="21"/>
  <c r="D97" i="23"/>
  <c r="AA97" i="23" s="1"/>
  <c r="S98" i="23"/>
  <c r="H97" i="23"/>
  <c r="F97" i="23"/>
  <c r="D4" i="23"/>
  <c r="AA96" i="23"/>
  <c r="P111" i="23"/>
  <c r="E11" i="23" s="1"/>
  <c r="U107" i="23"/>
  <c r="U108" i="23" s="1"/>
  <c r="U109" i="23" s="1"/>
  <c r="U110" i="23" s="1"/>
  <c r="U111" i="23" s="1"/>
  <c r="N111" i="23"/>
  <c r="J95" i="23"/>
  <c r="AB95" i="23" s="1"/>
  <c r="W96" i="23"/>
  <c r="L95" i="23"/>
  <c r="D12" i="23"/>
  <c r="D9" i="23"/>
  <c r="D6" i="23"/>
  <c r="S102" i="30"/>
  <c r="S101" i="30"/>
  <c r="R102" i="30"/>
  <c r="R101" i="30"/>
  <c r="H102" i="21"/>
  <c r="R102" i="21" s="1"/>
  <c r="H101" i="21"/>
  <c r="R101" i="21" s="1"/>
  <c r="H101" i="30"/>
  <c r="H102" i="30"/>
  <c r="H35" i="25"/>
  <c r="F35" i="25"/>
  <c r="S63" i="30"/>
  <c r="R31" i="30"/>
  <c r="R32" i="30"/>
  <c r="J89" i="21"/>
  <c r="J30" i="30"/>
  <c r="J54" i="30"/>
  <c r="J57" i="21"/>
  <c r="S67" i="30"/>
  <c r="U66" i="30"/>
  <c r="U69" i="30"/>
  <c r="U63" i="30"/>
  <c r="U65" i="30"/>
  <c r="K56" i="30"/>
  <c r="R29" i="30"/>
  <c r="J25" i="30"/>
  <c r="R38" i="30"/>
  <c r="J38" i="30"/>
  <c r="R12" i="30"/>
  <c r="R48" i="30"/>
  <c r="R25" i="30"/>
  <c r="H95" i="30"/>
  <c r="R86" i="30"/>
  <c r="R39" i="30"/>
  <c r="H48" i="21"/>
  <c r="H107" i="21"/>
  <c r="J86" i="21"/>
  <c r="J12" i="21"/>
  <c r="H38" i="21"/>
  <c r="U60" i="30"/>
  <c r="I100" i="30"/>
  <c r="U70" i="30"/>
  <c r="T100" i="30"/>
  <c r="S62" i="30"/>
  <c r="H32" i="30"/>
  <c r="S32" i="30" s="1"/>
  <c r="J89" i="30"/>
  <c r="H31" i="30"/>
  <c r="J31" i="21"/>
  <c r="J53" i="30"/>
  <c r="J54" i="21"/>
  <c r="U64" i="30"/>
  <c r="U28" i="30"/>
  <c r="S69" i="30"/>
  <c r="S66" i="30"/>
  <c r="S56" i="30"/>
  <c r="K56" i="21"/>
  <c r="J95" i="30"/>
  <c r="H46" i="30"/>
  <c r="R46" i="30"/>
  <c r="T14" i="30"/>
  <c r="J14" i="30"/>
  <c r="R107" i="30"/>
  <c r="T12" i="30"/>
  <c r="J29" i="30"/>
  <c r="H86" i="30"/>
  <c r="J46" i="30"/>
  <c r="H84" i="21"/>
  <c r="J29" i="21"/>
  <c r="J95" i="21"/>
  <c r="J84" i="21"/>
  <c r="J39" i="21"/>
  <c r="S27" i="30"/>
  <c r="U46" i="30"/>
  <c r="S64" i="30"/>
  <c r="S28" i="30"/>
  <c r="H89" i="30"/>
  <c r="R89" i="30"/>
  <c r="H89" i="21"/>
  <c r="H31" i="21"/>
  <c r="J57" i="30"/>
  <c r="J53" i="21"/>
  <c r="U27" i="30"/>
  <c r="S70" i="30"/>
  <c r="S47" i="30"/>
  <c r="U94" i="30"/>
  <c r="S31" i="30"/>
  <c r="I56" i="30"/>
  <c r="I56" i="21"/>
  <c r="J39" i="30"/>
  <c r="H107" i="30"/>
  <c r="R95" i="30"/>
  <c r="H104" i="30"/>
  <c r="R104" i="30"/>
  <c r="R14" i="30"/>
  <c r="H14" i="30"/>
  <c r="H48" i="30"/>
  <c r="H12" i="21"/>
  <c r="J46" i="21"/>
  <c r="J14" i="21"/>
  <c r="H39" i="21"/>
  <c r="U67" i="30"/>
  <c r="U38" i="30"/>
  <c r="J32" i="30"/>
  <c r="U32" i="30" s="1"/>
  <c r="H32" i="21"/>
  <c r="T30" i="30"/>
  <c r="S61" i="30"/>
  <c r="U89" i="30"/>
  <c r="U62" i="30"/>
  <c r="H39" i="30"/>
  <c r="H12" i="30"/>
  <c r="J86" i="30"/>
  <c r="H25" i="30"/>
  <c r="S25" i="30" s="1"/>
  <c r="R84" i="30"/>
  <c r="J48" i="30"/>
  <c r="H46" i="21"/>
  <c r="H14" i="21"/>
  <c r="H86" i="21"/>
  <c r="S60" i="30"/>
  <c r="U47" i="30"/>
  <c r="J84" i="30"/>
  <c r="U84" i="30" s="1"/>
  <c r="H29" i="21"/>
  <c r="J38" i="21"/>
  <c r="S89" i="30"/>
  <c r="U39" i="30"/>
  <c r="S107" i="30"/>
  <c r="J31" i="30"/>
  <c r="J32" i="21"/>
  <c r="J30" i="21"/>
  <c r="S65" i="30"/>
  <c r="S94" i="30"/>
  <c r="U56" i="30"/>
  <c r="H84" i="30"/>
  <c r="H38" i="30"/>
  <c r="H29" i="30"/>
  <c r="J12" i="30"/>
  <c r="H95" i="21"/>
  <c r="J48" i="21"/>
  <c r="H104" i="21"/>
  <c r="U61" i="30"/>
  <c r="J100" i="30"/>
  <c r="I104" i="30"/>
  <c r="K100" i="30"/>
  <c r="U100" i="30"/>
  <c r="K101" i="30" l="1"/>
  <c r="K102" i="30"/>
  <c r="U101" i="30"/>
  <c r="U102" i="30"/>
  <c r="T101" i="30"/>
  <c r="T102" i="30"/>
  <c r="J101" i="30"/>
  <c r="J102" i="30"/>
  <c r="I101" i="30"/>
  <c r="I102" i="30"/>
  <c r="R38" i="21"/>
  <c r="AA75" i="21"/>
  <c r="T38" i="21"/>
  <c r="I172" i="21"/>
  <c r="W199" i="21" s="1"/>
  <c r="AC75" i="21"/>
  <c r="G172" i="21"/>
  <c r="U192" i="21" s="1"/>
  <c r="S42" i="25"/>
  <c r="X42" i="25" s="1"/>
  <c r="X43" i="25" s="1"/>
  <c r="T32" i="21"/>
  <c r="R32" i="21"/>
  <c r="L96" i="23"/>
  <c r="D8" i="23" s="1"/>
  <c r="W97" i="23"/>
  <c r="J96" i="23"/>
  <c r="AC98" i="21"/>
  <c r="F98" i="23"/>
  <c r="S99" i="23"/>
  <c r="H98" i="23"/>
  <c r="D98" i="23"/>
  <c r="AA98" i="23" s="1"/>
  <c r="E10" i="23"/>
  <c r="AC111" i="23"/>
  <c r="AA98" i="21"/>
  <c r="H141" i="21"/>
  <c r="T104" i="30"/>
  <c r="S84" i="30"/>
  <c r="S39" i="30"/>
  <c r="S86" i="30"/>
  <c r="S95" i="30"/>
  <c r="I104" i="21"/>
  <c r="U31" i="30"/>
  <c r="S48" i="30"/>
  <c r="S46" i="30"/>
  <c r="U25" i="30"/>
  <c r="U29" i="30"/>
  <c r="U26" i="30"/>
  <c r="I52" i="30"/>
  <c r="I51" i="30"/>
  <c r="I26" i="21"/>
  <c r="I52" i="21"/>
  <c r="J104" i="30"/>
  <c r="U51" i="30"/>
  <c r="S51" i="30"/>
  <c r="K52" i="30"/>
  <c r="I51" i="21"/>
  <c r="K104" i="30"/>
  <c r="K26" i="30"/>
  <c r="K51" i="21"/>
  <c r="I26" i="30"/>
  <c r="K26" i="21"/>
  <c r="S29" i="30"/>
  <c r="U48" i="30"/>
  <c r="S104" i="30"/>
  <c r="U95" i="30"/>
  <c r="S38" i="30"/>
  <c r="U86" i="30"/>
  <c r="T56" i="30"/>
  <c r="I107" i="21"/>
  <c r="I107" i="30"/>
  <c r="S52" i="30"/>
  <c r="S26" i="30"/>
  <c r="U104" i="30"/>
  <c r="U52" i="30"/>
  <c r="K51" i="30"/>
  <c r="K52" i="21"/>
  <c r="T107" i="30"/>
  <c r="J107" i="30"/>
  <c r="K107" i="30" s="1"/>
  <c r="P172" i="21" l="1"/>
  <c r="W202" i="21"/>
  <c r="W203" i="21"/>
  <c r="W193" i="21"/>
  <c r="W190" i="21"/>
  <c r="W194" i="21"/>
  <c r="W200" i="21"/>
  <c r="W191" i="21"/>
  <c r="W192" i="21"/>
  <c r="W201" i="21"/>
  <c r="S43" i="25"/>
  <c r="U199" i="21"/>
  <c r="U191" i="21"/>
  <c r="U203" i="21"/>
  <c r="S26" i="21"/>
  <c r="U26" i="21"/>
  <c r="U201" i="21"/>
  <c r="N172" i="21"/>
  <c r="U202" i="21"/>
  <c r="U190" i="21"/>
  <c r="U193" i="21"/>
  <c r="I171" i="21"/>
  <c r="AC99" i="21"/>
  <c r="P171" i="21" s="1"/>
  <c r="S100" i="23"/>
  <c r="H99" i="23"/>
  <c r="F99" i="23"/>
  <c r="D99" i="23"/>
  <c r="AA99" i="23" s="1"/>
  <c r="W98" i="23"/>
  <c r="L97" i="23"/>
  <c r="J97" i="23"/>
  <c r="AB97" i="23" s="1"/>
  <c r="U194" i="21"/>
  <c r="U200" i="21"/>
  <c r="D7" i="23"/>
  <c r="AB96" i="23"/>
  <c r="G171" i="21"/>
  <c r="AA15" i="21"/>
  <c r="AA53" i="21" s="1"/>
  <c r="U166" i="21" s="1"/>
  <c r="AA99" i="21"/>
  <c r="N171" i="21" s="1"/>
  <c r="T31" i="21"/>
  <c r="R31" i="21"/>
  <c r="J107" i="21"/>
  <c r="J104" i="21"/>
  <c r="U107" i="30"/>
  <c r="H24" i="21"/>
  <c r="T26" i="30"/>
  <c r="R24" i="30"/>
  <c r="J24" i="21"/>
  <c r="T51" i="30"/>
  <c r="H24" i="30"/>
  <c r="J25" i="21"/>
  <c r="T52" i="30"/>
  <c r="J24" i="30"/>
  <c r="H25" i="21"/>
  <c r="H33" i="25" l="1"/>
  <c r="V33" i="25" s="1"/>
  <c r="T24" i="21"/>
  <c r="F33" i="25"/>
  <c r="T33" i="25" s="1"/>
  <c r="R24" i="21"/>
  <c r="F100" i="23"/>
  <c r="D100" i="23"/>
  <c r="AA100" i="23" s="1"/>
  <c r="H100" i="23"/>
  <c r="S101" i="23"/>
  <c r="W99" i="23"/>
  <c r="L98" i="23"/>
  <c r="J98" i="23"/>
  <c r="AB98" i="23" s="1"/>
  <c r="AA28" i="21"/>
  <c r="AA100" i="21"/>
  <c r="T89" i="21"/>
  <c r="R89" i="21"/>
  <c r="U24" i="30"/>
  <c r="S24" i="30"/>
  <c r="K107" i="21"/>
  <c r="K104" i="21"/>
  <c r="D101" i="23" l="1"/>
  <c r="AA101" i="23" s="1"/>
  <c r="F101" i="23"/>
  <c r="S102" i="23"/>
  <c r="H101" i="23"/>
  <c r="W100" i="23"/>
  <c r="L99" i="23"/>
  <c r="J99" i="23"/>
  <c r="AB99" i="23" s="1"/>
  <c r="U169" i="21"/>
  <c r="F102" i="23" l="1"/>
  <c r="D102" i="23"/>
  <c r="AA102" i="23" s="1"/>
  <c r="H102" i="23"/>
  <c r="S103" i="23"/>
  <c r="J100" i="23"/>
  <c r="AB100" i="23" s="1"/>
  <c r="W101" i="23"/>
  <c r="L100" i="23"/>
  <c r="U163" i="21"/>
  <c r="U164" i="21"/>
  <c r="S104" i="23" l="1"/>
  <c r="H103" i="23"/>
  <c r="D103" i="23"/>
  <c r="AA103" i="23" s="1"/>
  <c r="F103" i="23"/>
  <c r="W102" i="23"/>
  <c r="L101" i="23"/>
  <c r="J101" i="23"/>
  <c r="AB101" i="23" s="1"/>
  <c r="AP199" i="21"/>
  <c r="T60" i="21"/>
  <c r="R60" i="21"/>
  <c r="W103" i="23" l="1"/>
  <c r="L102" i="23"/>
  <c r="J102" i="23"/>
  <c r="AB102" i="23" s="1"/>
  <c r="D104" i="23"/>
  <c r="AA104" i="23" s="1"/>
  <c r="S105" i="23"/>
  <c r="H104" i="23"/>
  <c r="F104" i="23"/>
  <c r="T46" i="25"/>
  <c r="BD199" i="21"/>
  <c r="D105" i="23" l="1"/>
  <c r="AA105" i="23" s="1"/>
  <c r="S106" i="23"/>
  <c r="H105" i="23"/>
  <c r="F105" i="23"/>
  <c r="W104" i="23"/>
  <c r="L103" i="23"/>
  <c r="J103" i="23"/>
  <c r="AB103" i="23" s="1"/>
  <c r="T69" i="21"/>
  <c r="R69" i="21"/>
  <c r="F106" i="23" l="1"/>
  <c r="S107" i="23"/>
  <c r="H106" i="23"/>
  <c r="D106" i="23"/>
  <c r="AA106" i="23" s="1"/>
  <c r="J104" i="23"/>
  <c r="AB104" i="23" s="1"/>
  <c r="W105" i="23"/>
  <c r="L104" i="23"/>
  <c r="R70" i="21"/>
  <c r="W106" i="23" l="1"/>
  <c r="L105" i="23"/>
  <c r="J105" i="23"/>
  <c r="AB105" i="23" s="1"/>
  <c r="S108" i="23"/>
  <c r="H107" i="23"/>
  <c r="F107" i="23"/>
  <c r="D107" i="23"/>
  <c r="AA107" i="23" s="1"/>
  <c r="AA62" i="21"/>
  <c r="U167" i="21" s="1"/>
  <c r="AP200" i="21" s="1"/>
  <c r="BD200" i="21" s="1"/>
  <c r="S109" i="23" l="1"/>
  <c r="H108" i="23"/>
  <c r="F108" i="23"/>
  <c r="D108" i="23"/>
  <c r="AA108" i="23" s="1"/>
  <c r="W107" i="23"/>
  <c r="L106" i="23"/>
  <c r="J106" i="23"/>
  <c r="AB106" i="23" s="1"/>
  <c r="S46" i="25"/>
  <c r="X46" i="25" s="1"/>
  <c r="X47" i="25" s="1"/>
  <c r="Y46" i="25"/>
  <c r="W108" i="23" l="1"/>
  <c r="L107" i="23"/>
  <c r="J107" i="23"/>
  <c r="AB107" i="23" s="1"/>
  <c r="D109" i="23"/>
  <c r="AA109" i="23" s="1"/>
  <c r="S110" i="23"/>
  <c r="H109" i="23"/>
  <c r="F109" i="23"/>
  <c r="R66" i="21"/>
  <c r="F110" i="23" l="1"/>
  <c r="S111" i="23"/>
  <c r="H110" i="23"/>
  <c r="D110" i="23"/>
  <c r="AA110" i="23" s="1"/>
  <c r="J108" i="23"/>
  <c r="AB108" i="23" s="1"/>
  <c r="W109" i="23"/>
  <c r="L108" i="23"/>
  <c r="R64" i="21"/>
  <c r="H111" i="23" l="1"/>
  <c r="F111" i="23"/>
  <c r="E5" i="23" s="1"/>
  <c r="D111" i="23"/>
  <c r="W110" i="23"/>
  <c r="L109" i="23"/>
  <c r="J109" i="23"/>
  <c r="AB109" i="23" s="1"/>
  <c r="R94" i="21"/>
  <c r="AA89" i="21" s="1"/>
  <c r="I69" i="30"/>
  <c r="I67" i="30"/>
  <c r="K61" i="30"/>
  <c r="K67" i="30"/>
  <c r="I47" i="30"/>
  <c r="K69" i="30"/>
  <c r="I62" i="30"/>
  <c r="I100" i="21"/>
  <c r="I65" i="21"/>
  <c r="I62" i="21"/>
  <c r="K66" i="21"/>
  <c r="I64" i="21"/>
  <c r="K63" i="21"/>
  <c r="K62" i="21"/>
  <c r="K47" i="21"/>
  <c r="K62" i="30"/>
  <c r="I66" i="30"/>
  <c r="K47" i="30"/>
  <c r="I61" i="30"/>
  <c r="K65" i="30"/>
  <c r="K64" i="30"/>
  <c r="I27" i="30"/>
  <c r="I28" i="21"/>
  <c r="K67" i="21"/>
  <c r="I47" i="21"/>
  <c r="I66" i="21"/>
  <c r="K61" i="21"/>
  <c r="I60" i="21"/>
  <c r="I61" i="21"/>
  <c r="I94" i="30"/>
  <c r="I70" i="30"/>
  <c r="I63" i="30"/>
  <c r="I28" i="30"/>
  <c r="K63" i="30"/>
  <c r="I60" i="30"/>
  <c r="K28" i="30"/>
  <c r="I70" i="21"/>
  <c r="I67" i="21"/>
  <c r="I94" i="21"/>
  <c r="K64" i="21"/>
  <c r="K65" i="21"/>
  <c r="K69" i="21"/>
  <c r="K60" i="21"/>
  <c r="I64" i="30"/>
  <c r="I65" i="30"/>
  <c r="K94" i="30"/>
  <c r="K70" i="30"/>
  <c r="K66" i="30"/>
  <c r="K27" i="30"/>
  <c r="K60" i="30"/>
  <c r="K100" i="21"/>
  <c r="K94" i="21"/>
  <c r="I63" i="21"/>
  <c r="K27" i="21"/>
  <c r="I27" i="21"/>
  <c r="K70" i="21"/>
  <c r="K28" i="21"/>
  <c r="I69" i="21"/>
  <c r="U47" i="21" l="1"/>
  <c r="S69" i="21"/>
  <c r="U60" i="21"/>
  <c r="U28" i="21"/>
  <c r="U69" i="21"/>
  <c r="S60" i="21"/>
  <c r="G35" i="25"/>
  <c r="I35" i="25"/>
  <c r="S47" i="21"/>
  <c r="S28" i="21"/>
  <c r="I102" i="21"/>
  <c r="S102" i="21" s="1"/>
  <c r="I101" i="21"/>
  <c r="S101" i="21" s="1"/>
  <c r="K101" i="21"/>
  <c r="U101" i="21" s="1"/>
  <c r="K102" i="21"/>
  <c r="U102" i="21" s="1"/>
  <c r="J110" i="23"/>
  <c r="AB110" i="23" s="1"/>
  <c r="L110" i="23"/>
  <c r="W111" i="23"/>
  <c r="AA111" i="23"/>
  <c r="E4" i="23"/>
  <c r="E6" i="23"/>
  <c r="E9" i="23"/>
  <c r="E12" i="23"/>
  <c r="G170" i="21"/>
  <c r="AA91" i="21"/>
  <c r="U170" i="21" s="1"/>
  <c r="AP201" i="21" s="1"/>
  <c r="BD201" i="21" s="1"/>
  <c r="AA90" i="21"/>
  <c r="N170" i="21" s="1"/>
  <c r="T65" i="30"/>
  <c r="T63" i="30"/>
  <c r="T61" i="30"/>
  <c r="T67" i="30"/>
  <c r="I32" i="30"/>
  <c r="K31" i="30"/>
  <c r="I32" i="21"/>
  <c r="U54" i="30"/>
  <c r="I54" i="30"/>
  <c r="I57" i="30"/>
  <c r="U30" i="30"/>
  <c r="K53" i="21"/>
  <c r="K57" i="21"/>
  <c r="K84" i="30"/>
  <c r="I95" i="30"/>
  <c r="I38" i="30"/>
  <c r="K12" i="30"/>
  <c r="K46" i="30"/>
  <c r="I39" i="30"/>
  <c r="I48" i="30"/>
  <c r="K38" i="21"/>
  <c r="K29" i="21"/>
  <c r="I38" i="21"/>
  <c r="I84" i="21"/>
  <c r="I39" i="21"/>
  <c r="T64" i="30"/>
  <c r="T70" i="30"/>
  <c r="T66" i="30"/>
  <c r="T69" i="30"/>
  <c r="I89" i="30"/>
  <c r="K31" i="21"/>
  <c r="K89" i="21"/>
  <c r="U57" i="30"/>
  <c r="K57" i="30"/>
  <c r="K54" i="30"/>
  <c r="I53" i="30"/>
  <c r="I53" i="21"/>
  <c r="I30" i="21"/>
  <c r="K39" i="30"/>
  <c r="I25" i="30"/>
  <c r="I29" i="30"/>
  <c r="I12" i="30"/>
  <c r="K25" i="30"/>
  <c r="K86" i="30"/>
  <c r="K84" i="21"/>
  <c r="I12" i="21"/>
  <c r="I14" i="21"/>
  <c r="I46" i="21"/>
  <c r="K48" i="21"/>
  <c r="T60" i="30"/>
  <c r="T94" i="30"/>
  <c r="T62" i="30"/>
  <c r="K89" i="30"/>
  <c r="K32" i="21"/>
  <c r="I89" i="21"/>
  <c r="S57" i="30"/>
  <c r="S54" i="30"/>
  <c r="S30" i="30"/>
  <c r="I30" i="30"/>
  <c r="K30" i="21"/>
  <c r="I57" i="21"/>
  <c r="I46" i="30"/>
  <c r="U12" i="30"/>
  <c r="K29" i="30"/>
  <c r="K38" i="30"/>
  <c r="I84" i="30"/>
  <c r="K48" i="30"/>
  <c r="I48" i="21"/>
  <c r="K46" i="21"/>
  <c r="K95" i="21"/>
  <c r="K39" i="21"/>
  <c r="K12" i="21"/>
  <c r="T28" i="30"/>
  <c r="T27" i="30"/>
  <c r="T47" i="30"/>
  <c r="K32" i="30"/>
  <c r="I31" i="30"/>
  <c r="I31" i="21"/>
  <c r="U53" i="30"/>
  <c r="S53" i="30"/>
  <c r="K53" i="30"/>
  <c r="K30" i="30"/>
  <c r="K54" i="21"/>
  <c r="I54" i="21"/>
  <c r="I14" i="30"/>
  <c r="I86" i="30"/>
  <c r="U14" i="30"/>
  <c r="K95" i="30"/>
  <c r="K14" i="30"/>
  <c r="S12" i="30"/>
  <c r="S14" i="30"/>
  <c r="K86" i="21"/>
  <c r="I86" i="21"/>
  <c r="I29" i="21"/>
  <c r="I95" i="21"/>
  <c r="K14" i="21"/>
  <c r="AB98" i="21" l="1"/>
  <c r="H171" i="21" s="1"/>
  <c r="J172" i="21"/>
  <c r="S38" i="21"/>
  <c r="AB75" i="21"/>
  <c r="H172" i="21"/>
  <c r="U38" i="21"/>
  <c r="AD75" i="21"/>
  <c r="I157" i="21"/>
  <c r="S13" i="21" s="1"/>
  <c r="S89" i="21"/>
  <c r="U89" i="21"/>
  <c r="S32" i="21"/>
  <c r="S31" i="21"/>
  <c r="U32" i="21"/>
  <c r="U31" i="21"/>
  <c r="J111" i="23"/>
  <c r="L111" i="23"/>
  <c r="E8" i="23" s="1"/>
  <c r="AD98" i="21"/>
  <c r="T35" i="25"/>
  <c r="T32" i="25" s="1"/>
  <c r="AA26" i="21"/>
  <c r="G164" i="21" s="1"/>
  <c r="N199" i="21" s="1"/>
  <c r="R39" i="21"/>
  <c r="T86" i="30"/>
  <c r="T29" i="30"/>
  <c r="T48" i="30"/>
  <c r="T57" i="30"/>
  <c r="T84" i="30"/>
  <c r="T53" i="30"/>
  <c r="T38" i="30"/>
  <c r="T32" i="30"/>
  <c r="T46" i="30"/>
  <c r="T89" i="30"/>
  <c r="T95" i="30"/>
  <c r="T31" i="30"/>
  <c r="T25" i="30"/>
  <c r="T39" i="30"/>
  <c r="T54" i="30"/>
  <c r="AB99" i="21" l="1"/>
  <c r="O171" i="21" s="1"/>
  <c r="E7" i="23"/>
  <c r="AB111" i="23"/>
  <c r="V203" i="21"/>
  <c r="V192" i="21"/>
  <c r="V199" i="21"/>
  <c r="V200" i="21"/>
  <c r="V191" i="21"/>
  <c r="O172" i="21"/>
  <c r="V193" i="21"/>
  <c r="V194" i="21"/>
  <c r="V190" i="21"/>
  <c r="V202" i="21"/>
  <c r="V201" i="21"/>
  <c r="J171" i="21"/>
  <c r="AD99" i="21"/>
  <c r="Q171" i="21" s="1"/>
  <c r="X203" i="21"/>
  <c r="X192" i="21"/>
  <c r="X200" i="21"/>
  <c r="X193" i="21"/>
  <c r="X201" i="21"/>
  <c r="X190" i="21"/>
  <c r="X199" i="21"/>
  <c r="X191" i="21"/>
  <c r="X194" i="21"/>
  <c r="X202" i="21"/>
  <c r="Q172" i="21"/>
  <c r="AB199" i="21"/>
  <c r="AA27" i="21"/>
  <c r="N164" i="21" s="1"/>
  <c r="Y32" i="25"/>
  <c r="Y40" i="25" s="1"/>
  <c r="T40" i="25"/>
  <c r="F37" i="25"/>
  <c r="S94" i="21"/>
  <c r="AB89" i="21" s="1"/>
  <c r="I24" i="21"/>
  <c r="K24" i="30"/>
  <c r="K24" i="21"/>
  <c r="I24" i="30"/>
  <c r="I25" i="21"/>
  <c r="K25" i="21"/>
  <c r="G33" i="25" l="1"/>
  <c r="U33" i="25" s="1"/>
  <c r="S24" i="21"/>
  <c r="U24" i="21"/>
  <c r="AD26" i="21" s="1"/>
  <c r="I33" i="25"/>
  <c r="W33" i="25" s="1"/>
  <c r="AI199" i="21"/>
  <c r="BK199" i="21" s="1"/>
  <c r="BR199" i="21" s="1"/>
  <c r="H170" i="21"/>
  <c r="T42" i="25"/>
  <c r="Y42" i="25" s="1"/>
  <c r="Y43" i="25" s="1"/>
  <c r="Y47" i="25" s="1"/>
  <c r="AB90" i="21"/>
  <c r="O170" i="21" s="1"/>
  <c r="T24" i="30"/>
  <c r="G199" i="21" l="1"/>
  <c r="T43" i="25"/>
  <c r="G227" i="21"/>
  <c r="L227" i="21"/>
  <c r="S63" i="21" l="1"/>
  <c r="R63" i="21"/>
  <c r="K157" i="21" l="1"/>
  <c r="U13" i="21" s="1"/>
  <c r="J157" i="21"/>
  <c r="T13" i="21" s="1"/>
  <c r="U84" i="21" l="1"/>
  <c r="AD76" i="21" s="1"/>
  <c r="T84" i="21"/>
  <c r="AC76" i="21" s="1"/>
  <c r="S84" i="21"/>
  <c r="AB76" i="21" s="1"/>
  <c r="R84" i="21"/>
  <c r="J168" i="21" l="1"/>
  <c r="I168" i="21"/>
  <c r="H168" i="21"/>
  <c r="AA76" i="21"/>
  <c r="AA78" i="21" s="1"/>
  <c r="AC77" i="21"/>
  <c r="P168" i="21" s="1"/>
  <c r="AB77" i="21"/>
  <c r="O168" i="21" s="1"/>
  <c r="AD77" i="21"/>
  <c r="Q168" i="21" s="1"/>
  <c r="U168" i="21" l="1"/>
  <c r="G168" i="21"/>
  <c r="N202" i="21" s="1"/>
  <c r="N203" i="21" s="1"/>
  <c r="AA77" i="21"/>
  <c r="N168" i="21" s="1"/>
  <c r="T94" i="21"/>
  <c r="AC89" i="21" s="1"/>
  <c r="I226" i="21"/>
  <c r="N226" i="21"/>
  <c r="G226" i="21"/>
  <c r="L226" i="21"/>
  <c r="AB202" i="21" l="1"/>
  <c r="AI202" i="21" s="1"/>
  <c r="AP202" i="21"/>
  <c r="I170" i="21"/>
  <c r="AB203" i="21"/>
  <c r="AI203" i="21" s="1"/>
  <c r="S67" i="21"/>
  <c r="R67" i="21"/>
  <c r="AC90" i="21"/>
  <c r="P170" i="21" s="1"/>
  <c r="BD202" i="21" l="1"/>
  <c r="G202" i="21" s="1"/>
  <c r="BK202" i="21"/>
  <c r="BR202" i="21" s="1"/>
  <c r="S64" i="21"/>
  <c r="U94" i="21" l="1"/>
  <c r="AD89" i="21" s="1"/>
  <c r="J170" i="21" l="1"/>
  <c r="K139" i="21"/>
  <c r="J139" i="21"/>
  <c r="AD90" i="21"/>
  <c r="Q170" i="21" s="1"/>
  <c r="J21" i="25"/>
  <c r="E18" i="25"/>
  <c r="I139" i="21"/>
  <c r="W35" i="25" l="1"/>
  <c r="U11" i="21"/>
  <c r="U56" i="21" s="1"/>
  <c r="U35" i="25"/>
  <c r="S11" i="21"/>
  <c r="S56" i="21" s="1"/>
  <c r="U39" i="25" s="1"/>
  <c r="V35" i="25"/>
  <c r="T11" i="21"/>
  <c r="T56" i="21" s="1"/>
  <c r="V39" i="25" s="1"/>
  <c r="K141" i="21"/>
  <c r="AD15" i="21" s="1"/>
  <c r="I136" i="21"/>
  <c r="J141" i="21"/>
  <c r="AC15" i="21" s="1"/>
  <c r="H136" i="21"/>
  <c r="G205" i="21"/>
  <c r="V34" i="25"/>
  <c r="I227" i="21"/>
  <c r="N227" i="21"/>
  <c r="I141" i="21"/>
  <c r="AB15" i="21" s="1"/>
  <c r="AD91" i="21" l="1"/>
  <c r="X170" i="21" s="1"/>
  <c r="AD100" i="21"/>
  <c r="AC91" i="21"/>
  <c r="W170" i="21" s="1"/>
  <c r="AC100" i="21"/>
  <c r="AB91" i="21"/>
  <c r="V170" i="21" s="1"/>
  <c r="AB100" i="21"/>
  <c r="AD28" i="21"/>
  <c r="AD78" i="21"/>
  <c r="X168" i="21" s="1"/>
  <c r="AC28" i="21"/>
  <c r="AC78" i="21"/>
  <c r="W168" i="21" s="1"/>
  <c r="AB28" i="21"/>
  <c r="AB78" i="21"/>
  <c r="V168" i="21" s="1"/>
  <c r="U51" i="21"/>
  <c r="U52" i="21"/>
  <c r="W38" i="25" s="1"/>
  <c r="T51" i="21"/>
  <c r="V37" i="25" s="1"/>
  <c r="T52" i="21"/>
  <c r="V38" i="25" s="1"/>
  <c r="S51" i="21"/>
  <c r="U37" i="25" s="1"/>
  <c r="S52" i="21"/>
  <c r="U38" i="25" s="1"/>
  <c r="G38" i="25"/>
  <c r="F150" i="25"/>
  <c r="V32" i="25"/>
  <c r="AA32" i="25" s="1"/>
  <c r="S9" i="21"/>
  <c r="R9" i="21"/>
  <c r="W34" i="25"/>
  <c r="W32" i="25" s="1"/>
  <c r="U34" i="25"/>
  <c r="U32" i="25" s="1"/>
  <c r="W39" i="25"/>
  <c r="AC26" i="21"/>
  <c r="I164" i="21" s="1"/>
  <c r="AB26" i="21"/>
  <c r="H164" i="21" s="1"/>
  <c r="V169" i="21"/>
  <c r="S70" i="21"/>
  <c r="W169" i="21"/>
  <c r="T70" i="21"/>
  <c r="X169" i="21"/>
  <c r="U70" i="21"/>
  <c r="AD51" i="21" l="1"/>
  <c r="W37" i="25"/>
  <c r="W36" i="25" s="1"/>
  <c r="AD62" i="21"/>
  <c r="X167" i="21" s="1"/>
  <c r="AC62" i="21"/>
  <c r="W167" i="21" s="1"/>
  <c r="AB62" i="21"/>
  <c r="V167" i="21" s="1"/>
  <c r="V36" i="25"/>
  <c r="AA36" i="25" s="1"/>
  <c r="AA40" i="25" s="1"/>
  <c r="AB51" i="21"/>
  <c r="U36" i="25"/>
  <c r="Z36" i="25" s="1"/>
  <c r="AC51" i="21"/>
  <c r="S25" i="21"/>
  <c r="S27" i="21"/>
  <c r="R25" i="21"/>
  <c r="R27" i="21"/>
  <c r="V40" i="25"/>
  <c r="V42" i="25" s="1"/>
  <c r="E150" i="25"/>
  <c r="G150" i="25" s="1"/>
  <c r="AB27" i="21"/>
  <c r="O164" i="21" s="1"/>
  <c r="AD27" i="21"/>
  <c r="Q164" i="21" s="1"/>
  <c r="AC27" i="21"/>
  <c r="P164" i="21" s="1"/>
  <c r="G148" i="25"/>
  <c r="Z32" i="25"/>
  <c r="U40" i="25"/>
  <c r="U42" i="25" s="1"/>
  <c r="AB32" i="25"/>
  <c r="AA38" i="21"/>
  <c r="F38" i="25"/>
  <c r="F36" i="25" s="1"/>
  <c r="L36" i="25" s="1"/>
  <c r="K136" i="21"/>
  <c r="X163" i="21"/>
  <c r="X164" i="21"/>
  <c r="W164" i="21"/>
  <c r="W163" i="21"/>
  <c r="V163" i="21"/>
  <c r="V164" i="21"/>
  <c r="J136" i="21"/>
  <c r="W40" i="25" l="1"/>
  <c r="W42" i="25" s="1"/>
  <c r="J166" i="21"/>
  <c r="F147" i="25"/>
  <c r="AD52" i="21"/>
  <c r="Q166" i="21" s="1"/>
  <c r="N225" i="21" s="1"/>
  <c r="AD53" i="21"/>
  <c r="X166" i="21" s="1"/>
  <c r="AS201" i="21" s="1"/>
  <c r="BG201" i="21" s="1"/>
  <c r="I166" i="21"/>
  <c r="P199" i="21" s="1"/>
  <c r="AC53" i="21"/>
  <c r="W166" i="21" s="1"/>
  <c r="AR202" i="21" s="1"/>
  <c r="H166" i="21"/>
  <c r="O199" i="21" s="1"/>
  <c r="AB53" i="21"/>
  <c r="V166" i="21" s="1"/>
  <c r="AQ202" i="21" s="1"/>
  <c r="G165" i="21"/>
  <c r="AA40" i="21"/>
  <c r="AB52" i="21"/>
  <c r="O166" i="21" s="1"/>
  <c r="L215" i="21" s="1"/>
  <c r="AC52" i="21"/>
  <c r="P166" i="21" s="1"/>
  <c r="T9" i="21"/>
  <c r="T27" i="21" s="1"/>
  <c r="U9" i="21"/>
  <c r="U27" i="21" s="1"/>
  <c r="L214" i="21"/>
  <c r="N214" i="21"/>
  <c r="N224" i="21"/>
  <c r="L224" i="21"/>
  <c r="AB36" i="25"/>
  <c r="AB40" i="25" s="1"/>
  <c r="V43" i="25"/>
  <c r="AA42" i="25"/>
  <c r="AA43" i="25" s="1"/>
  <c r="U43" i="25"/>
  <c r="Z42" i="25"/>
  <c r="Z40" i="25"/>
  <c r="AA39" i="21"/>
  <c r="N165" i="21" s="1"/>
  <c r="U62" i="21"/>
  <c r="T62" i="21"/>
  <c r="H41" i="25" s="1"/>
  <c r="N41" i="25" s="1"/>
  <c r="S62" i="21"/>
  <c r="G41" i="25" s="1"/>
  <c r="M41" i="25" s="1"/>
  <c r="H38" i="25"/>
  <c r="I38" i="25"/>
  <c r="R62" i="21"/>
  <c r="F41" i="25" s="1"/>
  <c r="L41" i="25" s="1"/>
  <c r="AS200" i="21" l="1"/>
  <c r="BG200" i="21" s="1"/>
  <c r="Q199" i="21"/>
  <c r="Q202" i="21" s="1"/>
  <c r="Q203" i="21" s="1"/>
  <c r="N215" i="21"/>
  <c r="N229" i="21"/>
  <c r="AD199" i="21"/>
  <c r="AK199" i="21" s="1"/>
  <c r="P202" i="21"/>
  <c r="P203" i="21" s="1"/>
  <c r="AC199" i="21"/>
  <c r="AJ199" i="21" s="1"/>
  <c r="O202" i="21"/>
  <c r="AC202" i="21" s="1"/>
  <c r="AJ202" i="21" s="1"/>
  <c r="AS202" i="21"/>
  <c r="AS199" i="21"/>
  <c r="W46" i="25" s="1"/>
  <c r="AB46" i="25" s="1"/>
  <c r="AR201" i="21"/>
  <c r="BF201" i="21" s="1"/>
  <c r="AR199" i="21"/>
  <c r="AR200" i="21"/>
  <c r="BF200" i="21" s="1"/>
  <c r="BF202" i="21"/>
  <c r="AQ201" i="21"/>
  <c r="BE201" i="21" s="1"/>
  <c r="AQ200" i="21"/>
  <c r="BE200" i="21" s="1"/>
  <c r="BE202" i="21"/>
  <c r="AQ199" i="21"/>
  <c r="BE199" i="21" s="1"/>
  <c r="L225" i="21"/>
  <c r="L229" i="21" s="1"/>
  <c r="U25" i="21"/>
  <c r="AD24" i="21" s="1"/>
  <c r="T25" i="21"/>
  <c r="U165" i="21"/>
  <c r="AP190" i="21" s="1"/>
  <c r="AB42" i="25"/>
  <c r="AB43" i="25" s="1"/>
  <c r="W43" i="25"/>
  <c r="I41" i="25"/>
  <c r="O41" i="25" s="1"/>
  <c r="Z43" i="25"/>
  <c r="U65" i="21"/>
  <c r="T65" i="21"/>
  <c r="S65" i="21"/>
  <c r="R65" i="21"/>
  <c r="AE202" i="21" l="1"/>
  <c r="AL202" i="21" s="1"/>
  <c r="AE199" i="21"/>
  <c r="AL199" i="21" s="1"/>
  <c r="BN199" i="21" s="1"/>
  <c r="BU199" i="21" s="1"/>
  <c r="BG202" i="21"/>
  <c r="O203" i="21"/>
  <c r="AC203" i="21" s="1"/>
  <c r="AJ203" i="21" s="1"/>
  <c r="BM199" i="21"/>
  <c r="BT199" i="21" s="1"/>
  <c r="H199" i="21"/>
  <c r="F18" i="25" s="1"/>
  <c r="H202" i="21"/>
  <c r="K21" i="25" s="1"/>
  <c r="BG199" i="21"/>
  <c r="N217" i="21"/>
  <c r="U46" i="25"/>
  <c r="Z46" i="25" s="1"/>
  <c r="Z47" i="25" s="1"/>
  <c r="AD202" i="21"/>
  <c r="BL199" i="21"/>
  <c r="BS199" i="21" s="1"/>
  <c r="BF199" i="21"/>
  <c r="I199" i="21" s="1"/>
  <c r="G18" i="25" s="1"/>
  <c r="L217" i="21"/>
  <c r="V46" i="25"/>
  <c r="AA46" i="25" s="1"/>
  <c r="AA47" i="25" s="1"/>
  <c r="BL202" i="21"/>
  <c r="BS202" i="21" s="1"/>
  <c r="BD190" i="21"/>
  <c r="AP193" i="21"/>
  <c r="BD193" i="21" s="1"/>
  <c r="AP191" i="21"/>
  <c r="BD191" i="21" s="1"/>
  <c r="AD203" i="21"/>
  <c r="AK203" i="21" s="1"/>
  <c r="AE203" i="21"/>
  <c r="AL203" i="21" s="1"/>
  <c r="AB47" i="25"/>
  <c r="U64" i="21"/>
  <c r="T64" i="21"/>
  <c r="J199" i="21" l="1"/>
  <c r="H18" i="25" s="1"/>
  <c r="J202" i="21"/>
  <c r="M21" i="25" s="1"/>
  <c r="BN202" i="21"/>
  <c r="BU202" i="21" s="1"/>
  <c r="AK202" i="21"/>
  <c r="I202" i="21" s="1"/>
  <c r="L21" i="25" s="1"/>
  <c r="AP192" i="21"/>
  <c r="BD192" i="21" s="1"/>
  <c r="H205" i="21"/>
  <c r="F51" i="25"/>
  <c r="L51" i="25" s="1"/>
  <c r="T67" i="21"/>
  <c r="U67" i="21"/>
  <c r="J205" i="21" l="1"/>
  <c r="BM202" i="21"/>
  <c r="BT202" i="21" s="1"/>
  <c r="I205" i="21"/>
  <c r="T66" i="21"/>
  <c r="S66" i="21"/>
  <c r="U63" i="21" l="1"/>
  <c r="T63" i="21"/>
  <c r="U66" i="21"/>
  <c r="U39" i="21" l="1"/>
  <c r="AD38" i="21" s="1"/>
  <c r="T39" i="21"/>
  <c r="S39" i="21"/>
  <c r="J165" i="21" l="1"/>
  <c r="F146" i="25"/>
  <c r="AD40" i="21"/>
  <c r="G37" i="25"/>
  <c r="G36" i="25" s="1"/>
  <c r="I37" i="25"/>
  <c r="I36" i="25" s="1"/>
  <c r="H37" i="25"/>
  <c r="H36" i="25" s="1"/>
  <c r="AB38" i="21"/>
  <c r="AC38" i="21"/>
  <c r="I165" i="21" l="1"/>
  <c r="AC40" i="21"/>
  <c r="H165" i="21"/>
  <c r="AB40" i="21"/>
  <c r="V165" i="21" s="1"/>
  <c r="AQ190" i="21" s="1"/>
  <c r="BE190" i="21" s="1"/>
  <c r="E146" i="25"/>
  <c r="G146" i="25" s="1"/>
  <c r="E147" i="25"/>
  <c r="G147" i="25" s="1"/>
  <c r="X165" i="21"/>
  <c r="AS190" i="21" s="1"/>
  <c r="AS191" i="21" s="1"/>
  <c r="AC39" i="21"/>
  <c r="P165" i="21" s="1"/>
  <c r="O36" i="25"/>
  <c r="N36" i="25"/>
  <c r="M36" i="25"/>
  <c r="AB39" i="21"/>
  <c r="O165" i="21" s="1"/>
  <c r="AD39" i="21"/>
  <c r="Q165" i="21" s="1"/>
  <c r="S61" i="21"/>
  <c r="R61" i="21"/>
  <c r="AQ193" i="21" l="1"/>
  <c r="AQ191" i="21"/>
  <c r="G44" i="25"/>
  <c r="W165" i="21"/>
  <c r="AR190" i="21" s="1"/>
  <c r="BF190" i="21" s="1"/>
  <c r="F44" i="25"/>
  <c r="AA60" i="21"/>
  <c r="AB60" i="21"/>
  <c r="I225" i="21"/>
  <c r="G225" i="21"/>
  <c r="G215" i="21"/>
  <c r="I215" i="21"/>
  <c r="U61" i="21"/>
  <c r="T61" i="21"/>
  <c r="BE193" i="21" l="1"/>
  <c r="AQ192" i="21"/>
  <c r="BE192" i="21" s="1"/>
  <c r="BE191" i="21"/>
  <c r="AS193" i="21"/>
  <c r="BG190" i="21"/>
  <c r="AR193" i="21"/>
  <c r="BG191" i="21"/>
  <c r="AR191" i="21"/>
  <c r="AA61" i="21"/>
  <c r="N167" i="21" s="1"/>
  <c r="G167" i="21"/>
  <c r="AB61" i="21"/>
  <c r="O167" i="21" s="1"/>
  <c r="H167" i="21"/>
  <c r="H44" i="25"/>
  <c r="N44" i="25" s="1"/>
  <c r="I44" i="25"/>
  <c r="AD60" i="21"/>
  <c r="J167" i="21" s="1"/>
  <c r="AC60" i="21"/>
  <c r="M44" i="25"/>
  <c r="L44" i="25"/>
  <c r="BF193" i="21" l="1"/>
  <c r="BG193" i="21"/>
  <c r="AR192" i="21"/>
  <c r="BF192" i="21" s="1"/>
  <c r="BF191" i="21"/>
  <c r="AS192" i="21"/>
  <c r="L216" i="21"/>
  <c r="L218" i="21" s="1"/>
  <c r="L219" i="21" s="1"/>
  <c r="M216" i="21" s="1"/>
  <c r="O200" i="21"/>
  <c r="Q200" i="21"/>
  <c r="F143" i="25" s="1"/>
  <c r="N200" i="21"/>
  <c r="G216" i="21"/>
  <c r="AC61" i="21"/>
  <c r="P167" i="21" s="1"/>
  <c r="I167" i="21"/>
  <c r="I51" i="25"/>
  <c r="O51" i="25" s="1"/>
  <c r="G217" i="21"/>
  <c r="G51" i="25"/>
  <c r="M51" i="25" s="1"/>
  <c r="I217" i="21"/>
  <c r="O44" i="25"/>
  <c r="AD61" i="21"/>
  <c r="Q167" i="21" s="1"/>
  <c r="BG192" i="21" l="1"/>
  <c r="M214" i="21"/>
  <c r="M217" i="21"/>
  <c r="M215" i="21"/>
  <c r="N201" i="21"/>
  <c r="AB200" i="21"/>
  <c r="AI200" i="21" s="1"/>
  <c r="O201" i="21"/>
  <c r="AC200" i="21"/>
  <c r="AJ200" i="21" s="1"/>
  <c r="Q201" i="21"/>
  <c r="AE200" i="21"/>
  <c r="AL200" i="21" s="1"/>
  <c r="M218" i="21"/>
  <c r="P200" i="21"/>
  <c r="H51" i="25"/>
  <c r="N51" i="25" s="1"/>
  <c r="N216" i="21"/>
  <c r="N218" i="21" s="1"/>
  <c r="N219" i="21" s="1"/>
  <c r="O216" i="21" s="1"/>
  <c r="I216" i="21"/>
  <c r="BL200" i="21" l="1"/>
  <c r="BS200" i="21" s="1"/>
  <c r="H200" i="21"/>
  <c r="F19" i="25" s="1"/>
  <c r="L236" i="25" s="1"/>
  <c r="BN200" i="21"/>
  <c r="BU200" i="21" s="1"/>
  <c r="J200" i="21"/>
  <c r="H19" i="25" s="1"/>
  <c r="M236" i="25" s="1"/>
  <c r="BK200" i="21"/>
  <c r="BR200" i="21" s="1"/>
  <c r="G200" i="21"/>
  <c r="E19" i="25" s="1"/>
  <c r="M219" i="21"/>
  <c r="AE201" i="21"/>
  <c r="AL201" i="21" s="1"/>
  <c r="AB201" i="21"/>
  <c r="AI201" i="21" s="1"/>
  <c r="AC201" i="21"/>
  <c r="AJ201" i="21" s="1"/>
  <c r="P201" i="21"/>
  <c r="AD200" i="21"/>
  <c r="AK200" i="21" s="1"/>
  <c r="O214" i="21"/>
  <c r="O215" i="21"/>
  <c r="O218" i="21"/>
  <c r="O217" i="21"/>
  <c r="BN201" i="21" l="1"/>
  <c r="BU201" i="21" s="1"/>
  <c r="J201" i="21"/>
  <c r="M20" i="25" s="1"/>
  <c r="BL201" i="21"/>
  <c r="BS201" i="21" s="1"/>
  <c r="H201" i="21"/>
  <c r="BK201" i="21"/>
  <c r="BR201" i="21" s="1"/>
  <c r="G201" i="21"/>
  <c r="BM200" i="21"/>
  <c r="BT200" i="21" s="1"/>
  <c r="I200" i="21"/>
  <c r="G19" i="25" s="1"/>
  <c r="E143" i="25"/>
  <c r="G143" i="25" s="1"/>
  <c r="AD201" i="21"/>
  <c r="AK201" i="21" s="1"/>
  <c r="O219" i="21"/>
  <c r="BM201" i="21" l="1"/>
  <c r="BT201" i="21" s="1"/>
  <c r="I201" i="21"/>
  <c r="J204" i="21"/>
  <c r="J20" i="25"/>
  <c r="G204" i="21"/>
  <c r="K20" i="25"/>
  <c r="H204" i="21"/>
  <c r="L20" i="25" l="1"/>
  <c r="I204" i="21"/>
  <c r="AB24" i="21" l="1"/>
  <c r="G34" i="25"/>
  <c r="G32" i="25" s="1"/>
  <c r="H34" i="25" l="1"/>
  <c r="H32" i="25" s="1"/>
  <c r="M32" i="25"/>
  <c r="M39" i="25" s="1"/>
  <c r="M42" i="25" s="1"/>
  <c r="M45" i="25" s="1"/>
  <c r="G45" i="25"/>
  <c r="G39" i="25"/>
  <c r="G42" i="25" s="1"/>
  <c r="AB25" i="21"/>
  <c r="O163" i="21" s="1"/>
  <c r="H163" i="21"/>
  <c r="O190" i="21" s="1"/>
  <c r="AC24" i="21"/>
  <c r="I163" i="21" s="1"/>
  <c r="P190" i="21" s="1"/>
  <c r="F34" i="25" l="1"/>
  <c r="F32" i="25" s="1"/>
  <c r="P191" i="21"/>
  <c r="P193" i="21"/>
  <c r="AD190" i="21"/>
  <c r="G47" i="25"/>
  <c r="M47" i="25" s="1"/>
  <c r="M48" i="25" s="1"/>
  <c r="M52" i="25" s="1"/>
  <c r="O191" i="21"/>
  <c r="O193" i="21"/>
  <c r="AC190" i="21"/>
  <c r="AJ190" i="21" s="1"/>
  <c r="AC25" i="21"/>
  <c r="P163" i="21" s="1"/>
  <c r="G224" i="21"/>
  <c r="G214" i="21"/>
  <c r="N32" i="25"/>
  <c r="N39" i="25" s="1"/>
  <c r="N42" i="25" s="1"/>
  <c r="N45" i="25" s="1"/>
  <c r="H39" i="25"/>
  <c r="H42" i="25" s="1"/>
  <c r="H45" i="25" s="1"/>
  <c r="AA24" i="21"/>
  <c r="AK190" i="21" l="1"/>
  <c r="F149" i="25"/>
  <c r="G163" i="21"/>
  <c r="N190" i="21" s="1"/>
  <c r="AA25" i="21"/>
  <c r="N163" i="21" s="1"/>
  <c r="AC191" i="21"/>
  <c r="AJ191" i="21" s="1"/>
  <c r="O192" i="21"/>
  <c r="P194" i="21"/>
  <c r="AD193" i="21"/>
  <c r="AK193" i="21" s="1"/>
  <c r="G218" i="21"/>
  <c r="G219" i="21" s="1"/>
  <c r="G229" i="21"/>
  <c r="G48" i="25"/>
  <c r="P192" i="21"/>
  <c r="AD191" i="21"/>
  <c r="AK191" i="21" s="1"/>
  <c r="H47" i="25"/>
  <c r="N47" i="25" s="1"/>
  <c r="N48" i="25" s="1"/>
  <c r="N52" i="25" s="1"/>
  <c r="O194" i="21"/>
  <c r="AC193" i="21"/>
  <c r="AJ193" i="21" s="1"/>
  <c r="F39" i="25"/>
  <c r="F42" i="25" s="1"/>
  <c r="F45" i="25" s="1"/>
  <c r="L32" i="25"/>
  <c r="L39" i="25" s="1"/>
  <c r="L42" i="25" s="1"/>
  <c r="L45" i="25" s="1"/>
  <c r="I34" i="25"/>
  <c r="I32" i="25" s="1"/>
  <c r="I39" i="25" s="1"/>
  <c r="I42" i="25" s="1"/>
  <c r="BL191" i="21" l="1"/>
  <c r="BS191" i="21" s="1"/>
  <c r="H216" i="21"/>
  <c r="H215" i="21"/>
  <c r="H217" i="21"/>
  <c r="H214" i="21"/>
  <c r="I191" i="21"/>
  <c r="G13" i="25" s="1"/>
  <c r="BM191" i="21"/>
  <c r="BT191" i="21" s="1"/>
  <c r="O32" i="25"/>
  <c r="O39" i="25" s="1"/>
  <c r="O42" i="25" s="1"/>
  <c r="O45" i="25" s="1"/>
  <c r="I45" i="25"/>
  <c r="BM193" i="21"/>
  <c r="BT193" i="21" s="1"/>
  <c r="I193" i="21"/>
  <c r="L15" i="25" s="1"/>
  <c r="AC194" i="21"/>
  <c r="AJ194" i="21" s="1"/>
  <c r="F47" i="25"/>
  <c r="L47" i="25" s="1"/>
  <c r="L48" i="25" s="1"/>
  <c r="L52" i="25" s="1"/>
  <c r="AD192" i="21"/>
  <c r="AK192" i="21" s="1"/>
  <c r="AD194" i="21"/>
  <c r="AK194" i="21" s="1"/>
  <c r="N191" i="21"/>
  <c r="N193" i="21"/>
  <c r="AB190" i="21"/>
  <c r="AI190" i="21" s="1"/>
  <c r="BL193" i="21"/>
  <c r="BS193" i="21" s="1"/>
  <c r="H193" i="21"/>
  <c r="K15" i="25" s="1"/>
  <c r="H48" i="25"/>
  <c r="H218" i="21"/>
  <c r="AC192" i="21"/>
  <c r="AJ192" i="21" s="1"/>
  <c r="AD25" i="21"/>
  <c r="Q163" i="21" s="1"/>
  <c r="H191" i="21" l="1"/>
  <c r="F13" i="25" s="1"/>
  <c r="I236" i="25" s="1"/>
  <c r="I190" i="21"/>
  <c r="G12" i="25" s="1"/>
  <c r="BM190" i="21"/>
  <c r="BT190" i="21" s="1"/>
  <c r="BL190" i="21"/>
  <c r="BS190" i="21" s="1"/>
  <c r="H190" i="21"/>
  <c r="F12" i="25" s="1"/>
  <c r="H192" i="21"/>
  <c r="K14" i="25" s="1"/>
  <c r="BL192" i="21"/>
  <c r="BS192" i="21" s="1"/>
  <c r="F48" i="25"/>
  <c r="AB191" i="21"/>
  <c r="AI191" i="21" s="1"/>
  <c r="N192" i="21"/>
  <c r="I196" i="21"/>
  <c r="H219" i="21"/>
  <c r="Q190" i="21"/>
  <c r="BM192" i="21"/>
  <c r="BT192" i="21" s="1"/>
  <c r="I192" i="21"/>
  <c r="L14" i="25" s="1"/>
  <c r="I224" i="21"/>
  <c r="I214" i="21"/>
  <c r="N194" i="21"/>
  <c r="AB193" i="21"/>
  <c r="AI193" i="21" s="1"/>
  <c r="I47" i="25"/>
  <c r="O47" i="25" s="1"/>
  <c r="O48" i="25" s="1"/>
  <c r="O52" i="25" s="1"/>
  <c r="H196" i="21"/>
  <c r="AB194" i="21" l="1"/>
  <c r="AI194" i="21" s="1"/>
  <c r="I229" i="21"/>
  <c r="G191" i="21"/>
  <c r="E13" i="25" s="1"/>
  <c r="BK191" i="21"/>
  <c r="BR191" i="21" s="1"/>
  <c r="I195" i="21"/>
  <c r="E149" i="25"/>
  <c r="G149" i="25" s="1"/>
  <c r="G193" i="21"/>
  <c r="J15" i="25" s="1"/>
  <c r="BK193" i="21"/>
  <c r="BR193" i="21" s="1"/>
  <c r="Q191" i="21"/>
  <c r="Q193" i="21"/>
  <c r="AE190" i="21"/>
  <c r="AL190" i="21" s="1"/>
  <c r="AB192" i="21"/>
  <c r="AI192" i="21" s="1"/>
  <c r="I48" i="25"/>
  <c r="I218" i="21"/>
  <c r="I219" i="21" s="1"/>
  <c r="H195" i="21"/>
  <c r="G190" i="21" l="1"/>
  <c r="E12" i="25" s="1"/>
  <c r="BK190" i="21"/>
  <c r="BR190" i="21" s="1"/>
  <c r="BK192" i="21"/>
  <c r="BR192" i="21" s="1"/>
  <c r="G192" i="21"/>
  <c r="J14" i="25" s="1"/>
  <c r="J216" i="21"/>
  <c r="J217" i="21"/>
  <c r="J215" i="21"/>
  <c r="J214" i="21"/>
  <c r="Q194" i="21"/>
  <c r="AE193" i="21"/>
  <c r="AL193" i="21" s="1"/>
  <c r="G196" i="21"/>
  <c r="J218" i="21"/>
  <c r="Q192" i="21"/>
  <c r="F142" i="25"/>
  <c r="AE191" i="21"/>
  <c r="AL191" i="21" l="1"/>
  <c r="BN191" i="21" s="1"/>
  <c r="BU191" i="21" s="1"/>
  <c r="J219" i="21"/>
  <c r="BN193" i="21"/>
  <c r="BU193" i="21" s="1"/>
  <c r="J193" i="21"/>
  <c r="M15" i="25" s="1"/>
  <c r="E142" i="25"/>
  <c r="G142" i="25" s="1"/>
  <c r="G195" i="21"/>
  <c r="AE192" i="21"/>
  <c r="AL192" i="21" s="1"/>
  <c r="AE194" i="21"/>
  <c r="AL194" i="21" s="1"/>
  <c r="J191" i="21" l="1"/>
  <c r="H13" i="25" s="1"/>
  <c r="J236" i="25" s="1"/>
  <c r="BN190" i="21"/>
  <c r="BU190" i="21" s="1"/>
  <c r="J190" i="21"/>
  <c r="H12" i="25" s="1"/>
  <c r="J192" i="21"/>
  <c r="M14" i="25" s="1"/>
  <c r="BN192" i="21"/>
  <c r="BU192" i="21" s="1"/>
  <c r="J196" i="21"/>
  <c r="J195" i="21" l="1"/>
  <c r="X171" i="21" l="1"/>
  <c r="W171" i="21"/>
  <c r="AR203" i="21" s="1"/>
  <c r="V171" i="21"/>
  <c r="AQ203" i="21" s="1"/>
  <c r="U171" i="21"/>
  <c r="AP203" i="21" s="1"/>
  <c r="AS194" i="21" l="1"/>
  <c r="AS203" i="21"/>
  <c r="AP194" i="21"/>
  <c r="AQ194" i="21"/>
  <c r="AR194" i="21"/>
  <c r="BN203" i="21" l="1"/>
  <c r="BU203" i="21" s="1"/>
  <c r="F145" i="25"/>
  <c r="BG203" i="21"/>
  <c r="J203" i="21" s="1"/>
  <c r="BG194" i="21"/>
  <c r="F144" i="25"/>
  <c r="BN194" i="21"/>
  <c r="BU194" i="21" s="1"/>
  <c r="BE194" i="21"/>
  <c r="BL194" i="21"/>
  <c r="BS194" i="21" s="1"/>
  <c r="BM203" i="21"/>
  <c r="BT203" i="21" s="1"/>
  <c r="BF203" i="21"/>
  <c r="I203" i="21" s="1"/>
  <c r="BK203" i="21"/>
  <c r="BR203" i="21" s="1"/>
  <c r="BD203" i="21"/>
  <c r="G203" i="21" s="1"/>
  <c r="BL203" i="21"/>
  <c r="BS203" i="21" s="1"/>
  <c r="BE203" i="21"/>
  <c r="H203" i="21" s="1"/>
  <c r="BM194" i="21"/>
  <c r="BT194" i="21" s="1"/>
  <c r="BF194" i="21"/>
  <c r="I194" i="21" s="1"/>
  <c r="BD194" i="21"/>
  <c r="G194" i="21" s="1"/>
  <c r="BK194" i="21"/>
  <c r="BR194" i="21" s="1"/>
  <c r="L16" i="25" l="1"/>
  <c r="I197" i="21"/>
  <c r="K22" i="25"/>
  <c r="W236" i="25" s="1"/>
  <c r="H206" i="21"/>
  <c r="G228" i="21"/>
  <c r="L228" i="21"/>
  <c r="H194" i="21"/>
  <c r="E145" i="25"/>
  <c r="G145" i="25" s="1"/>
  <c r="G206" i="21"/>
  <c r="J22" i="25"/>
  <c r="I206" i="21"/>
  <c r="L22" i="25"/>
  <c r="E144" i="25"/>
  <c r="G144" i="25" s="1"/>
  <c r="J16" i="25"/>
  <c r="G197" i="21"/>
  <c r="N228" i="21"/>
  <c r="J194" i="21"/>
  <c r="I228" i="21"/>
  <c r="M22" i="25"/>
  <c r="X236" i="25" s="1"/>
  <c r="J206" i="21"/>
  <c r="I230" i="21" l="1"/>
  <c r="M16" i="25"/>
  <c r="U236" i="25" s="1"/>
  <c r="J197" i="21"/>
  <c r="H197" i="21"/>
  <c r="K16" i="25"/>
  <c r="T236" i="25" s="1"/>
  <c r="N230" i="21"/>
  <c r="O228" i="21" s="1"/>
  <c r="L230" i="21"/>
  <c r="M228" i="21" s="1"/>
  <c r="G230" i="21"/>
  <c r="H228" i="21" s="1"/>
  <c r="H229" i="21" l="1"/>
  <c r="H226" i="21"/>
  <c r="H224" i="21"/>
  <c r="H225" i="21"/>
  <c r="H227" i="21"/>
  <c r="J226" i="21"/>
  <c r="J229" i="21"/>
  <c r="J227" i="21"/>
  <c r="J225" i="21"/>
  <c r="J224" i="21"/>
  <c r="O224" i="21"/>
  <c r="O227" i="21"/>
  <c r="O225" i="21"/>
  <c r="O226" i="21"/>
  <c r="O229" i="21"/>
  <c r="M226" i="21"/>
  <c r="M227" i="21"/>
  <c r="M225" i="21"/>
  <c r="M224" i="21"/>
  <c r="M229" i="21"/>
  <c r="J228" i="21"/>
  <c r="H230" i="21" l="1"/>
  <c r="M230" i="21"/>
  <c r="O230" i="21"/>
  <c r="J230"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C14" authorId="0" shapeId="0" xr:uid="{6C1F3D2D-7439-4165-B0FF-4118FA693376}">
      <text>
        <r>
          <rPr>
            <b/>
            <sz val="9"/>
            <color indexed="81"/>
            <rFont val="Tahoma"/>
            <family val="2"/>
          </rPr>
          <t>Chris Hellinga:</t>
        </r>
        <r>
          <rPr>
            <sz val="9"/>
            <color indexed="81"/>
            <rFont val="Tahoma"/>
            <family val="2"/>
          </rPr>
          <t xml:space="preserve">
LCOE of onshore received electricity, raised with onshore hydrogen production costs and compression to 100 bar for injection in an onshore high pressure hydrogen grid.  </t>
        </r>
      </text>
    </comment>
    <comment ref="F142" authorId="0" shapeId="0" xr:uid="{0BF2ED4F-2A18-4C8C-A9B8-BDDB2176A3AC}">
      <text>
        <r>
          <rPr>
            <b/>
            <sz val="9"/>
            <color indexed="81"/>
            <rFont val="Tahoma"/>
            <family val="2"/>
          </rPr>
          <t>Chris Hellinga:</t>
        </r>
        <r>
          <rPr>
            <sz val="9"/>
            <color indexed="81"/>
            <rFont val="Tahoma"/>
            <family val="2"/>
          </rPr>
          <t xml:space="preserve">
This value may seem high, usual indications are 2-3% of the CAPEX. 
For turbines, we arrive at a higher percentage, on basis of the Ørsted 2019 indication: 4,3%. And we express O&amp;M as the percentage of the "hardware costs" (equipment, installation and assemlby), not on the basis of the integral CAPEX.</t>
        </r>
      </text>
    </comment>
    <comment ref="C149" authorId="0" shapeId="0" xr:uid="{F5403EA4-2160-40AD-BCB3-0387243F22C9}">
      <text>
        <r>
          <rPr>
            <b/>
            <sz val="9"/>
            <color indexed="81"/>
            <rFont val="Tahoma"/>
            <family val="2"/>
          </rPr>
          <t>Chris Hellinga:</t>
        </r>
        <r>
          <rPr>
            <sz val="9"/>
            <color indexed="81"/>
            <rFont val="Tahoma"/>
            <family val="2"/>
          </rPr>
          <t xml:space="preserve">
Including assembly + installation</t>
        </r>
      </text>
    </comment>
    <comment ref="C150" authorId="0" shapeId="0" xr:uid="{3F87BCBE-A9CC-43D4-AA8D-D8CC5D761BC3}">
      <text>
        <r>
          <rPr>
            <b/>
            <sz val="9"/>
            <color indexed="81"/>
            <rFont val="Tahoma"/>
            <family val="2"/>
          </rPr>
          <t>Chris Hellinga:</t>
        </r>
        <r>
          <rPr>
            <sz val="9"/>
            <color indexed="81"/>
            <rFont val="Tahoma"/>
            <family val="2"/>
          </rPr>
          <t xml:space="preserve">
Inculding assembly + installation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D3" authorId="0" shapeId="0" xr:uid="{DE87EC85-11E7-4247-B257-1EC4F832A51E}">
      <text>
        <r>
          <rPr>
            <b/>
            <sz val="9"/>
            <color indexed="81"/>
            <rFont val="Tahoma"/>
            <family val="2"/>
          </rPr>
          <t>Chris Hellinga:</t>
        </r>
        <r>
          <rPr>
            <sz val="9"/>
            <color indexed="81"/>
            <rFont val="Tahoma"/>
            <family val="2"/>
          </rPr>
          <t xml:space="preserve">
Dont add a row above this one and don't change name</t>
        </r>
      </text>
    </comment>
    <comment ref="G6" authorId="0" shapeId="0" xr:uid="{CE7EC10E-BB4F-43C3-ADE8-64478A647C6C}">
      <text>
        <r>
          <rPr>
            <b/>
            <sz val="9"/>
            <color indexed="81"/>
            <rFont val="Tahoma"/>
            <family val="2"/>
          </rPr>
          <t>Chris Hellinga:</t>
        </r>
        <r>
          <rPr>
            <sz val="9"/>
            <color indexed="81"/>
            <rFont val="Tahoma"/>
            <family val="2"/>
          </rPr>
          <t xml:space="preserve">
Change via Results sheet</t>
        </r>
      </text>
    </comment>
    <comment ref="G7" authorId="0" shapeId="0" xr:uid="{017DCDA3-E244-4EF1-A581-DBDEDDD86956}">
      <text>
        <r>
          <rPr>
            <b/>
            <sz val="9"/>
            <color indexed="81"/>
            <rFont val="Tahoma"/>
            <family val="2"/>
          </rPr>
          <t>Chris Hellinga:</t>
        </r>
        <r>
          <rPr>
            <sz val="9"/>
            <color indexed="81"/>
            <rFont val="Tahoma"/>
            <family val="2"/>
          </rPr>
          <t xml:space="preserve">
Change via Results sheet</t>
        </r>
      </text>
    </comment>
    <comment ref="G8" authorId="0" shapeId="0" xr:uid="{D746F3D8-A45F-48EB-BAC3-BE043ED59086}">
      <text>
        <r>
          <rPr>
            <b/>
            <sz val="9"/>
            <color indexed="81"/>
            <rFont val="Tahoma"/>
            <family val="2"/>
          </rPr>
          <t>Chris Hellinga:</t>
        </r>
        <r>
          <rPr>
            <sz val="9"/>
            <color indexed="81"/>
            <rFont val="Tahoma"/>
            <family val="2"/>
          </rPr>
          <t xml:space="preserve">
Change via Results sheet</t>
        </r>
      </text>
    </comment>
    <comment ref="P8" authorId="0" shapeId="0" xr:uid="{D3995345-B8CB-4020-B7E6-CD00B330F0C0}">
      <text>
        <r>
          <rPr>
            <b/>
            <sz val="9"/>
            <color indexed="81"/>
            <rFont val="Tahoma"/>
            <family val="2"/>
          </rPr>
          <t>Chris Hellinga:</t>
        </r>
        <r>
          <rPr>
            <sz val="9"/>
            <color indexed="81"/>
            <rFont val="Tahoma"/>
            <family val="2"/>
          </rPr>
          <t xml:space="preserve">
Not applied to turbines for floating substuctures</t>
        </r>
      </text>
    </comment>
    <comment ref="D13" authorId="0" shapeId="0" xr:uid="{E4C4FABE-D570-497A-A66B-AEE1001944E0}">
      <text>
        <r>
          <rPr>
            <b/>
            <sz val="9"/>
            <color indexed="81"/>
            <rFont val="Tahoma"/>
            <family val="2"/>
          </rPr>
          <t>Chris Hellinga:</t>
        </r>
        <r>
          <rPr>
            <sz val="9"/>
            <color indexed="81"/>
            <rFont val="Tahoma"/>
            <family val="2"/>
          </rPr>
          <t xml:space="preserve">
Taken from Catapult: "insurance , contingency (spent) and construction project management" 
Not included: "lost projects that incur development expenditure"</t>
        </r>
      </text>
    </comment>
    <comment ref="E14" authorId="0" shapeId="0" xr:uid="{AA6CA83D-6B9C-45F7-90BE-AFADC7040599}">
      <text>
        <r>
          <rPr>
            <b/>
            <sz val="9"/>
            <color indexed="81"/>
            <rFont val="Tahoma"/>
            <family val="2"/>
          </rPr>
          <t>Chris Hellinga:</t>
        </r>
        <r>
          <rPr>
            <sz val="9"/>
            <color indexed="81"/>
            <rFont val="Tahoma"/>
            <family val="2"/>
          </rPr>
          <t xml:space="preserve">
As % of the equipment, installation and assembly costs. This definition is used throughout this sheet. I.e.project development, other costs etc. are not included when using O&amp;M percentages, etc. 
Note further that decommissioning is not included. As expenditure is at the end of the project period, the contribution to the LCOE/LCOH is small - %-order</t>
        </r>
      </text>
    </comment>
    <comment ref="F24" authorId="0" shapeId="0" xr:uid="{0E3133EA-3E94-4FD4-BE34-CF3926401721}">
      <text>
        <r>
          <rPr>
            <b/>
            <sz val="9"/>
            <color indexed="81"/>
            <rFont val="Tahoma"/>
            <family val="2"/>
          </rPr>
          <t>Chris Hellinga:</t>
        </r>
        <r>
          <rPr>
            <sz val="9"/>
            <color indexed="81"/>
            <rFont val="Tahoma"/>
            <family val="2"/>
          </rPr>
          <t xml:space="preserve">
FID in 2019. Vestas: 750 M€/GW in 2018. For 2023 the default value is calculated, using a learning rate of 26%. Assembly costs are reduced with the same percentage.</t>
        </r>
      </text>
    </comment>
    <comment ref="D45" authorId="0" shapeId="0" xr:uid="{F9415028-1B08-4A08-8E7B-49AA44F01957}">
      <text>
        <r>
          <rPr>
            <b/>
            <sz val="9"/>
            <color indexed="81"/>
            <rFont val="Tahoma"/>
            <family val="2"/>
          </rPr>
          <t>Chris Hellinga:</t>
        </r>
        <r>
          <rPr>
            <sz val="9"/>
            <color indexed="81"/>
            <rFont val="Tahoma"/>
            <family val="2"/>
          </rPr>
          <t xml:space="preserve">
Used to protect calculations at large water dephts (&gt;100 m)</t>
        </r>
      </text>
    </comment>
    <comment ref="E74" authorId="0" shapeId="0" xr:uid="{2B3ABA44-DD66-4273-8056-C5A94F6553D4}">
      <text>
        <r>
          <rPr>
            <b/>
            <sz val="9"/>
            <color indexed="81"/>
            <rFont val="Tahoma"/>
            <family val="2"/>
          </rPr>
          <t>Chris Hellinga:
only 30 / 50 supported so far.</t>
        </r>
        <r>
          <rPr>
            <sz val="9"/>
            <color indexed="81"/>
            <rFont val="Tahoma"/>
            <family val="2"/>
          </rPr>
          <t xml:space="preserve">
</t>
        </r>
      </text>
    </comment>
    <comment ref="X91" authorId="0" shapeId="0" xr:uid="{B66967E8-DE37-42FF-8D9F-20C518E51A56}">
      <text>
        <r>
          <rPr>
            <b/>
            <sz val="9"/>
            <color indexed="81"/>
            <rFont val="Tahoma"/>
            <family val="2"/>
          </rPr>
          <t>Chris Hellinga:</t>
        </r>
        <r>
          <rPr>
            <sz val="9"/>
            <color indexed="81"/>
            <rFont val="Tahoma"/>
            <family val="2"/>
          </rPr>
          <t xml:space="preserve">
Without the electricity costs.</t>
        </r>
      </text>
    </comment>
    <comment ref="D98" authorId="0" shapeId="0" xr:uid="{589327F8-FCD3-45B0-B910-1D9A6AB58679}">
      <text>
        <r>
          <rPr>
            <b/>
            <sz val="9"/>
            <color indexed="81"/>
            <rFont val="Tahoma"/>
            <family val="2"/>
          </rPr>
          <t>Chris Hellinga:</t>
        </r>
        <r>
          <rPr>
            <sz val="9"/>
            <color indexed="81"/>
            <rFont val="Tahoma"/>
            <family val="2"/>
          </rPr>
          <t xml:space="preserve">
Export pipeline costs are distributed over these parks. First, the total pipeline length is calculated (distance to shore + (Nparks-1)*Distance between parks). The maximum number of 1 GW parks for a 48" export pipeline at 100 bar (15 GW transport capacity) is ca. 18 at peak production (0,8 GW H2/park).</t>
        </r>
      </text>
    </comment>
    <comment ref="D109" authorId="0" shapeId="0" xr:uid="{7A693CA3-2F63-4553-90AF-06003F304DE9}">
      <text>
        <r>
          <rPr>
            <b/>
            <sz val="9"/>
            <color indexed="81"/>
            <rFont val="Tahoma"/>
            <family val="2"/>
          </rPr>
          <t>Chris Hellinga:</t>
        </r>
        <r>
          <rPr>
            <sz val="9"/>
            <color indexed="81"/>
            <rFont val="Tahoma"/>
            <family val="2"/>
          </rPr>
          <t xml:space="preserve">
This values are filled in with VBA code to break an algebraic loop. Used to calculate 1) electricity costs  for hydrogen compression - on-shore  (price at on shore reception) and offshore (price at turbine bottom), and 2) for costs of electricity losses during transport to shore (with turbine bottom values).</t>
        </r>
      </text>
    </comment>
    <comment ref="D122" authorId="0" shapeId="0" xr:uid="{C3728C14-7B05-4C79-9E22-783024D556FC}">
      <text>
        <r>
          <rPr>
            <b/>
            <sz val="9"/>
            <color indexed="81"/>
            <rFont val="Tahoma"/>
            <family val="2"/>
          </rPr>
          <t>Chris Hellinga:</t>
        </r>
        <r>
          <rPr>
            <sz val="9"/>
            <color indexed="81"/>
            <rFont val="Tahoma"/>
            <family val="2"/>
          </rPr>
          <t xml:space="preserve">
For MATLAB consistency:
Max turbines per row - see Matlab Export
Max number of rows - see Matlab Export
The park is filled row by row until number of turbines is reached (100/10 MW; 50/20 MW).
Distance between turbines on a row follows from the rotor diameter. The distance between rows equals this distance.
</t>
        </r>
      </text>
    </comment>
    <comment ref="D131" authorId="0" shapeId="0" xr:uid="{D2AEE168-E39C-49BC-9680-F93211B4F52E}">
      <text>
        <r>
          <rPr>
            <b/>
            <sz val="9"/>
            <color indexed="81"/>
            <rFont val="Tahoma"/>
            <family val="2"/>
          </rPr>
          <t>Chris Hellinga:</t>
        </r>
        <r>
          <rPr>
            <sz val="9"/>
            <color indexed="81"/>
            <rFont val="Tahoma"/>
            <family val="2"/>
          </rPr>
          <t xml:space="preserve">
Don't change - VBA needs this</t>
        </r>
      </text>
    </comment>
    <comment ref="D139" authorId="0" shapeId="0" xr:uid="{ACA733C2-EF18-4E73-921B-2BAC949BCF68}">
      <text>
        <r>
          <rPr>
            <b/>
            <sz val="9"/>
            <color indexed="81"/>
            <rFont val="Tahoma"/>
            <family val="2"/>
          </rPr>
          <t>Chris Hellinga:</t>
        </r>
        <r>
          <rPr>
            <sz val="9"/>
            <color indexed="81"/>
            <rFont val="Tahoma"/>
            <family val="2"/>
          </rPr>
          <t xml:space="preserve">
Substructure + installation
Assumed: 100% at 50 m depth</t>
        </r>
      </text>
    </comment>
    <comment ref="D144" authorId="0" shapeId="0" xr:uid="{772F1C9E-9B13-45E8-8BC1-7D5C7242D6B6}">
      <text>
        <r>
          <rPr>
            <b/>
            <sz val="9"/>
            <color indexed="81"/>
            <rFont val="Tahoma"/>
            <family val="2"/>
          </rPr>
          <t>Chris Hellinga:</t>
        </r>
        <r>
          <rPr>
            <sz val="9"/>
            <color indexed="81"/>
            <rFont val="Tahoma"/>
            <family val="2"/>
          </rPr>
          <t xml:space="preserve">
Don't change name</t>
        </r>
      </text>
    </comment>
    <comment ref="D157" authorId="0" shapeId="0" xr:uid="{01F87DD7-9D6C-4787-A9F2-536C85CDBB04}">
      <text>
        <r>
          <rPr>
            <b/>
            <sz val="9"/>
            <color indexed="81"/>
            <rFont val="Tahoma"/>
            <family val="2"/>
          </rPr>
          <t>Chris Hellinga:</t>
        </r>
        <r>
          <rPr>
            <sz val="9"/>
            <color indexed="81"/>
            <rFont val="Tahoma"/>
            <family val="2"/>
          </rPr>
          <t xml:space="preserve">
Substructure + installation
Assumed: 100% at 50 m depth</t>
        </r>
      </text>
    </comment>
    <comment ref="S187" authorId="0" shapeId="0" xr:uid="{85C5FF3D-C4E3-44C8-84E7-7A7BEFC0C0F1}">
      <text>
        <r>
          <rPr>
            <b/>
            <sz val="9"/>
            <color indexed="81"/>
            <rFont val="Tahoma"/>
            <family val="2"/>
          </rPr>
          <t>Chris Hellinga:</t>
        </r>
        <r>
          <rPr>
            <sz val="9"/>
            <color indexed="81"/>
            <rFont val="Tahoma"/>
            <family val="2"/>
          </rPr>
          <t xml:space="preserve">
NOT:
- H2 compression
- electricity losses
- desalination electricity</t>
        </r>
      </text>
    </comment>
    <comment ref="Z187" authorId="0" shapeId="0" xr:uid="{CF01832F-A49F-4EAB-A8FC-9E8F7F4705A4}">
      <text>
        <r>
          <rPr>
            <b/>
            <sz val="9"/>
            <color indexed="81"/>
            <rFont val="Tahoma"/>
            <family val="2"/>
          </rPr>
          <t>Chris Hellinga:</t>
        </r>
        <r>
          <rPr>
            <sz val="9"/>
            <color indexed="81"/>
            <rFont val="Tahoma"/>
            <family val="2"/>
          </rPr>
          <t xml:space="preserve">
Insurance , contingency (spent) and construction project management </t>
        </r>
      </text>
    </comment>
    <comment ref="AN187" authorId="0" shapeId="0" xr:uid="{201C84C5-F6C1-4D9B-B6BB-8A83D7A35A3B}">
      <text>
        <r>
          <rPr>
            <b/>
            <sz val="9"/>
            <color indexed="81"/>
            <rFont val="Tahoma"/>
            <family val="2"/>
          </rPr>
          <t>Chris Hellinga:</t>
        </r>
        <r>
          <rPr>
            <sz val="9"/>
            <color indexed="81"/>
            <rFont val="Tahoma"/>
            <family val="2"/>
          </rPr>
          <t xml:space="preserve">
For offshore hydrogen: including desalination
</t>
        </r>
      </text>
    </comment>
    <comment ref="AU187" authorId="0" shapeId="0" xr:uid="{0B79884C-F322-45A9-8E12-51CBBC0D9902}">
      <text>
        <r>
          <rPr>
            <b/>
            <sz val="9"/>
            <color indexed="81"/>
            <rFont val="Tahoma"/>
            <family val="2"/>
          </rPr>
          <t>Chris Hellinga:</t>
        </r>
        <r>
          <rPr>
            <sz val="9"/>
            <color indexed="81"/>
            <rFont val="Tahoma"/>
            <family val="2"/>
          </rPr>
          <t xml:space="preserve">
Electricity losses in cables
Hydrogen compression electricity</t>
        </r>
      </text>
    </comment>
    <comment ref="BI187" authorId="0" shapeId="0" xr:uid="{FF0AA67F-A03C-4904-B55D-3C123C4D1FCC}">
      <text>
        <r>
          <rPr>
            <b/>
            <sz val="9"/>
            <color indexed="81"/>
            <rFont val="Tahoma"/>
            <family val="2"/>
          </rPr>
          <t>Chris Hellinga:</t>
        </r>
        <r>
          <rPr>
            <sz val="9"/>
            <color indexed="81"/>
            <rFont val="Tahoma"/>
            <family val="2"/>
          </rPr>
          <t xml:space="preserve">
Necessary for export to Matlab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D3" authorId="0" shapeId="0" xr:uid="{8C92D127-27A4-43AF-A492-B8C979B5CA96}">
      <text>
        <r>
          <rPr>
            <b/>
            <sz val="9"/>
            <color indexed="81"/>
            <rFont val="Tahoma"/>
            <family val="2"/>
          </rPr>
          <t>Chris Hellinga:</t>
        </r>
        <r>
          <rPr>
            <sz val="9"/>
            <color indexed="81"/>
            <rFont val="Tahoma"/>
            <family val="2"/>
          </rPr>
          <t xml:space="preserve">
Dont add a row above this one and don't change name</t>
        </r>
      </text>
    </comment>
    <comment ref="G6" authorId="0" shapeId="0" xr:uid="{3E1A4C75-F290-42C5-85A6-32EDFD1AEA56}">
      <text>
        <r>
          <rPr>
            <b/>
            <sz val="9"/>
            <color indexed="81"/>
            <rFont val="Tahoma"/>
            <family val="2"/>
          </rPr>
          <t>Chris Hellinga:</t>
        </r>
        <r>
          <rPr>
            <sz val="9"/>
            <color indexed="81"/>
            <rFont val="Tahoma"/>
            <family val="2"/>
          </rPr>
          <t xml:space="preserve">
Change via Results sheet</t>
        </r>
      </text>
    </comment>
    <comment ref="Q6" authorId="0" shapeId="0" xr:uid="{45FC1D6B-C952-4CCD-89C4-97938127BD67}">
      <text>
        <r>
          <rPr>
            <b/>
            <sz val="9"/>
            <color indexed="81"/>
            <rFont val="Tahoma"/>
            <family val="2"/>
          </rPr>
          <t>Chris Hellinga:</t>
        </r>
        <r>
          <rPr>
            <sz val="9"/>
            <color indexed="81"/>
            <rFont val="Tahoma"/>
            <family val="2"/>
          </rPr>
          <t xml:space="preserve">
Change via Results sheet</t>
        </r>
      </text>
    </comment>
    <comment ref="G7" authorId="0" shapeId="0" xr:uid="{AD195E11-6310-4C2B-908E-197879F95E4B}">
      <text>
        <r>
          <rPr>
            <b/>
            <sz val="9"/>
            <color indexed="81"/>
            <rFont val="Tahoma"/>
            <family val="2"/>
          </rPr>
          <t>Chris Hellinga:</t>
        </r>
        <r>
          <rPr>
            <sz val="9"/>
            <color indexed="81"/>
            <rFont val="Tahoma"/>
            <family val="2"/>
          </rPr>
          <t xml:space="preserve">
Change via Results sheet</t>
        </r>
      </text>
    </comment>
    <comment ref="Q7" authorId="0" shapeId="0" xr:uid="{9C747386-1026-4DFE-BF6C-74555876EC5B}">
      <text>
        <r>
          <rPr>
            <b/>
            <sz val="9"/>
            <color indexed="81"/>
            <rFont val="Tahoma"/>
            <family val="2"/>
          </rPr>
          <t>Chris Hellinga:</t>
        </r>
        <r>
          <rPr>
            <sz val="9"/>
            <color indexed="81"/>
            <rFont val="Tahoma"/>
            <family val="2"/>
          </rPr>
          <t xml:space="preserve">
Change via Results sheet</t>
        </r>
      </text>
    </comment>
    <comment ref="G8" authorId="0" shapeId="0" xr:uid="{5D6F11E4-876E-442A-8A22-F2CC5F06BDFE}">
      <text>
        <r>
          <rPr>
            <b/>
            <sz val="9"/>
            <color indexed="81"/>
            <rFont val="Tahoma"/>
            <family val="2"/>
          </rPr>
          <t>Chris Hellinga:</t>
        </r>
        <r>
          <rPr>
            <sz val="9"/>
            <color indexed="81"/>
            <rFont val="Tahoma"/>
            <family val="2"/>
          </rPr>
          <t xml:space="preserve">
Cange via Results sheet</t>
        </r>
      </text>
    </comment>
    <comment ref="Q8" authorId="0" shapeId="0" xr:uid="{CD25A2C4-5E21-488A-A2F7-2EFC898D3EE9}">
      <text>
        <r>
          <rPr>
            <b/>
            <sz val="9"/>
            <color indexed="81"/>
            <rFont val="Tahoma"/>
            <family val="2"/>
          </rPr>
          <t>Chris Hellinga:</t>
        </r>
        <r>
          <rPr>
            <sz val="9"/>
            <color indexed="81"/>
            <rFont val="Tahoma"/>
            <family val="2"/>
          </rPr>
          <t xml:space="preserve">
Cange via Results sheet</t>
        </r>
      </text>
    </comment>
    <comment ref="D45" authorId="0" shapeId="0" xr:uid="{5FAA9E36-A5EC-4DC0-A7EA-76957C9DC108}">
      <text>
        <r>
          <rPr>
            <b/>
            <sz val="9"/>
            <color indexed="81"/>
            <rFont val="Tahoma"/>
            <family val="2"/>
          </rPr>
          <t>Chris Hellinga:</t>
        </r>
        <r>
          <rPr>
            <sz val="9"/>
            <color indexed="81"/>
            <rFont val="Tahoma"/>
            <family val="2"/>
          </rPr>
          <t xml:space="preserve">
Used to protect calculations at large water dephts (&gt;100 m)</t>
        </r>
      </text>
    </comment>
    <comment ref="E74" authorId="0" shapeId="0" xr:uid="{416076C0-0C13-44FE-865A-F1529A88928D}">
      <text>
        <r>
          <rPr>
            <b/>
            <sz val="9"/>
            <color indexed="81"/>
            <rFont val="Tahoma"/>
            <family val="2"/>
          </rPr>
          <t>Chris Hellinga:
only 30 / 50 supported so far.</t>
        </r>
        <r>
          <rPr>
            <sz val="9"/>
            <color indexed="81"/>
            <rFont val="Tahoma"/>
            <family val="2"/>
          </rPr>
          <t xml:space="preserve">
</t>
        </r>
      </text>
    </comment>
    <comment ref="D109" authorId="0" shapeId="0" xr:uid="{9201060A-051D-477E-BD71-061997EBF7AA}">
      <text>
        <r>
          <rPr>
            <b/>
            <sz val="9"/>
            <color indexed="81"/>
            <rFont val="Tahoma"/>
            <family val="2"/>
          </rPr>
          <t>Chris Hellinga:</t>
        </r>
        <r>
          <rPr>
            <sz val="9"/>
            <color indexed="81"/>
            <rFont val="Tahoma"/>
            <family val="2"/>
          </rPr>
          <t xml:space="preserve">
This values are filled in with VBA code to break an algebraic loop. Used to calculate 1) electricity costs  for hydrogen compression - on-shore  (price at on shore reception) and offshore (price at turbine bottom), and 2) for costs of electricity losses during transport to shore (with turbine bottom values).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 Hellinga</author>
  </authors>
  <commentList>
    <comment ref="AS67" authorId="0" shapeId="0" xr:uid="{DA249CCF-C271-4C87-B75E-DE6FFF30E623}">
      <text>
        <r>
          <rPr>
            <b/>
            <sz val="9"/>
            <color indexed="81"/>
            <rFont val="Tahoma"/>
            <family val="2"/>
          </rPr>
          <t>Chris Hellinga:</t>
        </r>
        <r>
          <rPr>
            <sz val="9"/>
            <color indexed="81"/>
            <rFont val="Tahoma"/>
            <family val="2"/>
          </rPr>
          <t xml:space="preserve">
This gives the value for a 10 MW turbine. For 20 MW the absolute costs remain the same, so the coststs per MW are then 50% of theiis value.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51EDBD-C9FB-4D28-B923-56B23E9DCEE2}" keepAlive="1" name="Query - matlab_results_electric" description="Verbinding maken met de query matlab_results_electric in de werkmap." type="5" refreshedVersion="7" background="1" saveData="1">
    <dbPr connection="Provider=Microsoft.Mashup.OleDb.1;Data Source=$Workbook$;Location=matlab_results_electric;Extended Properties=&quot;&quot;" command="SELECT * FROM [matlab_results_electric]"/>
  </connection>
</connections>
</file>

<file path=xl/sharedStrings.xml><?xml version="1.0" encoding="utf-8"?>
<sst xmlns="http://schemas.openxmlformats.org/spreadsheetml/2006/main" count="1398" uniqueCount="558">
  <si>
    <t>Mooring</t>
  </si>
  <si>
    <t>ton</t>
  </si>
  <si>
    <t>MW</t>
  </si>
  <si>
    <t>MWe</t>
  </si>
  <si>
    <t>GW</t>
  </si>
  <si>
    <t>Electricity</t>
  </si>
  <si>
    <t>Turbine</t>
  </si>
  <si>
    <t>10 MW</t>
  </si>
  <si>
    <t>M€</t>
  </si>
  <si>
    <t>Total</t>
  </si>
  <si>
    <t>Monopile</t>
  </si>
  <si>
    <t>Substructure</t>
  </si>
  <si>
    <t>Installation</t>
  </si>
  <si>
    <r>
      <t>M</t>
    </r>
    <r>
      <rPr>
        <sz val="11"/>
        <color theme="1"/>
        <rFont val="Calibri"/>
        <family val="2"/>
      </rPr>
      <t>€</t>
    </r>
  </si>
  <si>
    <t>Cables</t>
  </si>
  <si>
    <t>Offshore substation</t>
  </si>
  <si>
    <t>Onshore substation</t>
  </si>
  <si>
    <t>Offshore substation installation</t>
  </si>
  <si>
    <t>Lifetime</t>
  </si>
  <si>
    <t>year</t>
  </si>
  <si>
    <t>WACC</t>
  </si>
  <si>
    <t>€/MW</t>
  </si>
  <si>
    <t>LCOE</t>
  </si>
  <si>
    <t>Maintenance</t>
  </si>
  <si>
    <t>%</t>
  </si>
  <si>
    <t>m</t>
  </si>
  <si>
    <t>Water depth</t>
  </si>
  <si>
    <t>noemer</t>
  </si>
  <si>
    <t>teller</t>
  </si>
  <si>
    <t>annuiteit</t>
  </si>
  <si>
    <t>(1+WACC)^t</t>
  </si>
  <si>
    <t>20 MW</t>
  </si>
  <si>
    <t>20 MW 2050</t>
  </si>
  <si>
    <t>€/MWh</t>
  </si>
  <si>
    <r>
      <t>M</t>
    </r>
    <r>
      <rPr>
        <sz val="11"/>
        <color theme="1"/>
        <rFont val="Calibri"/>
        <family val="2"/>
      </rPr>
      <t>€</t>
    </r>
    <r>
      <rPr>
        <sz val="11"/>
        <color theme="1"/>
        <rFont val="Calibri"/>
        <family val="2"/>
        <scheme val="minor"/>
      </rPr>
      <t>/year</t>
    </r>
  </si>
  <si>
    <t>Operation</t>
  </si>
  <si>
    <t>km</t>
  </si>
  <si>
    <t>Learning rate</t>
  </si>
  <si>
    <t>CAPEX</t>
  </si>
  <si>
    <t>kWh/kg H2</t>
  </si>
  <si>
    <t>€/kg</t>
  </si>
  <si>
    <t>€/kWh</t>
  </si>
  <si>
    <t>Hydrogen</t>
  </si>
  <si>
    <t>Other costs</t>
  </si>
  <si>
    <t>MWh/year</t>
  </si>
  <si>
    <t>Depth</t>
  </si>
  <si>
    <t>LCOE - annuity factor</t>
  </si>
  <si>
    <t>discount factor year -1</t>
  </si>
  <si>
    <t>Capacity factor</t>
  </si>
  <si>
    <t>Slenderness ratio</t>
  </si>
  <si>
    <t xml:space="preserve">- </t>
  </si>
  <si>
    <t>€/ton</t>
  </si>
  <si>
    <t>Substructure costs</t>
  </si>
  <si>
    <t>eps</t>
  </si>
  <si>
    <t>O&amp;M</t>
  </si>
  <si>
    <t>WACC_real = (1+Wacc_nominal)/(1+Inflation rate)-1.</t>
  </si>
  <si>
    <t>Subtotal</t>
  </si>
  <si>
    <t>k€/MW</t>
  </si>
  <si>
    <t>Turbine CAPEX</t>
  </si>
  <si>
    <t>Park -array- cables</t>
  </si>
  <si>
    <t>growth</t>
  </si>
  <si>
    <t>Assembly</t>
  </si>
  <si>
    <t>Export cable (1 GW)</t>
  </si>
  <si>
    <t>Onshore substation installation</t>
  </si>
  <si>
    <t>Development &amp; Project management</t>
  </si>
  <si>
    <t>inflation</t>
  </si>
  <si>
    <t>Base case 2023</t>
  </si>
  <si>
    <t>Transition piece weight</t>
  </si>
  <si>
    <t>Installation activities</t>
  </si>
  <si>
    <t xml:space="preserve">Capacity factor </t>
  </si>
  <si>
    <t>Hydrogen production</t>
  </si>
  <si>
    <t>Hydrogen transport</t>
  </si>
  <si>
    <r>
      <t>M</t>
    </r>
    <r>
      <rPr>
        <sz val="11"/>
        <color theme="1"/>
        <rFont val="Calibri"/>
        <family val="2"/>
      </rPr>
      <t>€/MW</t>
    </r>
  </si>
  <si>
    <r>
      <t>M</t>
    </r>
    <r>
      <rPr>
        <sz val="11"/>
        <color theme="1"/>
        <rFont val="Calibri"/>
        <family val="2"/>
      </rPr>
      <t>€/km</t>
    </r>
  </si>
  <si>
    <t>% of CAPEX</t>
  </si>
  <si>
    <t>Hydrogen compression</t>
  </si>
  <si>
    <t>Electricity requirement</t>
  </si>
  <si>
    <t>Electrolyzer pressure</t>
  </si>
  <si>
    <t>bar</t>
  </si>
  <si>
    <t>% (HHV)</t>
  </si>
  <si>
    <t>Floating</t>
  </si>
  <si>
    <t>Years</t>
  </si>
  <si>
    <t>LCOH</t>
  </si>
  <si>
    <t>Electrolyser - system</t>
  </si>
  <si>
    <t>ton/year</t>
  </si>
  <si>
    <t>Electricity at turbine bottom</t>
  </si>
  <si>
    <t>CAPEX/year</t>
  </si>
  <si>
    <t>Fixed bottom</t>
  </si>
  <si>
    <t>Electricity onshore reception</t>
  </si>
  <si>
    <t>Hydrogen at turbine bottom</t>
  </si>
  <si>
    <t>Onshore hydrogen production</t>
  </si>
  <si>
    <t>M€/year</t>
  </si>
  <si>
    <t>OPEX/year</t>
  </si>
  <si>
    <t xml:space="preserve">CAPEX/year </t>
  </si>
  <si>
    <t>Distance dependency</t>
  </si>
  <si>
    <t>ton/m3</t>
  </si>
  <si>
    <t>Electricity price - floating</t>
  </si>
  <si>
    <t>Scenario values</t>
  </si>
  <si>
    <t>Historic values</t>
  </si>
  <si>
    <t>Total wind cap</t>
  </si>
  <si>
    <t>Offshore</t>
  </si>
  <si>
    <t>IRENA : 6000 GW for 35% of the world electricity in 2050</t>
  </si>
  <si>
    <t>Offshore given</t>
  </si>
  <si>
    <t>Floating substructure</t>
  </si>
  <si>
    <t>GW %</t>
  </si>
  <si>
    <t>Offshore scenario total</t>
  </si>
  <si>
    <t>FS</t>
  </si>
  <si>
    <t>Inflation correction (27 year)</t>
  </si>
  <si>
    <t>(not used)</t>
  </si>
  <si>
    <t>Hydrogen - onshore production</t>
  </si>
  <si>
    <t>Hydrogen - offshore production</t>
  </si>
  <si>
    <t>Electricity - onshore reception</t>
  </si>
  <si>
    <t>Substructure CAPEX</t>
  </si>
  <si>
    <t>Proj. dev. + other</t>
  </si>
  <si>
    <t>Hydrogen compression + transport</t>
  </si>
  <si>
    <t>Distance</t>
  </si>
  <si>
    <t>Cost breakdown</t>
  </si>
  <si>
    <t>Maintenance + electricity use/loss</t>
  </si>
  <si>
    <r>
      <t>LCOE (</t>
    </r>
    <r>
      <rPr>
        <b/>
        <sz val="11"/>
        <color theme="1"/>
        <rFont val="Calibri"/>
        <family val="2"/>
      </rPr>
      <t>€/MWh)</t>
    </r>
  </si>
  <si>
    <t>€/m3</t>
  </si>
  <si>
    <t>Turbine costs</t>
  </si>
  <si>
    <t>Costs for 1 GW park</t>
  </si>
  <si>
    <t>Investments</t>
  </si>
  <si>
    <t>Lifetime [year]</t>
  </si>
  <si>
    <t>Overall total LCOE</t>
  </si>
  <si>
    <t>(Sub)total</t>
  </si>
  <si>
    <t>Production [MWh/year]</t>
  </si>
  <si>
    <t xml:space="preserve">Park cable costs </t>
  </si>
  <si>
    <t>Export el. Infrastructure</t>
  </si>
  <si>
    <t>% of CAPEX"</t>
  </si>
  <si>
    <t>Catapult 2022</t>
  </si>
  <si>
    <t>Floating platform</t>
  </si>
  <si>
    <t>Proj. development + other</t>
  </si>
  <si>
    <t>Maintenance (or O&amp;M)</t>
  </si>
  <si>
    <t>Park  pipelines (12")</t>
  </si>
  <si>
    <t>M€/GW</t>
  </si>
  <si>
    <t>M€/GW/year</t>
  </si>
  <si>
    <t>LCOE/LCOH</t>
  </si>
  <si>
    <t>Growth GW</t>
  </si>
  <si>
    <t>1 GW monopile park</t>
  </si>
  <si>
    <t>Distance between parks</t>
  </si>
  <si>
    <t xml:space="preserve">Export pipeline (48") </t>
  </si>
  <si>
    <t>CAPEX -bottom fixed</t>
  </si>
  <si>
    <t>CAPEX -floating</t>
  </si>
  <si>
    <t>CAPEX/year -bottom fixed</t>
  </si>
  <si>
    <t>CAPEX/year -floating</t>
  </si>
  <si>
    <t>OPEX/year - both</t>
  </si>
  <si>
    <t>Botton fixed</t>
  </si>
  <si>
    <t>Hydrogen onshore production</t>
  </si>
  <si>
    <t>Electricity, including grid connection</t>
  </si>
  <si>
    <t xml:space="preserve">Bottom fixed </t>
  </si>
  <si>
    <t>Distance to shore</t>
  </si>
  <si>
    <t>Parameters Koen</t>
  </si>
  <si>
    <t>maximum distance</t>
  </si>
  <si>
    <t>mininum distance</t>
  </si>
  <si>
    <t>mininum depth</t>
  </si>
  <si>
    <t>maximum depth</t>
  </si>
  <si>
    <t>Depth dependency</t>
  </si>
  <si>
    <t>Select distances</t>
  </si>
  <si>
    <t>Select depths</t>
  </si>
  <si>
    <t>Parameters</t>
  </si>
  <si>
    <t>Select parameters</t>
  </si>
  <si>
    <t>-</t>
  </si>
  <si>
    <t>Frequency (0 for DC)</t>
  </si>
  <si>
    <t>Pipeline efficiency/roughness</t>
  </si>
  <si>
    <t>Backbone used capacity</t>
  </si>
  <si>
    <t>Converter energy efficiency</t>
  </si>
  <si>
    <t>Adiabatic efficiency</t>
  </si>
  <si>
    <t>Electrolyser energy efficiency (with compresion)</t>
  </si>
  <si>
    <t>Parameters for Matlab internal use</t>
  </si>
  <si>
    <t>USED</t>
  </si>
  <si>
    <t>m/s</t>
  </si>
  <si>
    <t>kV</t>
  </si>
  <si>
    <t>A</t>
  </si>
  <si>
    <t>mm2</t>
  </si>
  <si>
    <t>uF/km</t>
  </si>
  <si>
    <t>Hz (0 for DC)</t>
  </si>
  <si>
    <t>Ohm*mm2/m</t>
  </si>
  <si>
    <t>inch</t>
  </si>
  <si>
    <t>Frequency</t>
  </si>
  <si>
    <t xml:space="preserve">Material resistivity </t>
  </si>
  <si>
    <t xml:space="preserve">Capacitance </t>
  </si>
  <si>
    <t>Cross-section of conductor</t>
  </si>
  <si>
    <t xml:space="preserve">Current rating </t>
  </si>
  <si>
    <t>Voltage rating</t>
  </si>
  <si>
    <t>Power rating</t>
  </si>
  <si>
    <t>Hub height</t>
  </si>
  <si>
    <t>Turbine diameter</t>
  </si>
  <si>
    <t xml:space="preserve">Max wind speed </t>
  </si>
  <si>
    <t>Min wind speed</t>
  </si>
  <si>
    <t>Electrolyser efficiency</t>
  </si>
  <si>
    <t>Current rating</t>
  </si>
  <si>
    <t>Capacitance</t>
  </si>
  <si>
    <t>Material resistivity</t>
  </si>
  <si>
    <t>Diameter pipe - park internal</t>
  </si>
  <si>
    <t>Diameter pipe - export pipeline (backbone)</t>
  </si>
  <si>
    <t xml:space="preserve">Turbine </t>
  </si>
  <si>
    <t>H2 pipelines</t>
  </si>
  <si>
    <t>H2 compression</t>
  </si>
  <si>
    <t xml:space="preserve">Electrolyser </t>
  </si>
  <si>
    <t xml:space="preserve">Electrolyser operating pressure pressure </t>
  </si>
  <si>
    <t>Farm size and power</t>
  </si>
  <si>
    <t>turbines per row</t>
  </si>
  <si>
    <t>max. nr of turbine rows</t>
  </si>
  <si>
    <t>power</t>
  </si>
  <si>
    <t>depth [m]</t>
  </si>
  <si>
    <t>distance [km]</t>
  </si>
  <si>
    <t>Dividing the resulting overall yearly cost by the yearly produced amount of electricity/hydrogen (location dependent - MATLAB) gives the LCOE/LCOH</t>
  </si>
  <si>
    <t>Costs export to Matlab</t>
  </si>
  <si>
    <t>Data for distance graphs</t>
  </si>
  <si>
    <t>Data for depth graphs</t>
  </si>
  <si>
    <t>Sensitivity</t>
  </si>
  <si>
    <t>Bottom fixed - Hydrogen - offshore production</t>
  </si>
  <si>
    <t>Floating - Hydrogen offshore production</t>
  </si>
  <si>
    <t>Electricity infrastructure</t>
  </si>
  <si>
    <t>Cost scenario</t>
  </si>
  <si>
    <t>Reference</t>
  </si>
  <si>
    <t>None</t>
  </si>
  <si>
    <t>Turbine ProRES</t>
  </si>
  <si>
    <t>Turbine Reference</t>
  </si>
  <si>
    <t>LR</t>
  </si>
  <si>
    <t>ProRES (1)</t>
  </si>
  <si>
    <t>Reference (2)</t>
  </si>
  <si>
    <t>No cost reduction (3)</t>
  </si>
  <si>
    <t>ProRES Turbine (4)</t>
  </si>
  <si>
    <t>Reference Turbine (5)</t>
  </si>
  <si>
    <t>Cost reduction scenarios</t>
  </si>
  <si>
    <t>Data for above graphs</t>
  </si>
  <si>
    <t>Floating platform CAPEX</t>
  </si>
  <si>
    <t>Maintenance and operation</t>
  </si>
  <si>
    <t>Floating ProRES</t>
  </si>
  <si>
    <t>Floating Reference</t>
  </si>
  <si>
    <t>Hydrogen production unit</t>
  </si>
  <si>
    <t>System efficiency (total)</t>
  </si>
  <si>
    <t>Stack replacement</t>
  </si>
  <si>
    <t>Stack replacement costs</t>
  </si>
  <si>
    <t>Water costs (onshore)</t>
  </si>
  <si>
    <t>Maintenance &amp; Operation</t>
  </si>
  <si>
    <t>Additional system costs</t>
  </si>
  <si>
    <t>Desalination unit</t>
  </si>
  <si>
    <t>Desalination electricity use</t>
  </si>
  <si>
    <t>General</t>
  </si>
  <si>
    <t>System lifetime</t>
  </si>
  <si>
    <t>Turbine capacity factor</t>
  </si>
  <si>
    <t>Substation</t>
  </si>
  <si>
    <t>Slenderness ratio 20 MW at 15 m depth</t>
  </si>
  <si>
    <t>CAPEX monopile</t>
  </si>
  <si>
    <t>CAPEX transition piece</t>
  </si>
  <si>
    <t>Weight transition piece</t>
  </si>
  <si>
    <t>Mooring CAPEX</t>
  </si>
  <si>
    <t>% total CAPEX</t>
  </si>
  <si>
    <t>Cable installation - park</t>
  </si>
  <si>
    <t>Cable installation - export</t>
  </si>
  <si>
    <t>H2 production unit</t>
  </si>
  <si>
    <t>H2 transport</t>
  </si>
  <si>
    <t>Rotor diameter</t>
  </si>
  <si>
    <t>Number of parks per 15 GW export pipeline</t>
  </si>
  <si>
    <t>Cable/pipeline lengths</t>
  </si>
  <si>
    <t>Total park internal</t>
  </si>
  <si>
    <t>Export to shore</t>
  </si>
  <si>
    <t>Export H2 pipeline for cost calculation</t>
  </si>
  <si>
    <t>Park "length"</t>
  </si>
  <si>
    <t>Park "width"</t>
  </si>
  <si>
    <t>Park surface</t>
  </si>
  <si>
    <t>Park internal - over sea bottom</t>
  </si>
  <si>
    <t>Turbines to sea bottom</t>
  </si>
  <si>
    <t>ha</t>
  </si>
  <si>
    <t>Distance between turbines</t>
  </si>
  <si>
    <t># rotor diameters between turbines</t>
  </si>
  <si>
    <t>Number of turbine rows</t>
  </si>
  <si>
    <t>Turbines per row</t>
  </si>
  <si>
    <t>M€/km</t>
  </si>
  <si>
    <t>Pipeline (material + installation)</t>
  </si>
  <si>
    <r>
      <t>k</t>
    </r>
    <r>
      <rPr>
        <sz val="11"/>
        <color theme="1"/>
        <rFont val="Calibri"/>
        <family val="2"/>
      </rPr>
      <t>€/"km</t>
    </r>
  </si>
  <si>
    <t xml:space="preserve">Maintenance &amp; Operation </t>
  </si>
  <si>
    <t>M€/platform</t>
  </si>
  <si>
    <t>Cost reduction 10-&gt;20 MW</t>
  </si>
  <si>
    <t>% per MW</t>
  </si>
  <si>
    <t>Diameter</t>
  </si>
  <si>
    <t>Minimum length</t>
  </si>
  <si>
    <r>
      <t>M</t>
    </r>
    <r>
      <rPr>
        <sz val="11"/>
        <color theme="1"/>
        <rFont val="Calibri"/>
        <family val="2"/>
      </rPr>
      <t>€/GW</t>
    </r>
  </si>
  <si>
    <t>Bar/100 km</t>
  </si>
  <si>
    <t>Steel weight</t>
  </si>
  <si>
    <t>Cost increase per 100 m depth</t>
  </si>
  <si>
    <t>Distance dependency install.  + assembly</t>
  </si>
  <si>
    <t>%/100 km</t>
  </si>
  <si>
    <t>Assembly bottom fixed (BF)</t>
  </si>
  <si>
    <t>Assembly floating (FL)</t>
  </si>
  <si>
    <t>Installation BF</t>
  </si>
  <si>
    <t>Installation FL</t>
  </si>
  <si>
    <t>Distance dependency install. + assembly BF</t>
  </si>
  <si>
    <t>Distance dependency install. + assembly FL</t>
  </si>
  <si>
    <t>1 GW park production</t>
  </si>
  <si>
    <t>Power (e) park level</t>
  </si>
  <si>
    <t>Electricity loss</t>
  </si>
  <si>
    <t>% per 100 km</t>
  </si>
  <si>
    <t>Monopile length/water depth</t>
  </si>
  <si>
    <t>Monopile weigth</t>
  </si>
  <si>
    <t>Slenderness ratio 20 MW at 100 m depth</t>
  </si>
  <si>
    <t>Minimum slenderness ratio</t>
  </si>
  <si>
    <t>Total weight</t>
  </si>
  <si>
    <t>Length</t>
  </si>
  <si>
    <t>Slenderness ratio 10 MW at 100 m depth</t>
  </si>
  <si>
    <t>Slenderness ratio 10 MW at 15 m depth</t>
  </si>
  <si>
    <t xml:space="preserve">Distance </t>
  </si>
  <si>
    <t>Substructure, mooring, install.</t>
  </si>
  <si>
    <t>Cost increase per 100 km distance</t>
  </si>
  <si>
    <t>Increase per 100 km distance</t>
  </si>
  <si>
    <t>ProRES</t>
  </si>
  <si>
    <r>
      <t>CAPEX [M</t>
    </r>
    <r>
      <rPr>
        <b/>
        <sz val="11"/>
        <color theme="1"/>
        <rFont val="Calibri"/>
        <family val="2"/>
      </rPr>
      <t>€/year]</t>
    </r>
  </si>
  <si>
    <t>Annuity factor</t>
  </si>
  <si>
    <t>Electricity production [MWh/year]</t>
  </si>
  <si>
    <t>Hydrogen production [ton/year]</t>
  </si>
  <si>
    <r>
      <t>[</t>
    </r>
    <r>
      <rPr>
        <b/>
        <sz val="11"/>
        <color theme="1"/>
        <rFont val="Calibri"/>
        <family val="2"/>
      </rPr>
      <t>€/MWh]</t>
    </r>
  </si>
  <si>
    <r>
      <t>[</t>
    </r>
    <r>
      <rPr>
        <b/>
        <sz val="11"/>
        <color theme="1"/>
        <rFont val="Calibri"/>
        <family val="2"/>
      </rPr>
      <t>€/kg H2]</t>
    </r>
  </si>
  <si>
    <r>
      <t>[</t>
    </r>
    <r>
      <rPr>
        <b/>
        <sz val="11"/>
        <color theme="1"/>
        <rFont val="Calibri"/>
        <family val="2"/>
      </rPr>
      <t>€/kWh H2]</t>
    </r>
  </si>
  <si>
    <t>Offshore hydrogen/onshore reception</t>
  </si>
  <si>
    <t>M€/turbine</t>
  </si>
  <si>
    <t>Reference Float (8)</t>
  </si>
  <si>
    <t>ProRES Float (7)</t>
  </si>
  <si>
    <t>Turbine - bottom fixed</t>
  </si>
  <si>
    <t>Turbine - floating</t>
  </si>
  <si>
    <t>€/GW/year</t>
  </si>
  <si>
    <t>CAPEX - onshore</t>
  </si>
  <si>
    <t>CAPEX - onshore/year</t>
  </si>
  <si>
    <t>OPEX - onshore/year</t>
  </si>
  <si>
    <t>CAPEX - offshore</t>
  </si>
  <si>
    <t>CAPEX - offshore/year</t>
  </si>
  <si>
    <t>OPEX - offshore/year</t>
  </si>
  <si>
    <t>Water costs onshore</t>
  </si>
  <si>
    <t>Compressor CAPEX</t>
  </si>
  <si>
    <t>CAPEX/OPEX totals per cost item, per turbine</t>
  </si>
  <si>
    <t>Hydrogen production unit - offshore</t>
  </si>
  <si>
    <t>Hydrogen production unit - onshore</t>
  </si>
  <si>
    <t>Electricity - H2 compression - bottom fixed</t>
  </si>
  <si>
    <t>Electricity - H2 compression - floating</t>
  </si>
  <si>
    <t xml:space="preserve">Hydrogen compression </t>
  </si>
  <si>
    <t>Development &amp; process management</t>
  </si>
  <si>
    <t>Offshore hydrogen at turbine bottom</t>
  </si>
  <si>
    <t>Fixed bottom [M€/MW/year]</t>
  </si>
  <si>
    <t>Floating  [M€/MW/year]</t>
  </si>
  <si>
    <t>10 MW 2023</t>
  </si>
  <si>
    <t>Electricity infra (total - to shore)</t>
  </si>
  <si>
    <t>Fixed bottom [k€/MW/year]</t>
  </si>
  <si>
    <t>Main results</t>
  </si>
  <si>
    <t>Author</t>
  </si>
  <si>
    <t>Version</t>
  </si>
  <si>
    <t>Chris Hellinga</t>
  </si>
  <si>
    <t>E-mail</t>
  </si>
  <si>
    <t>C.Hellinga@TUDelft.nl</t>
  </si>
  <si>
    <t>OffshoreWind.xlsm</t>
  </si>
  <si>
    <t>Results sheet</t>
  </si>
  <si>
    <t>Calculations sheet</t>
  </si>
  <si>
    <t>Learning Rates</t>
  </si>
  <si>
    <t>Matlab Export</t>
  </si>
  <si>
    <t xml:space="preserve">ProRES: </t>
  </si>
  <si>
    <t>Reference:</t>
  </si>
  <si>
    <t>As actual ambitions/expections go beyond this value, this is the most likely scenario.</t>
  </si>
  <si>
    <t>Annuity factors</t>
  </si>
  <si>
    <t>Lifetime - farm</t>
  </si>
  <si>
    <t>Lifetime - hydrogen production unit</t>
  </si>
  <si>
    <t>Lifetime - hydrogen compressor</t>
  </si>
  <si>
    <t>Pressure loss (48",100 bar) - neglected</t>
  </si>
  <si>
    <t>Electricity transport losses - bottom fixed</t>
  </si>
  <si>
    <t>Electricity transport losses - floating</t>
  </si>
  <si>
    <t>Installation (pile + turbine) + turbine assembly</t>
  </si>
  <si>
    <t>» A "2023 base case" derived from the Catapult data - parameters adjustable- serves as the basis for the calculations.</t>
  </si>
  <si>
    <t>» Farms produce either electricity or hydrogen, not the combination.</t>
  </si>
  <si>
    <t>» The water depth and distance dependency of the costs are calculated.</t>
  </si>
  <si>
    <t xml:space="preserve">» The workbook is protected, except for the parameter input cells (green), to maintain the calculation integrity. </t>
  </si>
  <si>
    <t>» The water depth, distance to shore, and Weighted Average Cost of Capital (WACC) can be changed here.</t>
  </si>
  <si>
    <t>» Cost predictions for 2035 and 2050 are based on learning rates: the percentual cost reduction when the world wide installed offshore wind capacity doubles.</t>
  </si>
  <si>
    <t>» Contains the main results in tables and graphs. More result tables can be found on the Calculations sheet.</t>
  </si>
  <si>
    <r>
      <t>CAPEX [M</t>
    </r>
    <r>
      <rPr>
        <b/>
        <sz val="11"/>
        <color theme="1"/>
        <rFont val="Calibri"/>
        <family val="2"/>
      </rPr>
      <t>€/year]</t>
    </r>
    <r>
      <rPr>
        <b/>
        <sz val="11"/>
        <color theme="1"/>
        <rFont val="Calibri"/>
        <family val="2"/>
        <scheme val="minor"/>
      </rPr>
      <t xml:space="preserve"> per turbine</t>
    </r>
  </si>
  <si>
    <t>Electricity price - bottom fixed</t>
  </si>
  <si>
    <t>On- + offshore</t>
  </si>
  <si>
    <t>Installed capacity - historic (bold) and scenario values</t>
  </si>
  <si>
    <t>scenario</t>
  </si>
  <si>
    <t>This workbook calculates the levelized costs of electricity and hydrogen (LCOE and LCOH) for 1 GW offshore wind farms.</t>
  </si>
  <si>
    <t>» The working document "H2 production at the North Sea" gives the background information for the default parameter values.</t>
  </si>
  <si>
    <r>
      <rPr>
        <sz val="11"/>
        <color theme="1"/>
        <rFont val="Calibri"/>
        <family val="2"/>
      </rPr>
      <t xml:space="preserve">» </t>
    </r>
    <r>
      <rPr>
        <sz val="11"/>
        <color theme="1"/>
        <rFont val="Calibri"/>
        <family val="2"/>
        <scheme val="minor"/>
      </rPr>
      <t>For all items in the chain, the user can adjust the (financial) parameters.</t>
    </r>
  </si>
  <si>
    <t>» The 2023 base case data are translated to a 50*20 MW farm -with  either monopile turbines or floating turbines - and cost predictions are made for 2035 and 2050.</t>
  </si>
  <si>
    <t xml:space="preserve">The most progressive scenario, applicable when the total installed offshore wind capacity reaches (more than) 1000 GW in 2050. </t>
  </si>
  <si>
    <t>10 MW 2050</t>
  </si>
  <si>
    <t>Bottom fixed</t>
  </si>
  <si>
    <r>
      <t>LCOH (</t>
    </r>
    <r>
      <rPr>
        <b/>
        <sz val="11"/>
        <color theme="1"/>
        <rFont val="Calibri"/>
        <family val="2"/>
      </rPr>
      <t>€/kg H2)</t>
    </r>
  </si>
  <si>
    <t>Own default</t>
  </si>
  <si>
    <t>Get predefined</t>
  </si>
  <si>
    <t>Get own defaults</t>
  </si>
  <si>
    <t>Set own defaults</t>
  </si>
  <si>
    <t>Predefined</t>
  </si>
  <si>
    <t>User defined</t>
  </si>
  <si>
    <t>Cost sceanrio</t>
  </si>
  <si>
    <t>€ / kg</t>
  </si>
  <si>
    <t>LCOE onshore</t>
  </si>
  <si>
    <t>LCOH on location</t>
  </si>
  <si>
    <t>€ / MWh</t>
  </si>
  <si>
    <t>LCOE on location</t>
  </si>
  <si>
    <t>Yield at shore (GWh/year)</t>
  </si>
  <si>
    <t>Yield feeded in backbone (GWh/year)</t>
  </si>
  <si>
    <t>Yield (GWh/year)</t>
  </si>
  <si>
    <t>Rated Power (MW)</t>
  </si>
  <si>
    <t>Full Load hours</t>
  </si>
  <si>
    <t>Length backbone cable/pipe (km)</t>
  </si>
  <si>
    <t># turbines</t>
  </si>
  <si>
    <t>Mean depth (m)</t>
  </si>
  <si>
    <t>Mean wind (m/s) (hub height)</t>
  </si>
  <si>
    <t>Mean wind (m/s) (10m height)</t>
  </si>
  <si>
    <t>y coordinate</t>
  </si>
  <si>
    <t>x coordinate</t>
  </si>
  <si>
    <t>Electric</t>
  </si>
  <si>
    <t>Matlab results</t>
  </si>
  <si>
    <t>Simulation Scenario:</t>
  </si>
  <si>
    <t>Possible scenarios:</t>
  </si>
  <si>
    <t>H2inTurb</t>
  </si>
  <si>
    <t>fullElectric</t>
  </si>
  <si>
    <t>Backbone pressure</t>
  </si>
  <si>
    <t>Date</t>
  </si>
  <si>
    <t>Quest RWE2035</t>
  </si>
  <si>
    <r>
      <t>M</t>
    </r>
    <r>
      <rPr>
        <b/>
        <sz val="11"/>
        <color theme="1"/>
        <rFont val="Calibri"/>
        <family val="2"/>
      </rPr>
      <t>€</t>
    </r>
  </si>
  <si>
    <r>
      <t>M</t>
    </r>
    <r>
      <rPr>
        <b/>
        <sz val="11"/>
        <color theme="1"/>
        <rFont val="Calibri"/>
        <family val="2"/>
      </rPr>
      <t>€</t>
    </r>
    <r>
      <rPr>
        <b/>
        <sz val="11"/>
        <color theme="1"/>
        <rFont val="Calibri"/>
        <family val="2"/>
        <scheme val="minor"/>
      </rPr>
      <t>/year</t>
    </r>
  </si>
  <si>
    <t>» For individual cost items, expectations may be different (compare for example the offshore electricity grid versus the new floating platforms, or the cost reduction of electrolysers).</t>
  </si>
  <si>
    <r>
      <rPr>
        <b/>
        <sz val="11"/>
        <color theme="1"/>
        <rFont val="Calibri"/>
        <family val="2"/>
      </rPr>
      <t>€</t>
    </r>
    <r>
      <rPr>
        <b/>
        <sz val="11"/>
        <color theme="1"/>
        <rFont val="Calibri"/>
        <family val="2"/>
        <scheme val="minor"/>
      </rPr>
      <t>/MWh</t>
    </r>
  </si>
  <si>
    <t>Quest FWE</t>
  </si>
  <si>
    <t>20 MW, 2050</t>
  </si>
  <si>
    <t>Monopile CAPEX</t>
  </si>
  <si>
    <t>Turbine CAPEX (incl assembly)</t>
  </si>
  <si>
    <r>
      <t>CAPEX [M</t>
    </r>
    <r>
      <rPr>
        <b/>
        <sz val="11"/>
        <color theme="1"/>
        <rFont val="Calibri"/>
        <family val="2"/>
      </rPr>
      <t>€]</t>
    </r>
    <r>
      <rPr>
        <b/>
        <sz val="11"/>
        <color theme="1"/>
        <rFont val="Calibri"/>
        <family val="2"/>
        <scheme val="minor"/>
      </rPr>
      <t xml:space="preserve"> per turbine</t>
    </r>
  </si>
  <si>
    <r>
      <t>CAPEX + OPEX, without transport energy [M</t>
    </r>
    <r>
      <rPr>
        <b/>
        <sz val="11"/>
        <color theme="1"/>
        <rFont val="Calibri"/>
        <family val="2"/>
      </rPr>
      <t>€/year]</t>
    </r>
    <r>
      <rPr>
        <b/>
        <sz val="11"/>
        <color theme="1"/>
        <rFont val="Calibri"/>
        <family val="2"/>
        <scheme val="minor"/>
      </rPr>
      <t xml:space="preserve"> (to Matlab)</t>
    </r>
  </si>
  <si>
    <r>
      <t>OPEX [M</t>
    </r>
    <r>
      <rPr>
        <b/>
        <sz val="11"/>
        <color theme="1"/>
        <rFont val="Calibri"/>
        <family val="2"/>
      </rPr>
      <t>€/year]</t>
    </r>
    <r>
      <rPr>
        <b/>
        <sz val="11"/>
        <color theme="1"/>
        <rFont val="Calibri"/>
        <family val="2"/>
        <scheme val="minor"/>
      </rPr>
      <t xml:space="preserve"> per turbine, including transport energy</t>
    </r>
  </si>
  <si>
    <t>The sheets are standard protected - users can only change the green cells.</t>
  </si>
  <si>
    <t>Press the button to (un)protect the sheets</t>
  </si>
  <si>
    <t>Data for sensitivity graphs</t>
  </si>
  <si>
    <t>Value</t>
  </si>
  <si>
    <r>
      <t>LCOE [</t>
    </r>
    <r>
      <rPr>
        <sz val="11"/>
        <color theme="1"/>
        <rFont val="Calibri"/>
        <family val="2"/>
      </rPr>
      <t>€/MWh]</t>
    </r>
  </si>
  <si>
    <t>Value [%]</t>
  </si>
  <si>
    <t>Calculation results</t>
  </si>
  <si>
    <r>
      <t>LCOH [</t>
    </r>
    <r>
      <rPr>
        <sz val="11"/>
        <color theme="1"/>
        <rFont val="Calibri"/>
        <family val="2"/>
      </rPr>
      <t>€/kg]</t>
    </r>
  </si>
  <si>
    <t>Capacityfactor</t>
  </si>
  <si>
    <r>
      <t>O&amp;M [M</t>
    </r>
    <r>
      <rPr>
        <b/>
        <sz val="11"/>
        <color theme="1"/>
        <rFont val="Calibri"/>
        <family val="2"/>
      </rPr>
      <t>€/year]</t>
    </r>
    <r>
      <rPr>
        <b/>
        <sz val="11"/>
        <color theme="1"/>
        <rFont val="Calibri"/>
        <family val="2"/>
        <scheme val="minor"/>
      </rPr>
      <t xml:space="preserve"> per turbine </t>
    </r>
  </si>
  <si>
    <r>
      <t>CAPEX [M</t>
    </r>
    <r>
      <rPr>
        <b/>
        <sz val="11"/>
        <color theme="1"/>
        <rFont val="Calibri"/>
        <family val="2"/>
      </rPr>
      <t>€]</t>
    </r>
  </si>
  <si>
    <t>CAPEX/OPEX summarized - per turbine</t>
  </si>
  <si>
    <t>Transport energy costs [M€/year] per turbine</t>
  </si>
  <si>
    <r>
      <t>Other costs [M</t>
    </r>
    <r>
      <rPr>
        <b/>
        <sz val="11"/>
        <color theme="1"/>
        <rFont val="Calibri"/>
        <family val="2"/>
      </rPr>
      <t xml:space="preserve">€] </t>
    </r>
    <r>
      <rPr>
        <b/>
        <sz val="11"/>
        <color theme="1"/>
        <rFont val="Calibri"/>
        <family val="2"/>
        <scheme val="minor"/>
      </rPr>
      <t>per turbine</t>
    </r>
  </si>
  <si>
    <r>
      <t>CAPEX + OPEX, total [M</t>
    </r>
    <r>
      <rPr>
        <b/>
        <sz val="11"/>
        <color theme="1"/>
        <rFont val="Calibri"/>
        <family val="2"/>
      </rPr>
      <t>€/year]</t>
    </r>
  </si>
  <si>
    <t>Actual</t>
  </si>
  <si>
    <t>Min</t>
  </si>
  <si>
    <t>Max</t>
  </si>
  <si>
    <t>20 MW Monopile turbine 2050</t>
  </si>
  <si>
    <t>20 MW Floating turbine 2050</t>
  </si>
  <si>
    <t>Monopile turbine CAPEX</t>
  </si>
  <si>
    <t>Floating turbine CAPEX</t>
  </si>
  <si>
    <t>Floating substructure CAPEX</t>
  </si>
  <si>
    <t>Monopile O&amp;M - electricity</t>
  </si>
  <si>
    <t>Floating O&amp;M - electricity</t>
  </si>
  <si>
    <t>Monopile O&amp;M - hydrogen</t>
  </si>
  <si>
    <t>Floating O&amp;M - hydrogen</t>
  </si>
  <si>
    <t>transformator + transportverlies in park</t>
  </si>
  <si>
    <t>at turbine bottom</t>
  </si>
  <si>
    <t>20 MW turbine</t>
  </si>
  <si>
    <t>Ik gebruik voor 2035 en 2050 een 20 MW machine met 252 diameter (gelinkte cel); Verder 10 MW turbines met 164 m.</t>
  </si>
  <si>
    <t>236m is de 15 MW turbine van Vestas, voor 18 MW ben ik er maar tussen gaan zitten :-)</t>
  </si>
  <si>
    <t>ton H2/jaar in mijn sheet 65% cap. Factor turbine en 87,5% electrolyser in 2050.</t>
  </si>
  <si>
    <t>GW per park</t>
  </si>
  <si>
    <t>Bij 10 parken aangesloten dus 38%, max 26 parken</t>
  </si>
  <si>
    <t>Ik reken met een max. capacitiet van 15 GW H2 voor 48", 110 bar - dus ca. 3 maal hogere snelheid dan aardgas.</t>
  </si>
  <si>
    <r>
      <t>Yearly costs [M</t>
    </r>
    <r>
      <rPr>
        <sz val="11"/>
        <color theme="1"/>
        <rFont val="Calibri"/>
        <family val="2"/>
      </rPr>
      <t>€/year] for a 20 MW turbine, without energy costs for hydrogen compression and costs of electricity losses during transport, that are added in Matlab</t>
    </r>
    <r>
      <rPr>
        <sz val="11"/>
        <color theme="1"/>
        <rFont val="Calibri"/>
        <family val="2"/>
        <scheme val="minor"/>
      </rPr>
      <t>. 2050 values.</t>
    </r>
  </si>
  <si>
    <t>» A preferred parameter set can be stored.</t>
  </si>
  <si>
    <t>» The turbine cost development is rather a function of the total wind energy deployment (on- and offshore) that is taken into account.</t>
  </si>
  <si>
    <t>» Also, for floating platforms a separate scenario is used - where high learning rates are applied starting in 2035 - the expected year for commercial roll-out at significant scale.</t>
  </si>
  <si>
    <t>» So, note that these "JRC learning rates" apply to the overall offshore wind LCOE development over time.</t>
  </si>
  <si>
    <t xml:space="preserve">   The user can therefore select per cost item a different scenario on the Calculations sheet.</t>
  </si>
  <si>
    <t>» For all grid points GIS data are used for the water depth, distance to shore and wind speed (giving the local turbine capacity factor).</t>
  </si>
  <si>
    <t>» An accompanying MATLAB model uses the numerical  results of this workbook to calculate the production costs on locations in the North Sea, using a ca. 500*500 m. grid.</t>
  </si>
  <si>
    <t>» This way, the parameters used in MATLAB are made transparant, and are open to user modifications.</t>
  </si>
  <si>
    <t>» This sheet contains the distance to shore and depth dependent total yearly costs (CAPEX + OPEX) for a 50*20 MW park in 2050 - floating and monopiles - without the costs for</t>
  </si>
  <si>
    <t xml:space="preserve">» A temporary sheet, used to verify MATLAB calculation results. </t>
  </si>
  <si>
    <t xml:space="preserve">    This model produces North Sea maps with colored indications of the LCOE and LCOH at the various locations.    </t>
  </si>
  <si>
    <t>» Specifications from Catapult Offshore Renewable Engineering for a UK 100*10 MW farm (FID 2019, operational in 2022) are used as the starting point (https://guidetoanoffshorewindfarm.com/wind-farm-costs).</t>
  </si>
  <si>
    <t xml:space="preserve">    However, users can access all workbook details and the underlying VBA code by pressing the "Unprotect" button on this sheet.</t>
  </si>
  <si>
    <t>» Indications from the EU Joint Research Centre (JRC) for the development of the learning rates (decreasing over time) for offshore wind were used in two scenarios:</t>
  </si>
  <si>
    <t>A more conservative scenario, based on offshore wind deployment to ca. 450 GW.</t>
  </si>
  <si>
    <t xml:space="preserve">    The distance to shore for a specific production location is determined automatically, by finding the shortest route.</t>
  </si>
  <si>
    <t xml:space="preserve">» The MATLAB model  includes the existing natural gas grid on the North Sea, with the option to add new hydrogen (48") export pipelines. Also the landing points of pipelines can be changed in MATLAB. </t>
  </si>
  <si>
    <t>» Performs the calculations. The user can change all parameter values here.</t>
  </si>
  <si>
    <t>» Learning rates are combined with the expected installed capacity increase to calculate the cost reduction. Expected deployment rates are also given on this sheet.</t>
  </si>
  <si>
    <t xml:space="preserve">    electricity losses in the transportation network, and the electricity costs for hydrogen compression, that are distance dependent and that are calculated by Matlab. </t>
  </si>
  <si>
    <t>» The MATLAB results can be made visible with another accompanying model, requiring the ArcGIS software package.</t>
  </si>
  <si>
    <t xml:space="preserve">» Most parameter values can be translated to 2035/2050 values with different cost prediction scenarios - see the Learning rates sheet. </t>
  </si>
  <si>
    <t xml:space="preserve">    Dividing the integral yearly costs by the local yearly hydrogen/electricity production (location/wind speed dependent) yields the LCOE and LCOH.</t>
  </si>
  <si>
    <t>Cost scenarios</t>
  </si>
  <si>
    <t>Distance:  Floating substr, mooring, installation</t>
  </si>
  <si>
    <t>Distance: Maintenance (or O&amp;M)</t>
  </si>
  <si>
    <t>Depth: Floating CAPEX increase (substr, mooring, installation)</t>
  </si>
  <si>
    <t>0.91</t>
  </si>
  <si>
    <t>This includes:</t>
  </si>
  <si>
    <t>Not included:</t>
  </si>
  <si>
    <t xml:space="preserve">- electricity costs for compression. Depending on the required pressure </t>
  </si>
  <si>
    <t xml:space="preserve">  for transport to shore, where it is injected in the high pressure</t>
  </si>
  <si>
    <t xml:space="preserve">  onshore hydrogen network (100 bar), without another onshore</t>
  </si>
  <si>
    <t xml:space="preserve">  compression step.</t>
  </si>
  <si>
    <t xml:space="preserve">- Yearly hydrogen production costs ("at turbine bottom") </t>
  </si>
  <si>
    <t>- Yearly OPEX/CAPEX of compressor and pipelines</t>
  </si>
  <si>
    <t xml:space="preserve">  (park internal and export)</t>
  </si>
  <si>
    <t>- "Electricity at turbine bottom" is used in Matlab to calculate the costs,</t>
  </si>
  <si>
    <t xml:space="preserve">  depending on the yearly electricity demand of the compressor.</t>
  </si>
  <si>
    <t>Hydrogen offshore production. Costs at onshore reception.</t>
  </si>
  <si>
    <t xml:space="preserve">- Costs of offshore electricity production </t>
  </si>
  <si>
    <t>- CAPEX/OPEX of the offshore electricity infrastructure</t>
  </si>
  <si>
    <t>- CAPEX/OPEX of the onshore hydrogen production unit</t>
  </si>
  <si>
    <t xml:space="preserve"> (same costs as the offshore production unit, desalination costs neglected)</t>
  </si>
  <si>
    <t>- CAPEX/OPEX of the compressor (same as the offshore compressor) for</t>
  </si>
  <si>
    <t xml:space="preserve">  compression to 100 bar injection in the onshore H2 grid</t>
  </si>
  <si>
    <t xml:space="preserve">   with the electricity costs at the turbine bottom)</t>
  </si>
  <si>
    <t>- Compressor electricity costs (to be calculated with the electricity</t>
  </si>
  <si>
    <t xml:space="preserve"> price after onshore reception, i.e. including the costs of the electricity </t>
  </si>
  <si>
    <t xml:space="preserve"> transport losses)</t>
  </si>
  <si>
    <t xml:space="preserve">- Costs of electricity losses during transport to the coast (to be calculated </t>
  </si>
  <si>
    <t xml:space="preserve">- CAPEX/OPEX costs for the offshore electricity production without </t>
  </si>
  <si>
    <t>- CAPEX/OPEX of all offshore equipment (including offshore substation) for</t>
  </si>
  <si>
    <t xml:space="preserve">  production and transport to shore</t>
  </si>
  <si>
    <t>- Also included: onshore substation and cable connection to the grid</t>
  </si>
  <si>
    <t>Included:</t>
  </si>
  <si>
    <t>- Electricity transport losses to the coast and electricity losses during offshore</t>
  </si>
  <si>
    <t xml:space="preserve">   transformation and  AC/DC conversion</t>
  </si>
  <si>
    <t>Hydrogen at onshore reception</t>
  </si>
  <si>
    <t xml:space="preserve"> transport to shore "at the turbine bottom".</t>
  </si>
  <si>
    <t>- So, this does not include the costs of the park internal electricity cabling.</t>
  </si>
  <si>
    <t>Depth: Monopile mass [ton]</t>
  </si>
  <si>
    <t>Distance: Monopile assembly + installation (also turbine)</t>
  </si>
  <si>
    <t>Per turbine, incl. depth/distance dependency (except for O&amp;M)</t>
  </si>
  <si>
    <t>On shore anders dan offshore</t>
  </si>
  <si>
    <t>CAPEX factor</t>
  </si>
  <si>
    <t>Electricity prices</t>
  </si>
  <si>
    <t>Turbine bottom</t>
  </si>
  <si>
    <t>At onshore reception</t>
  </si>
  <si>
    <t>Electricity - desalination - bottom fixed</t>
  </si>
  <si>
    <t>Electricity - desalination - floating</t>
  </si>
  <si>
    <t>OPEX [M€/year] - excluding electricity costs for compression and  losses</t>
  </si>
  <si>
    <r>
      <t>Project development per turbine [M</t>
    </r>
    <r>
      <rPr>
        <b/>
        <sz val="11"/>
        <color theme="1"/>
        <rFont val="Calibri"/>
        <family val="2"/>
      </rPr>
      <t>€]</t>
    </r>
  </si>
  <si>
    <t>Onshore compression</t>
  </si>
  <si>
    <t>Offshore compression</t>
  </si>
  <si>
    <t>Waarden uit versie 0.9</t>
  </si>
  <si>
    <t>Verschil tussen oude en nieuwe waarden</t>
  </si>
  <si>
    <t xml:space="preserve">This includes: </t>
  </si>
  <si>
    <t>- Turbine and substructure CAPEX/OPEX</t>
  </si>
  <si>
    <t>- CAPEX/OPEX of the (in-turbine) hydrogen production unit</t>
  </si>
  <si>
    <t>- Compressor CAPEX/OPEX/electricity use</t>
  </si>
  <si>
    <t>- CAPEX/OPEX of park internal and export hydrogen pipelines</t>
  </si>
  <si>
    <t>account for the extra (ca. 15 MW) turbine that houses the central compressor)</t>
  </si>
  <si>
    <t>(Note: the compressor electricity costs -using the electricity LCOE at the turbine bottom</t>
  </si>
  <si>
    <t>Based on the LCOE at onshore reception [m]</t>
  </si>
  <si>
    <t>Based on the LCOH, offshore production, after onshore reception [m]</t>
  </si>
  <si>
    <t>Breakeven depth for floating/bottom fixed</t>
  </si>
  <si>
    <t>Versions</t>
  </si>
  <si>
    <t>0.9</t>
  </si>
  <si>
    <t>First beta release  (25-11-2021)</t>
  </si>
  <si>
    <t>Stability improved, small (calculation) errors repaired (distance dependency), VBA code rewritten /simplified (3-12-2021).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</si>
</sst>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 &quot;€&quot;\ * #,##0.00_ ;_ &quot;€&quot;\ * \-#,##0.00_ ;_ &quot;€&quot;\ * &quot;-&quot;??_ ;_ @_ "/>
    <numFmt numFmtId="165" formatCode="_ * #,##0.00_ ;_ * \-#,##0.00_ ;_ * &quot;-&quot;??_ ;_ @_ "/>
    <numFmt numFmtId="166" formatCode="0.0"/>
    <numFmt numFmtId="167" formatCode="0.0%"/>
    <numFmt numFmtId="168" formatCode="0.000"/>
    <numFmt numFmtId="169" formatCode="0.0000"/>
    <numFmt numFmtId="170" formatCode="#,##0_ ;\-#,##0\ "/>
    <numFmt numFmtId="171" formatCode="#,##0.00_ ;\-#,##0.00\ "/>
    <numFmt numFmtId="172" formatCode="#,##0.0_ ;\-#,##0.0\ "/>
    <numFmt numFmtId="173" formatCode="#,##0.000_ ;\-#,##0.000\ "/>
    <numFmt numFmtId="174" formatCode="_ * #,##0_ ;_ * \-#,##0_ ;_ * &quot;-&quot;??_ ;_ @_ "/>
    <numFmt numFmtId="175" formatCode="_-[$€-2]\ * #,##0.00_-;\-[$€-2]\ * #,##0.00_-;_-[$€-2]\ * &quot;-&quot;??_-;_-@_-"/>
  </numFmts>
  <fonts count="26"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scheme val="minor"/>
    </font>
    <font>
      <sz val="11"/>
      <name val="Calibri"/>
      <family val="2"/>
      <scheme val="minor"/>
    </font>
    <font>
      <sz val="11"/>
      <color theme="2" tint="-0.499984740745262"/>
      <name val="Calibri"/>
      <family val="2"/>
      <scheme val="minor"/>
    </font>
    <font>
      <sz val="11"/>
      <color theme="1"/>
      <name val="Calibri"/>
      <family val="2"/>
    </font>
    <font>
      <b/>
      <sz val="11"/>
      <name val="Calibri"/>
      <family val="2"/>
      <scheme val="minor"/>
    </font>
    <font>
      <b/>
      <i/>
      <sz val="11"/>
      <color theme="1"/>
      <name val="Calibri"/>
      <family val="2"/>
      <scheme val="minor"/>
    </font>
    <font>
      <b/>
      <sz val="11"/>
      <color theme="1"/>
      <name val="Calibri"/>
      <family val="2"/>
    </font>
    <font>
      <sz val="9"/>
      <color indexed="81"/>
      <name val="Tahoma"/>
      <family val="2"/>
    </font>
    <font>
      <b/>
      <sz val="9"/>
      <color indexed="81"/>
      <name val="Tahoma"/>
      <family val="2"/>
    </font>
    <font>
      <b/>
      <sz val="11"/>
      <name val="Calibri"/>
      <family val="2"/>
    </font>
    <font>
      <sz val="11"/>
      <name val="Calibri"/>
      <family val="2"/>
    </font>
    <font>
      <sz val="11"/>
      <color theme="2" tint="-0.249977111117893"/>
      <name val="Calibri"/>
      <family val="2"/>
      <scheme val="minor"/>
    </font>
    <font>
      <b/>
      <sz val="18"/>
      <color theme="1"/>
      <name val="Calibri"/>
      <family val="2"/>
      <scheme val="minor"/>
    </font>
    <font>
      <b/>
      <sz val="11"/>
      <color theme="0"/>
      <name val="Calibri"/>
      <family val="2"/>
      <scheme val="minor"/>
    </font>
    <font>
      <u/>
      <sz val="11"/>
      <color theme="10"/>
      <name val="Calibri"/>
      <family val="2"/>
      <scheme val="minor"/>
    </font>
    <font>
      <b/>
      <sz val="11"/>
      <color theme="1"/>
      <name val="Arial"/>
      <family val="2"/>
    </font>
    <font>
      <sz val="10"/>
      <color theme="1"/>
      <name val="Arial"/>
      <family val="2"/>
    </font>
    <font>
      <sz val="11"/>
      <color rgb="FF202122"/>
      <name val="Arial"/>
      <family val="2"/>
    </font>
    <font>
      <b/>
      <sz val="10"/>
      <color theme="1"/>
      <name val="Arial"/>
      <family val="2"/>
    </font>
    <font>
      <b/>
      <sz val="16"/>
      <color theme="1"/>
      <name val="Calibri"/>
      <family val="2"/>
      <scheme val="minor"/>
    </font>
    <font>
      <b/>
      <sz val="14"/>
      <color theme="1"/>
      <name val="Calibri"/>
      <family val="2"/>
      <scheme val="minor"/>
    </font>
    <font>
      <b/>
      <sz val="10"/>
      <color rgb="FFFF0000"/>
      <name val="Arial"/>
      <family val="2"/>
    </font>
    <font>
      <b/>
      <u/>
      <sz val="11"/>
      <color theme="1"/>
      <name val="Calibri"/>
      <family val="2"/>
      <scheme val="minor"/>
    </font>
  </fonts>
  <fills count="24">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9" tint="0.39997558519241921"/>
        <bgColor indexed="64"/>
      </patternFill>
    </fill>
    <fill>
      <patternFill patternType="solid">
        <fgColor rgb="FFD9EAD3"/>
        <bgColor indexed="64"/>
      </patternFill>
    </fill>
    <fill>
      <patternFill patternType="solid">
        <fgColor rgb="FFFCE5CD"/>
        <bgColor indexed="64"/>
      </patternFill>
    </fill>
    <fill>
      <patternFill patternType="solid">
        <fgColor rgb="FFF4CCCC"/>
        <bgColor indexed="64"/>
      </patternFill>
    </fill>
    <fill>
      <patternFill patternType="solid">
        <fgColor rgb="FFEFB081"/>
        <bgColor indexed="64"/>
      </patternFill>
    </fill>
    <fill>
      <patternFill patternType="solid">
        <fgColor theme="5" tint="0.39997558519241921"/>
        <bgColor indexed="64"/>
      </patternFill>
    </fill>
    <fill>
      <patternFill patternType="solid">
        <fgColor rgb="FFFFC000"/>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1"/>
        <bgColor indexed="64"/>
      </patternFill>
    </fill>
  </fills>
  <borders count="4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style="medium">
        <color indexed="64"/>
      </top>
      <bottom style="medium">
        <color indexed="64"/>
      </bottom>
      <diagonal/>
    </border>
    <border>
      <left style="medium">
        <color rgb="FFCCCCCC"/>
      </left>
      <right style="medium">
        <color indexed="64"/>
      </right>
      <top style="medium">
        <color indexed="64"/>
      </top>
      <bottom style="medium">
        <color indexed="64"/>
      </bottom>
      <diagonal/>
    </border>
    <border>
      <left style="medium">
        <color rgb="FFCCCCCC"/>
      </left>
      <right/>
      <top/>
      <bottom/>
      <diagonal/>
    </border>
    <border>
      <left/>
      <right style="medium">
        <color rgb="FFCCCCCC"/>
      </right>
      <top style="medium">
        <color rgb="FFCCCCCC"/>
      </top>
      <bottom/>
      <diagonal/>
    </border>
    <border>
      <left style="medium">
        <color indexed="64"/>
      </left>
      <right/>
      <top style="medium">
        <color indexed="64"/>
      </top>
      <bottom style="medium">
        <color rgb="FFCCCCCC"/>
      </bottom>
      <diagonal/>
    </border>
    <border>
      <left style="medium">
        <color rgb="FFCCCCCC"/>
      </left>
      <right style="medium">
        <color rgb="FFCCCCCC"/>
      </right>
      <top style="medium">
        <color indexed="64"/>
      </top>
      <bottom style="medium">
        <color rgb="FFCCCCCC"/>
      </bottom>
      <diagonal/>
    </border>
    <border>
      <left style="medium">
        <color rgb="FFCCCCCC"/>
      </left>
      <right style="medium">
        <color indexed="64"/>
      </right>
      <top style="medium">
        <color indexed="64"/>
      </top>
      <bottom style="medium">
        <color rgb="FFCCCCCC"/>
      </bottom>
      <diagonal/>
    </border>
    <border>
      <left style="medium">
        <color indexed="64"/>
      </left>
      <right/>
      <top style="medium">
        <color rgb="FFCCCCCC"/>
      </top>
      <bottom style="medium">
        <color rgb="FFCCCCCC"/>
      </bottom>
      <diagonal/>
    </border>
    <border>
      <left style="medium">
        <color rgb="FFCCCCCC"/>
      </left>
      <right style="medium">
        <color indexed="64"/>
      </right>
      <top style="medium">
        <color rgb="FFCCCCCC"/>
      </top>
      <bottom style="medium">
        <color rgb="FFCCCCCC"/>
      </bottom>
      <diagonal/>
    </border>
    <border>
      <left style="medium">
        <color indexed="64"/>
      </left>
      <right/>
      <top style="medium">
        <color rgb="FFCCCCCC"/>
      </top>
      <bottom style="medium">
        <color indexed="64"/>
      </bottom>
      <diagonal/>
    </border>
    <border>
      <left style="medium">
        <color rgb="FFCCCCCC"/>
      </left>
      <right style="medium">
        <color rgb="FFCCCCCC"/>
      </right>
      <top style="medium">
        <color rgb="FFCCCCCC"/>
      </top>
      <bottom style="medium">
        <color indexed="64"/>
      </bottom>
      <diagonal/>
    </border>
    <border>
      <left style="medium">
        <color rgb="FFCCCCCC"/>
      </left>
      <right style="medium">
        <color indexed="64"/>
      </right>
      <top style="medium">
        <color rgb="FFCCCCCC"/>
      </top>
      <bottom style="medium">
        <color indexed="64"/>
      </bottom>
      <diagonal/>
    </border>
    <border>
      <left style="medium">
        <color indexed="64"/>
      </left>
      <right style="medium">
        <color indexed="64"/>
      </right>
      <top style="medium">
        <color indexed="64"/>
      </top>
      <bottom style="medium">
        <color rgb="FFCCCCCC"/>
      </bottom>
      <diagonal/>
    </border>
    <border>
      <left style="medium">
        <color indexed="64"/>
      </left>
      <right style="medium">
        <color indexed="64"/>
      </right>
      <top style="medium">
        <color rgb="FFCCCCCC"/>
      </top>
      <bottom style="medium">
        <color rgb="FFCCCCCC"/>
      </bottom>
      <diagonal/>
    </border>
    <border>
      <left style="medium">
        <color indexed="64"/>
      </left>
      <right style="medium">
        <color indexed="64"/>
      </right>
      <top style="medium">
        <color rgb="FFCCCCCC"/>
      </top>
      <bottom style="medium">
        <color indexed="64"/>
      </bottom>
      <diagonal/>
    </border>
    <border>
      <left style="medium">
        <color rgb="FFCCCCCC"/>
      </left>
      <right style="medium">
        <color rgb="FFCCCCCC"/>
      </right>
      <top/>
      <bottom style="medium">
        <color rgb="FFCCCCCC"/>
      </bottom>
      <diagonal/>
    </border>
    <border>
      <left style="medium">
        <color rgb="FFCCCCCC"/>
      </left>
      <right style="medium">
        <color indexed="64"/>
      </right>
      <top style="medium">
        <color rgb="FFCCCCCC"/>
      </top>
      <bottom/>
      <diagonal/>
    </border>
    <border>
      <left style="medium">
        <color indexed="64"/>
      </left>
      <right style="medium">
        <color rgb="FFCCCCCC"/>
      </right>
      <top style="medium">
        <color indexed="64"/>
      </top>
      <bottom style="medium">
        <color rgb="FFCCCCCC"/>
      </bottom>
      <diagonal/>
    </border>
    <border>
      <left style="medium">
        <color indexed="64"/>
      </left>
      <right style="medium">
        <color rgb="FFCCCCCC"/>
      </right>
      <top style="medium">
        <color rgb="FFCCCCCC"/>
      </top>
      <bottom style="medium">
        <color rgb="FFCCCCCC"/>
      </bottom>
      <diagonal/>
    </border>
    <border>
      <left style="medium">
        <color indexed="64"/>
      </left>
      <right style="medium">
        <color rgb="FFCCCCCC"/>
      </right>
      <top style="medium">
        <color rgb="FFCCCCCC"/>
      </top>
      <bottom style="medium">
        <color indexed="64"/>
      </bottom>
      <diagonal/>
    </border>
    <border>
      <left style="medium">
        <color indexed="64"/>
      </left>
      <right style="medium">
        <color rgb="FFCCCCCC"/>
      </right>
      <top style="medium">
        <color indexed="64"/>
      </top>
      <bottom style="medium">
        <color indexed="64"/>
      </bottom>
      <diagonal/>
    </border>
    <border>
      <left style="medium">
        <color indexed="64"/>
      </left>
      <right style="medium">
        <color rgb="FFCCCCCC"/>
      </right>
      <top/>
      <bottom/>
      <diagonal/>
    </border>
    <border>
      <left style="medium">
        <color rgb="FFCCCCCC"/>
      </left>
      <right style="medium">
        <color indexed="64"/>
      </right>
      <top/>
      <bottom/>
      <diagonal/>
    </border>
    <border>
      <left style="medium">
        <color indexed="64"/>
      </left>
      <right style="medium">
        <color rgb="FFCCCCCC"/>
      </right>
      <top style="medium">
        <color rgb="FFCCCCCC"/>
      </top>
      <bottom/>
      <diagonal/>
    </border>
    <border>
      <left style="medium">
        <color indexed="64"/>
      </left>
      <right style="medium">
        <color rgb="FFCCCCCC"/>
      </right>
      <top/>
      <bottom style="medium">
        <color rgb="FFCCCCCC"/>
      </bottom>
      <diagonal/>
    </border>
    <border>
      <left style="medium">
        <color rgb="FFCCCCCC"/>
      </left>
      <right style="medium">
        <color indexed="64"/>
      </right>
      <top/>
      <bottom style="medium">
        <color rgb="FFCCCCCC"/>
      </bottom>
      <diagonal/>
    </border>
    <border>
      <left style="medium">
        <color indexed="64"/>
      </left>
      <right/>
      <top style="medium">
        <color rgb="FFCCCCCC"/>
      </top>
      <bottom/>
      <diagonal/>
    </border>
  </borders>
  <cellStyleXfs count="8">
    <xf numFmtId="0" fontId="0" fillId="0" borderId="0"/>
    <xf numFmtId="0" fontId="3" fillId="0" borderId="0"/>
    <xf numFmtId="9" fontId="1" fillId="0" borderId="0" applyFont="0" applyFill="0" applyBorder="0" applyAlignment="0" applyProtection="0"/>
    <xf numFmtId="165" fontId="1" fillId="0" borderId="0" applyFont="0" applyFill="0" applyBorder="0" applyAlignment="0" applyProtection="0"/>
    <xf numFmtId="0" fontId="17"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44" fontId="1" fillId="0" borderId="0" applyFont="0" applyFill="0" applyBorder="0" applyAlignment="0" applyProtection="0"/>
  </cellStyleXfs>
  <cellXfs count="1272">
    <xf numFmtId="0" fontId="0" fillId="0" borderId="0" xfId="0"/>
    <xf numFmtId="0" fontId="0" fillId="0" borderId="0" xfId="0" applyFill="1" applyBorder="1"/>
    <xf numFmtId="0" fontId="2" fillId="0" borderId="0" xfId="0" applyFont="1" applyFill="1" applyBorder="1"/>
    <xf numFmtId="0" fontId="4" fillId="0" borderId="0" xfId="0" applyFont="1" applyFill="1" applyBorder="1" applyAlignment="1">
      <alignment horizontal="center"/>
    </xf>
    <xf numFmtId="9" fontId="0" fillId="0" borderId="0" xfId="0" applyNumberFormat="1"/>
    <xf numFmtId="0" fontId="2" fillId="0" borderId="0" xfId="0" applyFont="1"/>
    <xf numFmtId="0" fontId="0" fillId="0" borderId="0" xfId="0" applyFill="1" applyBorder="1" applyAlignment="1">
      <alignment vertical="center" wrapText="1"/>
    </xf>
    <xf numFmtId="1" fontId="0" fillId="0" borderId="4" xfId="0" applyNumberFormat="1" applyBorder="1" applyAlignment="1">
      <alignment horizontal="center" vertical="center" wrapText="1"/>
    </xf>
    <xf numFmtId="2" fontId="0" fillId="0" borderId="1" xfId="0" applyNumberFormat="1" applyBorder="1" applyAlignment="1">
      <alignment horizontal="center"/>
    </xf>
    <xf numFmtId="2" fontId="0" fillId="0" borderId="3" xfId="0" applyNumberFormat="1" applyBorder="1" applyAlignment="1">
      <alignment horizontal="center"/>
    </xf>
    <xf numFmtId="2" fontId="0" fillId="0" borderId="0" xfId="0" applyNumberFormat="1"/>
    <xf numFmtId="1" fontId="0" fillId="0" borderId="0" xfId="0" applyNumberFormat="1"/>
    <xf numFmtId="0" fontId="0" fillId="0" borderId="6" xfId="0" applyBorder="1"/>
    <xf numFmtId="0" fontId="0" fillId="0" borderId="7" xfId="0" applyBorder="1"/>
    <xf numFmtId="0" fontId="0" fillId="0" borderId="8" xfId="0" applyBorder="1"/>
    <xf numFmtId="0" fontId="0" fillId="0" borderId="9" xfId="0" applyBorder="1" applyAlignment="1">
      <alignment horizontal="center"/>
    </xf>
    <xf numFmtId="0" fontId="0" fillId="0" borderId="10" xfId="0" applyBorder="1" applyAlignment="1">
      <alignment horizontal="center"/>
    </xf>
    <xf numFmtId="0" fontId="0" fillId="0" borderId="0" xfId="0" applyFill="1"/>
    <xf numFmtId="1" fontId="0" fillId="0" borderId="0" xfId="0" applyNumberFormat="1" applyBorder="1" applyAlignment="1">
      <alignment horizontal="center"/>
    </xf>
    <xf numFmtId="1" fontId="0" fillId="3" borderId="12" xfId="0" applyNumberFormat="1" applyFill="1" applyBorder="1" applyAlignment="1">
      <alignment horizontal="center"/>
    </xf>
    <xf numFmtId="0" fontId="0" fillId="0" borderId="11" xfId="0" applyBorder="1"/>
    <xf numFmtId="0" fontId="0" fillId="0" borderId="4" xfId="0" applyBorder="1"/>
    <xf numFmtId="0" fontId="0" fillId="0" borderId="14" xfId="0" applyBorder="1"/>
    <xf numFmtId="0" fontId="0" fillId="0" borderId="1" xfId="0" applyBorder="1" applyAlignment="1">
      <alignment horizontal="center"/>
    </xf>
    <xf numFmtId="0" fontId="0" fillId="0" borderId="1" xfId="0" applyBorder="1"/>
    <xf numFmtId="0" fontId="0" fillId="0" borderId="0" xfId="0" applyBorder="1"/>
    <xf numFmtId="0" fontId="0" fillId="0" borderId="15" xfId="0" applyBorder="1"/>
    <xf numFmtId="0" fontId="0" fillId="0" borderId="15" xfId="0" applyBorder="1" applyAlignment="1">
      <alignment horizontal="center"/>
    </xf>
    <xf numFmtId="0" fontId="0" fillId="0" borderId="3" xfId="0" applyBorder="1" applyAlignment="1">
      <alignment horizontal="center"/>
    </xf>
    <xf numFmtId="0" fontId="2" fillId="2" borderId="6" xfId="0" applyFont="1" applyFill="1" applyBorder="1"/>
    <xf numFmtId="0" fontId="2" fillId="2" borderId="14" xfId="0" applyFont="1" applyFill="1" applyBorder="1"/>
    <xf numFmtId="0" fontId="0" fillId="0" borderId="3" xfId="0" applyBorder="1"/>
    <xf numFmtId="1" fontId="0" fillId="0" borderId="3" xfId="0" applyNumberFormat="1" applyBorder="1"/>
    <xf numFmtId="1" fontId="0" fillId="0" borderId="1" xfId="0" applyNumberFormat="1" applyBorder="1" applyAlignment="1">
      <alignment horizontal="center"/>
    </xf>
    <xf numFmtId="1" fontId="0" fillId="0" borderId="15" xfId="0" applyNumberFormat="1" applyBorder="1" applyAlignment="1">
      <alignment horizontal="center"/>
    </xf>
    <xf numFmtId="0" fontId="0" fillId="0" borderId="5" xfId="0" applyBorder="1"/>
    <xf numFmtId="166" fontId="0" fillId="0" borderId="0" xfId="0" applyNumberFormat="1"/>
    <xf numFmtId="0" fontId="0" fillId="0" borderId="9" xfId="0" applyBorder="1"/>
    <xf numFmtId="0" fontId="0" fillId="0" borderId="10" xfId="0" applyBorder="1"/>
    <xf numFmtId="9" fontId="0" fillId="0" borderId="15" xfId="0" applyNumberFormat="1" applyBorder="1" applyAlignment="1">
      <alignment horizontal="center"/>
    </xf>
    <xf numFmtId="166" fontId="0" fillId="0" borderId="15" xfId="0" applyNumberFormat="1" applyBorder="1" applyAlignment="1">
      <alignment horizontal="center"/>
    </xf>
    <xf numFmtId="9" fontId="0" fillId="0" borderId="1" xfId="0" applyNumberFormat="1" applyBorder="1" applyAlignment="1">
      <alignment horizontal="center"/>
    </xf>
    <xf numFmtId="0" fontId="0" fillId="0" borderId="5" xfId="0" applyBorder="1" applyAlignment="1">
      <alignment horizontal="center"/>
    </xf>
    <xf numFmtId="1" fontId="0" fillId="0" borderId="3" xfId="0" applyNumberFormat="1" applyBorder="1" applyAlignment="1">
      <alignment horizontal="center"/>
    </xf>
    <xf numFmtId="0" fontId="2" fillId="2" borderId="1" xfId="0" applyFont="1" applyFill="1" applyBorder="1"/>
    <xf numFmtId="0" fontId="0" fillId="2" borderId="13" xfId="0" applyFill="1" applyBorder="1"/>
    <xf numFmtId="0" fontId="0" fillId="2" borderId="2" xfId="0" applyFill="1" applyBorder="1"/>
    <xf numFmtId="0" fontId="2" fillId="0" borderId="1" xfId="0" applyFont="1" applyBorder="1" applyAlignment="1">
      <alignment horizontal="center"/>
    </xf>
    <xf numFmtId="0" fontId="2" fillId="0" borderId="0" xfId="0" applyFont="1" applyBorder="1" applyAlignment="1">
      <alignment horizontal="center"/>
    </xf>
    <xf numFmtId="1" fontId="0" fillId="0" borderId="9" xfId="0" applyNumberFormat="1" applyBorder="1" applyAlignment="1">
      <alignment horizontal="center"/>
    </xf>
    <xf numFmtId="0" fontId="0" fillId="0" borderId="12" xfId="0" applyBorder="1"/>
    <xf numFmtId="0" fontId="0" fillId="0" borderId="4" xfId="0" applyFill="1" applyBorder="1" applyAlignment="1">
      <alignment horizontal="center"/>
    </xf>
    <xf numFmtId="0" fontId="6" fillId="0" borderId="1" xfId="0" applyFont="1" applyBorder="1" applyAlignment="1">
      <alignment horizontal="center"/>
    </xf>
    <xf numFmtId="2" fontId="0" fillId="0" borderId="15" xfId="0" applyNumberFormat="1" applyBorder="1" applyAlignment="1">
      <alignment horizontal="center"/>
    </xf>
    <xf numFmtId="0" fontId="0" fillId="2" borderId="1" xfId="0" applyFill="1" applyBorder="1"/>
    <xf numFmtId="2" fontId="0" fillId="0" borderId="7" xfId="0" applyNumberFormat="1" applyBorder="1" applyAlignment="1">
      <alignment horizontal="center"/>
    </xf>
    <xf numFmtId="2" fontId="0" fillId="0" borderId="0" xfId="0" applyNumberFormat="1" applyBorder="1" applyAlignment="1">
      <alignment horizontal="center"/>
    </xf>
    <xf numFmtId="2" fontId="0" fillId="0" borderId="12" xfId="0" applyNumberFormat="1" applyBorder="1" applyAlignment="1">
      <alignment horizontal="center"/>
    </xf>
    <xf numFmtId="2" fontId="0" fillId="0" borderId="8" xfId="0" applyNumberFormat="1" applyBorder="1" applyAlignment="1">
      <alignment horizontal="center"/>
    </xf>
    <xf numFmtId="2" fontId="0" fillId="0" borderId="10" xfId="0" applyNumberFormat="1" applyBorder="1" applyAlignment="1">
      <alignment horizontal="center"/>
    </xf>
    <xf numFmtId="2" fontId="0" fillId="0" borderId="4" xfId="0" applyNumberFormat="1" applyBorder="1" applyAlignment="1">
      <alignment horizontal="center"/>
    </xf>
    <xf numFmtId="2" fontId="0" fillId="0" borderId="5" xfId="0" applyNumberFormat="1" applyBorder="1" applyAlignment="1">
      <alignment horizontal="center"/>
    </xf>
    <xf numFmtId="2" fontId="0" fillId="0" borderId="9" xfId="0" applyNumberFormat="1" applyBorder="1" applyAlignment="1">
      <alignment horizontal="center"/>
    </xf>
    <xf numFmtId="9" fontId="0" fillId="0" borderId="9" xfId="0" applyNumberFormat="1" applyBorder="1" applyAlignment="1">
      <alignment horizontal="center"/>
    </xf>
    <xf numFmtId="0" fontId="8" fillId="0" borderId="0" xfId="0" applyFont="1"/>
    <xf numFmtId="1" fontId="0" fillId="0" borderId="5" xfId="0" applyNumberFormat="1" applyFont="1" applyBorder="1" applyAlignment="1">
      <alignment horizontal="center"/>
    </xf>
    <xf numFmtId="1" fontId="0" fillId="0" borderId="15" xfId="0" applyNumberFormat="1" applyFont="1" applyBorder="1" applyAlignment="1">
      <alignment horizontal="center"/>
    </xf>
    <xf numFmtId="2" fontId="0" fillId="0" borderId="3" xfId="0" applyNumberFormat="1" applyBorder="1"/>
    <xf numFmtId="1" fontId="0" fillId="0" borderId="0" xfId="0" applyNumberFormat="1" applyAlignment="1">
      <alignment horizontal="center"/>
    </xf>
    <xf numFmtId="0" fontId="0" fillId="0" borderId="0" xfId="0" applyAlignment="1">
      <alignment wrapText="1"/>
    </xf>
    <xf numFmtId="0" fontId="0" fillId="0" borderId="0" xfId="0" applyBorder="1" applyAlignment="1">
      <alignment wrapText="1"/>
    </xf>
    <xf numFmtId="0" fontId="0" fillId="0" borderId="13" xfId="0" applyBorder="1"/>
    <xf numFmtId="0" fontId="0" fillId="2" borderId="15" xfId="0" applyFill="1" applyBorder="1" applyAlignment="1">
      <alignment horizontal="center"/>
    </xf>
    <xf numFmtId="2" fontId="0" fillId="0" borderId="0" xfId="0" applyNumberFormat="1" applyFill="1" applyBorder="1" applyAlignment="1">
      <alignment horizontal="center"/>
    </xf>
    <xf numFmtId="0" fontId="0" fillId="0" borderId="1" xfId="0" applyFill="1" applyBorder="1" applyAlignment="1">
      <alignment horizontal="center"/>
    </xf>
    <xf numFmtId="2" fontId="0" fillId="0" borderId="15" xfId="0" applyNumberFormat="1" applyFill="1" applyBorder="1" applyAlignment="1">
      <alignment horizontal="center"/>
    </xf>
    <xf numFmtId="2" fontId="0" fillId="0" borderId="3" xfId="0" applyNumberFormat="1" applyFill="1" applyBorder="1" applyAlignment="1">
      <alignment horizontal="center"/>
    </xf>
    <xf numFmtId="0" fontId="0" fillId="0" borderId="0" xfId="0" applyFill="1" applyBorder="1" applyAlignment="1">
      <alignment vertical="center"/>
    </xf>
    <xf numFmtId="0" fontId="0" fillId="0" borderId="6" xfId="0" applyFill="1" applyBorder="1" applyAlignment="1">
      <alignment horizontal="center"/>
    </xf>
    <xf numFmtId="0" fontId="0" fillId="0" borderId="8" xfId="0" applyFill="1" applyBorder="1" applyAlignment="1">
      <alignment horizontal="center"/>
    </xf>
    <xf numFmtId="0" fontId="0" fillId="0" borderId="9" xfId="0" applyFill="1" applyBorder="1" applyAlignment="1">
      <alignment horizontal="center"/>
    </xf>
    <xf numFmtId="0" fontId="0" fillId="0" borderId="12" xfId="0" applyFill="1" applyBorder="1" applyAlignment="1">
      <alignment horizontal="center"/>
    </xf>
    <xf numFmtId="0" fontId="0" fillId="0" borderId="7" xfId="0" applyFill="1" applyBorder="1" applyAlignment="1">
      <alignment horizontal="center"/>
    </xf>
    <xf numFmtId="0" fontId="0" fillId="0" borderId="10" xfId="0" applyFill="1" applyBorder="1" applyAlignment="1">
      <alignment horizontal="center"/>
    </xf>
    <xf numFmtId="1" fontId="0" fillId="0" borderId="15" xfId="0" applyNumberFormat="1" applyFill="1" applyBorder="1" applyAlignment="1">
      <alignment horizontal="center"/>
    </xf>
    <xf numFmtId="1" fontId="0" fillId="0" borderId="15" xfId="0" applyNumberFormat="1" applyBorder="1"/>
    <xf numFmtId="166" fontId="2" fillId="0" borderId="0" xfId="0" applyNumberFormat="1" applyFont="1" applyFill="1" applyBorder="1" applyAlignment="1">
      <alignment horizontal="center"/>
    </xf>
    <xf numFmtId="0" fontId="0" fillId="0" borderId="10" xfId="0" applyFill="1" applyBorder="1"/>
    <xf numFmtId="0" fontId="2" fillId="0" borderId="0" xfId="0" applyFont="1" applyBorder="1"/>
    <xf numFmtId="0" fontId="2" fillId="0" borderId="15" xfId="0" applyFont="1" applyBorder="1" applyAlignment="1">
      <alignment horizontal="center"/>
    </xf>
    <xf numFmtId="0" fontId="0" fillId="2" borderId="15" xfId="0" applyFill="1" applyBorder="1"/>
    <xf numFmtId="0" fontId="6" fillId="0" borderId="3" xfId="0" applyFont="1" applyBorder="1" applyAlignment="1">
      <alignment horizontal="center"/>
    </xf>
    <xf numFmtId="0" fontId="0" fillId="0" borderId="1"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2" fillId="0" borderId="1" xfId="0" applyFont="1" applyFill="1" applyBorder="1"/>
    <xf numFmtId="166" fontId="0" fillId="0" borderId="0" xfId="0" applyNumberFormat="1" applyAlignment="1">
      <alignment horizontal="center"/>
    </xf>
    <xf numFmtId="166" fontId="0" fillId="0" borderId="0" xfId="0" applyNumberFormat="1" applyBorder="1" applyAlignment="1">
      <alignment horizontal="center"/>
    </xf>
    <xf numFmtId="167" fontId="0" fillId="0" borderId="11" xfId="0" applyNumberFormat="1" applyBorder="1" applyAlignment="1">
      <alignment horizontal="center"/>
    </xf>
    <xf numFmtId="9" fontId="0" fillId="0" borderId="9" xfId="0" applyNumberFormat="1" applyBorder="1"/>
    <xf numFmtId="9" fontId="0" fillId="0" borderId="11" xfId="0" applyNumberFormat="1" applyBorder="1"/>
    <xf numFmtId="1" fontId="0" fillId="0" borderId="10" xfId="0" applyNumberFormat="1" applyBorder="1" applyAlignment="1">
      <alignment horizontal="center"/>
    </xf>
    <xf numFmtId="168" fontId="0" fillId="0" borderId="15" xfId="0" applyNumberFormat="1" applyBorder="1" applyAlignment="1">
      <alignment horizontal="center"/>
    </xf>
    <xf numFmtId="9" fontId="0" fillId="0" borderId="15" xfId="0" applyNumberFormat="1" applyFill="1" applyBorder="1" applyAlignment="1">
      <alignment horizontal="center"/>
    </xf>
    <xf numFmtId="0" fontId="0" fillId="0" borderId="0" xfId="0" applyBorder="1" applyAlignment="1">
      <alignment vertical="center"/>
    </xf>
    <xf numFmtId="0" fontId="0" fillId="0" borderId="0" xfId="0" applyBorder="1" applyAlignment="1">
      <alignment vertical="center" wrapText="1"/>
    </xf>
    <xf numFmtId="0" fontId="6" fillId="0" borderId="3" xfId="0" applyFont="1" applyFill="1" applyBorder="1" applyAlignment="1">
      <alignment horizontal="center"/>
    </xf>
    <xf numFmtId="9" fontId="0" fillId="0" borderId="0" xfId="0" applyNumberFormat="1" applyBorder="1"/>
    <xf numFmtId="0" fontId="2" fillId="2" borderId="5" xfId="0" applyFont="1" applyFill="1" applyBorder="1"/>
    <xf numFmtId="168" fontId="0" fillId="0" borderId="15" xfId="0" applyNumberFormat="1" applyBorder="1"/>
    <xf numFmtId="0" fontId="0" fillId="0" borderId="7" xfId="0" applyFill="1" applyBorder="1"/>
    <xf numFmtId="0" fontId="0" fillId="0" borderId="8" xfId="0" applyFill="1" applyBorder="1"/>
    <xf numFmtId="0" fontId="2" fillId="0" borderId="10" xfId="0" applyFont="1" applyBorder="1" applyAlignment="1">
      <alignment horizontal="center"/>
    </xf>
    <xf numFmtId="0" fontId="0" fillId="0" borderId="9" xfId="0" applyFont="1" applyBorder="1"/>
    <xf numFmtId="2" fontId="0" fillId="0" borderId="1" xfId="0" applyNumberFormat="1" applyBorder="1"/>
    <xf numFmtId="168" fontId="0" fillId="0" borderId="0" xfId="0" applyNumberFormat="1"/>
    <xf numFmtId="169" fontId="8" fillId="0" borderId="0" xfId="0" applyNumberFormat="1" applyFont="1"/>
    <xf numFmtId="0" fontId="0" fillId="0" borderId="3" xfId="0" applyFont="1" applyBorder="1" applyAlignment="1">
      <alignment vertical="center" wrapText="1"/>
    </xf>
    <xf numFmtId="168" fontId="0" fillId="0" borderId="0" xfId="0" applyNumberFormat="1" applyBorder="1"/>
    <xf numFmtId="169" fontId="0" fillId="0" borderId="0" xfId="0" applyNumberFormat="1" applyBorder="1"/>
    <xf numFmtId="0" fontId="0" fillId="0" borderId="2" xfId="0" applyBorder="1"/>
    <xf numFmtId="167" fontId="0" fillId="0" borderId="0" xfId="0" applyNumberFormat="1" applyBorder="1" applyAlignment="1">
      <alignment horizontal="center"/>
    </xf>
    <xf numFmtId="9" fontId="0" fillId="0" borderId="10" xfId="0" applyNumberFormat="1" applyBorder="1" applyAlignment="1">
      <alignment horizontal="center"/>
    </xf>
    <xf numFmtId="9" fontId="0" fillId="0" borderId="0" xfId="0" applyNumberFormat="1" applyBorder="1" applyAlignment="1">
      <alignment horizontal="center"/>
    </xf>
    <xf numFmtId="167" fontId="0" fillId="0" borderId="12" xfId="0" applyNumberFormat="1" applyBorder="1" applyAlignment="1">
      <alignment horizontal="center"/>
    </xf>
    <xf numFmtId="0" fontId="6" fillId="0" borderId="15" xfId="0" applyFont="1" applyBorder="1" applyAlignment="1">
      <alignment horizontal="center"/>
    </xf>
    <xf numFmtId="0" fontId="0" fillId="0" borderId="6" xfId="0" applyFont="1" applyBorder="1"/>
    <xf numFmtId="0" fontId="0" fillId="0" borderId="1" xfId="0" applyBorder="1" applyAlignment="1">
      <alignment horizontal="right"/>
    </xf>
    <xf numFmtId="0" fontId="0" fillId="0" borderId="1" xfId="0" applyFill="1" applyBorder="1" applyAlignment="1">
      <alignment vertical="center" wrapText="1"/>
    </xf>
    <xf numFmtId="0" fontId="0" fillId="0" borderId="13" xfId="0" applyFill="1" applyBorder="1" applyAlignment="1">
      <alignment horizontal="center" vertical="center" wrapText="1"/>
    </xf>
    <xf numFmtId="0" fontId="6" fillId="0" borderId="0" xfId="0" applyFont="1" applyFill="1"/>
    <xf numFmtId="1" fontId="0" fillId="0" borderId="13" xfId="0" applyNumberFormat="1" applyBorder="1" applyAlignment="1">
      <alignment horizontal="center"/>
    </xf>
    <xf numFmtId="1" fontId="0" fillId="0" borderId="2" xfId="0" applyNumberFormat="1" applyBorder="1" applyAlignment="1">
      <alignment horizontal="center"/>
    </xf>
    <xf numFmtId="0" fontId="0" fillId="0" borderId="13" xfId="0" applyFill="1" applyBorder="1" applyAlignment="1">
      <alignment horizontal="center"/>
    </xf>
    <xf numFmtId="0" fontId="6" fillId="0" borderId="13" xfId="0" applyFont="1" applyBorder="1" applyAlignment="1">
      <alignment horizontal="center"/>
    </xf>
    <xf numFmtId="0" fontId="0" fillId="0" borderId="14" xfId="0" applyFill="1" applyBorder="1"/>
    <xf numFmtId="0" fontId="0" fillId="0" borderId="3" xfId="0" applyFill="1" applyBorder="1" applyAlignment="1">
      <alignment vertical="center" wrapText="1"/>
    </xf>
    <xf numFmtId="0" fontId="0" fillId="0" borderId="13" xfId="0" applyBorder="1" applyAlignment="1">
      <alignment horizontal="center" vertical="center"/>
    </xf>
    <xf numFmtId="0" fontId="2"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horizontal="center" vertical="center" wrapText="1"/>
    </xf>
    <xf numFmtId="169" fontId="0" fillId="2" borderId="1" xfId="0" applyNumberFormat="1" applyFill="1" applyBorder="1"/>
    <xf numFmtId="167" fontId="0" fillId="0" borderId="5" xfId="0" applyNumberFormat="1" applyFill="1" applyBorder="1"/>
    <xf numFmtId="0" fontId="0" fillId="0" borderId="1" xfId="0" applyFill="1" applyBorder="1"/>
    <xf numFmtId="0" fontId="0" fillId="0" borderId="1" xfId="0" applyFont="1" applyFill="1" applyBorder="1" applyAlignment="1">
      <alignment vertical="center" wrapText="1"/>
    </xf>
    <xf numFmtId="0" fontId="0" fillId="0" borderId="3" xfId="0" applyFont="1" applyFill="1" applyBorder="1" applyAlignment="1">
      <alignment vertical="center" wrapText="1"/>
    </xf>
    <xf numFmtId="0" fontId="13" fillId="0" borderId="0" xfId="0" applyFont="1" applyAlignment="1">
      <alignment horizontal="left" vertical="center"/>
    </xf>
    <xf numFmtId="0" fontId="4" fillId="0" borderId="0" xfId="0" applyFont="1" applyAlignment="1">
      <alignment horizontal="left"/>
    </xf>
    <xf numFmtId="0" fontId="13" fillId="0" borderId="6" xfId="0" applyFont="1" applyBorder="1" applyAlignment="1">
      <alignment horizontal="left" vertical="center"/>
    </xf>
    <xf numFmtId="0" fontId="13" fillId="0" borderId="9" xfId="0" applyFont="1" applyBorder="1" applyAlignment="1">
      <alignment horizontal="left" vertical="center"/>
    </xf>
    <xf numFmtId="0" fontId="13" fillId="0" borderId="11" xfId="0" applyFont="1" applyBorder="1" applyAlignment="1">
      <alignment horizontal="left" vertic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8" xfId="0" applyFont="1" applyBorder="1" applyAlignment="1">
      <alignment horizontal="center"/>
    </xf>
    <xf numFmtId="0" fontId="4" fillId="0" borderId="7" xfId="0" applyFont="1" applyBorder="1" applyAlignment="1">
      <alignment horizontal="center"/>
    </xf>
    <xf numFmtId="2" fontId="4" fillId="0" borderId="9" xfId="0" applyNumberFormat="1" applyFont="1" applyBorder="1" applyAlignment="1">
      <alignment horizontal="center"/>
    </xf>
    <xf numFmtId="2" fontId="4" fillId="0" borderId="11" xfId="0" applyNumberFormat="1" applyFont="1" applyBorder="1" applyAlignment="1">
      <alignment horizontal="center"/>
    </xf>
    <xf numFmtId="0" fontId="0" fillId="0" borderId="15" xfId="0" applyBorder="1" applyAlignment="1">
      <alignment horizontal="center" vertical="center" textRotation="90" wrapText="1"/>
    </xf>
    <xf numFmtId="166" fontId="4" fillId="0" borderId="6" xfId="0" applyNumberFormat="1" applyFont="1" applyBorder="1" applyAlignment="1">
      <alignment horizontal="center"/>
    </xf>
    <xf numFmtId="166" fontId="4" fillId="0" borderId="0" xfId="0" applyNumberFormat="1" applyFont="1" applyBorder="1" applyAlignment="1">
      <alignment horizontal="center"/>
    </xf>
    <xf numFmtId="166" fontId="4" fillId="0" borderId="11" xfId="0" applyNumberFormat="1" applyFont="1" applyBorder="1" applyAlignment="1">
      <alignment horizontal="center"/>
    </xf>
    <xf numFmtId="2" fontId="4" fillId="0" borderId="0" xfId="0" applyNumberFormat="1" applyFont="1" applyBorder="1" applyAlignment="1">
      <alignment horizontal="center"/>
    </xf>
    <xf numFmtId="0" fontId="0" fillId="0" borderId="0" xfId="0" applyBorder="1" applyAlignment="1">
      <alignment horizontal="center"/>
    </xf>
    <xf numFmtId="0" fontId="2" fillId="9" borderId="5" xfId="0" applyFont="1" applyFill="1" applyBorder="1" applyAlignment="1">
      <alignment vertical="center" wrapText="1"/>
    </xf>
    <xf numFmtId="168" fontId="0" fillId="0" borderId="10" xfId="0" applyNumberFormat="1" applyBorder="1"/>
    <xf numFmtId="0" fontId="13" fillId="0" borderId="0" xfId="0" applyFont="1" applyBorder="1" applyAlignment="1">
      <alignment horizontal="left" vertical="center"/>
    </xf>
    <xf numFmtId="2" fontId="4" fillId="0" borderId="10" xfId="0" applyNumberFormat="1" applyFont="1" applyBorder="1" applyAlignment="1">
      <alignment horizontal="center"/>
    </xf>
    <xf numFmtId="2" fontId="4" fillId="0" borderId="4" xfId="0" applyNumberFormat="1" applyFont="1" applyBorder="1" applyAlignment="1">
      <alignment horizontal="center"/>
    </xf>
    <xf numFmtId="168" fontId="0" fillId="0" borderId="3" xfId="0" applyNumberFormat="1" applyBorder="1" applyAlignment="1">
      <alignment horizontal="center"/>
    </xf>
    <xf numFmtId="10" fontId="0" fillId="0" borderId="0" xfId="2" applyNumberFormat="1" applyFont="1" applyFill="1"/>
    <xf numFmtId="0" fontId="6" fillId="0" borderId="0" xfId="0" applyFont="1" applyBorder="1" applyAlignment="1">
      <alignment horizontal="center"/>
    </xf>
    <xf numFmtId="166" fontId="0" fillId="0" borderId="9" xfId="0" applyNumberFormat="1" applyBorder="1" applyAlignment="1">
      <alignment horizontal="center"/>
    </xf>
    <xf numFmtId="166" fontId="4" fillId="0" borderId="12" xfId="0" applyNumberFormat="1" applyFont="1" applyBorder="1" applyAlignment="1">
      <alignment horizontal="center"/>
    </xf>
    <xf numFmtId="166" fontId="4" fillId="0" borderId="5" xfId="0" applyNumberFormat="1" applyFont="1" applyBorder="1" applyAlignment="1">
      <alignment horizontal="center"/>
    </xf>
    <xf numFmtId="0" fontId="6" fillId="0" borderId="3" xfId="0" applyFont="1" applyBorder="1"/>
    <xf numFmtId="0" fontId="0" fillId="4" borderId="15" xfId="0" applyFill="1" applyBorder="1"/>
    <xf numFmtId="0" fontId="0" fillId="4" borderId="10" xfId="0" applyFill="1" applyBorder="1"/>
    <xf numFmtId="0" fontId="0" fillId="0" borderId="12" xfId="0" applyBorder="1" applyAlignment="1">
      <alignment horizontal="center" vertical="center" wrapText="1"/>
    </xf>
    <xf numFmtId="9" fontId="0" fillId="0" borderId="12" xfId="0" applyNumberFormat="1" applyBorder="1" applyAlignment="1">
      <alignment horizontal="center" vertical="center" wrapText="1"/>
    </xf>
    <xf numFmtId="0" fontId="0" fillId="0" borderId="13" xfId="0" applyBorder="1" applyAlignment="1">
      <alignment horizontal="center" vertical="center" wrapText="1"/>
    </xf>
    <xf numFmtId="0" fontId="0" fillId="0" borderId="3" xfId="0" applyFill="1" applyBorder="1" applyAlignment="1">
      <alignment horizontal="center" vertical="center" wrapText="1"/>
    </xf>
    <xf numFmtId="0" fontId="2" fillId="2" borderId="1" xfId="0" applyFont="1" applyFill="1" applyBorder="1" applyAlignment="1">
      <alignment vertical="center" wrapText="1"/>
    </xf>
    <xf numFmtId="166" fontId="6" fillId="0" borderId="9" xfId="0" applyNumberFormat="1" applyFont="1" applyBorder="1" applyAlignment="1">
      <alignment horizontal="center"/>
    </xf>
    <xf numFmtId="166" fontId="6" fillId="0" borderId="6" xfId="0" applyNumberFormat="1" applyFont="1" applyBorder="1" applyAlignment="1">
      <alignment horizontal="center"/>
    </xf>
    <xf numFmtId="1" fontId="6" fillId="0" borderId="5" xfId="0" applyNumberFormat="1" applyFont="1" applyBorder="1" applyAlignment="1">
      <alignment horizontal="center"/>
    </xf>
    <xf numFmtId="1" fontId="6" fillId="0" borderId="15" xfId="0" applyNumberFormat="1" applyFont="1" applyBorder="1" applyAlignment="1">
      <alignment horizontal="center"/>
    </xf>
    <xf numFmtId="1" fontId="5" fillId="0" borderId="15" xfId="0" applyNumberFormat="1" applyFont="1" applyBorder="1" applyAlignment="1">
      <alignment horizontal="center"/>
    </xf>
    <xf numFmtId="1" fontId="5" fillId="0" borderId="3" xfId="0" applyNumberFormat="1" applyFont="1" applyBorder="1" applyAlignment="1">
      <alignment horizontal="center"/>
    </xf>
    <xf numFmtId="1" fontId="0" fillId="0" borderId="15" xfId="0" applyNumberFormat="1" applyFont="1" applyFill="1" applyBorder="1" applyAlignment="1">
      <alignment horizontal="center"/>
    </xf>
    <xf numFmtId="166" fontId="5" fillId="0" borderId="9" xfId="0" applyNumberFormat="1" applyFont="1" applyBorder="1" applyAlignment="1">
      <alignment horizontal="center"/>
    </xf>
    <xf numFmtId="166" fontId="5" fillId="0" borderId="11" xfId="0" applyNumberFormat="1" applyFont="1" applyBorder="1" applyAlignment="1">
      <alignment horizontal="center"/>
    </xf>
    <xf numFmtId="1" fontId="4" fillId="0" borderId="0" xfId="0" applyNumberFormat="1" applyFont="1" applyFill="1" applyBorder="1" applyAlignment="1">
      <alignment horizontal="center"/>
    </xf>
    <xf numFmtId="1" fontId="2" fillId="0" borderId="9" xfId="0" applyNumberFormat="1" applyFont="1" applyBorder="1" applyAlignment="1">
      <alignment horizontal="center"/>
    </xf>
    <xf numFmtId="168" fontId="0" fillId="0" borderId="0" xfId="0" applyNumberFormat="1" applyFill="1" applyBorder="1" applyAlignment="1">
      <alignment horizontal="center"/>
    </xf>
    <xf numFmtId="0" fontId="0" fillId="0" borderId="2" xfId="0" applyBorder="1" applyAlignment="1">
      <alignment horizontal="center"/>
    </xf>
    <xf numFmtId="0" fontId="0" fillId="0" borderId="0" xfId="0" applyBorder="1" applyAlignment="1">
      <alignment horizontal="center"/>
    </xf>
    <xf numFmtId="1" fontId="1" fillId="0" borderId="9" xfId="2" applyNumberFormat="1" applyFont="1" applyBorder="1" applyAlignment="1">
      <alignment horizontal="center"/>
    </xf>
    <xf numFmtId="1" fontId="0" fillId="0" borderId="6" xfId="2" applyNumberFormat="1" applyFont="1" applyBorder="1"/>
    <xf numFmtId="1" fontId="0" fillId="0" borderId="9" xfId="2" applyNumberFormat="1" applyFont="1" applyBorder="1"/>
    <xf numFmtId="1" fontId="2" fillId="0" borderId="9" xfId="2" applyNumberFormat="1" applyFont="1" applyBorder="1" applyAlignment="1">
      <alignment horizontal="center"/>
    </xf>
    <xf numFmtId="9" fontId="0" fillId="0" borderId="9" xfId="2" applyFont="1" applyBorder="1" applyAlignment="1">
      <alignment horizontal="center"/>
    </xf>
    <xf numFmtId="9" fontId="0" fillId="0" borderId="5" xfId="2" applyFont="1" applyBorder="1" applyAlignment="1">
      <alignment horizontal="center"/>
    </xf>
    <xf numFmtId="9" fontId="0" fillId="0" borderId="15" xfId="2" applyFont="1" applyBorder="1" applyAlignment="1">
      <alignment horizontal="center"/>
    </xf>
    <xf numFmtId="9" fontId="0" fillId="0" borderId="3" xfId="2" applyFont="1" applyBorder="1" applyAlignment="1">
      <alignment horizontal="center"/>
    </xf>
    <xf numFmtId="1" fontId="9" fillId="0" borderId="5" xfId="0" applyNumberFormat="1" applyFont="1" applyBorder="1" applyAlignment="1">
      <alignment horizontal="center"/>
    </xf>
    <xf numFmtId="1" fontId="9" fillId="0" borderId="15" xfId="0" applyNumberFormat="1" applyFont="1" applyBorder="1" applyAlignment="1">
      <alignment horizontal="center"/>
    </xf>
    <xf numFmtId="1" fontId="14" fillId="0" borderId="15" xfId="0" applyNumberFormat="1" applyFont="1" applyBorder="1" applyAlignment="1">
      <alignment horizontal="center"/>
    </xf>
    <xf numFmtId="9" fontId="0" fillId="0" borderId="2" xfId="2" applyFont="1" applyBorder="1" applyAlignment="1">
      <alignment horizontal="center"/>
    </xf>
    <xf numFmtId="1" fontId="0" fillId="0" borderId="3" xfId="0" applyNumberFormat="1" applyBorder="1" applyAlignment="1">
      <alignment horizontal="center" vertical="center" wrapText="1"/>
    </xf>
    <xf numFmtId="0" fontId="13" fillId="0" borderId="5" xfId="0" applyFont="1" applyBorder="1" applyAlignment="1">
      <alignment horizontal="left" vertical="center"/>
    </xf>
    <xf numFmtId="0" fontId="13" fillId="0" borderId="15" xfId="0" applyFont="1" applyBorder="1" applyAlignment="1">
      <alignment horizontal="left" vertical="center"/>
    </xf>
    <xf numFmtId="0" fontId="13" fillId="0" borderId="3" xfId="0" applyFont="1" applyBorder="1" applyAlignment="1">
      <alignment horizontal="left" vertical="center"/>
    </xf>
    <xf numFmtId="0" fontId="2" fillId="0" borderId="0" xfId="0" applyFont="1" applyFill="1" applyBorder="1" applyAlignment="1">
      <alignment vertical="center" textRotation="90"/>
    </xf>
    <xf numFmtId="9" fontId="0" fillId="0" borderId="5" xfId="0" applyNumberFormat="1" applyBorder="1"/>
    <xf numFmtId="0" fontId="0" fillId="0" borderId="3" xfId="0" applyFill="1" applyBorder="1"/>
    <xf numFmtId="0" fontId="2" fillId="0" borderId="0" xfId="0" applyFont="1" applyBorder="1" applyAlignment="1">
      <alignment horizontal="center" vertical="center" textRotation="90"/>
    </xf>
    <xf numFmtId="0" fontId="4" fillId="0" borderId="3" xfId="0" applyFont="1" applyBorder="1" applyAlignment="1">
      <alignment vertical="center" wrapText="1"/>
    </xf>
    <xf numFmtId="0" fontId="6" fillId="0" borderId="5" xfId="0" applyFont="1" applyBorder="1" applyAlignment="1">
      <alignment horizontal="center"/>
    </xf>
    <xf numFmtId="9" fontId="0" fillId="0" borderId="10" xfId="2" applyFont="1" applyBorder="1" applyAlignment="1">
      <alignment horizontal="center"/>
    </xf>
    <xf numFmtId="168" fontId="0" fillId="0" borderId="1" xfId="0" applyNumberFormat="1" applyBorder="1" applyAlignment="1">
      <alignment horizontal="center"/>
    </xf>
    <xf numFmtId="9" fontId="0" fillId="0" borderId="2" xfId="0" applyNumberFormat="1" applyBorder="1" applyAlignment="1">
      <alignment horizontal="center"/>
    </xf>
    <xf numFmtId="166" fontId="2" fillId="0" borderId="3" xfId="0" applyNumberFormat="1" applyFont="1" applyBorder="1" applyAlignment="1">
      <alignment horizontal="center"/>
    </xf>
    <xf numFmtId="2" fontId="2" fillId="0" borderId="3" xfId="0" applyNumberFormat="1" applyFont="1" applyBorder="1" applyAlignment="1">
      <alignment horizontal="center"/>
    </xf>
    <xf numFmtId="2" fontId="2" fillId="0" borderId="12" xfId="0" applyNumberFormat="1" applyFont="1" applyBorder="1" applyAlignment="1">
      <alignment horizontal="center"/>
    </xf>
    <xf numFmtId="0" fontId="15" fillId="0" borderId="14" xfId="0" applyFont="1" applyBorder="1"/>
    <xf numFmtId="0" fontId="15" fillId="0" borderId="13" xfId="0" applyFont="1" applyBorder="1"/>
    <xf numFmtId="0" fontId="15" fillId="0" borderId="2" xfId="0" applyFont="1" applyBorder="1"/>
    <xf numFmtId="1" fontId="0" fillId="0" borderId="0" xfId="2" applyNumberFormat="1" applyFont="1" applyFill="1"/>
    <xf numFmtId="9" fontId="0" fillId="0" borderId="9" xfId="0" applyNumberFormat="1" applyFill="1" applyBorder="1" applyAlignment="1">
      <alignment horizontal="center"/>
    </xf>
    <xf numFmtId="1" fontId="0" fillId="0" borderId="9" xfId="2" applyNumberFormat="1" applyFont="1" applyFill="1" applyBorder="1" applyAlignment="1">
      <alignment horizontal="center"/>
    </xf>
    <xf numFmtId="0" fontId="0" fillId="0" borderId="6" xfId="0" applyFill="1" applyBorder="1"/>
    <xf numFmtId="0" fontId="0" fillId="0" borderId="5" xfId="0" applyFill="1" applyBorder="1"/>
    <xf numFmtId="0" fontId="0" fillId="0" borderId="15" xfId="0" applyFill="1" applyBorder="1"/>
    <xf numFmtId="0" fontId="2" fillId="0" borderId="15" xfId="0" applyFont="1" applyFill="1" applyBorder="1"/>
    <xf numFmtId="0" fontId="2" fillId="3" borderId="1" xfId="0" applyFont="1" applyFill="1" applyBorder="1"/>
    <xf numFmtId="0" fontId="2" fillId="0" borderId="5" xfId="0" applyFont="1" applyFill="1" applyBorder="1"/>
    <xf numFmtId="1" fontId="2" fillId="3" borderId="13" xfId="0" applyNumberFormat="1" applyFont="1" applyFill="1" applyBorder="1" applyAlignment="1">
      <alignment horizontal="center"/>
    </xf>
    <xf numFmtId="1" fontId="2" fillId="3" borderId="13" xfId="2" applyNumberFormat="1" applyFont="1" applyFill="1" applyBorder="1" applyAlignment="1">
      <alignment horizontal="center"/>
    </xf>
    <xf numFmtId="166" fontId="2" fillId="3" borderId="14" xfId="0" applyNumberFormat="1" applyFont="1" applyFill="1" applyBorder="1" applyAlignment="1">
      <alignment horizontal="center"/>
    </xf>
    <xf numFmtId="166" fontId="2" fillId="3" borderId="13" xfId="0" applyNumberFormat="1" applyFont="1" applyFill="1" applyBorder="1" applyAlignment="1">
      <alignment horizontal="center"/>
    </xf>
    <xf numFmtId="1" fontId="2" fillId="3" borderId="14" xfId="0" applyNumberFormat="1" applyFont="1" applyFill="1" applyBorder="1" applyAlignment="1">
      <alignment horizontal="center"/>
    </xf>
    <xf numFmtId="1" fontId="0" fillId="0" borderId="14" xfId="2" applyNumberFormat="1" applyFont="1" applyFill="1" applyBorder="1" applyAlignment="1">
      <alignment horizontal="center"/>
    </xf>
    <xf numFmtId="9" fontId="0" fillId="0" borderId="14" xfId="2" applyFont="1" applyFill="1" applyBorder="1" applyAlignment="1">
      <alignment horizontal="center"/>
    </xf>
    <xf numFmtId="10" fontId="0" fillId="0" borderId="0" xfId="2" applyNumberFormat="1" applyFont="1"/>
    <xf numFmtId="0" fontId="0" fillId="0" borderId="0" xfId="0" applyFont="1" applyFill="1" applyBorder="1" applyAlignment="1">
      <alignment vertical="center" wrapText="1"/>
    </xf>
    <xf numFmtId="10" fontId="0" fillId="0" borderId="10" xfId="2" applyNumberFormat="1" applyFont="1" applyBorder="1" applyAlignment="1">
      <alignment horizontal="center"/>
    </xf>
    <xf numFmtId="0" fontId="0" fillId="0" borderId="5" xfId="0" applyFont="1" applyFill="1" applyBorder="1" applyAlignment="1">
      <alignment vertical="center" wrapText="1"/>
    </xf>
    <xf numFmtId="0" fontId="0" fillId="0" borderId="15" xfId="0" applyFont="1" applyFill="1" applyBorder="1" applyAlignment="1">
      <alignment vertical="center" wrapText="1"/>
    </xf>
    <xf numFmtId="9" fontId="0" fillId="2" borderId="10" xfId="0" applyNumberFormat="1" applyFill="1" applyBorder="1" applyAlignment="1">
      <alignment horizontal="center"/>
    </xf>
    <xf numFmtId="1" fontId="0" fillId="2" borderId="15" xfId="0" applyNumberFormat="1" applyFill="1" applyBorder="1" applyAlignment="1">
      <alignment horizontal="center"/>
    </xf>
    <xf numFmtId="9" fontId="0" fillId="2" borderId="9" xfId="0" applyNumberFormat="1" applyFill="1" applyBorder="1" applyAlignment="1">
      <alignment horizontal="center"/>
    </xf>
    <xf numFmtId="0" fontId="2" fillId="2" borderId="1" xfId="0" applyFont="1" applyFill="1" applyBorder="1" applyAlignment="1">
      <alignment horizontal="center" vertical="center"/>
    </xf>
    <xf numFmtId="0" fontId="0" fillId="0" borderId="13" xfId="0" applyFill="1" applyBorder="1" applyAlignment="1">
      <alignment horizontal="center"/>
    </xf>
    <xf numFmtId="1" fontId="2" fillId="4" borderId="9" xfId="0" applyNumberFormat="1" applyFont="1" applyFill="1" applyBorder="1" applyAlignment="1">
      <alignment horizontal="center"/>
    </xf>
    <xf numFmtId="0" fontId="2" fillId="4" borderId="10" xfId="0" applyFont="1" applyFill="1" applyBorder="1" applyAlignment="1">
      <alignment horizontal="center"/>
    </xf>
    <xf numFmtId="1" fontId="2" fillId="4" borderId="9" xfId="2" applyNumberFormat="1" applyFont="1" applyFill="1" applyBorder="1" applyAlignment="1">
      <alignment horizontal="center"/>
    </xf>
    <xf numFmtId="0" fontId="0" fillId="4" borderId="0" xfId="0" applyFill="1" applyBorder="1"/>
    <xf numFmtId="0" fontId="0" fillId="4" borderId="0" xfId="0" applyFill="1" applyBorder="1" applyAlignment="1">
      <alignment horizontal="center"/>
    </xf>
    <xf numFmtId="0" fontId="0" fillId="4" borderId="9" xfId="0" applyFill="1" applyBorder="1"/>
    <xf numFmtId="0" fontId="0" fillId="4" borderId="10" xfId="0" applyFill="1" applyBorder="1" applyAlignment="1">
      <alignment horizontal="center"/>
    </xf>
    <xf numFmtId="167" fontId="0" fillId="4" borderId="0" xfId="0" applyNumberFormat="1" applyFill="1" applyBorder="1" applyAlignment="1">
      <alignment horizontal="center"/>
    </xf>
    <xf numFmtId="9" fontId="0" fillId="4" borderId="9" xfId="2" applyFont="1" applyFill="1" applyBorder="1" applyAlignment="1">
      <alignment horizontal="center"/>
    </xf>
    <xf numFmtId="1" fontId="2" fillId="3" borderId="12" xfId="0" applyNumberFormat="1" applyFont="1" applyFill="1" applyBorder="1" applyAlignment="1">
      <alignment horizontal="center"/>
    </xf>
    <xf numFmtId="1" fontId="2" fillId="3" borderId="12" xfId="2" applyNumberFormat="1" applyFont="1" applyFill="1" applyBorder="1" applyAlignment="1">
      <alignment horizontal="center"/>
    </xf>
    <xf numFmtId="1" fontId="2" fillId="3" borderId="11" xfId="2" applyNumberFormat="1" applyFont="1" applyFill="1" applyBorder="1" applyAlignment="1">
      <alignment horizontal="center"/>
    </xf>
    <xf numFmtId="166" fontId="2" fillId="3" borderId="11" xfId="0" applyNumberFormat="1" applyFont="1" applyFill="1" applyBorder="1" applyAlignment="1">
      <alignment horizontal="center"/>
    </xf>
    <xf numFmtId="166" fontId="2" fillId="3" borderId="12" xfId="0" applyNumberFormat="1" applyFont="1" applyFill="1" applyBorder="1" applyAlignment="1">
      <alignment horizontal="center"/>
    </xf>
    <xf numFmtId="1" fontId="2" fillId="3" borderId="2" xfId="2" applyNumberFormat="1" applyFont="1" applyFill="1" applyBorder="1" applyAlignment="1">
      <alignment horizontal="center"/>
    </xf>
    <xf numFmtId="0" fontId="2" fillId="3" borderId="3" xfId="0" applyFont="1" applyFill="1" applyBorder="1"/>
    <xf numFmtId="0" fontId="2" fillId="7" borderId="1" xfId="0" applyFont="1" applyFill="1" applyBorder="1"/>
    <xf numFmtId="1" fontId="2" fillId="7" borderId="14" xfId="0" applyNumberFormat="1" applyFont="1" applyFill="1" applyBorder="1" applyAlignment="1">
      <alignment horizontal="center"/>
    </xf>
    <xf numFmtId="1" fontId="2" fillId="7" borderId="13" xfId="0" applyNumberFormat="1" applyFont="1" applyFill="1" applyBorder="1" applyAlignment="1">
      <alignment horizontal="center"/>
    </xf>
    <xf numFmtId="166" fontId="2" fillId="7" borderId="14" xfId="0" applyNumberFormat="1" applyFont="1" applyFill="1" applyBorder="1" applyAlignment="1">
      <alignment horizontal="center"/>
    </xf>
    <xf numFmtId="1" fontId="0" fillId="3" borderId="4" xfId="0" applyNumberFormat="1" applyFill="1" applyBorder="1" applyAlignment="1">
      <alignment horizontal="center"/>
    </xf>
    <xf numFmtId="0" fontId="2" fillId="7" borderId="14" xfId="0" applyFont="1" applyFill="1" applyBorder="1"/>
    <xf numFmtId="9" fontId="0" fillId="0" borderId="0" xfId="2" applyFont="1" applyFill="1" applyBorder="1" applyAlignment="1">
      <alignment horizontal="center"/>
    </xf>
    <xf numFmtId="0" fontId="2" fillId="7" borderId="1" xfId="0" applyFont="1" applyFill="1" applyBorder="1" applyAlignment="1">
      <alignment horizontal="left"/>
    </xf>
    <xf numFmtId="1" fontId="0" fillId="0" borderId="1" xfId="2" applyNumberFormat="1" applyFont="1" applyFill="1" applyBorder="1" applyAlignment="1">
      <alignment horizontal="center"/>
    </xf>
    <xf numFmtId="1" fontId="2" fillId="7" borderId="1" xfId="0" applyNumberFormat="1" applyFont="1" applyFill="1" applyBorder="1" applyAlignment="1">
      <alignment horizontal="center"/>
    </xf>
    <xf numFmtId="166" fontId="2" fillId="7" borderId="1" xfId="0" applyNumberFormat="1" applyFont="1" applyFill="1" applyBorder="1" applyAlignment="1">
      <alignment horizontal="center"/>
    </xf>
    <xf numFmtId="166" fontId="2" fillId="3" borderId="1" xfId="0" applyNumberFormat="1" applyFont="1" applyFill="1" applyBorder="1" applyAlignment="1">
      <alignment horizontal="center"/>
    </xf>
    <xf numFmtId="0" fontId="2" fillId="3" borderId="14" xfId="0" applyFont="1" applyFill="1" applyBorder="1"/>
    <xf numFmtId="1" fontId="0" fillId="0" borderId="0" xfId="2" applyNumberFormat="1" applyFont="1" applyFill="1" applyBorder="1"/>
    <xf numFmtId="0" fontId="0" fillId="8" borderId="15" xfId="0" applyFill="1" applyBorder="1"/>
    <xf numFmtId="9" fontId="0" fillId="8" borderId="9" xfId="2" applyFont="1" applyFill="1" applyBorder="1" applyAlignment="1">
      <alignment horizontal="center"/>
    </xf>
    <xf numFmtId="167" fontId="0" fillId="0" borderId="0" xfId="2" applyNumberFormat="1" applyFont="1" applyBorder="1" applyAlignment="1">
      <alignment horizontal="center"/>
    </xf>
    <xf numFmtId="0" fontId="0" fillId="0" borderId="0" xfId="0" applyBorder="1" applyAlignment="1">
      <alignment horizontal="center" vertical="center" wrapText="1"/>
    </xf>
    <xf numFmtId="166" fontId="2" fillId="0" borderId="9" xfId="0" applyNumberFormat="1" applyFont="1" applyFill="1" applyBorder="1" applyAlignment="1">
      <alignment horizontal="center"/>
    </xf>
    <xf numFmtId="166" fontId="2" fillId="0" borderId="10" xfId="0" applyNumberFormat="1" applyFont="1" applyFill="1" applyBorder="1" applyAlignment="1">
      <alignment horizontal="center"/>
    </xf>
    <xf numFmtId="2" fontId="0" fillId="0" borderId="1" xfId="0" applyNumberFormat="1" applyBorder="1" applyAlignment="1">
      <alignment horizontal="center" vertical="center" wrapText="1"/>
    </xf>
    <xf numFmtId="1" fontId="2" fillId="3" borderId="14" xfId="2" applyNumberFormat="1" applyFont="1" applyFill="1" applyBorder="1" applyAlignment="1">
      <alignment horizontal="center"/>
    </xf>
    <xf numFmtId="2" fontId="4" fillId="0" borderId="3" xfId="0" applyNumberFormat="1" applyFont="1" applyBorder="1" applyAlignment="1">
      <alignment horizontal="center"/>
    </xf>
    <xf numFmtId="0" fontId="4" fillId="0" borderId="0" xfId="0" applyFont="1" applyBorder="1" applyAlignment="1">
      <alignment horizontal="center"/>
    </xf>
    <xf numFmtId="1" fontId="2" fillId="3" borderId="1" xfId="0" applyNumberFormat="1" applyFont="1" applyFill="1" applyBorder="1" applyAlignment="1">
      <alignment horizontal="center"/>
    </xf>
    <xf numFmtId="1" fontId="2" fillId="3" borderId="3" xfId="0" applyNumberFormat="1" applyFont="1" applyFill="1" applyBorder="1" applyAlignment="1">
      <alignment horizontal="center"/>
    </xf>
    <xf numFmtId="0" fontId="0" fillId="0" borderId="5" xfId="0" applyFont="1" applyBorder="1" applyAlignment="1">
      <alignment horizontal="center"/>
    </xf>
    <xf numFmtId="0" fontId="0" fillId="0" borderId="7" xfId="0" applyFont="1" applyBorder="1" applyAlignment="1">
      <alignment horizontal="center"/>
    </xf>
    <xf numFmtId="9" fontId="0" fillId="0" borderId="0" xfId="0" applyNumberFormat="1" applyFill="1" applyBorder="1"/>
    <xf numFmtId="2" fontId="0" fillId="0" borderId="0" xfId="0" applyNumberFormat="1" applyFill="1"/>
    <xf numFmtId="0" fontId="0" fillId="0" borderId="14" xfId="0" applyBorder="1" applyAlignment="1">
      <alignment horizontal="center"/>
    </xf>
    <xf numFmtId="0" fontId="0" fillId="0" borderId="13" xfId="0" applyBorder="1" applyAlignment="1">
      <alignment horizontal="center"/>
    </xf>
    <xf numFmtId="0" fontId="0" fillId="0" borderId="6" xfId="0" applyBorder="1" applyAlignment="1">
      <alignment horizontal="center"/>
    </xf>
    <xf numFmtId="0" fontId="6" fillId="0" borderId="14" xfId="0" applyFont="1" applyBorder="1" applyAlignment="1">
      <alignment horizontal="center"/>
    </xf>
    <xf numFmtId="0" fontId="6" fillId="0" borderId="2" xfId="0" applyFont="1" applyBorder="1" applyAlignment="1">
      <alignment horizontal="center"/>
    </xf>
    <xf numFmtId="0" fontId="0" fillId="0" borderId="7" xfId="0" applyBorder="1" applyAlignment="1">
      <alignment horizontal="center"/>
    </xf>
    <xf numFmtId="0" fontId="0" fillId="8" borderId="15" xfId="0" applyFill="1" applyBorder="1" applyAlignment="1">
      <alignment horizontal="center"/>
    </xf>
    <xf numFmtId="9" fontId="0" fillId="8" borderId="10" xfId="0" applyNumberFormat="1" applyFill="1" applyBorder="1" applyAlignment="1">
      <alignment horizontal="center"/>
    </xf>
    <xf numFmtId="1" fontId="1" fillId="8" borderId="9" xfId="2" applyNumberFormat="1" applyFont="1" applyFill="1" applyBorder="1" applyAlignment="1">
      <alignment horizontal="center"/>
    </xf>
    <xf numFmtId="0" fontId="0" fillId="8" borderId="10" xfId="0" applyFill="1" applyBorder="1"/>
    <xf numFmtId="9" fontId="0" fillId="0" borderId="15" xfId="0" applyNumberFormat="1" applyBorder="1"/>
    <xf numFmtId="9" fontId="0" fillId="0" borderId="3" xfId="0" applyNumberFormat="1" applyBorder="1"/>
    <xf numFmtId="168" fontId="0" fillId="0" borderId="4" xfId="0" applyNumberFormat="1" applyBorder="1"/>
    <xf numFmtId="9" fontId="0" fillId="0" borderId="7" xfId="0" applyNumberFormat="1" applyBorder="1"/>
    <xf numFmtId="2" fontId="0" fillId="0" borderId="12" xfId="0" applyNumberFormat="1" applyBorder="1"/>
    <xf numFmtId="0" fontId="0" fillId="8" borderId="10" xfId="0" applyFill="1" applyBorder="1" applyAlignment="1">
      <alignment horizontal="center"/>
    </xf>
    <xf numFmtId="0" fontId="0" fillId="10" borderId="3" xfId="0" applyFill="1" applyBorder="1"/>
    <xf numFmtId="9" fontId="0" fillId="10" borderId="4" xfId="0" applyNumberFormat="1" applyFill="1" applyBorder="1" applyAlignment="1">
      <alignment horizontal="center"/>
    </xf>
    <xf numFmtId="1" fontId="0" fillId="10" borderId="3" xfId="0" applyNumberFormat="1" applyFill="1" applyBorder="1" applyAlignment="1">
      <alignment horizontal="center"/>
    </xf>
    <xf numFmtId="10" fontId="0" fillId="10" borderId="4" xfId="2" applyNumberFormat="1" applyFont="1" applyFill="1" applyBorder="1" applyAlignment="1">
      <alignment horizontal="center"/>
    </xf>
    <xf numFmtId="9" fontId="0" fillId="10" borderId="11" xfId="0" applyNumberFormat="1" applyFill="1" applyBorder="1" applyAlignment="1">
      <alignment horizontal="center"/>
    </xf>
    <xf numFmtId="9" fontId="0" fillId="10" borderId="11" xfId="2" applyFont="1" applyFill="1" applyBorder="1" applyAlignment="1">
      <alignment horizontal="center"/>
    </xf>
    <xf numFmtId="0" fontId="0" fillId="0" borderId="0" xfId="0" applyFill="1" applyBorder="1" applyAlignment="1">
      <alignment horizontal="center"/>
    </xf>
    <xf numFmtId="0" fontId="2" fillId="2" borderId="14" xfId="0" applyFont="1" applyFill="1" applyBorder="1" applyAlignment="1">
      <alignment vertical="center"/>
    </xf>
    <xf numFmtId="0" fontId="12" fillId="0" borderId="0" xfId="0" applyFont="1" applyFill="1" applyBorder="1" applyAlignment="1">
      <alignment vertical="center"/>
    </xf>
    <xf numFmtId="0" fontId="13" fillId="0" borderId="0" xfId="0" applyFont="1" applyFill="1" applyBorder="1" applyAlignment="1">
      <alignment horizontal="left" vertical="center"/>
    </xf>
    <xf numFmtId="166" fontId="4" fillId="0" borderId="0" xfId="0" applyNumberFormat="1" applyFont="1" applyFill="1" applyBorder="1" applyAlignment="1">
      <alignment horizontal="center"/>
    </xf>
    <xf numFmtId="2" fontId="6" fillId="0" borderId="0" xfId="0" applyNumberFormat="1" applyFont="1" applyFill="1"/>
    <xf numFmtId="0" fontId="0" fillId="0" borderId="0" xfId="0" applyFill="1" applyBorder="1" applyAlignment="1">
      <alignment vertical="center" textRotation="90" wrapText="1"/>
    </xf>
    <xf numFmtId="0" fontId="4" fillId="0" borderId="0" xfId="0" applyFont="1" applyFill="1" applyBorder="1" applyAlignment="1"/>
    <xf numFmtId="0" fontId="13" fillId="0" borderId="0" xfId="0" applyFont="1" applyFill="1" applyBorder="1" applyAlignment="1"/>
    <xf numFmtId="0" fontId="0" fillId="0" borderId="0" xfId="0" applyFill="1" applyBorder="1" applyAlignment="1">
      <alignment horizontal="left" vertical="center" textRotation="91" wrapText="1"/>
    </xf>
    <xf numFmtId="9" fontId="0" fillId="0" borderId="8" xfId="0" applyNumberFormat="1" applyBorder="1" applyAlignment="1">
      <alignment horizontal="center"/>
    </xf>
    <xf numFmtId="9" fontId="0" fillId="0" borderId="13" xfId="0" applyNumberFormat="1" applyBorder="1" applyAlignment="1">
      <alignment horizontal="center"/>
    </xf>
    <xf numFmtId="0" fontId="0" fillId="0" borderId="0" xfId="0" applyFill="1" applyBorder="1" applyAlignment="1">
      <alignment horizontal="left" vertical="center"/>
    </xf>
    <xf numFmtId="0" fontId="0" fillId="0" borderId="4" xfId="0" applyFont="1" applyFill="1" applyBorder="1" applyAlignment="1">
      <alignment horizontal="center" vertical="center" wrapText="1"/>
    </xf>
    <xf numFmtId="166" fontId="0" fillId="0" borderId="3" xfId="0" applyNumberFormat="1" applyFont="1" applyFill="1" applyBorder="1" applyAlignment="1">
      <alignment horizontal="center" vertical="center" wrapText="1"/>
    </xf>
    <xf numFmtId="9" fontId="0" fillId="0" borderId="1" xfId="0" applyNumberFormat="1" applyBorder="1" applyAlignment="1">
      <alignment horizontal="center" vertical="center" wrapText="1"/>
    </xf>
    <xf numFmtId="2" fontId="0" fillId="0" borderId="11" xfId="0" applyNumberFormat="1" applyFill="1" applyBorder="1" applyAlignment="1">
      <alignment horizontal="center"/>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2" fontId="0" fillId="0" borderId="0" xfId="0" applyNumberFormat="1" applyAlignment="1">
      <alignment horizontal="center"/>
    </xf>
    <xf numFmtId="0" fontId="17" fillId="0" borderId="0" xfId="4"/>
    <xf numFmtId="0" fontId="12" fillId="2" borderId="1" xfId="0" applyFont="1" applyFill="1" applyBorder="1" applyAlignment="1">
      <alignment horizontal="left" vertical="center"/>
    </xf>
    <xf numFmtId="0" fontId="18" fillId="0" borderId="0" xfId="0" applyFont="1" applyFill="1" applyBorder="1" applyAlignment="1">
      <alignment wrapText="1"/>
    </xf>
    <xf numFmtId="0" fontId="19" fillId="0" borderId="0" xfId="0" applyFont="1" applyFill="1" applyBorder="1" applyAlignment="1">
      <alignment wrapText="1"/>
    </xf>
    <xf numFmtId="0" fontId="0" fillId="0" borderId="1" xfId="0" quotePrefix="1" applyBorder="1"/>
    <xf numFmtId="0" fontId="21" fillId="9" borderId="1" xfId="0" applyFont="1" applyFill="1" applyBorder="1" applyAlignment="1">
      <alignment wrapText="1"/>
    </xf>
    <xf numFmtId="0" fontId="18" fillId="0" borderId="14" xfId="0" applyFont="1" applyBorder="1" applyAlignment="1">
      <alignment wrapText="1"/>
    </xf>
    <xf numFmtId="0" fontId="21" fillId="9" borderId="14" xfId="0" applyFont="1" applyFill="1" applyBorder="1" applyAlignment="1">
      <alignment wrapText="1"/>
    </xf>
    <xf numFmtId="0" fontId="21" fillId="9" borderId="6" xfId="0" applyFont="1" applyFill="1" applyBorder="1" applyAlignment="1">
      <alignment wrapText="1"/>
    </xf>
    <xf numFmtId="0" fontId="21" fillId="9" borderId="5" xfId="0" applyFont="1" applyFill="1" applyBorder="1" applyAlignment="1">
      <alignment wrapText="1"/>
    </xf>
    <xf numFmtId="0" fontId="18" fillId="14" borderId="19" xfId="0" applyFont="1" applyFill="1" applyBorder="1" applyAlignment="1">
      <alignment horizontal="center" wrapText="1"/>
    </xf>
    <xf numFmtId="0" fontId="18" fillId="13" borderId="20" xfId="0" applyFont="1" applyFill="1" applyBorder="1" applyAlignment="1">
      <alignment horizontal="center" wrapText="1"/>
    </xf>
    <xf numFmtId="0" fontId="19" fillId="14" borderId="24" xfId="0" applyFont="1" applyFill="1" applyBorder="1" applyAlignment="1">
      <alignment horizontal="center" wrapText="1"/>
    </xf>
    <xf numFmtId="0" fontId="19" fillId="13" borderId="25" xfId="0" applyFont="1" applyFill="1" applyBorder="1" applyAlignment="1">
      <alignment horizontal="center" wrapText="1"/>
    </xf>
    <xf numFmtId="0" fontId="19" fillId="14" borderId="16" xfId="0" applyFont="1" applyFill="1" applyBorder="1" applyAlignment="1">
      <alignment horizontal="center" wrapText="1"/>
    </xf>
    <xf numFmtId="0" fontId="19" fillId="13" borderId="27" xfId="0" applyFont="1" applyFill="1" applyBorder="1" applyAlignment="1">
      <alignment horizontal="center" wrapText="1"/>
    </xf>
    <xf numFmtId="0" fontId="19" fillId="14" borderId="29" xfId="0" applyFont="1" applyFill="1" applyBorder="1" applyAlignment="1">
      <alignment horizontal="center" wrapText="1"/>
    </xf>
    <xf numFmtId="0" fontId="19" fillId="13" borderId="30" xfId="0" applyFont="1" applyFill="1" applyBorder="1" applyAlignment="1">
      <alignment horizontal="center" wrapText="1"/>
    </xf>
    <xf numFmtId="0" fontId="19" fillId="16" borderId="36" xfId="0" applyFont="1" applyFill="1" applyBorder="1" applyAlignment="1">
      <alignment horizontal="center" wrapText="1"/>
    </xf>
    <xf numFmtId="0" fontId="19" fillId="16" borderId="37" xfId="0" applyFont="1" applyFill="1" applyBorder="1" applyAlignment="1">
      <alignment horizontal="center" wrapText="1"/>
    </xf>
    <xf numFmtId="0" fontId="19" fillId="16" borderId="38" xfId="0" applyFont="1" applyFill="1" applyBorder="1" applyAlignment="1">
      <alignment horizontal="center" wrapText="1"/>
    </xf>
    <xf numFmtId="9" fontId="19" fillId="13" borderId="25" xfId="0" applyNumberFormat="1" applyFont="1" applyFill="1" applyBorder="1" applyAlignment="1">
      <alignment horizontal="center" wrapText="1"/>
    </xf>
    <xf numFmtId="9" fontId="20" fillId="13" borderId="30" xfId="0" applyNumberFormat="1" applyFont="1" applyFill="1" applyBorder="1" applyAlignment="1">
      <alignment horizontal="center" wrapText="1"/>
    </xf>
    <xf numFmtId="9" fontId="19" fillId="13" borderId="30" xfId="0" applyNumberFormat="1" applyFont="1" applyFill="1" applyBorder="1" applyAlignment="1">
      <alignment horizontal="center" wrapText="1"/>
    </xf>
    <xf numFmtId="0" fontId="0" fillId="0" borderId="7" xfId="0" quotePrefix="1" applyBorder="1"/>
    <xf numFmtId="0" fontId="18" fillId="15" borderId="39" xfId="0" applyFont="1" applyFill="1" applyBorder="1" applyAlignment="1">
      <alignment horizontal="center" wrapText="1"/>
    </xf>
    <xf numFmtId="9" fontId="19" fillId="16" borderId="38" xfId="0" applyNumberFormat="1" applyFont="1" applyFill="1" applyBorder="1" applyAlignment="1">
      <alignment horizontal="center" wrapText="1"/>
    </xf>
    <xf numFmtId="9" fontId="19" fillId="16" borderId="38" xfId="2" applyFont="1" applyFill="1" applyBorder="1" applyAlignment="1">
      <alignment horizontal="center" wrapText="1"/>
    </xf>
    <xf numFmtId="9" fontId="19" fillId="0" borderId="43" xfId="2" applyFont="1" applyFill="1" applyBorder="1" applyAlignment="1">
      <alignment horizontal="center" wrapText="1"/>
    </xf>
    <xf numFmtId="9" fontId="19" fillId="0" borderId="42" xfId="2" applyFont="1" applyFill="1" applyBorder="1" applyAlignment="1">
      <alignment horizontal="center" wrapText="1"/>
    </xf>
    <xf numFmtId="9" fontId="19" fillId="16" borderId="36" xfId="0" applyNumberFormat="1" applyFont="1" applyFill="1" applyBorder="1" applyAlignment="1">
      <alignment horizontal="center" wrapText="1"/>
    </xf>
    <xf numFmtId="0" fontId="18" fillId="2" borderId="1" xfId="0" applyFont="1" applyFill="1" applyBorder="1" applyAlignment="1">
      <alignment wrapText="1"/>
    </xf>
    <xf numFmtId="0" fontId="0" fillId="2" borderId="3" xfId="0" applyFill="1" applyBorder="1" applyAlignment="1">
      <alignment horizontal="center"/>
    </xf>
    <xf numFmtId="0" fontId="0" fillId="2" borderId="5" xfId="0" applyFill="1" applyBorder="1" applyAlignment="1">
      <alignment horizontal="center"/>
    </xf>
    <xf numFmtId="0" fontId="16" fillId="11" borderId="2" xfId="0" applyFont="1" applyFill="1" applyBorder="1"/>
    <xf numFmtId="0" fontId="16" fillId="0" borderId="0" xfId="0" applyFont="1" applyFill="1" applyBorder="1"/>
    <xf numFmtId="0" fontId="2" fillId="0" borderId="0" xfId="0" applyFont="1" applyFill="1"/>
    <xf numFmtId="2" fontId="0" fillId="0" borderId="7" xfId="0" applyNumberFormat="1" applyFill="1" applyBorder="1" applyAlignment="1">
      <alignment horizontal="center"/>
    </xf>
    <xf numFmtId="2" fontId="0" fillId="0" borderId="0" xfId="0" applyNumberFormat="1" applyBorder="1" applyAlignment="1">
      <alignment horizontal="center" vertical="center"/>
    </xf>
    <xf numFmtId="1" fontId="0" fillId="2" borderId="14" xfId="0" applyNumberFormat="1" applyFill="1" applyBorder="1" applyAlignment="1">
      <alignment horizontal="center"/>
    </xf>
    <xf numFmtId="1" fontId="0" fillId="2" borderId="13" xfId="0" applyNumberFormat="1" applyFill="1" applyBorder="1" applyAlignment="1">
      <alignment horizontal="center"/>
    </xf>
    <xf numFmtId="1" fontId="0" fillId="2" borderId="2" xfId="0" applyNumberFormat="1" applyFill="1" applyBorder="1" applyAlignment="1">
      <alignment horizontal="center"/>
    </xf>
    <xf numFmtId="0" fontId="21" fillId="2" borderId="1" xfId="0" applyFont="1" applyFill="1" applyBorder="1" applyAlignment="1">
      <alignment wrapText="1"/>
    </xf>
    <xf numFmtId="1" fontId="0" fillId="0" borderId="13" xfId="0" applyNumberFormat="1" applyFill="1" applyBorder="1" applyAlignment="1">
      <alignment horizontal="center"/>
    </xf>
    <xf numFmtId="2" fontId="0" fillId="0" borderId="12" xfId="0" applyNumberFormat="1" applyFill="1" applyBorder="1" applyAlignment="1">
      <alignment horizontal="center"/>
    </xf>
    <xf numFmtId="2" fontId="0" fillId="0" borderId="5" xfId="0" applyNumberFormat="1" applyFill="1" applyBorder="1" applyAlignment="1">
      <alignment horizontal="center"/>
    </xf>
    <xf numFmtId="1" fontId="0" fillId="0" borderId="1" xfId="0" applyNumberFormat="1" applyFill="1" applyBorder="1" applyAlignment="1">
      <alignment horizontal="center"/>
    </xf>
    <xf numFmtId="1" fontId="6" fillId="0" borderId="1" xfId="0" applyNumberFormat="1" applyFont="1" applyFill="1" applyBorder="1" applyAlignment="1">
      <alignment horizontal="center"/>
    </xf>
    <xf numFmtId="2" fontId="0" fillId="0" borderId="6" xfId="0" applyNumberFormat="1" applyFill="1" applyBorder="1" applyAlignment="1">
      <alignment horizontal="center"/>
    </xf>
    <xf numFmtId="2" fontId="0" fillId="0" borderId="8" xfId="0" applyNumberFormat="1" applyFill="1" applyBorder="1" applyAlignment="1">
      <alignment horizontal="center"/>
    </xf>
    <xf numFmtId="2" fontId="0" fillId="0" borderId="4" xfId="0" applyNumberFormat="1" applyFill="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0" fontId="0" fillId="0" borderId="13" xfId="0" applyBorder="1" applyAlignment="1">
      <alignment horizontal="center"/>
    </xf>
    <xf numFmtId="0" fontId="0" fillId="0" borderId="3" xfId="0" applyFill="1" applyBorder="1" applyAlignment="1">
      <alignment horizontal="left" vertical="center" wrapText="1"/>
    </xf>
    <xf numFmtId="2" fontId="4" fillId="0" borderId="0" xfId="0" applyNumberFormat="1" applyFont="1" applyFill="1" applyBorder="1" applyAlignment="1">
      <alignment horizontal="center"/>
    </xf>
    <xf numFmtId="1" fontId="0" fillId="0" borderId="0" xfId="0" applyNumberFormat="1" applyFill="1" applyBorder="1" applyAlignment="1">
      <alignment horizontal="center"/>
    </xf>
    <xf numFmtId="0" fontId="2" fillId="0" borderId="0" xfId="0" applyFont="1" applyFill="1" applyBorder="1" applyAlignment="1">
      <alignment horizontal="center"/>
    </xf>
    <xf numFmtId="0" fontId="0" fillId="0" borderId="15" xfId="0" applyBorder="1" applyAlignment="1">
      <alignment horizontal="left"/>
    </xf>
    <xf numFmtId="0" fontId="22" fillId="0" borderId="14" xfId="0" applyFont="1" applyBorder="1"/>
    <xf numFmtId="0" fontId="22" fillId="0" borderId="2" xfId="0" applyFont="1" applyBorder="1"/>
    <xf numFmtId="0" fontId="2" fillId="2" borderId="3" xfId="0" applyFont="1" applyFill="1" applyBorder="1" applyAlignment="1">
      <alignment horizontal="center" vertical="center" wrapText="1"/>
    </xf>
    <xf numFmtId="1" fontId="0" fillId="0" borderId="0" xfId="0" applyNumberFormat="1" applyBorder="1" applyAlignment="1">
      <alignment horizontal="center" vertical="center" wrapText="1"/>
    </xf>
    <xf numFmtId="0" fontId="2" fillId="0" borderId="1" xfId="0" applyFont="1" applyFill="1" applyBorder="1" applyAlignment="1">
      <alignment horizontal="center" vertical="center"/>
    </xf>
    <xf numFmtId="0" fontId="2" fillId="0" borderId="0" xfId="0" applyFont="1" applyFill="1" applyBorder="1" applyAlignment="1">
      <alignment vertical="center" wrapText="1"/>
    </xf>
    <xf numFmtId="0" fontId="0" fillId="0" borderId="0" xfId="0" applyFill="1" applyBorder="1" applyAlignment="1"/>
    <xf numFmtId="0" fontId="0" fillId="0" borderId="15" xfId="0" applyFill="1" applyBorder="1" applyAlignment="1">
      <alignment horizontal="center"/>
    </xf>
    <xf numFmtId="1" fontId="0" fillId="0" borderId="9" xfId="0" applyNumberFormat="1" applyFill="1" applyBorder="1" applyAlignment="1">
      <alignment horizontal="center"/>
    </xf>
    <xf numFmtId="9" fontId="0" fillId="0" borderId="10" xfId="0" applyNumberFormat="1" applyFill="1" applyBorder="1" applyAlignment="1">
      <alignment horizontal="center"/>
    </xf>
    <xf numFmtId="1" fontId="1" fillId="0" borderId="9" xfId="2" applyNumberFormat="1" applyFont="1" applyFill="1" applyBorder="1" applyAlignment="1">
      <alignment horizontal="center"/>
    </xf>
    <xf numFmtId="9" fontId="0" fillId="0" borderId="0" xfId="0" applyNumberFormat="1" applyFill="1" applyBorder="1" applyAlignment="1">
      <alignment horizontal="center"/>
    </xf>
    <xf numFmtId="0" fontId="0" fillId="8" borderId="9" xfId="0" applyFill="1" applyBorder="1" applyAlignment="1">
      <alignment horizontal="center"/>
    </xf>
    <xf numFmtId="168" fontId="0" fillId="0" borderId="0" xfId="0" applyNumberFormat="1" applyAlignment="1">
      <alignment horizontal="center"/>
    </xf>
    <xf numFmtId="1" fontId="14" fillId="0" borderId="15" xfId="0" applyNumberFormat="1" applyFont="1" applyFill="1" applyBorder="1" applyAlignment="1">
      <alignment horizontal="center"/>
    </xf>
    <xf numFmtId="167" fontId="0" fillId="0" borderId="10" xfId="2" applyNumberFormat="1" applyFont="1" applyFill="1" applyBorder="1" applyAlignment="1">
      <alignment horizontal="center"/>
    </xf>
    <xf numFmtId="9" fontId="0" fillId="10" borderId="3" xfId="2" applyFont="1" applyFill="1" applyBorder="1" applyAlignment="1">
      <alignment horizontal="center"/>
    </xf>
    <xf numFmtId="167" fontId="0" fillId="0" borderId="0" xfId="2" applyNumberFormat="1" applyFont="1" applyFill="1" applyBorder="1" applyAlignment="1">
      <alignment horizontal="center"/>
    </xf>
    <xf numFmtId="167" fontId="0" fillId="0" borderId="0" xfId="0" applyNumberFormat="1" applyFill="1" applyBorder="1" applyAlignment="1">
      <alignment horizontal="center"/>
    </xf>
    <xf numFmtId="167" fontId="0" fillId="2" borderId="10" xfId="2" applyNumberFormat="1" applyFont="1" applyFill="1" applyBorder="1" applyAlignment="1">
      <alignment horizontal="center"/>
    </xf>
    <xf numFmtId="0" fontId="2" fillId="2" borderId="13" xfId="0" applyFont="1" applyFill="1" applyBorder="1" applyAlignment="1"/>
    <xf numFmtId="0" fontId="2" fillId="2" borderId="2" xfId="0" applyFont="1" applyFill="1" applyBorder="1" applyAlignment="1"/>
    <xf numFmtId="0" fontId="0" fillId="0" borderId="14" xfId="0" applyBorder="1" applyAlignment="1">
      <alignment horizontal="center" vertical="center"/>
    </xf>
    <xf numFmtId="0" fontId="2" fillId="2" borderId="4" xfId="0" applyFont="1" applyFill="1" applyBorder="1" applyAlignment="1">
      <alignment horizontal="center" vertical="center" wrapText="1"/>
    </xf>
    <xf numFmtId="167" fontId="0" fillId="10" borderId="4" xfId="2" applyNumberFormat="1" applyFont="1" applyFill="1" applyBorder="1" applyAlignment="1">
      <alignment horizontal="center"/>
    </xf>
    <xf numFmtId="0" fontId="0" fillId="0" borderId="14" xfId="0" applyBorder="1" applyAlignment="1">
      <alignment horizontal="center" vertical="center" wrapText="1"/>
    </xf>
    <xf numFmtId="1" fontId="0" fillId="0" borderId="0" xfId="0" quotePrefix="1" applyNumberFormat="1" applyFill="1" applyBorder="1" applyAlignment="1">
      <alignment horizontal="center" vertical="center"/>
    </xf>
    <xf numFmtId="0" fontId="2" fillId="9" borderId="1" xfId="0" applyFont="1" applyFill="1" applyBorder="1" applyAlignment="1">
      <alignment vertical="center" wrapText="1"/>
    </xf>
    <xf numFmtId="0" fontId="0" fillId="0" borderId="6" xfId="0" applyFont="1" applyFill="1" applyBorder="1" applyAlignment="1">
      <alignment vertical="center" wrapText="1"/>
    </xf>
    <xf numFmtId="0" fontId="6" fillId="0" borderId="1" xfId="0" applyFont="1" applyBorder="1"/>
    <xf numFmtId="0" fontId="0" fillId="0" borderId="14" xfId="0" applyFont="1" applyFill="1" applyBorder="1" applyAlignment="1">
      <alignment vertical="center" wrapText="1"/>
    </xf>
    <xf numFmtId="0" fontId="0" fillId="0" borderId="11" xfId="0" applyFont="1" applyBorder="1" applyAlignment="1">
      <alignment vertical="center" wrapText="1"/>
    </xf>
    <xf numFmtId="0" fontId="4" fillId="0" borderId="11" xfId="0" applyFont="1" applyFill="1" applyBorder="1" applyAlignment="1">
      <alignment vertical="center" wrapText="1"/>
    </xf>
    <xf numFmtId="0" fontId="0" fillId="0" borderId="1" xfId="0" applyFont="1" applyBorder="1" applyAlignment="1">
      <alignment vertical="center" wrapText="1"/>
    </xf>
    <xf numFmtId="166" fontId="0" fillId="0" borderId="14" xfId="0" applyNumberFormat="1" applyFill="1" applyBorder="1" applyAlignment="1">
      <alignment horizontal="center"/>
    </xf>
    <xf numFmtId="2" fontId="4" fillId="0" borderId="6" xfId="0" applyNumberFormat="1" applyFont="1" applyBorder="1" applyAlignment="1">
      <alignment horizontal="center"/>
    </xf>
    <xf numFmtId="2" fontId="4" fillId="0" borderId="8" xfId="0" applyNumberFormat="1" applyFont="1" applyBorder="1" applyAlignment="1">
      <alignment horizontal="center"/>
    </xf>
    <xf numFmtId="0" fontId="2" fillId="2" borderId="2" xfId="0" applyFont="1" applyFill="1" applyBorder="1" applyAlignment="1">
      <alignment horizontal="center" vertical="center" wrapText="1"/>
    </xf>
    <xf numFmtId="167" fontId="0" fillId="0" borderId="3" xfId="2" applyNumberFormat="1" applyFont="1" applyFill="1" applyBorder="1" applyAlignment="1">
      <alignment horizontal="center" vertical="center" wrapText="1"/>
    </xf>
    <xf numFmtId="9" fontId="0" fillId="0" borderId="13" xfId="0" applyNumberFormat="1" applyBorder="1" applyAlignment="1">
      <alignment horizontal="center" vertical="center" wrapText="1"/>
    </xf>
    <xf numFmtId="168" fontId="0" fillId="0" borderId="1" xfId="0" applyNumberFormat="1" applyFont="1" applyFill="1" applyBorder="1" applyAlignment="1">
      <alignment horizontal="center" vertical="center" wrapText="1"/>
    </xf>
    <xf numFmtId="0" fontId="0" fillId="0" borderId="1" xfId="0" applyFont="1" applyFill="1" applyBorder="1" applyAlignment="1">
      <alignment horizontal="center" vertical="center" wrapText="1"/>
    </xf>
    <xf numFmtId="167" fontId="0" fillId="0" borderId="14" xfId="2" applyNumberFormat="1" applyFont="1" applyBorder="1" applyAlignment="1">
      <alignment horizontal="center"/>
    </xf>
    <xf numFmtId="0" fontId="0" fillId="0" borderId="10" xfId="0" quotePrefix="1" applyBorder="1"/>
    <xf numFmtId="1" fontId="2" fillId="0" borderId="15" xfId="0" applyNumberFormat="1" applyFont="1" applyBorder="1" applyAlignment="1">
      <alignment horizontal="center"/>
    </xf>
    <xf numFmtId="1" fontId="0" fillId="0" borderId="11" xfId="0" applyNumberFormat="1" applyBorder="1" applyAlignment="1">
      <alignment horizontal="center"/>
    </xf>
    <xf numFmtId="0" fontId="0" fillId="0" borderId="14" xfId="0" applyBorder="1" applyAlignment="1">
      <alignment horizontal="center"/>
    </xf>
    <xf numFmtId="0" fontId="0" fillId="0" borderId="3" xfId="0" applyFill="1" applyBorder="1" applyAlignment="1">
      <alignment horizontal="left" vertical="center" wrapText="1"/>
    </xf>
    <xf numFmtId="0" fontId="0" fillId="0" borderId="0" xfId="0" applyFill="1" applyBorder="1" applyAlignment="1">
      <alignment horizontal="center" vertical="center" wrapText="1"/>
    </xf>
    <xf numFmtId="0" fontId="0" fillId="17" borderId="3" xfId="0" applyFill="1" applyBorder="1" applyAlignment="1">
      <alignment vertical="center" wrapText="1"/>
    </xf>
    <xf numFmtId="168" fontId="0" fillId="0" borderId="1" xfId="0" applyNumberFormat="1" applyBorder="1" applyAlignment="1">
      <alignment horizontal="center" vertical="center" wrapText="1"/>
    </xf>
    <xf numFmtId="0" fontId="0" fillId="0" borderId="1" xfId="0" applyFill="1" applyBorder="1" applyAlignment="1"/>
    <xf numFmtId="0" fontId="2" fillId="0" borderId="14" xfId="0" applyFont="1" applyBorder="1" applyAlignment="1">
      <alignment horizontal="center"/>
    </xf>
    <xf numFmtId="0" fontId="2" fillId="0" borderId="13" xfId="0" applyFont="1" applyBorder="1" applyAlignment="1">
      <alignment horizontal="center"/>
    </xf>
    <xf numFmtId="0" fontId="0" fillId="0" borderId="14" xfId="0" applyBorder="1" applyAlignment="1">
      <alignment horizontal="center"/>
    </xf>
    <xf numFmtId="0" fontId="0" fillId="0" borderId="2" xfId="0" applyBorder="1" applyAlignment="1">
      <alignment horizontal="center"/>
    </xf>
    <xf numFmtId="166" fontId="0" fillId="0" borderId="1" xfId="0" applyNumberFormat="1" applyBorder="1" applyAlignment="1">
      <alignment horizontal="center" vertical="center" wrapText="1"/>
    </xf>
    <xf numFmtId="0" fontId="2" fillId="0" borderId="1" xfId="0" applyFont="1" applyFill="1" applyBorder="1" applyAlignment="1">
      <alignment horizontal="center"/>
    </xf>
    <xf numFmtId="0" fontId="2" fillId="0" borderId="0" xfId="0" applyFont="1" applyFill="1" applyBorder="1" applyAlignment="1">
      <alignment horizontal="center" vertical="center" wrapText="1"/>
    </xf>
    <xf numFmtId="166" fontId="0" fillId="0" borderId="3" xfId="0" applyNumberFormat="1" applyBorder="1" applyAlignment="1">
      <alignment horizontal="center" vertical="center" wrapText="1"/>
    </xf>
    <xf numFmtId="166" fontId="0" fillId="0" borderId="12" xfId="0" applyNumberFormat="1" applyBorder="1" applyAlignment="1">
      <alignment horizontal="center" vertical="center" wrapText="1"/>
    </xf>
    <xf numFmtId="166" fontId="0" fillId="0" borderId="4" xfId="0" applyNumberFormat="1" applyBorder="1" applyAlignment="1">
      <alignment horizontal="center" vertical="center" wrapText="1"/>
    </xf>
    <xf numFmtId="1" fontId="0" fillId="0" borderId="12" xfId="0" applyNumberFormat="1" applyBorder="1" applyAlignment="1">
      <alignment horizontal="center" vertical="center" wrapText="1"/>
    </xf>
    <xf numFmtId="0" fontId="0" fillId="8" borderId="1" xfId="0" applyFill="1" applyBorder="1" applyAlignment="1">
      <alignment horizontal="center"/>
    </xf>
    <xf numFmtId="167" fontId="0" fillId="0" borderId="1" xfId="0" applyNumberFormat="1" applyFill="1" applyBorder="1" applyAlignment="1">
      <alignment horizontal="center"/>
    </xf>
    <xf numFmtId="2" fontId="0" fillId="0" borderId="12" xfId="3" applyNumberFormat="1" applyFont="1" applyBorder="1" applyAlignment="1">
      <alignment horizontal="center"/>
    </xf>
    <xf numFmtId="2" fontId="0" fillId="0" borderId="4" xfId="2" applyNumberFormat="1" applyFont="1" applyFill="1" applyBorder="1" applyAlignment="1">
      <alignment horizontal="center" vertical="center" wrapText="1"/>
    </xf>
    <xf numFmtId="9" fontId="0" fillId="0" borderId="4" xfId="2" applyFont="1" applyBorder="1" applyAlignment="1">
      <alignment horizontal="center" vertical="center" wrapText="1"/>
    </xf>
    <xf numFmtId="0" fontId="0" fillId="0" borderId="12" xfId="0" applyFont="1" applyFill="1" applyBorder="1" applyAlignment="1">
      <alignment horizontal="center" vertical="center" wrapText="1"/>
    </xf>
    <xf numFmtId="0" fontId="2" fillId="0" borderId="0" xfId="0" applyFont="1" applyFill="1" applyBorder="1" applyAlignment="1">
      <alignment horizontal="center" vertical="center"/>
    </xf>
    <xf numFmtId="0" fontId="0" fillId="0" borderId="0" xfId="0" applyFont="1" applyFill="1" applyBorder="1" applyAlignment="1">
      <alignment horizontal="center" vertical="center" wrapText="1"/>
    </xf>
    <xf numFmtId="9" fontId="0" fillId="0" borderId="0" xfId="2" applyFont="1" applyFill="1" applyBorder="1" applyAlignment="1">
      <alignment horizontal="center" vertical="center" wrapText="1"/>
    </xf>
    <xf numFmtId="167" fontId="0" fillId="0" borderId="0" xfId="2" applyNumberFormat="1" applyFont="1" applyFill="1" applyBorder="1" applyAlignment="1">
      <alignment horizontal="center" vertical="center" wrapText="1"/>
    </xf>
    <xf numFmtId="2" fontId="0" fillId="0" borderId="0" xfId="2" applyNumberFormat="1" applyFont="1" applyFill="1" applyBorder="1" applyAlignment="1">
      <alignment horizontal="center" vertical="center" wrapText="1"/>
    </xf>
    <xf numFmtId="2" fontId="0" fillId="0" borderId="0" xfId="0" applyNumberFormat="1" applyBorder="1" applyAlignment="1">
      <alignment horizontal="center" vertical="center" wrapText="1"/>
    </xf>
    <xf numFmtId="166" fontId="0" fillId="0" borderId="0" xfId="0" applyNumberFormat="1" applyFont="1" applyFill="1" applyBorder="1" applyAlignment="1">
      <alignment horizontal="center" vertical="center" wrapText="1"/>
    </xf>
    <xf numFmtId="1" fontId="6" fillId="0" borderId="13" xfId="0" applyNumberFormat="1" applyFont="1" applyFill="1" applyBorder="1" applyAlignment="1">
      <alignment horizontal="center"/>
    </xf>
    <xf numFmtId="0" fontId="0" fillId="0" borderId="11" xfId="0" applyBorder="1" applyAlignment="1">
      <alignment vertical="center" wrapText="1"/>
    </xf>
    <xf numFmtId="166" fontId="0" fillId="0" borderId="13" xfId="0" applyNumberFormat="1" applyBorder="1" applyAlignment="1">
      <alignment horizontal="center" vertical="center" wrapText="1"/>
    </xf>
    <xf numFmtId="1" fontId="0" fillId="0" borderId="0" xfId="0" applyNumberFormat="1" applyFill="1" applyBorder="1" applyAlignment="1">
      <alignment horizontal="center" vertical="center" wrapText="1"/>
    </xf>
    <xf numFmtId="170" fontId="0" fillId="0" borderId="1" xfId="3" applyNumberFormat="1" applyFont="1" applyBorder="1" applyAlignment="1">
      <alignment horizontal="center" vertical="center" wrapText="1"/>
    </xf>
    <xf numFmtId="166" fontId="0" fillId="0" borderId="1" xfId="0" applyNumberFormat="1" applyBorder="1" applyAlignment="1">
      <alignment horizontal="center"/>
    </xf>
    <xf numFmtId="167" fontId="0" fillId="0" borderId="1" xfId="2" applyNumberFormat="1" applyFont="1" applyBorder="1" applyAlignment="1">
      <alignment horizontal="center" vertical="center" wrapText="1"/>
    </xf>
    <xf numFmtId="167" fontId="0" fillId="8" borderId="1" xfId="2" applyNumberFormat="1" applyFont="1" applyFill="1" applyBorder="1" applyAlignment="1">
      <alignment horizontal="center" vertical="center" wrapText="1"/>
    </xf>
    <xf numFmtId="167" fontId="0" fillId="0" borderId="13" xfId="0" applyNumberFormat="1" applyBorder="1" applyAlignment="1">
      <alignment horizontal="center" vertical="center" wrapText="1"/>
    </xf>
    <xf numFmtId="167" fontId="0" fillId="0" borderId="1" xfId="2" applyNumberFormat="1" applyFont="1" applyBorder="1" applyAlignment="1">
      <alignment horizontal="center"/>
    </xf>
    <xf numFmtId="0" fontId="2" fillId="2" borderId="14" xfId="0" applyFont="1" applyFill="1" applyBorder="1" applyAlignment="1">
      <alignment horizontal="center" vertical="center" wrapText="1"/>
    </xf>
    <xf numFmtId="2" fontId="0" fillId="6" borderId="1" xfId="0" applyNumberFormat="1" applyFill="1" applyBorder="1" applyAlignment="1">
      <alignment horizontal="center"/>
    </xf>
    <xf numFmtId="1" fontId="2" fillId="0" borderId="0" xfId="0" applyNumberFormat="1" applyFont="1" applyFill="1" applyBorder="1"/>
    <xf numFmtId="0" fontId="2" fillId="2" borderId="11" xfId="0" applyFont="1" applyFill="1" applyBorder="1" applyAlignment="1">
      <alignment horizontal="center" vertical="center" wrapText="1"/>
    </xf>
    <xf numFmtId="1" fontId="2" fillId="0" borderId="9" xfId="0" applyNumberFormat="1" applyFont="1" applyFill="1" applyBorder="1"/>
    <xf numFmtId="1" fontId="2" fillId="0" borderId="10" xfId="0" applyNumberFormat="1" applyFont="1" applyFill="1" applyBorder="1"/>
    <xf numFmtId="0" fontId="2" fillId="0" borderId="9" xfId="0" applyFont="1" applyFill="1" applyBorder="1"/>
    <xf numFmtId="0" fontId="2" fillId="0" borderId="10" xfId="0" applyFont="1" applyFill="1" applyBorder="1"/>
    <xf numFmtId="0" fontId="0" fillId="0" borderId="9" xfId="0" applyFont="1" applyFill="1" applyBorder="1"/>
    <xf numFmtId="0" fontId="0" fillId="0" borderId="9" xfId="0" applyFill="1" applyBorder="1" applyAlignment="1">
      <alignment horizontal="left"/>
    </xf>
    <xf numFmtId="0" fontId="2" fillId="0" borderId="13" xfId="0" applyFont="1" applyFill="1" applyBorder="1"/>
    <xf numFmtId="0" fontId="0" fillId="0" borderId="14" xfId="0" applyFill="1" applyBorder="1" applyAlignment="1">
      <alignment horizontal="left"/>
    </xf>
    <xf numFmtId="1" fontId="2" fillId="0" borderId="14" xfId="0" applyNumberFormat="1" applyFont="1" applyFill="1" applyBorder="1"/>
    <xf numFmtId="1" fontId="2" fillId="0" borderId="13" xfId="0" applyNumberFormat="1" applyFont="1" applyFill="1" applyBorder="1"/>
    <xf numFmtId="1" fontId="2" fillId="0" borderId="2" xfId="0" applyNumberFormat="1" applyFont="1" applyFill="1" applyBorder="1"/>
    <xf numFmtId="0" fontId="0" fillId="0" borderId="11" xfId="0" applyFont="1" applyFill="1" applyBorder="1"/>
    <xf numFmtId="0" fontId="0" fillId="0" borderId="3" xfId="0" quotePrefix="1" applyFill="1" applyBorder="1"/>
    <xf numFmtId="1" fontId="0" fillId="0" borderId="11" xfId="0" applyNumberFormat="1" applyFill="1" applyBorder="1"/>
    <xf numFmtId="1" fontId="0" fillId="0" borderId="12" xfId="0" applyNumberFormat="1" applyFill="1" applyBorder="1"/>
    <xf numFmtId="1" fontId="0" fillId="0" borderId="4" xfId="0" applyNumberFormat="1" applyFill="1" applyBorder="1"/>
    <xf numFmtId="0" fontId="8" fillId="3" borderId="14" xfId="0" applyFont="1" applyFill="1" applyBorder="1"/>
    <xf numFmtId="0" fontId="8" fillId="0" borderId="0" xfId="0" applyFont="1" applyFill="1" applyBorder="1"/>
    <xf numFmtId="0" fontId="0" fillId="0" borderId="14" xfId="0" applyFont="1" applyBorder="1"/>
    <xf numFmtId="167" fontId="0" fillId="0" borderId="13" xfId="2" applyNumberFormat="1" applyFont="1" applyBorder="1" applyAlignment="1">
      <alignment horizontal="center"/>
    </xf>
    <xf numFmtId="167" fontId="0" fillId="0" borderId="2" xfId="2" applyNumberFormat="1" applyFont="1" applyBorder="1" applyAlignment="1">
      <alignment horizontal="center"/>
    </xf>
    <xf numFmtId="0" fontId="8" fillId="3" borderId="1" xfId="0" applyFont="1" applyFill="1" applyBorder="1"/>
    <xf numFmtId="0" fontId="8" fillId="3" borderId="1" xfId="0" applyFont="1" applyFill="1" applyBorder="1" applyAlignment="1">
      <alignment horizontal="left"/>
    </xf>
    <xf numFmtId="0" fontId="2" fillId="0" borderId="0" xfId="0" applyFont="1" applyFill="1" applyBorder="1" applyAlignment="1">
      <alignment horizontal="center"/>
    </xf>
    <xf numFmtId="0" fontId="2" fillId="0" borderId="6" xfId="0" applyFont="1" applyBorder="1"/>
    <xf numFmtId="0" fontId="2" fillId="0" borderId="14" xfId="0" applyFont="1" applyBorder="1"/>
    <xf numFmtId="0" fontId="7" fillId="2" borderId="5" xfId="0" applyFont="1" applyFill="1" applyBorder="1" applyAlignment="1">
      <alignment horizontal="left"/>
    </xf>
    <xf numFmtId="0" fontId="2" fillId="0" borderId="7" xfId="0" applyFont="1" applyBorder="1"/>
    <xf numFmtId="0" fontId="2" fillId="0" borderId="8" xfId="0" applyFont="1" applyFill="1" applyBorder="1" applyAlignment="1">
      <alignment horizontal="center" vertical="center" wrapText="1"/>
    </xf>
    <xf numFmtId="167" fontId="0" fillId="0" borderId="4" xfId="2" applyNumberFormat="1" applyFont="1" applyBorder="1" applyAlignment="1">
      <alignment horizontal="center" vertical="center" wrapText="1"/>
    </xf>
    <xf numFmtId="171" fontId="0" fillId="0" borderId="2" xfId="3" applyNumberFormat="1" applyFont="1" applyBorder="1" applyAlignment="1">
      <alignment horizontal="center" vertical="center" wrapText="1"/>
    </xf>
    <xf numFmtId="171" fontId="0" fillId="0" borderId="1" xfId="3" applyNumberFormat="1" applyFont="1" applyBorder="1" applyAlignment="1">
      <alignment horizontal="center" vertical="center" wrapText="1"/>
    </xf>
    <xf numFmtId="0" fontId="2" fillId="0" borderId="0" xfId="0" applyFont="1" applyFill="1" applyBorder="1" applyAlignment="1">
      <alignment horizontal="center" vertical="center" textRotation="90" wrapText="1"/>
    </xf>
    <xf numFmtId="0" fontId="0" fillId="0" borderId="5" xfId="0" applyFont="1" applyFill="1" applyBorder="1"/>
    <xf numFmtId="0" fontId="0" fillId="0" borderId="15" xfId="0" applyFont="1" applyFill="1" applyBorder="1"/>
    <xf numFmtId="0" fontId="0" fillId="0" borderId="3" xfId="0" applyFont="1" applyFill="1" applyBorder="1"/>
    <xf numFmtId="165" fontId="0" fillId="0" borderId="0" xfId="3" applyFont="1"/>
    <xf numFmtId="10" fontId="0" fillId="0" borderId="0" xfId="0" applyNumberFormat="1"/>
    <xf numFmtId="10" fontId="0" fillId="0" borderId="12" xfId="0" applyNumberFormat="1" applyBorder="1" applyAlignment="1">
      <alignment horizontal="center" vertical="center" wrapText="1"/>
    </xf>
    <xf numFmtId="10" fontId="0" fillId="0" borderId="1" xfId="0" applyNumberFormat="1" applyBorder="1" applyAlignment="1">
      <alignment horizontal="center" vertical="center" wrapText="1"/>
    </xf>
    <xf numFmtId="0" fontId="2" fillId="0" borderId="0" xfId="0" applyFont="1" applyFill="1" applyBorder="1" applyAlignment="1">
      <alignment vertical="center" textRotation="90" wrapText="1"/>
    </xf>
    <xf numFmtId="170" fontId="0" fillId="0" borderId="6" xfId="0" applyNumberFormat="1" applyFont="1" applyFill="1" applyBorder="1" applyAlignment="1">
      <alignment horizontal="center"/>
    </xf>
    <xf numFmtId="1" fontId="0" fillId="0" borderId="11" xfId="0" applyNumberFormat="1" applyFont="1" applyFill="1" applyBorder="1" applyAlignment="1">
      <alignment horizontal="center"/>
    </xf>
    <xf numFmtId="0" fontId="2" fillId="9" borderId="1" xfId="0" applyFont="1" applyFill="1" applyBorder="1" applyAlignment="1">
      <alignment horizontal="left" vertical="center" wrapText="1"/>
    </xf>
    <xf numFmtId="0" fontId="0" fillId="0" borderId="0" xfId="0" applyBorder="1" applyAlignment="1">
      <alignment horizontal="center" vertical="center"/>
    </xf>
    <xf numFmtId="1" fontId="0" fillId="0" borderId="0" xfId="3" applyNumberFormat="1" applyFont="1" applyFill="1" applyBorder="1" applyAlignment="1">
      <alignment horizontal="center" vertical="center" wrapText="1"/>
    </xf>
    <xf numFmtId="0" fontId="0" fillId="0" borderId="13" xfId="0" applyFont="1" applyFill="1" applyBorder="1" applyAlignment="1">
      <alignment horizontal="center" vertical="center" wrapText="1"/>
    </xf>
    <xf numFmtId="0" fontId="0" fillId="0" borderId="2" xfId="0" applyFont="1" applyFill="1" applyBorder="1" applyAlignment="1">
      <alignment horizontal="center" vertical="center" wrapText="1"/>
    </xf>
    <xf numFmtId="1" fontId="0" fillId="0" borderId="0" xfId="3" applyNumberFormat="1" applyFont="1" applyBorder="1" applyAlignment="1">
      <alignment horizontal="center" vertical="center" wrapText="1"/>
    </xf>
    <xf numFmtId="0" fontId="0" fillId="0" borderId="3" xfId="0" quotePrefix="1" applyBorder="1" applyAlignment="1">
      <alignment vertical="center" wrapText="1"/>
    </xf>
    <xf numFmtId="166" fontId="0" fillId="0" borderId="2" xfId="0" applyNumberFormat="1" applyBorder="1" applyAlignment="1">
      <alignment horizontal="center" vertical="center" wrapText="1"/>
    </xf>
    <xf numFmtId="0" fontId="2" fillId="0" borderId="7" xfId="0" applyFont="1" applyFill="1" applyBorder="1" applyAlignment="1">
      <alignment horizontal="center"/>
    </xf>
    <xf numFmtId="0" fontId="2" fillId="0" borderId="7" xfId="0" applyFont="1" applyFill="1" applyBorder="1"/>
    <xf numFmtId="0" fontId="2" fillId="0" borderId="12" xfId="0" applyFont="1" applyFill="1" applyBorder="1" applyAlignment="1">
      <alignment horizontal="center"/>
    </xf>
    <xf numFmtId="0" fontId="2" fillId="0" borderId="12" xfId="0" applyFont="1" applyFill="1" applyBorder="1"/>
    <xf numFmtId="167" fontId="4" fillId="0" borderId="0" xfId="2" applyNumberFormat="1" applyFont="1" applyFill="1" applyBorder="1" applyAlignment="1">
      <alignment horizontal="center"/>
    </xf>
    <xf numFmtId="9" fontId="0" fillId="0" borderId="0" xfId="2" applyFont="1"/>
    <xf numFmtId="170" fontId="0" fillId="0" borderId="4" xfId="3" applyNumberFormat="1" applyFont="1" applyBorder="1" applyAlignment="1">
      <alignment horizontal="center" vertical="center" wrapText="1"/>
    </xf>
    <xf numFmtId="172" fontId="0" fillId="0" borderId="4" xfId="3" applyNumberFormat="1" applyFont="1" applyBorder="1" applyAlignment="1">
      <alignment horizontal="center" vertical="center" wrapText="1"/>
    </xf>
    <xf numFmtId="171" fontId="0" fillId="0" borderId="4" xfId="3" applyNumberFormat="1" applyFont="1" applyBorder="1" applyAlignment="1">
      <alignment horizontal="center" vertical="center" wrapText="1"/>
    </xf>
    <xf numFmtId="9" fontId="0" fillId="0" borderId="1" xfId="2" applyFont="1" applyFill="1" applyBorder="1" applyAlignment="1">
      <alignment horizontal="center" vertical="center" wrapText="1"/>
    </xf>
    <xf numFmtId="165" fontId="0" fillId="0" borderId="0" xfId="3" applyFont="1" applyFill="1" applyBorder="1" applyAlignment="1">
      <alignment horizontal="center" vertical="center" wrapText="1"/>
    </xf>
    <xf numFmtId="0" fontId="0" fillId="0" borderId="0" xfId="0" applyAlignment="1">
      <alignment horizontal="right"/>
    </xf>
    <xf numFmtId="168" fontId="0" fillId="0" borderId="9" xfId="0" applyNumberFormat="1" applyBorder="1" applyAlignment="1">
      <alignment horizontal="center"/>
    </xf>
    <xf numFmtId="168" fontId="0" fillId="0" borderId="0" xfId="0" applyNumberFormat="1" applyBorder="1" applyAlignment="1">
      <alignment horizontal="center"/>
    </xf>
    <xf numFmtId="168" fontId="0" fillId="0" borderId="10" xfId="0" applyNumberFormat="1" applyBorder="1" applyAlignment="1">
      <alignment horizontal="center"/>
    </xf>
    <xf numFmtId="2" fontId="0" fillId="0" borderId="0" xfId="0" applyNumberFormat="1" applyBorder="1"/>
    <xf numFmtId="0" fontId="4" fillId="0" borderId="12" xfId="0" applyFont="1" applyBorder="1" applyAlignment="1">
      <alignment horizontal="center"/>
    </xf>
    <xf numFmtId="0" fontId="0" fillId="0" borderId="0" xfId="0" applyBorder="1" applyAlignment="1">
      <alignment horizontal="left" vertical="center" wrapText="1"/>
    </xf>
    <xf numFmtId="0" fontId="0" fillId="0" borderId="5" xfId="0" applyBorder="1" applyAlignment="1">
      <alignment horizontal="left" vertical="center" wrapText="1"/>
    </xf>
    <xf numFmtId="0" fontId="0" fillId="0" borderId="15" xfId="0" applyBorder="1" applyAlignment="1">
      <alignment horizontal="left" vertical="center" wrapText="1"/>
    </xf>
    <xf numFmtId="0" fontId="0" fillId="0" borderId="3" xfId="0" applyBorder="1" applyAlignment="1">
      <alignment horizontal="left" vertical="center" wrapText="1"/>
    </xf>
    <xf numFmtId="168" fontId="0" fillId="0" borderId="6" xfId="0" applyNumberFormat="1" applyBorder="1" applyAlignment="1">
      <alignment horizontal="center"/>
    </xf>
    <xf numFmtId="168" fontId="0" fillId="0" borderId="7" xfId="0" applyNumberFormat="1" applyBorder="1" applyAlignment="1">
      <alignment horizontal="center"/>
    </xf>
    <xf numFmtId="168" fontId="0" fillId="0" borderId="11" xfId="0" applyNumberFormat="1" applyBorder="1" applyAlignment="1">
      <alignment horizontal="center"/>
    </xf>
    <xf numFmtId="168" fontId="0" fillId="0" borderId="12" xfId="0" applyNumberFormat="1" applyBorder="1" applyAlignment="1">
      <alignment horizontal="center"/>
    </xf>
    <xf numFmtId="168" fontId="0" fillId="0" borderId="4" xfId="0" applyNumberFormat="1" applyBorder="1" applyAlignment="1">
      <alignment horizontal="center"/>
    </xf>
    <xf numFmtId="171" fontId="0" fillId="0" borderId="1" xfId="3" applyNumberFormat="1" applyFont="1" applyBorder="1" applyAlignment="1">
      <alignment horizontal="center"/>
    </xf>
    <xf numFmtId="0" fontId="0" fillId="2" borderId="9" xfId="0" applyFill="1" applyBorder="1"/>
    <xf numFmtId="0" fontId="0" fillId="2" borderId="11" xfId="0" applyFill="1" applyBorder="1"/>
    <xf numFmtId="0" fontId="0" fillId="2" borderId="14" xfId="0" applyFill="1" applyBorder="1"/>
    <xf numFmtId="0" fontId="0" fillId="0" borderId="1" xfId="0" applyBorder="1" applyAlignment="1">
      <alignment horizontal="left" vertical="center" wrapText="1"/>
    </xf>
    <xf numFmtId="0" fontId="0" fillId="18" borderId="1" xfId="0" applyFill="1" applyBorder="1" applyAlignment="1">
      <alignment vertical="center" wrapText="1"/>
    </xf>
    <xf numFmtId="0" fontId="0" fillId="0" borderId="4" xfId="0" applyBorder="1" applyAlignment="1">
      <alignment horizontal="center"/>
    </xf>
    <xf numFmtId="166" fontId="0" fillId="0" borderId="1" xfId="0" applyNumberFormat="1" applyBorder="1"/>
    <xf numFmtId="2" fontId="0" fillId="0" borderId="13" xfId="0" applyNumberFormat="1" applyBorder="1" applyAlignment="1">
      <alignment horizontal="center"/>
    </xf>
    <xf numFmtId="0" fontId="0" fillId="18" borderId="14" xfId="0" applyFont="1" applyFill="1" applyBorder="1" applyAlignment="1">
      <alignment vertical="center" wrapText="1"/>
    </xf>
    <xf numFmtId="0" fontId="0" fillId="0" borderId="1" xfId="0" applyBorder="1" applyAlignment="1">
      <alignment horizontal="left"/>
    </xf>
    <xf numFmtId="170" fontId="0" fillId="0" borderId="5" xfId="0" applyNumberFormat="1" applyFont="1" applyFill="1" applyBorder="1" applyAlignment="1">
      <alignment horizontal="center"/>
    </xf>
    <xf numFmtId="170" fontId="0" fillId="0" borderId="14" xfId="0" applyNumberFormat="1" applyFont="1" applyFill="1" applyBorder="1" applyAlignment="1">
      <alignment horizontal="center"/>
    </xf>
    <xf numFmtId="170" fontId="0" fillId="0" borderId="1" xfId="0" applyNumberFormat="1" applyFont="1" applyFill="1" applyBorder="1" applyAlignment="1">
      <alignment horizontal="center"/>
    </xf>
    <xf numFmtId="2" fontId="2" fillId="0" borderId="0" xfId="0" applyNumberFormat="1" applyFont="1" applyFill="1" applyBorder="1" applyAlignment="1">
      <alignment horizontal="center"/>
    </xf>
    <xf numFmtId="2" fontId="2" fillId="0" borderId="9" xfId="0" applyNumberFormat="1" applyFont="1" applyFill="1" applyBorder="1" applyAlignment="1">
      <alignment horizontal="center"/>
    </xf>
    <xf numFmtId="2" fontId="2" fillId="0" borderId="11" xfId="0" applyNumberFormat="1" applyFont="1" applyFill="1" applyBorder="1" applyAlignment="1">
      <alignment horizontal="center"/>
    </xf>
    <xf numFmtId="2" fontId="2" fillId="0" borderId="12" xfId="0" applyNumberFormat="1" applyFont="1" applyFill="1" applyBorder="1" applyAlignment="1">
      <alignment horizontal="center"/>
    </xf>
    <xf numFmtId="2" fontId="2" fillId="0" borderId="0" xfId="0" applyNumberFormat="1" applyFont="1" applyFill="1" applyBorder="1"/>
    <xf numFmtId="2" fontId="4" fillId="0" borderId="5" xfId="0" applyNumberFormat="1" applyFont="1" applyFill="1" applyBorder="1" applyAlignment="1">
      <alignment horizontal="center"/>
    </xf>
    <xf numFmtId="2" fontId="4" fillId="0" borderId="7" xfId="0" applyNumberFormat="1" applyFont="1" applyFill="1" applyBorder="1" applyAlignment="1">
      <alignment horizontal="center"/>
    </xf>
    <xf numFmtId="2" fontId="4" fillId="0" borderId="8" xfId="0" applyNumberFormat="1" applyFont="1" applyFill="1" applyBorder="1" applyAlignment="1">
      <alignment horizontal="center"/>
    </xf>
    <xf numFmtId="171" fontId="4" fillId="0" borderId="15" xfId="0" applyNumberFormat="1" applyFont="1" applyFill="1" applyBorder="1" applyAlignment="1">
      <alignment horizontal="center"/>
    </xf>
    <xf numFmtId="171" fontId="4" fillId="0" borderId="0" xfId="0" applyNumberFormat="1" applyFont="1" applyFill="1" applyBorder="1" applyAlignment="1">
      <alignment horizontal="center"/>
    </xf>
    <xf numFmtId="171" fontId="4" fillId="0" borderId="10" xfId="0" applyNumberFormat="1" applyFont="1" applyFill="1" applyBorder="1" applyAlignment="1">
      <alignment horizontal="center"/>
    </xf>
    <xf numFmtId="171" fontId="0" fillId="0" borderId="15" xfId="0" applyNumberFormat="1" applyFont="1" applyFill="1" applyBorder="1" applyAlignment="1">
      <alignment horizontal="center"/>
    </xf>
    <xf numFmtId="171" fontId="0" fillId="0" borderId="0" xfId="0" applyNumberFormat="1" applyFont="1" applyFill="1" applyBorder="1" applyAlignment="1">
      <alignment horizontal="center"/>
    </xf>
    <xf numFmtId="171" fontId="0" fillId="0" borderId="10" xfId="0" applyNumberFormat="1" applyFont="1" applyFill="1" applyBorder="1" applyAlignment="1">
      <alignment horizontal="center"/>
    </xf>
    <xf numFmtId="0" fontId="0" fillId="0" borderId="15" xfId="0" applyFont="1" applyFill="1" applyBorder="1" applyAlignment="1">
      <alignment horizontal="center"/>
    </xf>
    <xf numFmtId="2" fontId="0" fillId="0" borderId="0" xfId="0" applyNumberFormat="1" applyFont="1" applyFill="1" applyBorder="1" applyAlignment="1">
      <alignment horizontal="center"/>
    </xf>
    <xf numFmtId="2" fontId="0" fillId="0" borderId="15" xfId="0" applyNumberFormat="1" applyFont="1" applyFill="1" applyBorder="1" applyAlignment="1">
      <alignment horizontal="center"/>
    </xf>
    <xf numFmtId="2" fontId="0" fillId="0" borderId="10" xfId="0" applyNumberFormat="1" applyFont="1" applyFill="1" applyBorder="1" applyAlignment="1">
      <alignment horizontal="center"/>
    </xf>
    <xf numFmtId="2" fontId="0" fillId="0" borderId="3" xfId="0" applyNumberFormat="1" applyFont="1" applyFill="1" applyBorder="1" applyAlignment="1">
      <alignment horizontal="center"/>
    </xf>
    <xf numFmtId="2" fontId="0" fillId="0" borderId="12" xfId="0" applyNumberFormat="1" applyFont="1" applyFill="1" applyBorder="1" applyAlignment="1">
      <alignment horizontal="center"/>
    </xf>
    <xf numFmtId="173" fontId="0" fillId="0" borderId="1" xfId="3" applyNumberFormat="1" applyFont="1" applyBorder="1" applyAlignment="1">
      <alignment horizontal="center"/>
    </xf>
    <xf numFmtId="168" fontId="0" fillId="0" borderId="5" xfId="0" applyNumberFormat="1" applyBorder="1" applyAlignment="1">
      <alignment horizontal="center"/>
    </xf>
    <xf numFmtId="0" fontId="0" fillId="20" borderId="3" xfId="0" applyFont="1" applyFill="1" applyBorder="1"/>
    <xf numFmtId="2" fontId="2" fillId="0" borderId="6" xfId="0" applyNumberFormat="1" applyFont="1" applyFill="1" applyBorder="1" applyAlignment="1">
      <alignment horizontal="center"/>
    </xf>
    <xf numFmtId="2" fontId="2" fillId="0" borderId="7" xfId="0" applyNumberFormat="1" applyFont="1" applyFill="1" applyBorder="1" applyAlignment="1">
      <alignment horizontal="center"/>
    </xf>
    <xf numFmtId="2" fontId="0" fillId="0" borderId="1" xfId="0" applyNumberFormat="1" applyFont="1" applyFill="1" applyBorder="1" applyAlignment="1">
      <alignment horizontal="center"/>
    </xf>
    <xf numFmtId="2" fontId="0" fillId="0" borderId="9" xfId="0" applyNumberFormat="1" applyFont="1" applyFill="1" applyBorder="1" applyAlignment="1">
      <alignment horizontal="center"/>
    </xf>
    <xf numFmtId="2" fontId="0" fillId="0" borderId="11" xfId="0" applyNumberFormat="1" applyFont="1" applyFill="1" applyBorder="1" applyAlignment="1">
      <alignment horizontal="center"/>
    </xf>
    <xf numFmtId="166" fontId="0" fillId="0" borderId="6" xfId="0" applyNumberFormat="1" applyFont="1" applyFill="1" applyBorder="1" applyAlignment="1">
      <alignment horizontal="center"/>
    </xf>
    <xf numFmtId="166" fontId="0" fillId="0" borderId="7" xfId="0" applyNumberFormat="1" applyFont="1" applyFill="1" applyBorder="1" applyAlignment="1">
      <alignment horizontal="center"/>
    </xf>
    <xf numFmtId="166" fontId="0" fillId="0" borderId="11" xfId="0" applyNumberFormat="1" applyFont="1" applyFill="1" applyBorder="1" applyAlignment="1">
      <alignment horizontal="center"/>
    </xf>
    <xf numFmtId="166" fontId="0" fillId="0" borderId="12" xfId="0" applyNumberFormat="1" applyFont="1" applyFill="1" applyBorder="1" applyAlignment="1">
      <alignment horizontal="center"/>
    </xf>
    <xf numFmtId="166" fontId="0" fillId="0" borderId="0" xfId="0" applyNumberFormat="1" applyFont="1" applyFill="1" applyBorder="1" applyAlignment="1">
      <alignment horizontal="center"/>
    </xf>
    <xf numFmtId="166" fontId="2" fillId="0" borderId="11" xfId="0" applyNumberFormat="1" applyFont="1" applyFill="1" applyBorder="1" applyAlignment="1">
      <alignment horizontal="center"/>
    </xf>
    <xf numFmtId="166" fontId="0" fillId="0" borderId="9" xfId="0" applyNumberFormat="1" applyFont="1" applyFill="1" applyBorder="1" applyAlignment="1">
      <alignment horizontal="center"/>
    </xf>
    <xf numFmtId="0" fontId="7" fillId="0" borderId="14" xfId="0" applyFont="1" applyBorder="1" applyAlignment="1">
      <alignment horizontal="center"/>
    </xf>
    <xf numFmtId="0" fontId="7" fillId="0" borderId="2" xfId="0" applyFont="1" applyBorder="1" applyAlignment="1">
      <alignment horizontal="center"/>
    </xf>
    <xf numFmtId="0" fontId="7" fillId="0" borderId="0" xfId="0" applyFont="1" applyBorder="1" applyAlignment="1">
      <alignment horizontal="center"/>
    </xf>
    <xf numFmtId="1" fontId="7" fillId="0" borderId="0" xfId="0" applyNumberFormat="1" applyFont="1" applyBorder="1" applyAlignment="1">
      <alignment horizontal="center"/>
    </xf>
    <xf numFmtId="0" fontId="0" fillId="0" borderId="3" xfId="0" applyFont="1" applyFill="1" applyBorder="1" applyAlignment="1">
      <alignment horizontal="center" vertical="center" wrapText="1"/>
    </xf>
    <xf numFmtId="0" fontId="2" fillId="0" borderId="13" xfId="0" applyFont="1" applyBorder="1"/>
    <xf numFmtId="0" fontId="2" fillId="0" borderId="2" xfId="0" applyFont="1" applyBorder="1"/>
    <xf numFmtId="3" fontId="0" fillId="0" borderId="1" xfId="0" applyNumberFormat="1" applyBorder="1" applyAlignment="1">
      <alignment horizontal="center" vertical="center" wrapText="1"/>
    </xf>
    <xf numFmtId="3" fontId="0" fillId="0" borderId="1" xfId="3" applyNumberFormat="1" applyFont="1" applyBorder="1" applyAlignment="1">
      <alignment horizontal="center" vertical="center" wrapText="1"/>
    </xf>
    <xf numFmtId="0" fontId="0" fillId="0" borderId="0" xfId="0" applyBorder="1" applyAlignment="1">
      <alignment horizontal="center"/>
    </xf>
    <xf numFmtId="14" fontId="0" fillId="0" borderId="0" xfId="0" applyNumberFormat="1" applyAlignment="1">
      <alignment horizontal="left"/>
    </xf>
    <xf numFmtId="0" fontId="0" fillId="0" borderId="6" xfId="0" applyBorder="1" applyAlignment="1">
      <alignment horizontal="center"/>
    </xf>
    <xf numFmtId="0" fontId="0" fillId="0" borderId="9" xfId="0" applyBorder="1" applyAlignment="1">
      <alignment horizontal="center"/>
    </xf>
    <xf numFmtId="10" fontId="0" fillId="0" borderId="1" xfId="0" applyNumberFormat="1" applyFill="1" applyBorder="1" applyAlignment="1">
      <alignment horizontal="center" vertical="center" wrapText="1"/>
    </xf>
    <xf numFmtId="9" fontId="0" fillId="7" borderId="4" xfId="2" applyFont="1" applyFill="1" applyBorder="1" applyAlignment="1">
      <alignment horizontal="center" vertical="center" wrapText="1"/>
    </xf>
    <xf numFmtId="9" fontId="0" fillId="7" borderId="3" xfId="2" applyFont="1" applyFill="1" applyBorder="1" applyAlignment="1">
      <alignment horizontal="center" vertical="center" wrapText="1"/>
    </xf>
    <xf numFmtId="10" fontId="0" fillId="0" borderId="13" xfId="0" applyNumberFormat="1" applyBorder="1" applyAlignment="1">
      <alignment horizontal="center" vertical="center"/>
    </xf>
    <xf numFmtId="10" fontId="0" fillId="0" borderId="4" xfId="2" applyNumberFormat="1" applyFont="1" applyBorder="1" applyAlignment="1">
      <alignment horizontal="center" vertical="center" wrapText="1"/>
    </xf>
    <xf numFmtId="10" fontId="0" fillId="0" borderId="3" xfId="2" applyNumberFormat="1" applyFont="1" applyBorder="1" applyAlignment="1">
      <alignment horizontal="center" vertical="center" wrapText="1"/>
    </xf>
    <xf numFmtId="168" fontId="0" fillId="8" borderId="1" xfId="0" applyNumberFormat="1" applyFill="1" applyBorder="1" applyAlignment="1">
      <alignment horizontal="center" vertical="center" wrapText="1"/>
    </xf>
    <xf numFmtId="168" fontId="0" fillId="0" borderId="1" xfId="0" applyNumberFormat="1" applyFill="1" applyBorder="1" applyAlignment="1">
      <alignment horizontal="center"/>
    </xf>
    <xf numFmtId="0" fontId="2" fillId="0" borderId="0" xfId="0" applyFont="1" applyFill="1" applyBorder="1" applyAlignment="1">
      <alignment horizontal="center"/>
    </xf>
    <xf numFmtId="169" fontId="0" fillId="0" borderId="7" xfId="0" applyNumberFormat="1" applyBorder="1" applyAlignment="1">
      <alignment horizontal="center"/>
    </xf>
    <xf numFmtId="169" fontId="0" fillId="0" borderId="0" xfId="0" applyNumberFormat="1" applyBorder="1" applyAlignment="1">
      <alignment horizontal="center"/>
    </xf>
    <xf numFmtId="169" fontId="0" fillId="0" borderId="11" xfId="0" applyNumberFormat="1" applyBorder="1" applyAlignment="1">
      <alignment horizontal="center"/>
    </xf>
    <xf numFmtId="169" fontId="0" fillId="0" borderId="9" xfId="0" applyNumberFormat="1" applyBorder="1" applyAlignment="1">
      <alignment horizontal="center"/>
    </xf>
    <xf numFmtId="169" fontId="0" fillId="0" borderId="12" xfId="0" applyNumberFormat="1" applyBorder="1" applyAlignment="1">
      <alignment horizontal="center"/>
    </xf>
    <xf numFmtId="0" fontId="2" fillId="0" borderId="6" xfId="0" applyFont="1" applyFill="1" applyBorder="1" applyAlignment="1">
      <alignment horizontal="center"/>
    </xf>
    <xf numFmtId="0" fontId="2" fillId="0" borderId="9" xfId="0" applyFont="1" applyFill="1" applyBorder="1" applyAlignment="1">
      <alignment horizontal="center"/>
    </xf>
    <xf numFmtId="0" fontId="2" fillId="0" borderId="11" xfId="0" applyFont="1" applyFill="1" applyBorder="1" applyAlignment="1">
      <alignment horizontal="center"/>
    </xf>
    <xf numFmtId="0" fontId="0" fillId="8" borderId="3" xfId="0" applyFill="1" applyBorder="1" applyAlignment="1" applyProtection="1">
      <alignment horizontal="center" vertical="center" wrapText="1"/>
      <protection locked="0"/>
    </xf>
    <xf numFmtId="1" fontId="0" fillId="8" borderId="4" xfId="0" applyNumberFormat="1" applyFill="1" applyBorder="1" applyAlignment="1" applyProtection="1">
      <alignment horizontal="center" vertical="center" wrapText="1"/>
      <protection locked="0"/>
    </xf>
    <xf numFmtId="1" fontId="0" fillId="8" borderId="3" xfId="0" applyNumberFormat="1" applyFill="1" applyBorder="1" applyAlignment="1" applyProtection="1">
      <alignment horizontal="center" vertical="center" wrapText="1"/>
      <protection locked="0"/>
    </xf>
    <xf numFmtId="9" fontId="0" fillId="8" borderId="1" xfId="2" applyFont="1" applyFill="1" applyBorder="1" applyAlignment="1" applyProtection="1">
      <alignment horizontal="center" vertical="center" wrapText="1"/>
      <protection locked="0"/>
    </xf>
    <xf numFmtId="9" fontId="0" fillId="8" borderId="2" xfId="2" applyFont="1" applyFill="1" applyBorder="1" applyAlignment="1" applyProtection="1">
      <alignment horizontal="center" vertical="center" wrapText="1"/>
      <protection locked="0"/>
    </xf>
    <xf numFmtId="0" fontId="0" fillId="8" borderId="1" xfId="0" applyFill="1" applyBorder="1" applyAlignment="1" applyProtection="1">
      <alignment horizontal="center" vertical="center" wrapText="1"/>
      <protection locked="0"/>
    </xf>
    <xf numFmtId="167" fontId="0" fillId="8" borderId="3" xfId="2" applyNumberFormat="1" applyFont="1" applyFill="1" applyBorder="1" applyAlignment="1" applyProtection="1">
      <alignment horizontal="center" vertical="center" wrapText="1"/>
      <protection locked="0"/>
    </xf>
    <xf numFmtId="2" fontId="0" fillId="8" borderId="3" xfId="3" applyNumberFormat="1" applyFont="1" applyFill="1" applyBorder="1" applyAlignment="1" applyProtection="1">
      <alignment horizontal="center" vertical="center" wrapText="1"/>
      <protection locked="0"/>
    </xf>
    <xf numFmtId="0" fontId="0" fillId="8" borderId="13" xfId="0" applyFill="1" applyBorder="1" applyAlignment="1" applyProtection="1">
      <alignment horizontal="center"/>
      <protection locked="0"/>
    </xf>
    <xf numFmtId="9" fontId="0" fillId="8" borderId="3" xfId="0" applyNumberFormat="1" applyFill="1" applyBorder="1" applyAlignment="1" applyProtection="1">
      <alignment horizontal="center" vertical="center" wrapText="1"/>
      <protection locked="0"/>
    </xf>
    <xf numFmtId="9" fontId="0" fillId="8" borderId="4" xfId="2" applyFont="1" applyFill="1" applyBorder="1" applyAlignment="1" applyProtection="1">
      <alignment horizontal="center" vertical="center" wrapText="1"/>
      <protection locked="0"/>
    </xf>
    <xf numFmtId="0" fontId="0" fillId="8" borderId="2" xfId="0" applyFont="1" applyFill="1" applyBorder="1" applyAlignment="1" applyProtection="1">
      <alignment horizontal="center" vertical="center"/>
      <protection locked="0"/>
    </xf>
    <xf numFmtId="166" fontId="0" fillId="8" borderId="3" xfId="0" applyNumberFormat="1" applyFill="1" applyBorder="1" applyAlignment="1" applyProtection="1">
      <alignment horizontal="center" vertical="center" wrapText="1"/>
      <protection locked="0"/>
    </xf>
    <xf numFmtId="166" fontId="0" fillId="8" borderId="1" xfId="0" applyNumberFormat="1" applyFill="1" applyBorder="1" applyAlignment="1" applyProtection="1">
      <alignment horizontal="center" vertical="center" wrapText="1"/>
      <protection locked="0"/>
    </xf>
    <xf numFmtId="167" fontId="0" fillId="8" borderId="1" xfId="0" applyNumberFormat="1" applyFill="1" applyBorder="1" applyAlignment="1" applyProtection="1">
      <alignment horizontal="center" vertical="center" wrapText="1"/>
      <protection locked="0"/>
    </xf>
    <xf numFmtId="166" fontId="0" fillId="8" borderId="2" xfId="0" quotePrefix="1" applyNumberFormat="1" applyFill="1" applyBorder="1" applyAlignment="1" applyProtection="1">
      <alignment horizontal="center" vertical="center"/>
      <protection locked="0"/>
    </xf>
    <xf numFmtId="1" fontId="0" fillId="8" borderId="4" xfId="0" quotePrefix="1" applyNumberFormat="1" applyFill="1" applyBorder="1" applyAlignment="1" applyProtection="1">
      <alignment horizontal="center" vertical="center"/>
      <protection locked="0"/>
    </xf>
    <xf numFmtId="166" fontId="0" fillId="8" borderId="4" xfId="0" quotePrefix="1" applyNumberFormat="1" applyFill="1" applyBorder="1" applyAlignment="1" applyProtection="1">
      <alignment horizontal="center" vertical="center"/>
      <protection locked="0"/>
    </xf>
    <xf numFmtId="2" fontId="0" fillId="8" borderId="1" xfId="0" applyNumberFormat="1" applyFill="1" applyBorder="1" applyAlignment="1" applyProtection="1">
      <alignment horizontal="center" vertical="center" wrapText="1"/>
      <protection locked="0"/>
    </xf>
    <xf numFmtId="167" fontId="0" fillId="8" borderId="1" xfId="2" applyNumberFormat="1" applyFont="1" applyFill="1" applyBorder="1" applyAlignment="1" applyProtection="1">
      <alignment horizontal="center" vertical="center" wrapText="1"/>
      <protection locked="0"/>
    </xf>
    <xf numFmtId="10" fontId="0" fillId="8" borderId="3" xfId="0" applyNumberFormat="1" applyFill="1" applyBorder="1" applyAlignment="1" applyProtection="1">
      <alignment horizontal="center" vertical="center" wrapText="1"/>
      <protection locked="0"/>
    </xf>
    <xf numFmtId="0" fontId="0" fillId="8" borderId="1" xfId="0" applyFill="1" applyBorder="1" applyAlignment="1" applyProtection="1">
      <alignment horizontal="center" vertical="center"/>
      <protection locked="0"/>
    </xf>
    <xf numFmtId="0" fontId="0" fillId="8" borderId="1" xfId="0" applyFill="1" applyBorder="1" applyAlignment="1" applyProtection="1">
      <alignment horizontal="center"/>
      <protection locked="0"/>
    </xf>
    <xf numFmtId="167" fontId="0" fillId="8" borderId="1" xfId="0" applyNumberFormat="1" applyFill="1" applyBorder="1" applyAlignment="1" applyProtection="1">
      <alignment horizontal="center"/>
      <protection locked="0"/>
    </xf>
    <xf numFmtId="167" fontId="0" fillId="8" borderId="1" xfId="2" applyNumberFormat="1" applyFont="1" applyFill="1" applyBorder="1" applyAlignment="1" applyProtection="1">
      <alignment horizontal="center"/>
      <protection locked="0"/>
    </xf>
    <xf numFmtId="166" fontId="0" fillId="8" borderId="1" xfId="0" applyNumberFormat="1" applyFill="1" applyBorder="1" applyAlignment="1" applyProtection="1">
      <alignment horizontal="center"/>
      <protection locked="0"/>
    </xf>
    <xf numFmtId="9" fontId="0" fillId="8" borderId="1" xfId="0" applyNumberFormat="1" applyFill="1" applyBorder="1" applyAlignment="1" applyProtection="1">
      <alignment horizontal="center"/>
      <protection locked="0"/>
    </xf>
    <xf numFmtId="165" fontId="0" fillId="0" borderId="1" xfId="3" applyFont="1" applyBorder="1" applyAlignment="1">
      <alignment horizontal="center"/>
    </xf>
    <xf numFmtId="0" fontId="23" fillId="0" borderId="0" xfId="0" applyFont="1"/>
    <xf numFmtId="0" fontId="0" fillId="0" borderId="0" xfId="0" applyFill="1" applyBorder="1" applyAlignment="1">
      <alignment horizontal="center" vertical="center" wrapText="1"/>
    </xf>
    <xf numFmtId="0" fontId="0" fillId="0" borderId="3" xfId="0" applyFill="1" applyBorder="1" applyAlignment="1">
      <alignment horizontal="left" vertical="center" wrapText="1"/>
    </xf>
    <xf numFmtId="0" fontId="0" fillId="0" borderId="0" xfId="0" applyBorder="1" applyAlignment="1">
      <alignment horizontal="center"/>
    </xf>
    <xf numFmtId="0" fontId="0" fillId="0" borderId="0" xfId="0" applyFont="1" applyFill="1" applyBorder="1"/>
    <xf numFmtId="170" fontId="0" fillId="0" borderId="2" xfId="0" applyNumberFormat="1" applyFont="1" applyFill="1" applyBorder="1" applyAlignment="1">
      <alignment horizontal="center"/>
    </xf>
    <xf numFmtId="0" fontId="0" fillId="0" borderId="1" xfId="0" applyFont="1" applyFill="1" applyBorder="1"/>
    <xf numFmtId="0" fontId="0" fillId="9" borderId="6" xfId="0" applyFill="1" applyBorder="1"/>
    <xf numFmtId="0" fontId="0" fillId="9" borderId="7" xfId="0" applyFill="1" applyBorder="1"/>
    <xf numFmtId="0" fontId="19" fillId="9" borderId="8" xfId="0" applyFont="1" applyFill="1" applyBorder="1" applyAlignment="1">
      <alignment wrapText="1"/>
    </xf>
    <xf numFmtId="0" fontId="0" fillId="9" borderId="11" xfId="0" applyFill="1" applyBorder="1"/>
    <xf numFmtId="0" fontId="0" fillId="9" borderId="12" xfId="0" applyFill="1" applyBorder="1"/>
    <xf numFmtId="0" fontId="19" fillId="9" borderId="4" xfId="0" applyFont="1" applyFill="1" applyBorder="1" applyAlignment="1">
      <alignment wrapText="1"/>
    </xf>
    <xf numFmtId="10" fontId="0" fillId="0" borderId="0" xfId="0" applyNumberFormat="1" applyFill="1" applyBorder="1" applyAlignment="1">
      <alignment horizontal="center" vertical="center" wrapText="1"/>
    </xf>
    <xf numFmtId="0" fontId="2" fillId="2" borderId="5" xfId="0" applyFont="1" applyFill="1" applyBorder="1" applyAlignment="1">
      <alignment vertical="center" wrapText="1"/>
    </xf>
    <xf numFmtId="0" fontId="2" fillId="0" borderId="6" xfId="0" applyFont="1" applyFill="1" applyBorder="1" applyAlignment="1">
      <alignment vertical="center" wrapText="1"/>
    </xf>
    <xf numFmtId="167" fontId="4" fillId="0" borderId="5" xfId="2" applyNumberFormat="1" applyFont="1" applyFill="1" applyBorder="1" applyAlignment="1">
      <alignment horizontal="center"/>
    </xf>
    <xf numFmtId="167" fontId="4" fillId="0" borderId="15" xfId="2" applyNumberFormat="1" applyFont="1" applyFill="1" applyBorder="1" applyAlignment="1">
      <alignment horizontal="center"/>
    </xf>
    <xf numFmtId="167" fontId="4" fillId="0" borderId="3" xfId="2" applyNumberFormat="1" applyFont="1" applyFill="1" applyBorder="1" applyAlignment="1">
      <alignment horizontal="center"/>
    </xf>
    <xf numFmtId="0" fontId="13" fillId="0" borderId="2" xfId="0" applyFont="1" applyFill="1" applyBorder="1" applyAlignment="1">
      <alignment horizontal="center"/>
    </xf>
    <xf numFmtId="0" fontId="13" fillId="0" borderId="1" xfId="0" applyFont="1" applyFill="1" applyBorder="1" applyAlignment="1">
      <alignment horizontal="center"/>
    </xf>
    <xf numFmtId="166" fontId="0" fillId="0" borderId="4" xfId="3" applyNumberFormat="1" applyFont="1" applyBorder="1" applyAlignment="1">
      <alignment horizontal="center" vertical="center" wrapText="1"/>
    </xf>
    <xf numFmtId="166" fontId="0" fillId="0" borderId="1" xfId="0" applyNumberFormat="1" applyFont="1" applyFill="1" applyBorder="1" applyAlignment="1">
      <alignment horizontal="center" vertical="center" wrapText="1"/>
    </xf>
    <xf numFmtId="166" fontId="0" fillId="8" borderId="13" xfId="0" applyNumberFormat="1" applyFill="1" applyBorder="1" applyAlignment="1" applyProtection="1">
      <alignment horizontal="center"/>
      <protection locked="0"/>
    </xf>
    <xf numFmtId="166" fontId="0" fillId="8" borderId="2" xfId="0" applyNumberFormat="1" applyFont="1" applyFill="1" applyBorder="1" applyAlignment="1" applyProtection="1">
      <alignment horizontal="center" vertical="center"/>
      <protection locked="0"/>
    </xf>
    <xf numFmtId="166" fontId="2" fillId="0" borderId="1" xfId="0" applyNumberFormat="1" applyFont="1" applyFill="1" applyBorder="1" applyAlignment="1">
      <alignment horizontal="center" vertical="center"/>
    </xf>
    <xf numFmtId="2" fontId="0" fillId="8" borderId="1" xfId="0" applyNumberFormat="1" applyFill="1" applyBorder="1" applyAlignment="1" applyProtection="1">
      <alignment horizontal="center"/>
      <protection locked="0"/>
    </xf>
    <xf numFmtId="2" fontId="0" fillId="0" borderId="4" xfId="3" applyNumberFormat="1" applyFont="1" applyBorder="1" applyAlignment="1">
      <alignment horizontal="center" vertical="center" wrapText="1"/>
    </xf>
    <xf numFmtId="172" fontId="0" fillId="0" borderId="1" xfId="3" applyNumberFormat="1" applyFont="1" applyBorder="1" applyAlignment="1">
      <alignment horizontal="center" vertical="center" wrapText="1"/>
    </xf>
    <xf numFmtId="172" fontId="0" fillId="0" borderId="2" xfId="3" applyNumberFormat="1" applyFont="1" applyBorder="1" applyAlignment="1">
      <alignment horizontal="center" vertical="center" wrapText="1"/>
    </xf>
    <xf numFmtId="3" fontId="0" fillId="0" borderId="12" xfId="0" applyNumberFormat="1" applyBorder="1" applyAlignment="1">
      <alignment horizontal="center" vertical="center" wrapText="1"/>
    </xf>
    <xf numFmtId="3" fontId="0" fillId="8" borderId="3" xfId="0" applyNumberFormat="1" applyFill="1" applyBorder="1" applyAlignment="1" applyProtection="1">
      <alignment horizontal="center" vertical="center" wrapText="1"/>
      <protection locked="0"/>
    </xf>
    <xf numFmtId="167" fontId="0" fillId="0" borderId="1" xfId="0" applyNumberFormat="1" applyBorder="1" applyAlignment="1">
      <alignment horizontal="center"/>
    </xf>
    <xf numFmtId="0" fontId="2" fillId="2" borderId="14" xfId="0" applyFont="1" applyFill="1" applyBorder="1" applyAlignment="1">
      <alignment horizontal="center"/>
    </xf>
    <xf numFmtId="0" fontId="2" fillId="2" borderId="2" xfId="0" applyFont="1" applyFill="1" applyBorder="1" applyAlignment="1">
      <alignment horizontal="center"/>
    </xf>
    <xf numFmtId="0" fontId="0" fillId="0" borderId="8" xfId="0" applyBorder="1" applyAlignment="1">
      <alignment horizontal="center"/>
    </xf>
    <xf numFmtId="0" fontId="0" fillId="0" borderId="14" xfId="0" applyBorder="1" applyAlignment="1">
      <alignment horizontal="center"/>
    </xf>
    <xf numFmtId="0" fontId="0" fillId="0" borderId="13"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9" fontId="0" fillId="0" borderId="10" xfId="2" applyNumberFormat="1" applyFont="1" applyFill="1" applyBorder="1" applyAlignment="1">
      <alignment horizontal="center"/>
    </xf>
    <xf numFmtId="9" fontId="0" fillId="2" borderId="10" xfId="2" applyNumberFormat="1" applyFont="1" applyFill="1" applyBorder="1" applyAlignment="1">
      <alignment horizontal="center"/>
    </xf>
    <xf numFmtId="9" fontId="0" fillId="10" borderId="4" xfId="2" applyNumberFormat="1" applyFont="1" applyFill="1" applyBorder="1" applyAlignment="1">
      <alignment horizontal="center"/>
    </xf>
    <xf numFmtId="168" fontId="0" fillId="0" borderId="5" xfId="0" applyNumberFormat="1" applyFont="1" applyBorder="1" applyAlignment="1">
      <alignment horizontal="center"/>
    </xf>
    <xf numFmtId="168" fontId="0" fillId="0" borderId="15" xfId="0" applyNumberFormat="1" applyFont="1" applyBorder="1" applyAlignment="1">
      <alignment horizontal="center"/>
    </xf>
    <xf numFmtId="168" fontId="0" fillId="0" borderId="3" xfId="0" applyNumberFormat="1" applyFont="1" applyBorder="1" applyAlignment="1">
      <alignment horizontal="center"/>
    </xf>
    <xf numFmtId="0" fontId="0" fillId="0" borderId="0" xfId="0" applyFill="1" applyBorder="1" applyAlignment="1">
      <alignment wrapText="1"/>
    </xf>
    <xf numFmtId="0" fontId="6" fillId="0" borderId="0" xfId="0" applyFont="1" applyFill="1" applyBorder="1" applyAlignment="1">
      <alignment horizontal="center"/>
    </xf>
    <xf numFmtId="0" fontId="0" fillId="0" borderId="0" xfId="0" applyFill="1" applyBorder="1" applyAlignment="1">
      <alignment horizontal="center" wrapText="1"/>
    </xf>
    <xf numFmtId="166" fontId="0" fillId="0" borderId="0" xfId="0" applyNumberFormat="1" applyFill="1" applyBorder="1" applyAlignment="1">
      <alignment horizontal="center"/>
    </xf>
    <xf numFmtId="10" fontId="0" fillId="0" borderId="0" xfId="2" applyNumberFormat="1" applyFont="1" applyFill="1" applyBorder="1" applyAlignment="1">
      <alignment horizontal="center"/>
    </xf>
    <xf numFmtId="0" fontId="0" fillId="4" borderId="9" xfId="0" applyFill="1" applyBorder="1" applyAlignment="1">
      <alignment horizontal="center"/>
    </xf>
    <xf numFmtId="0" fontId="2" fillId="4" borderId="15" xfId="0" applyFont="1" applyFill="1" applyBorder="1" applyAlignment="1">
      <alignment horizontal="center"/>
    </xf>
    <xf numFmtId="0" fontId="0" fillId="10" borderId="3" xfId="0" applyFill="1" applyBorder="1" applyAlignment="1">
      <alignment horizontal="center"/>
    </xf>
    <xf numFmtId="0" fontId="6" fillId="0" borderId="9" xfId="0" applyFont="1" applyBorder="1" applyAlignment="1">
      <alignment horizontal="center"/>
    </xf>
    <xf numFmtId="0" fontId="7" fillId="2" borderId="14" xfId="0" applyFont="1" applyFill="1" applyBorder="1" applyAlignment="1"/>
    <xf numFmtId="0" fontId="2" fillId="2" borderId="1" xfId="0" applyFont="1" applyFill="1" applyBorder="1" applyAlignment="1">
      <alignment wrapText="1"/>
    </xf>
    <xf numFmtId="0" fontId="2" fillId="2" borderId="1" xfId="0" applyFont="1" applyFill="1" applyBorder="1" applyAlignment="1">
      <alignment horizontal="center" wrapText="1"/>
    </xf>
    <xf numFmtId="9" fontId="0" fillId="0" borderId="0" xfId="2" applyNumberFormat="1" applyFont="1" applyFill="1" applyBorder="1" applyAlignment="1">
      <alignment horizontal="center"/>
    </xf>
    <xf numFmtId="1" fontId="1" fillId="0" borderId="0" xfId="2" applyNumberFormat="1" applyFont="1" applyFill="1" applyBorder="1" applyAlignment="1">
      <alignment horizontal="center"/>
    </xf>
    <xf numFmtId="1" fontId="0" fillId="0" borderId="0" xfId="0" applyNumberFormat="1" applyFill="1" applyAlignment="1">
      <alignment horizontal="center"/>
    </xf>
    <xf numFmtId="166" fontId="0" fillId="0" borderId="0" xfId="0" applyNumberFormat="1" applyFill="1" applyAlignment="1">
      <alignment horizontal="center"/>
    </xf>
    <xf numFmtId="0" fontId="0" fillId="0" borderId="15" xfId="0" applyFont="1" applyBorder="1" applyAlignment="1">
      <alignment horizontal="center"/>
    </xf>
    <xf numFmtId="0" fontId="0" fillId="8" borderId="15" xfId="0" applyFont="1" applyFill="1" applyBorder="1" applyAlignment="1">
      <alignment horizontal="center"/>
    </xf>
    <xf numFmtId="1" fontId="14" fillId="4" borderId="5" xfId="0" applyNumberFormat="1" applyFont="1" applyFill="1" applyBorder="1" applyAlignment="1">
      <alignment horizontal="center"/>
    </xf>
    <xf numFmtId="1" fontId="0" fillId="8" borderId="15" xfId="0" applyNumberFormat="1" applyFill="1" applyBorder="1" applyAlignment="1">
      <alignment horizontal="center"/>
    </xf>
    <xf numFmtId="168" fontId="2" fillId="0" borderId="5" xfId="0" applyNumberFormat="1" applyFont="1" applyBorder="1" applyAlignment="1">
      <alignment horizontal="center"/>
    </xf>
    <xf numFmtId="168" fontId="2" fillId="0" borderId="15" xfId="0" applyNumberFormat="1" applyFont="1" applyBorder="1" applyAlignment="1">
      <alignment horizontal="center"/>
    </xf>
    <xf numFmtId="168" fontId="2" fillId="4" borderId="15" xfId="0" applyNumberFormat="1" applyFont="1" applyFill="1" applyBorder="1" applyAlignment="1">
      <alignment horizontal="center"/>
    </xf>
    <xf numFmtId="168" fontId="2" fillId="0" borderId="15" xfId="0" applyNumberFormat="1" applyFont="1" applyFill="1" applyBorder="1" applyAlignment="1">
      <alignment horizontal="center"/>
    </xf>
    <xf numFmtId="168" fontId="2" fillId="8" borderId="3" xfId="0" applyNumberFormat="1" applyFont="1" applyFill="1" applyBorder="1" applyAlignment="1">
      <alignment horizontal="center"/>
    </xf>
    <xf numFmtId="168" fontId="0" fillId="0" borderId="15" xfId="0" applyNumberFormat="1" applyFill="1" applyBorder="1" applyAlignment="1">
      <alignment horizontal="center"/>
    </xf>
    <xf numFmtId="168" fontId="0" fillId="0" borderId="5" xfId="0" applyNumberFormat="1" applyFill="1" applyBorder="1" applyAlignment="1">
      <alignment horizontal="center"/>
    </xf>
    <xf numFmtId="168" fontId="0" fillId="0" borderId="3" xfId="0" applyNumberFormat="1" applyFill="1" applyBorder="1" applyAlignment="1">
      <alignment horizontal="center"/>
    </xf>
    <xf numFmtId="1" fontId="0" fillId="0" borderId="5" xfId="0" applyNumberFormat="1" applyBorder="1" applyAlignment="1">
      <alignment horizontal="center"/>
    </xf>
    <xf numFmtId="1" fontId="0" fillId="2" borderId="5" xfId="0" applyNumberFormat="1" applyFill="1" applyBorder="1" applyAlignment="1">
      <alignment horizontal="center"/>
    </xf>
    <xf numFmtId="168" fontId="0" fillId="2" borderId="15" xfId="0" applyNumberFormat="1" applyFill="1" applyBorder="1" applyAlignment="1">
      <alignment horizontal="center"/>
    </xf>
    <xf numFmtId="9" fontId="0" fillId="8" borderId="6" xfId="0" applyNumberFormat="1" applyFill="1" applyBorder="1" applyAlignment="1">
      <alignment horizontal="center"/>
    </xf>
    <xf numFmtId="9" fontId="0" fillId="8" borderId="7" xfId="2" applyNumberFormat="1" applyFont="1" applyFill="1" applyBorder="1" applyAlignment="1">
      <alignment horizontal="center"/>
    </xf>
    <xf numFmtId="9" fontId="0" fillId="8" borderId="8" xfId="0" applyNumberFormat="1" applyFill="1" applyBorder="1" applyAlignment="1">
      <alignment horizontal="center"/>
    </xf>
    <xf numFmtId="9" fontId="0" fillId="8" borderId="8" xfId="2" applyNumberFormat="1" applyFont="1" applyFill="1" applyBorder="1" applyAlignment="1">
      <alignment horizontal="center"/>
    </xf>
    <xf numFmtId="9" fontId="0" fillId="0" borderId="5" xfId="0" applyNumberFormat="1" applyBorder="1" applyAlignment="1">
      <alignment horizontal="center"/>
    </xf>
    <xf numFmtId="9" fontId="0" fillId="4" borderId="15" xfId="0" applyNumberFormat="1" applyFill="1" applyBorder="1" applyAlignment="1">
      <alignment horizontal="center"/>
    </xf>
    <xf numFmtId="167" fontId="0" fillId="8" borderId="15" xfId="0" applyNumberFormat="1" applyFill="1" applyBorder="1" applyAlignment="1">
      <alignment horizontal="center"/>
    </xf>
    <xf numFmtId="167" fontId="0" fillId="0" borderId="15" xfId="0" applyNumberFormat="1" applyBorder="1" applyAlignment="1">
      <alignment horizontal="center"/>
    </xf>
    <xf numFmtId="167" fontId="0" fillId="2" borderId="15" xfId="0" applyNumberFormat="1" applyFill="1" applyBorder="1" applyAlignment="1">
      <alignment horizontal="center"/>
    </xf>
    <xf numFmtId="167" fontId="0" fillId="10" borderId="3" xfId="0" applyNumberFormat="1" applyFill="1" applyBorder="1" applyAlignment="1">
      <alignment horizontal="center"/>
    </xf>
    <xf numFmtId="9" fontId="0" fillId="8" borderId="15" xfId="0" applyNumberFormat="1" applyFill="1" applyBorder="1" applyAlignment="1">
      <alignment horizontal="center"/>
    </xf>
    <xf numFmtId="167" fontId="0" fillId="0" borderId="15" xfId="0" applyNumberFormat="1" applyFill="1" applyBorder="1" applyAlignment="1">
      <alignment horizontal="center"/>
    </xf>
    <xf numFmtId="167" fontId="0" fillId="0" borderId="9" xfId="2" applyNumberFormat="1" applyFont="1" applyFill="1" applyBorder="1" applyAlignment="1">
      <alignment horizontal="center"/>
    </xf>
    <xf numFmtId="167" fontId="0" fillId="2" borderId="9" xfId="2" applyNumberFormat="1" applyFont="1" applyFill="1" applyBorder="1" applyAlignment="1">
      <alignment horizontal="center"/>
    </xf>
    <xf numFmtId="167" fontId="0" fillId="10" borderId="11" xfId="2" applyNumberFormat="1" applyFont="1" applyFill="1" applyBorder="1" applyAlignment="1">
      <alignment horizontal="center"/>
    </xf>
    <xf numFmtId="9" fontId="0" fillId="2" borderId="6" xfId="2" applyFont="1" applyFill="1" applyBorder="1" applyAlignment="1">
      <alignment horizontal="center"/>
    </xf>
    <xf numFmtId="9" fontId="0" fillId="2" borderId="5" xfId="2" applyFont="1" applyFill="1" applyBorder="1" applyAlignment="1">
      <alignment horizontal="center"/>
    </xf>
    <xf numFmtId="9" fontId="0" fillId="2" borderId="15" xfId="0" applyNumberFormat="1" applyFill="1" applyBorder="1" applyAlignment="1">
      <alignment horizontal="center"/>
    </xf>
    <xf numFmtId="9" fontId="0" fillId="10" borderId="3" xfId="0" applyNumberFormat="1" applyFill="1" applyBorder="1" applyAlignment="1">
      <alignment horizontal="center"/>
    </xf>
    <xf numFmtId="1" fontId="1" fillId="0" borderId="5" xfId="2" applyNumberFormat="1" applyFont="1" applyBorder="1" applyAlignment="1">
      <alignment horizontal="center"/>
    </xf>
    <xf numFmtId="1" fontId="1" fillId="0" borderId="15" xfId="2" applyNumberFormat="1" applyFont="1" applyBorder="1" applyAlignment="1">
      <alignment horizontal="center"/>
    </xf>
    <xf numFmtId="1" fontId="1" fillId="2" borderId="15" xfId="2" applyNumberFormat="1" applyFont="1" applyFill="1" applyBorder="1" applyAlignment="1">
      <alignment horizontal="center"/>
    </xf>
    <xf numFmtId="1" fontId="1" fillId="10" borderId="3" xfId="2" applyNumberFormat="1" applyFont="1" applyFill="1" applyBorder="1" applyAlignment="1">
      <alignment horizontal="center"/>
    </xf>
    <xf numFmtId="1" fontId="2" fillId="0" borderId="5" xfId="0" applyNumberFormat="1" applyFont="1" applyBorder="1" applyAlignment="1">
      <alignment horizontal="center"/>
    </xf>
    <xf numFmtId="1" fontId="2" fillId="4" borderId="15" xfId="0" applyNumberFormat="1" applyFont="1" applyFill="1" applyBorder="1" applyAlignment="1">
      <alignment horizontal="center"/>
    </xf>
    <xf numFmtId="0" fontId="2" fillId="0" borderId="13" xfId="0" applyFont="1" applyBorder="1" applyAlignment="1">
      <alignment horizontal="center"/>
    </xf>
    <xf numFmtId="0" fontId="0" fillId="0" borderId="0" xfId="0" applyNumberFormat="1"/>
    <xf numFmtId="0" fontId="2" fillId="0" borderId="0" xfId="0" applyFont="1" applyBorder="1" applyAlignment="1"/>
    <xf numFmtId="165" fontId="0" fillId="0" borderId="5" xfId="3" applyFont="1" applyBorder="1" applyAlignment="1">
      <alignment horizontal="center"/>
    </xf>
    <xf numFmtId="165" fontId="0" fillId="0" borderId="15" xfId="3" applyFont="1" applyBorder="1" applyAlignment="1">
      <alignment horizontal="center"/>
    </xf>
    <xf numFmtId="165" fontId="0" fillId="0" borderId="3" xfId="3" applyFont="1" applyBorder="1" applyAlignment="1">
      <alignment horizontal="center"/>
    </xf>
    <xf numFmtId="0" fontId="2" fillId="0" borderId="0" xfId="0" applyFont="1" applyBorder="1" applyAlignment="1">
      <alignment horizontal="center"/>
    </xf>
    <xf numFmtId="0" fontId="15" fillId="0" borderId="0" xfId="0" applyFont="1" applyBorder="1"/>
    <xf numFmtId="166" fontId="2" fillId="0" borderId="12" xfId="0" applyNumberFormat="1" applyFont="1" applyBorder="1" applyAlignment="1">
      <alignment horizontal="center"/>
    </xf>
    <xf numFmtId="2" fontId="2" fillId="0" borderId="0" xfId="0" applyNumberFormat="1" applyFont="1" applyBorder="1" applyAlignment="1">
      <alignment horizontal="center"/>
    </xf>
    <xf numFmtId="0" fontId="2" fillId="0" borderId="0" xfId="0" applyFont="1" applyFill="1" applyBorder="1" applyAlignment="1">
      <alignment horizontal="center"/>
    </xf>
    <xf numFmtId="0" fontId="0" fillId="0" borderId="0" xfId="0" applyFill="1" applyBorder="1" applyAlignment="1">
      <alignment horizontal="center" vertical="center" wrapText="1"/>
    </xf>
    <xf numFmtId="0" fontId="0" fillId="0" borderId="11" xfId="0" applyFill="1" applyBorder="1"/>
    <xf numFmtId="167" fontId="4" fillId="0" borderId="4" xfId="2" applyNumberFormat="1" applyFont="1" applyFill="1" applyBorder="1" applyAlignment="1">
      <alignment horizontal="center"/>
    </xf>
    <xf numFmtId="167" fontId="4" fillId="0" borderId="8" xfId="2" applyNumberFormat="1" applyFont="1" applyFill="1" applyBorder="1" applyAlignment="1">
      <alignment horizontal="center"/>
    </xf>
    <xf numFmtId="167" fontId="4" fillId="0" borderId="10" xfId="2" applyNumberFormat="1" applyFont="1" applyFill="1" applyBorder="1" applyAlignment="1">
      <alignment horizontal="center"/>
    </xf>
    <xf numFmtId="165" fontId="0" fillId="0" borderId="9" xfId="3" applyFont="1" applyBorder="1"/>
    <xf numFmtId="165" fontId="0" fillId="0" borderId="9" xfId="3" applyFont="1" applyFill="1" applyBorder="1" applyAlignment="1">
      <alignment horizontal="center" vertical="center" wrapText="1"/>
    </xf>
    <xf numFmtId="10" fontId="0" fillId="0" borderId="9" xfId="0" applyNumberFormat="1" applyFill="1" applyBorder="1" applyAlignment="1">
      <alignment horizontal="center" vertical="center" wrapText="1"/>
    </xf>
    <xf numFmtId="1" fontId="0" fillId="0" borderId="9" xfId="0" applyNumberFormat="1" applyBorder="1"/>
    <xf numFmtId="1" fontId="0" fillId="0" borderId="10" xfId="0" applyNumberFormat="1" applyBorder="1" applyAlignment="1">
      <alignment horizontal="left"/>
    </xf>
    <xf numFmtId="0" fontId="0" fillId="0" borderId="10" xfId="0" applyBorder="1" applyAlignment="1">
      <alignment horizontal="left"/>
    </xf>
    <xf numFmtId="0" fontId="0" fillId="0" borderId="8" xfId="0" applyBorder="1" applyAlignment="1">
      <alignment horizontal="left"/>
    </xf>
    <xf numFmtId="0" fontId="0" fillId="0" borderId="4" xfId="0" applyBorder="1" applyAlignment="1">
      <alignment horizontal="left"/>
    </xf>
    <xf numFmtId="167" fontId="0" fillId="0" borderId="2" xfId="2" applyNumberFormat="1" applyFont="1" applyBorder="1" applyAlignment="1">
      <alignment horizontal="center" vertical="center" wrapText="1"/>
    </xf>
    <xf numFmtId="171" fontId="0" fillId="0" borderId="0" xfId="3" applyNumberFormat="1" applyFont="1" applyBorder="1" applyAlignment="1">
      <alignment horizontal="center" vertical="center" wrapText="1"/>
    </xf>
    <xf numFmtId="167" fontId="0" fillId="0" borderId="0" xfId="2" applyNumberFormat="1" applyFont="1" applyBorder="1" applyAlignment="1">
      <alignment horizontal="center" vertical="center" wrapText="1"/>
    </xf>
    <xf numFmtId="170" fontId="0" fillId="0" borderId="0" xfId="3" applyNumberFormat="1" applyFont="1" applyBorder="1" applyAlignment="1">
      <alignment horizontal="center" vertical="center" wrapText="1"/>
    </xf>
    <xf numFmtId="166" fontId="2" fillId="0" borderId="0" xfId="0" applyNumberFormat="1" applyFont="1" applyFill="1" applyBorder="1" applyAlignment="1">
      <alignment horizontal="center" vertical="center"/>
    </xf>
    <xf numFmtId="172" fontId="0" fillId="0" borderId="0" xfId="3" applyNumberFormat="1" applyFont="1" applyBorder="1" applyAlignment="1">
      <alignment horizontal="center" vertical="center" wrapText="1"/>
    </xf>
    <xf numFmtId="9" fontId="0" fillId="0" borderId="0" xfId="2" applyFont="1" applyBorder="1" applyAlignment="1">
      <alignment horizontal="center" vertical="center" wrapText="1"/>
    </xf>
    <xf numFmtId="166" fontId="0" fillId="0" borderId="0" xfId="0" applyNumberFormat="1" applyBorder="1" applyAlignment="1">
      <alignment horizontal="center" vertical="center" wrapText="1"/>
    </xf>
    <xf numFmtId="168" fontId="0" fillId="0" borderId="0" xfId="0" applyNumberFormat="1" applyBorder="1" applyAlignment="1">
      <alignment horizontal="center" vertical="center" wrapText="1"/>
    </xf>
    <xf numFmtId="0" fontId="0" fillId="0" borderId="14" xfId="0" applyFont="1" applyFill="1" applyBorder="1" applyAlignment="1">
      <alignment horizontal="center" vertical="center" wrapText="1"/>
    </xf>
    <xf numFmtId="0" fontId="0" fillId="0" borderId="11" xfId="0" applyFont="1" applyFill="1" applyBorder="1" applyAlignment="1">
      <alignment horizontal="center" vertical="center" wrapText="1"/>
    </xf>
    <xf numFmtId="0" fontId="0" fillId="0" borderId="11" xfId="0" applyBorder="1" applyAlignment="1">
      <alignment horizontal="center" vertical="center" wrapText="1"/>
    </xf>
    <xf numFmtId="9" fontId="0" fillId="0" borderId="14" xfId="0" applyNumberFormat="1" applyBorder="1" applyAlignment="1">
      <alignment horizontal="center" vertical="center" wrapText="1"/>
    </xf>
    <xf numFmtId="0" fontId="0" fillId="0" borderId="14" xfId="0" applyFill="1" applyBorder="1" applyAlignment="1">
      <alignment horizontal="center" vertical="center" wrapText="1"/>
    </xf>
    <xf numFmtId="1" fontId="0" fillId="0" borderId="14" xfId="0" applyNumberFormat="1" applyBorder="1" applyAlignment="1">
      <alignment horizontal="center"/>
    </xf>
    <xf numFmtId="2" fontId="0" fillId="0" borderId="11" xfId="3" applyNumberFormat="1" applyFont="1" applyBorder="1" applyAlignment="1">
      <alignment horizontal="center"/>
    </xf>
    <xf numFmtId="166" fontId="0" fillId="0" borderId="0" xfId="3" applyNumberFormat="1" applyFont="1" applyBorder="1" applyAlignment="1">
      <alignment horizontal="center" vertical="center" wrapText="1"/>
    </xf>
    <xf numFmtId="0" fontId="2" fillId="0" borderId="0" xfId="0" applyFont="1" applyFill="1" applyBorder="1" applyAlignment="1"/>
    <xf numFmtId="1" fontId="0" fillId="0" borderId="0" xfId="0" applyNumberFormat="1" applyFill="1" applyBorder="1" applyAlignment="1" applyProtection="1">
      <alignment horizontal="center" vertical="center" wrapText="1"/>
      <protection locked="0"/>
    </xf>
    <xf numFmtId="9" fontId="0" fillId="0" borderId="0" xfId="2" applyFont="1" applyFill="1" applyBorder="1" applyAlignment="1" applyProtection="1">
      <alignment horizontal="center" vertical="center" wrapText="1"/>
      <protection locked="0"/>
    </xf>
    <xf numFmtId="171" fontId="0" fillId="0" borderId="0" xfId="3" applyNumberFormat="1" applyFont="1" applyFill="1" applyBorder="1" applyAlignment="1">
      <alignment horizontal="center" vertical="center" wrapText="1"/>
    </xf>
    <xf numFmtId="170" fontId="0" fillId="0" borderId="0" xfId="3" applyNumberFormat="1" applyFont="1" applyFill="1" applyBorder="1" applyAlignment="1">
      <alignment horizontal="center" vertical="center" wrapText="1"/>
    </xf>
    <xf numFmtId="3" fontId="0" fillId="0" borderId="0" xfId="3" applyNumberFormat="1" applyFont="1" applyFill="1" applyBorder="1" applyAlignment="1">
      <alignment horizontal="center" vertical="center" wrapText="1"/>
    </xf>
    <xf numFmtId="166" fontId="0" fillId="0" borderId="11" xfId="0" applyNumberFormat="1" applyBorder="1" applyAlignment="1">
      <alignment horizontal="center" vertical="center" wrapText="1"/>
    </xf>
    <xf numFmtId="166" fontId="0" fillId="0" borderId="14" xfId="0" applyNumberFormat="1" applyBorder="1" applyAlignment="1">
      <alignment horizontal="center" vertical="center" wrapText="1"/>
    </xf>
    <xf numFmtId="1" fontId="0" fillId="0" borderId="11" xfId="0" applyNumberFormat="1" applyBorder="1" applyAlignment="1">
      <alignment horizontal="center" vertical="center" wrapText="1"/>
    </xf>
    <xf numFmtId="9" fontId="0" fillId="0" borderId="11" xfId="0" applyNumberFormat="1" applyBorder="1" applyAlignment="1">
      <alignment horizontal="center" vertical="center" wrapText="1"/>
    </xf>
    <xf numFmtId="167" fontId="0" fillId="0" borderId="14" xfId="0" applyNumberFormat="1" applyBorder="1" applyAlignment="1">
      <alignment horizontal="center" vertical="center" wrapText="1"/>
    </xf>
    <xf numFmtId="0" fontId="0" fillId="0" borderId="3"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10" fontId="0" fillId="0" borderId="1" xfId="0" applyNumberFormat="1" applyBorder="1" applyAlignment="1">
      <alignment horizontal="center" vertical="center"/>
    </xf>
    <xf numFmtId="10" fontId="0" fillId="0" borderId="3" xfId="0" applyNumberFormat="1" applyBorder="1" applyAlignment="1">
      <alignment horizontal="center" vertical="center" wrapText="1"/>
    </xf>
    <xf numFmtId="166" fontId="0" fillId="0" borderId="0" xfId="0" applyNumberFormat="1" applyFill="1" applyBorder="1" applyAlignment="1">
      <alignment horizontal="center" vertical="center" wrapText="1"/>
    </xf>
    <xf numFmtId="0" fontId="0" fillId="0" borderId="0" xfId="0" applyFill="1" applyBorder="1" applyAlignment="1" applyProtection="1">
      <alignment horizontal="center"/>
      <protection locked="0"/>
    </xf>
    <xf numFmtId="172" fontId="0" fillId="0" borderId="0" xfId="3" applyNumberFormat="1" applyFont="1" applyFill="1" applyBorder="1" applyAlignment="1">
      <alignment horizontal="center" vertical="center" wrapText="1"/>
    </xf>
    <xf numFmtId="10" fontId="0" fillId="0" borderId="0" xfId="2" applyNumberFormat="1" applyFont="1" applyFill="1" applyBorder="1" applyAlignment="1">
      <alignment horizontal="center" vertical="center" wrapText="1"/>
    </xf>
    <xf numFmtId="2" fontId="0" fillId="0" borderId="0" xfId="3" applyNumberFormat="1" applyFont="1" applyFill="1" applyBorder="1" applyAlignment="1">
      <alignment horizontal="center" vertical="center" wrapText="1"/>
    </xf>
    <xf numFmtId="166" fontId="0" fillId="0" borderId="0" xfId="3" applyNumberFormat="1" applyFont="1" applyFill="1" applyBorder="1" applyAlignment="1">
      <alignment horizontal="center" vertical="center" wrapText="1"/>
    </xf>
    <xf numFmtId="168" fontId="0" fillId="0" borderId="0" xfId="0" applyNumberFormat="1" applyFill="1" applyBorder="1" applyAlignment="1">
      <alignment horizontal="center" vertical="center" wrapText="1"/>
    </xf>
    <xf numFmtId="2" fontId="0" fillId="0" borderId="0" xfId="0" applyNumberFormat="1" applyFill="1" applyBorder="1" applyAlignment="1">
      <alignment horizontal="center" vertical="center" wrapText="1"/>
    </xf>
    <xf numFmtId="174" fontId="0" fillId="0" borderId="9" xfId="3" applyNumberFormat="1" applyFont="1" applyFill="1" applyBorder="1" applyAlignment="1">
      <alignment horizontal="center" vertical="center" wrapText="1"/>
    </xf>
    <xf numFmtId="0" fontId="0" fillId="0" borderId="0" xfId="0" applyFill="1" applyAlignment="1">
      <alignment horizontal="left"/>
    </xf>
    <xf numFmtId="1" fontId="0" fillId="0" borderId="0" xfId="0" applyNumberFormat="1" applyAlignment="1">
      <alignment horizontal="left"/>
    </xf>
    <xf numFmtId="0" fontId="2" fillId="0" borderId="0" xfId="0" applyFont="1" applyFill="1" applyBorder="1" applyAlignment="1">
      <alignment horizontal="left" vertical="center" wrapText="1"/>
    </xf>
    <xf numFmtId="2" fontId="0" fillId="0" borderId="0" xfId="0" applyNumberFormat="1" applyAlignment="1">
      <alignment horizontal="left"/>
    </xf>
    <xf numFmtId="0" fontId="2" fillId="2" borderId="4" xfId="0" applyFont="1" applyFill="1" applyBorder="1" applyAlignment="1">
      <alignment horizontal="left" vertical="center" wrapText="1"/>
    </xf>
    <xf numFmtId="168" fontId="0" fillId="0" borderId="5" xfId="0" applyNumberFormat="1" applyBorder="1" applyAlignment="1">
      <alignment horizontal="left"/>
    </xf>
    <xf numFmtId="168" fontId="0" fillId="0" borderId="15" xfId="0" applyNumberFormat="1" applyBorder="1" applyAlignment="1">
      <alignment horizontal="left"/>
    </xf>
    <xf numFmtId="168" fontId="0" fillId="0" borderId="3" xfId="0" applyNumberFormat="1" applyBorder="1" applyAlignment="1">
      <alignment horizontal="left"/>
    </xf>
    <xf numFmtId="169" fontId="0" fillId="0" borderId="0" xfId="0" applyNumberFormat="1" applyBorder="1" applyAlignment="1">
      <alignment horizontal="left"/>
    </xf>
    <xf numFmtId="168" fontId="0" fillId="0" borderId="0" xfId="0" applyNumberFormat="1" applyAlignment="1">
      <alignment horizontal="left"/>
    </xf>
    <xf numFmtId="169" fontId="0" fillId="0" borderId="0" xfId="0" applyNumberFormat="1" applyAlignment="1">
      <alignment horizontal="left"/>
    </xf>
    <xf numFmtId="2" fontId="0" fillId="0" borderId="1" xfId="0" applyNumberFormat="1" applyFont="1" applyFill="1" applyBorder="1" applyAlignment="1">
      <alignment horizontal="left"/>
    </xf>
    <xf numFmtId="2" fontId="2" fillId="0" borderId="0" xfId="0" applyNumberFormat="1" applyFont="1" applyFill="1" applyBorder="1" applyAlignment="1">
      <alignment horizontal="left"/>
    </xf>
    <xf numFmtId="0" fontId="0" fillId="0" borderId="0" xfId="0" applyBorder="1" applyAlignment="1">
      <alignment horizontal="left"/>
    </xf>
    <xf numFmtId="2" fontId="0" fillId="0" borderId="0" xfId="0" applyNumberFormat="1" applyBorder="1" applyAlignment="1">
      <alignment horizontal="left"/>
    </xf>
    <xf numFmtId="165" fontId="0" fillId="0" borderId="5" xfId="3" applyFont="1" applyBorder="1" applyAlignment="1">
      <alignment horizontal="left"/>
    </xf>
    <xf numFmtId="165" fontId="0" fillId="0" borderId="15" xfId="3" applyFont="1" applyBorder="1" applyAlignment="1">
      <alignment horizontal="left"/>
    </xf>
    <xf numFmtId="165" fontId="0" fillId="0" borderId="3" xfId="3" applyFont="1" applyBorder="1" applyAlignment="1">
      <alignment horizontal="left"/>
    </xf>
    <xf numFmtId="165" fontId="0" fillId="0" borderId="1" xfId="3" applyFont="1" applyBorder="1" applyAlignment="1">
      <alignment horizontal="left"/>
    </xf>
    <xf numFmtId="2" fontId="0" fillId="0" borderId="15" xfId="0" applyNumberFormat="1" applyBorder="1" applyAlignment="1">
      <alignment horizontal="left"/>
    </xf>
    <xf numFmtId="2" fontId="0" fillId="0" borderId="1" xfId="0" applyNumberFormat="1" applyBorder="1" applyAlignment="1">
      <alignment horizontal="left"/>
    </xf>
    <xf numFmtId="1" fontId="0" fillId="0" borderId="13" xfId="0" applyNumberFormat="1" applyBorder="1" applyAlignment="1">
      <alignment horizontal="left"/>
    </xf>
    <xf numFmtId="2" fontId="0" fillId="0" borderId="7" xfId="0" applyNumberFormat="1" applyBorder="1" applyAlignment="1">
      <alignment horizontal="left"/>
    </xf>
    <xf numFmtId="2" fontId="0" fillId="0" borderId="12" xfId="0" applyNumberFormat="1" applyBorder="1" applyAlignment="1">
      <alignment horizontal="left"/>
    </xf>
    <xf numFmtId="2" fontId="0" fillId="0" borderId="0" xfId="0" applyNumberFormat="1" applyFill="1" applyBorder="1" applyAlignment="1">
      <alignment horizontal="left"/>
    </xf>
    <xf numFmtId="2" fontId="0" fillId="0" borderId="12" xfId="0" applyNumberFormat="1" applyFill="1" applyBorder="1" applyAlignment="1">
      <alignment horizontal="left"/>
    </xf>
    <xf numFmtId="2" fontId="0" fillId="0" borderId="7" xfId="0" applyNumberFormat="1" applyFill="1" applyBorder="1" applyAlignment="1">
      <alignment horizontal="left"/>
    </xf>
    <xf numFmtId="0" fontId="0" fillId="0" borderId="2" xfId="0" applyBorder="1" applyAlignment="1">
      <alignment horizontal="left"/>
    </xf>
    <xf numFmtId="0" fontId="2" fillId="0" borderId="0" xfId="0" applyFont="1" applyFill="1" applyBorder="1" applyAlignment="1">
      <alignment horizontal="left"/>
    </xf>
    <xf numFmtId="0" fontId="2" fillId="0" borderId="0" xfId="0" applyFont="1" applyFill="1" applyBorder="1" applyAlignment="1">
      <alignment horizontal="left" vertical="center"/>
    </xf>
    <xf numFmtId="0" fontId="2" fillId="2" borderId="1" xfId="0" applyFont="1" applyFill="1" applyBorder="1" applyAlignment="1">
      <alignment horizontal="center"/>
    </xf>
    <xf numFmtId="1" fontId="0" fillId="0" borderId="3" xfId="0" applyNumberFormat="1" applyFont="1" applyFill="1" applyBorder="1" applyAlignment="1">
      <alignment horizontal="center" vertical="center" wrapText="1"/>
    </xf>
    <xf numFmtId="1" fontId="0" fillId="0" borderId="1" xfId="0" applyNumberFormat="1" applyFont="1" applyFill="1" applyBorder="1" applyAlignment="1">
      <alignment horizontal="center" vertical="center" wrapText="1"/>
    </xf>
    <xf numFmtId="1" fontId="0" fillId="0" borderId="13" xfId="0" applyNumberFormat="1" applyFont="1" applyFill="1" applyBorder="1" applyAlignment="1">
      <alignment horizontal="center" vertical="center" wrapText="1"/>
    </xf>
    <xf numFmtId="1" fontId="0" fillId="0" borderId="2" xfId="0" applyNumberFormat="1" applyFont="1" applyFill="1" applyBorder="1" applyAlignment="1">
      <alignment horizontal="center" vertical="center" wrapText="1"/>
    </xf>
    <xf numFmtId="1" fontId="0" fillId="0" borderId="12" xfId="0" applyNumberFormat="1" applyFont="1" applyFill="1" applyBorder="1" applyAlignment="1">
      <alignment horizontal="center" vertical="center" wrapText="1"/>
    </xf>
    <xf numFmtId="1" fontId="0" fillId="0" borderId="4" xfId="0" applyNumberFormat="1" applyFont="1" applyFill="1" applyBorder="1" applyAlignment="1">
      <alignment horizontal="center" vertical="center" wrapText="1"/>
    </xf>
    <xf numFmtId="0" fontId="25" fillId="0" borderId="0" xfId="0" applyFont="1"/>
    <xf numFmtId="0" fontId="0" fillId="2" borderId="3" xfId="0" applyFill="1" applyBorder="1"/>
    <xf numFmtId="0" fontId="18" fillId="0" borderId="0" xfId="0" applyFont="1" applyAlignment="1">
      <alignment wrapText="1"/>
    </xf>
    <xf numFmtId="0" fontId="2" fillId="0" borderId="0" xfId="0" applyFont="1" applyAlignment="1">
      <alignment horizontal="center"/>
    </xf>
    <xf numFmtId="0" fontId="18" fillId="0" borderId="40" xfId="0" applyFont="1" applyBorder="1" applyAlignment="1">
      <alignment horizontal="center" wrapText="1"/>
    </xf>
    <xf numFmtId="0" fontId="18" fillId="0" borderId="18" xfId="0" applyFont="1" applyBorder="1" applyAlignment="1">
      <alignment horizontal="center" wrapText="1"/>
    </xf>
    <xf numFmtId="0" fontId="18" fillId="0" borderId="41" xfId="0" applyFont="1" applyBorder="1" applyAlignment="1">
      <alignment horizontal="center" wrapText="1"/>
    </xf>
    <xf numFmtId="0" fontId="19" fillId="0" borderId="42" xfId="0" applyFont="1" applyBorder="1" applyAlignment="1">
      <alignment horizontal="center" wrapText="1"/>
    </xf>
    <xf numFmtId="0" fontId="19" fillId="0" borderId="17" xfId="0" applyFont="1" applyBorder="1" applyAlignment="1">
      <alignment horizontal="center" wrapText="1"/>
    </xf>
    <xf numFmtId="0" fontId="19" fillId="0" borderId="35" xfId="0" applyFont="1" applyBorder="1" applyAlignment="1">
      <alignment horizontal="center" wrapText="1"/>
    </xf>
    <xf numFmtId="0" fontId="19" fillId="0" borderId="23" xfId="0" applyFont="1" applyBorder="1" applyAlignment="1">
      <alignment wrapText="1"/>
    </xf>
    <xf numFmtId="0" fontId="19" fillId="0" borderId="26" xfId="0" applyFont="1" applyBorder="1" applyAlignment="1">
      <alignment wrapText="1"/>
    </xf>
    <xf numFmtId="0" fontId="0" fillId="0" borderId="0" xfId="0" quotePrefix="1"/>
    <xf numFmtId="0" fontId="19" fillId="0" borderId="28" xfId="0" applyFont="1" applyBorder="1" applyAlignment="1">
      <alignment wrapText="1"/>
    </xf>
    <xf numFmtId="0" fontId="19" fillId="0" borderId="0" xfId="0" applyFont="1" applyAlignment="1">
      <alignment wrapText="1"/>
    </xf>
    <xf numFmtId="0" fontId="19" fillId="0" borderId="40" xfId="0" applyFont="1" applyBorder="1" applyAlignment="1">
      <alignment horizontal="center" wrapText="1"/>
    </xf>
    <xf numFmtId="0" fontId="19" fillId="0" borderId="18" xfId="0" applyFont="1" applyBorder="1" applyAlignment="1">
      <alignment horizontal="center" wrapText="1"/>
    </xf>
    <xf numFmtId="0" fontId="19" fillId="0" borderId="41" xfId="0" applyFont="1" applyBorder="1" applyAlignment="1">
      <alignment horizontal="center" wrapText="1"/>
    </xf>
    <xf numFmtId="0" fontId="19" fillId="0" borderId="31" xfId="0" applyFont="1" applyBorder="1" applyAlignment="1">
      <alignment wrapText="1"/>
    </xf>
    <xf numFmtId="0" fontId="19" fillId="0" borderId="32" xfId="0" applyFont="1" applyBorder="1" applyAlignment="1">
      <alignment wrapText="1"/>
    </xf>
    <xf numFmtId="0" fontId="19" fillId="0" borderId="33" xfId="0" applyFont="1" applyBorder="1" applyAlignment="1">
      <alignment wrapText="1"/>
    </xf>
    <xf numFmtId="0" fontId="19" fillId="0" borderId="9" xfId="0" applyFont="1" applyBorder="1" applyAlignment="1">
      <alignment horizontal="center" wrapText="1"/>
    </xf>
    <xf numFmtId="0" fontId="19" fillId="0" borderId="22" xfId="0" applyFont="1" applyBorder="1" applyAlignment="1">
      <alignment horizontal="center" wrapText="1"/>
    </xf>
    <xf numFmtId="0" fontId="19" fillId="0" borderId="21" xfId="0" applyFont="1" applyBorder="1" applyAlignment="1">
      <alignment wrapText="1"/>
    </xf>
    <xf numFmtId="0" fontId="19" fillId="0" borderId="43" xfId="0" applyFont="1" applyBorder="1" applyAlignment="1">
      <alignment horizontal="center" wrapText="1"/>
    </xf>
    <xf numFmtId="0" fontId="19" fillId="0" borderId="34" xfId="0" applyFont="1" applyBorder="1" applyAlignment="1">
      <alignment horizontal="center" wrapText="1"/>
    </xf>
    <xf numFmtId="0" fontId="19" fillId="0" borderId="44" xfId="0" applyFont="1" applyBorder="1" applyAlignment="1">
      <alignment horizontal="center" wrapText="1"/>
    </xf>
    <xf numFmtId="0" fontId="19" fillId="0" borderId="45" xfId="0" applyFont="1" applyBorder="1" applyAlignment="1">
      <alignment wrapText="1"/>
    </xf>
    <xf numFmtId="0" fontId="19" fillId="16" borderId="42" xfId="0" applyFont="1" applyFill="1" applyBorder="1" applyAlignment="1">
      <alignment horizontal="center" wrapText="1"/>
    </xf>
    <xf numFmtId="0" fontId="19" fillId="14" borderId="17" xfId="0" applyFont="1" applyFill="1" applyBorder="1" applyAlignment="1">
      <alignment horizontal="center" wrapText="1"/>
    </xf>
    <xf numFmtId="0" fontId="19" fillId="13" borderId="35" xfId="0" applyFont="1" applyFill="1" applyBorder="1" applyAlignment="1">
      <alignment horizontal="center" wrapText="1"/>
    </xf>
    <xf numFmtId="9" fontId="19" fillId="16" borderId="36" xfId="2" applyFont="1" applyFill="1" applyBorder="1" applyAlignment="1">
      <alignment horizontal="center" wrapText="1"/>
    </xf>
    <xf numFmtId="9" fontId="19" fillId="14" borderId="24" xfId="2" applyFont="1" applyFill="1" applyBorder="1" applyAlignment="1">
      <alignment horizontal="center" wrapText="1"/>
    </xf>
    <xf numFmtId="9" fontId="19" fillId="13" borderId="25" xfId="2" applyFont="1" applyFill="1" applyBorder="1" applyAlignment="1">
      <alignment horizontal="center" wrapText="1"/>
    </xf>
    <xf numFmtId="9" fontId="19" fillId="14" borderId="29" xfId="2" applyFont="1" applyFill="1" applyBorder="1" applyAlignment="1">
      <alignment horizontal="center" wrapText="1"/>
    </xf>
    <xf numFmtId="9" fontId="20" fillId="0" borderId="44" xfId="0" applyNumberFormat="1" applyFont="1" applyBorder="1" applyAlignment="1">
      <alignment horizontal="center" wrapText="1"/>
    </xf>
    <xf numFmtId="9" fontId="20" fillId="0" borderId="35" xfId="0" applyNumberFormat="1" applyFont="1" applyBorder="1" applyAlignment="1">
      <alignment horizontal="center" wrapText="1"/>
    </xf>
    <xf numFmtId="0" fontId="0" fillId="0" borderId="15" xfId="5" applyNumberFormat="1" applyFont="1" applyBorder="1" applyAlignment="1">
      <alignment horizontal="center"/>
    </xf>
    <xf numFmtId="1" fontId="0" fillId="0" borderId="9" xfId="2" applyNumberFormat="1" applyFont="1" applyFill="1" applyBorder="1"/>
    <xf numFmtId="1" fontId="0" fillId="0" borderId="10" xfId="2" applyNumberFormat="1" applyFont="1" applyFill="1" applyBorder="1"/>
    <xf numFmtId="0" fontId="2" fillId="2" borderId="7" xfId="0" applyFont="1" applyFill="1" applyBorder="1" applyAlignment="1">
      <alignment horizontal="center"/>
    </xf>
    <xf numFmtId="0" fontId="2" fillId="2" borderId="8" xfId="0" applyFont="1" applyFill="1" applyBorder="1" applyAlignment="1">
      <alignment horizontal="center"/>
    </xf>
    <xf numFmtId="0" fontId="2" fillId="2" borderId="6" xfId="0" applyFont="1" applyFill="1" applyBorder="1" applyAlignment="1">
      <alignment horizontal="center"/>
    </xf>
    <xf numFmtId="1" fontId="2" fillId="21" borderId="14" xfId="0" applyNumberFormat="1" applyFont="1" applyFill="1" applyBorder="1" applyAlignment="1">
      <alignment horizontal="center"/>
    </xf>
    <xf numFmtId="1" fontId="2" fillId="21" borderId="13" xfId="0" applyNumberFormat="1" applyFont="1" applyFill="1" applyBorder="1" applyAlignment="1">
      <alignment horizontal="center"/>
    </xf>
    <xf numFmtId="2" fontId="0" fillId="0" borderId="0" xfId="2" applyNumberFormat="1" applyFont="1" applyFill="1" applyBorder="1" applyAlignment="1">
      <alignment horizontal="center"/>
    </xf>
    <xf numFmtId="2" fontId="0" fillId="0" borderId="9" xfId="2" applyNumberFormat="1" applyFont="1" applyFill="1" applyBorder="1" applyAlignment="1">
      <alignment horizontal="center"/>
    </xf>
    <xf numFmtId="2" fontId="0" fillId="0" borderId="10" xfId="2" applyNumberFormat="1" applyFont="1" applyFill="1" applyBorder="1" applyAlignment="1">
      <alignment horizontal="center"/>
    </xf>
    <xf numFmtId="2" fontId="2" fillId="0" borderId="9" xfId="2" applyNumberFormat="1" applyFont="1" applyFill="1" applyBorder="1" applyAlignment="1">
      <alignment horizontal="center"/>
    </xf>
    <xf numFmtId="2" fontId="2" fillId="0" borderId="0" xfId="2" applyNumberFormat="1" applyFont="1" applyFill="1" applyBorder="1" applyAlignment="1">
      <alignment horizontal="center"/>
    </xf>
    <xf numFmtId="2" fontId="2" fillId="0" borderId="10" xfId="2" applyNumberFormat="1" applyFont="1" applyFill="1" applyBorder="1" applyAlignment="1">
      <alignment horizontal="center"/>
    </xf>
    <xf numFmtId="1" fontId="0" fillId="0" borderId="10" xfId="0" applyNumberFormat="1" applyFill="1" applyBorder="1" applyAlignment="1">
      <alignment horizontal="center"/>
    </xf>
    <xf numFmtId="1" fontId="0" fillId="0" borderId="10" xfId="0" applyNumberFormat="1" applyBorder="1"/>
    <xf numFmtId="1" fontId="0" fillId="0" borderId="6" xfId="2" applyNumberFormat="1" applyFont="1" applyFill="1" applyBorder="1" applyAlignment="1">
      <alignment horizontal="center"/>
    </xf>
    <xf numFmtId="9" fontId="0" fillId="0" borderId="1" xfId="2" applyFont="1" applyFill="1" applyBorder="1" applyAlignment="1">
      <alignment horizontal="center"/>
    </xf>
    <xf numFmtId="1" fontId="2" fillId="0" borderId="14" xfId="2" applyNumberFormat="1" applyFont="1" applyFill="1" applyBorder="1" applyAlignment="1">
      <alignment horizontal="center"/>
    </xf>
    <xf numFmtId="1" fontId="2" fillId="0" borderId="13" xfId="2" applyNumberFormat="1" applyFont="1" applyFill="1" applyBorder="1" applyAlignment="1">
      <alignment horizontal="center"/>
    </xf>
    <xf numFmtId="1" fontId="2" fillId="0" borderId="2" xfId="2" applyNumberFormat="1" applyFont="1" applyFill="1" applyBorder="1" applyAlignment="1">
      <alignment horizontal="center"/>
    </xf>
    <xf numFmtId="1" fontId="9" fillId="0" borderId="14" xfId="2" applyNumberFormat="1" applyFont="1" applyFill="1" applyBorder="1" applyAlignment="1">
      <alignment horizontal="center"/>
    </xf>
    <xf numFmtId="1" fontId="9" fillId="0" borderId="13" xfId="2" applyNumberFormat="1" applyFont="1" applyFill="1" applyBorder="1" applyAlignment="1">
      <alignment horizontal="center"/>
    </xf>
    <xf numFmtId="1" fontId="9" fillId="0" borderId="2" xfId="2" applyNumberFormat="1" applyFont="1" applyFill="1" applyBorder="1" applyAlignment="1">
      <alignment horizontal="center"/>
    </xf>
    <xf numFmtId="1" fontId="2" fillId="21" borderId="1" xfId="0" applyNumberFormat="1" applyFont="1" applyFill="1" applyBorder="1" applyAlignment="1">
      <alignment horizontal="center"/>
    </xf>
    <xf numFmtId="1" fontId="2" fillId="3" borderId="1" xfId="2" applyNumberFormat="1" applyFont="1" applyFill="1" applyBorder="1" applyAlignment="1">
      <alignment horizontal="center"/>
    </xf>
    <xf numFmtId="1" fontId="0" fillId="3" borderId="4" xfId="0" applyNumberFormat="1" applyFill="1" applyBorder="1"/>
    <xf numFmtId="1" fontId="2" fillId="7" borderId="3" xfId="2" applyNumberFormat="1" applyFont="1" applyFill="1" applyBorder="1" applyAlignment="1">
      <alignment horizontal="center"/>
    </xf>
    <xf numFmtId="1" fontId="2" fillId="0" borderId="1" xfId="2" applyNumberFormat="1" applyFont="1" applyFill="1" applyBorder="1" applyAlignment="1">
      <alignment horizontal="center"/>
    </xf>
    <xf numFmtId="1" fontId="0" fillId="3" borderId="3" xfId="0" applyNumberFormat="1" applyFill="1" applyBorder="1" applyAlignment="1">
      <alignment horizontal="center"/>
    </xf>
    <xf numFmtId="1" fontId="0" fillId="3" borderId="3" xfId="0" applyNumberFormat="1" applyFill="1" applyBorder="1"/>
    <xf numFmtId="9" fontId="0" fillId="0" borderId="1" xfId="2" applyFont="1" applyBorder="1" applyAlignment="1">
      <alignment horizontal="center" vertical="center" wrapText="1"/>
    </xf>
    <xf numFmtId="1" fontId="0" fillId="0" borderId="5" xfId="0" applyNumberFormat="1" applyFill="1" applyBorder="1" applyAlignment="1">
      <alignment horizontal="center"/>
    </xf>
    <xf numFmtId="0" fontId="2" fillId="12" borderId="5" xfId="0" applyFont="1" applyFill="1" applyBorder="1" applyAlignment="1" applyProtection="1">
      <alignment horizontal="center"/>
      <protection locked="0"/>
    </xf>
    <xf numFmtId="0" fontId="2" fillId="12" borderId="3" xfId="0" applyFont="1" applyFill="1" applyBorder="1" applyAlignment="1" applyProtection="1">
      <alignment horizontal="center"/>
      <protection locked="0"/>
    </xf>
    <xf numFmtId="0" fontId="0" fillId="12" borderId="1" xfId="0" applyFill="1" applyBorder="1" applyAlignment="1" applyProtection="1">
      <alignment horizontal="center"/>
      <protection locked="0"/>
    </xf>
    <xf numFmtId="167" fontId="0" fillId="12" borderId="3" xfId="0" applyNumberFormat="1" applyFill="1" applyBorder="1" applyAlignment="1" applyProtection="1">
      <alignment horizontal="center"/>
      <protection locked="0"/>
    </xf>
    <xf numFmtId="0" fontId="0" fillId="12" borderId="5" xfId="0" applyFill="1" applyBorder="1" applyAlignment="1" applyProtection="1">
      <alignment horizontal="center"/>
      <protection locked="0"/>
    </xf>
    <xf numFmtId="0" fontId="0" fillId="12" borderId="3" xfId="0" applyFill="1" applyBorder="1" applyAlignment="1" applyProtection="1">
      <alignment horizontal="center"/>
      <protection locked="0"/>
    </xf>
    <xf numFmtId="2" fontId="4" fillId="0" borderId="5" xfId="0" applyNumberFormat="1" applyFont="1" applyBorder="1" applyAlignment="1">
      <alignment horizontal="center"/>
    </xf>
    <xf numFmtId="2" fontId="4" fillId="0" borderId="15" xfId="0" applyNumberFormat="1" applyFont="1" applyBorder="1" applyAlignment="1">
      <alignment horizontal="center"/>
    </xf>
    <xf numFmtId="0" fontId="0" fillId="0" borderId="3" xfId="0" applyFill="1" applyBorder="1" applyAlignment="1">
      <alignment horizontal="center"/>
    </xf>
    <xf numFmtId="166" fontId="2" fillId="3" borderId="3" xfId="0" applyNumberFormat="1" applyFont="1" applyFill="1" applyBorder="1" applyAlignment="1">
      <alignment horizontal="center"/>
    </xf>
    <xf numFmtId="166" fontId="2" fillId="21" borderId="1" xfId="0" applyNumberFormat="1" applyFont="1" applyFill="1" applyBorder="1" applyAlignment="1">
      <alignment horizontal="center"/>
    </xf>
    <xf numFmtId="0" fontId="2" fillId="2" borderId="5" xfId="0" applyFont="1" applyFill="1" applyBorder="1" applyAlignment="1">
      <alignment horizontal="center" wrapText="1"/>
    </xf>
    <xf numFmtId="171" fontId="0" fillId="0" borderId="1" xfId="3" applyNumberFormat="1" applyFont="1" applyFill="1" applyBorder="1" applyAlignment="1">
      <alignment horizontal="center" vertical="center" wrapText="1"/>
    </xf>
    <xf numFmtId="1" fontId="9" fillId="0" borderId="0" xfId="2" applyNumberFormat="1" applyFont="1" applyFill="1" applyBorder="1" applyAlignment="1">
      <alignment horizontal="center"/>
    </xf>
    <xf numFmtId="1" fontId="2" fillId="21" borderId="2" xfId="2" applyNumberFormat="1" applyFont="1" applyFill="1" applyBorder="1" applyAlignment="1">
      <alignment horizontal="center"/>
    </xf>
    <xf numFmtId="0" fontId="0" fillId="0" borderId="0" xfId="0" applyFill="1" applyBorder="1" applyAlignment="1">
      <alignment horizontal="center" vertical="center" wrapText="1"/>
    </xf>
    <xf numFmtId="0" fontId="0" fillId="0" borderId="11" xfId="0" applyBorder="1" applyAlignment="1">
      <alignment horizontal="center"/>
    </xf>
    <xf numFmtId="1" fontId="0" fillId="0" borderId="1" xfId="0" applyNumberFormat="1" applyBorder="1"/>
    <xf numFmtId="0" fontId="0" fillId="3" borderId="3" xfId="0" applyFill="1" applyBorder="1"/>
    <xf numFmtId="9" fontId="0" fillId="0" borderId="1" xfId="0" applyNumberFormat="1" applyBorder="1"/>
    <xf numFmtId="166" fontId="0" fillId="0" borderId="5" xfId="0" applyNumberFormat="1" applyFont="1" applyFill="1" applyBorder="1" applyAlignment="1">
      <alignment horizontal="center"/>
    </xf>
    <xf numFmtId="166" fontId="0" fillId="0" borderId="3" xfId="0" applyNumberFormat="1" applyFont="1" applyFill="1" applyBorder="1" applyAlignment="1">
      <alignment horizontal="center"/>
    </xf>
    <xf numFmtId="2" fontId="0" fillId="0" borderId="5" xfId="0" applyNumberFormat="1" applyFont="1" applyFill="1" applyBorder="1" applyAlignment="1">
      <alignment horizontal="center"/>
    </xf>
    <xf numFmtId="166" fontId="0" fillId="0" borderId="15" xfId="0" applyNumberFormat="1" applyFont="1" applyFill="1" applyBorder="1" applyAlignment="1">
      <alignment horizontal="center"/>
    </xf>
    <xf numFmtId="166" fontId="4" fillId="0" borderId="5" xfId="0" applyNumberFormat="1" applyFont="1" applyFill="1" applyBorder="1" applyAlignment="1">
      <alignment horizontal="center"/>
    </xf>
    <xf numFmtId="166" fontId="4" fillId="0" borderId="3" xfId="0" applyNumberFormat="1" applyFont="1" applyFill="1" applyBorder="1" applyAlignment="1">
      <alignment horizontal="center"/>
    </xf>
    <xf numFmtId="1" fontId="2" fillId="21" borderId="6" xfId="0" applyNumberFormat="1" applyFont="1" applyFill="1" applyBorder="1" applyAlignment="1">
      <alignment horizontal="center"/>
    </xf>
    <xf numFmtId="2" fontId="4" fillId="0" borderId="7" xfId="0" applyNumberFormat="1" applyFont="1" applyBorder="1" applyAlignment="1">
      <alignment horizontal="center"/>
    </xf>
    <xf numFmtId="2" fontId="4" fillId="0" borderId="12" xfId="0" applyNumberFormat="1" applyFont="1" applyBorder="1" applyAlignment="1">
      <alignment horizontal="center"/>
    </xf>
    <xf numFmtId="166" fontId="4" fillId="0" borderId="6" xfId="0" applyNumberFormat="1" applyFont="1" applyFill="1" applyBorder="1" applyAlignment="1">
      <alignment horizontal="center"/>
    </xf>
    <xf numFmtId="166" fontId="4" fillId="0" borderId="11" xfId="0" applyNumberFormat="1" applyFont="1" applyFill="1" applyBorder="1" applyAlignment="1">
      <alignment horizontal="center"/>
    </xf>
    <xf numFmtId="1" fontId="2" fillId="21" borderId="1" xfId="2" applyNumberFormat="1" applyFont="1" applyFill="1" applyBorder="1" applyAlignment="1">
      <alignment horizontal="center"/>
    </xf>
    <xf numFmtId="10" fontId="13" fillId="0" borderId="0" xfId="0" applyNumberFormat="1" applyFont="1" applyFill="1" applyBorder="1" applyAlignment="1">
      <alignment horizontal="center"/>
    </xf>
    <xf numFmtId="9" fontId="13" fillId="0" borderId="0" xfId="0" applyNumberFormat="1" applyFont="1" applyFill="1" applyBorder="1" applyAlignment="1">
      <alignment horizontal="center"/>
    </xf>
    <xf numFmtId="9" fontId="4" fillId="0" borderId="0" xfId="0" applyNumberFormat="1" applyFont="1" applyFill="1" applyBorder="1" applyAlignment="1">
      <alignment horizontal="center"/>
    </xf>
    <xf numFmtId="170" fontId="4" fillId="0" borderId="0" xfId="3" applyNumberFormat="1" applyFont="1" applyFill="1" applyBorder="1" applyAlignment="1">
      <alignment horizontal="center"/>
    </xf>
    <xf numFmtId="167" fontId="0" fillId="0" borderId="5" xfId="0" applyNumberFormat="1" applyBorder="1" applyAlignment="1">
      <alignment horizontal="center"/>
    </xf>
    <xf numFmtId="10" fontId="0" fillId="0" borderId="15" xfId="0" applyNumberFormat="1" applyBorder="1" applyAlignment="1">
      <alignment horizontal="center"/>
    </xf>
    <xf numFmtId="10" fontId="0" fillId="0" borderId="15" xfId="0" applyNumberFormat="1" applyFill="1" applyBorder="1" applyAlignment="1">
      <alignment horizontal="center"/>
    </xf>
    <xf numFmtId="171" fontId="0" fillId="0" borderId="15" xfId="3" applyNumberFormat="1" applyFont="1" applyBorder="1" applyAlignment="1">
      <alignment horizontal="center"/>
    </xf>
    <xf numFmtId="171" fontId="0" fillId="0" borderId="15" xfId="3" applyNumberFormat="1" applyFont="1" applyFill="1" applyBorder="1" applyAlignment="1">
      <alignment horizontal="center"/>
    </xf>
    <xf numFmtId="0" fontId="0" fillId="0" borderId="0" xfId="0"/>
    <xf numFmtId="0" fontId="2" fillId="0" borderId="0" xfId="0" applyFont="1"/>
    <xf numFmtId="2" fontId="0" fillId="0" borderId="0" xfId="0" applyNumberFormat="1"/>
    <xf numFmtId="0" fontId="0" fillId="0" borderId="6" xfId="0" applyBorder="1"/>
    <xf numFmtId="0" fontId="0" fillId="0" borderId="8" xfId="0" applyBorder="1"/>
    <xf numFmtId="0" fontId="0" fillId="0" borderId="11" xfId="0" applyBorder="1"/>
    <xf numFmtId="0" fontId="0" fillId="0" borderId="4" xfId="0" applyBorder="1"/>
    <xf numFmtId="0" fontId="0" fillId="0" borderId="1" xfId="0" applyBorder="1"/>
    <xf numFmtId="1" fontId="0" fillId="0" borderId="15" xfId="0" applyNumberFormat="1" applyBorder="1" applyAlignment="1">
      <alignment horizontal="center"/>
    </xf>
    <xf numFmtId="0" fontId="0" fillId="0" borderId="9" xfId="0" applyBorder="1"/>
    <xf numFmtId="0" fontId="0" fillId="0" borderId="10" xfId="0" applyBorder="1"/>
    <xf numFmtId="166" fontId="2" fillId="7" borderId="1" xfId="0" applyNumberFormat="1" applyFont="1" applyFill="1" applyBorder="1" applyAlignment="1">
      <alignment horizontal="center"/>
    </xf>
    <xf numFmtId="0" fontId="0" fillId="22" borderId="8" xfId="0" applyFill="1" applyBorder="1"/>
    <xf numFmtId="0" fontId="0" fillId="22" borderId="10" xfId="0" applyFill="1" applyBorder="1"/>
    <xf numFmtId="2" fontId="0" fillId="22" borderId="10" xfId="0" applyNumberFormat="1" applyFill="1" applyBorder="1"/>
    <xf numFmtId="166" fontId="0" fillId="22" borderId="10" xfId="0" applyNumberFormat="1" applyFill="1" applyBorder="1"/>
    <xf numFmtId="166" fontId="0" fillId="22" borderId="4" xfId="0" applyNumberFormat="1" applyFill="1" applyBorder="1"/>
    <xf numFmtId="9" fontId="6" fillId="0" borderId="0" xfId="0" applyNumberFormat="1" applyFont="1"/>
    <xf numFmtId="0" fontId="2" fillId="0" borderId="6" xfId="0" applyFont="1" applyBorder="1"/>
    <xf numFmtId="0" fontId="2" fillId="0" borderId="9" xfId="0" applyFont="1" applyBorder="1"/>
    <xf numFmtId="0" fontId="21" fillId="0" borderId="9" xfId="0" applyFont="1" applyBorder="1" applyAlignment="1">
      <alignment wrapText="1"/>
    </xf>
    <xf numFmtId="0" fontId="21" fillId="0" borderId="11" xfId="0" applyFont="1" applyBorder="1" applyAlignment="1">
      <alignment wrapText="1"/>
    </xf>
    <xf numFmtId="0" fontId="24" fillId="0" borderId="9" xfId="0" applyFont="1" applyFill="1" applyBorder="1" applyAlignment="1">
      <alignment wrapText="1"/>
    </xf>
    <xf numFmtId="0" fontId="24" fillId="0" borderId="11" xfId="0" applyFont="1" applyFill="1" applyBorder="1" applyAlignment="1">
      <alignment wrapText="1"/>
    </xf>
    <xf numFmtId="1" fontId="0" fillId="22" borderId="10" xfId="0" applyNumberFormat="1" applyFill="1" applyBorder="1"/>
    <xf numFmtId="0" fontId="0" fillId="3" borderId="6" xfId="0" applyFill="1" applyBorder="1"/>
    <xf numFmtId="0" fontId="0" fillId="3" borderId="9" xfId="0" applyFill="1" applyBorder="1"/>
    <xf numFmtId="166" fontId="0" fillId="3" borderId="9" xfId="0" applyNumberFormat="1" applyFill="1" applyBorder="1"/>
    <xf numFmtId="1" fontId="0" fillId="3" borderId="9" xfId="0" applyNumberFormat="1" applyFill="1" applyBorder="1"/>
    <xf numFmtId="2" fontId="0" fillId="3" borderId="9" xfId="0" applyNumberFormat="1" applyFill="1" applyBorder="1"/>
    <xf numFmtId="166" fontId="0" fillId="3" borderId="11" xfId="0" applyNumberFormat="1" applyFill="1" applyBorder="1"/>
    <xf numFmtId="0" fontId="4" fillId="3" borderId="7" xfId="0" applyFont="1" applyFill="1" applyBorder="1"/>
    <xf numFmtId="0" fontId="4" fillId="22" borderId="8" xfId="0" applyFont="1" applyFill="1" applyBorder="1"/>
    <xf numFmtId="175" fontId="0" fillId="3" borderId="6" xfId="0" applyNumberFormat="1" applyFill="1" applyBorder="1"/>
    <xf numFmtId="175" fontId="0" fillId="22" borderId="8" xfId="0" applyNumberFormat="1" applyFill="1" applyBorder="1"/>
    <xf numFmtId="175" fontId="0" fillId="3" borderId="9" xfId="0" applyNumberFormat="1" applyFill="1" applyBorder="1"/>
    <xf numFmtId="175" fontId="0" fillId="22" borderId="10" xfId="0" applyNumberFormat="1" applyFill="1" applyBorder="1"/>
    <xf numFmtId="175" fontId="0" fillId="3" borderId="11" xfId="0" applyNumberFormat="1" applyFill="1" applyBorder="1"/>
    <xf numFmtId="175" fontId="0" fillId="22" borderId="4" xfId="0" applyNumberFormat="1" applyFill="1" applyBorder="1"/>
    <xf numFmtId="0" fontId="18" fillId="2" borderId="1" xfId="0" applyFont="1" applyFill="1" applyBorder="1" applyAlignment="1">
      <alignment horizontal="center"/>
    </xf>
    <xf numFmtId="0" fontId="18" fillId="0" borderId="0" xfId="0" applyFont="1" applyFill="1" applyBorder="1" applyAlignment="1">
      <alignment horizontal="center"/>
    </xf>
    <xf numFmtId="10" fontId="0" fillId="0" borderId="1" xfId="2" applyNumberFormat="1" applyFont="1" applyBorder="1" applyAlignment="1">
      <alignment horizontal="center"/>
    </xf>
    <xf numFmtId="10" fontId="0" fillId="0" borderId="1" xfId="2" applyNumberFormat="1" applyFont="1" applyFill="1" applyBorder="1" applyAlignment="1">
      <alignment horizontal="center"/>
    </xf>
    <xf numFmtId="2" fontId="0" fillId="0" borderId="1" xfId="3" applyNumberFormat="1" applyFont="1" applyBorder="1" applyAlignment="1">
      <alignment horizontal="center"/>
    </xf>
    <xf numFmtId="2" fontId="0" fillId="0" borderId="1" xfId="3" applyNumberFormat="1" applyFont="1" applyFill="1" applyBorder="1" applyAlignment="1">
      <alignment horizontal="center"/>
    </xf>
    <xf numFmtId="0" fontId="23" fillId="2" borderId="14" xfId="0" applyFont="1" applyFill="1" applyBorder="1"/>
    <xf numFmtId="0" fontId="23" fillId="2" borderId="13" xfId="0" applyFont="1" applyFill="1" applyBorder="1"/>
    <xf numFmtId="0" fontId="23" fillId="2" borderId="2" xfId="0" applyFont="1" applyFill="1" applyBorder="1"/>
    <xf numFmtId="0" fontId="0" fillId="0" borderId="0" xfId="0" applyBorder="1" applyAlignment="1">
      <alignment horizontal="left" vertical="center"/>
    </xf>
    <xf numFmtId="0" fontId="12" fillId="2" borderId="1" xfId="0" applyFont="1" applyFill="1" applyBorder="1" applyAlignment="1">
      <alignment vertical="center"/>
    </xf>
    <xf numFmtId="171" fontId="0" fillId="0" borderId="1" xfId="3" applyNumberFormat="1" applyFont="1" applyFill="1" applyBorder="1" applyAlignment="1">
      <alignment horizontal="center"/>
    </xf>
    <xf numFmtId="172" fontId="0" fillId="0" borderId="1" xfId="3" applyNumberFormat="1" applyFont="1" applyBorder="1" applyAlignment="1">
      <alignment horizontal="center"/>
    </xf>
    <xf numFmtId="172" fontId="0" fillId="0" borderId="1" xfId="3" applyNumberFormat="1" applyFont="1" applyFill="1" applyBorder="1" applyAlignment="1">
      <alignment horizontal="center"/>
    </xf>
    <xf numFmtId="167" fontId="0" fillId="0" borderId="1" xfId="2" applyNumberFormat="1" applyFont="1" applyFill="1" applyBorder="1" applyAlignment="1">
      <alignment horizontal="center"/>
    </xf>
    <xf numFmtId="166" fontId="0" fillId="0" borderId="3" xfId="0" applyNumberFormat="1" applyFill="1" applyBorder="1" applyAlignment="1">
      <alignment horizontal="center"/>
    </xf>
    <xf numFmtId="167" fontId="0" fillId="19" borderId="1" xfId="2" applyNumberFormat="1" applyFont="1" applyFill="1" applyBorder="1" applyAlignment="1">
      <alignment horizontal="center"/>
    </xf>
    <xf numFmtId="172" fontId="0" fillId="19" borderId="1" xfId="3" applyNumberFormat="1" applyFont="1" applyFill="1" applyBorder="1" applyAlignment="1">
      <alignment horizontal="center"/>
    </xf>
    <xf numFmtId="171" fontId="0" fillId="19" borderId="1" xfId="3" applyNumberFormat="1" applyFont="1" applyFill="1" applyBorder="1" applyAlignment="1">
      <alignment horizontal="center"/>
    </xf>
    <xf numFmtId="10" fontId="0" fillId="19" borderId="1" xfId="2" applyNumberFormat="1" applyFont="1" applyFill="1" applyBorder="1" applyAlignment="1">
      <alignment horizontal="center"/>
    </xf>
    <xf numFmtId="2" fontId="0" fillId="19" borderId="1" xfId="3" applyNumberFormat="1" applyFont="1" applyFill="1" applyBorder="1" applyAlignment="1">
      <alignment horizontal="center"/>
    </xf>
    <xf numFmtId="166" fontId="0" fillId="0" borderId="1" xfId="3" applyNumberFormat="1" applyFont="1" applyBorder="1" applyAlignment="1">
      <alignment horizontal="center"/>
    </xf>
    <xf numFmtId="166" fontId="0" fillId="19" borderId="1" xfId="3" applyNumberFormat="1" applyFont="1" applyFill="1" applyBorder="1" applyAlignment="1">
      <alignment horizontal="center"/>
    </xf>
    <xf numFmtId="166" fontId="0" fillId="0" borderId="1" xfId="3" applyNumberFormat="1" applyFont="1" applyFill="1" applyBorder="1" applyAlignment="1">
      <alignment horizontal="center"/>
    </xf>
    <xf numFmtId="9" fontId="0" fillId="0" borderId="1" xfId="2" applyFont="1" applyBorder="1" applyAlignment="1">
      <alignment horizontal="center"/>
    </xf>
    <xf numFmtId="9" fontId="0" fillId="19" borderId="1" xfId="2" applyFont="1" applyFill="1" applyBorder="1" applyAlignment="1">
      <alignment horizontal="center"/>
    </xf>
    <xf numFmtId="0" fontId="0" fillId="0" borderId="9" xfId="0" applyFill="1" applyBorder="1"/>
    <xf numFmtId="0" fontId="0" fillId="0" borderId="12" xfId="0" applyFill="1" applyBorder="1"/>
    <xf numFmtId="168" fontId="0" fillId="0" borderId="1" xfId="0" applyNumberFormat="1" applyFont="1" applyFill="1" applyBorder="1" applyAlignment="1">
      <alignment horizontal="center"/>
    </xf>
    <xf numFmtId="0" fontId="0" fillId="2" borderId="5" xfId="0" applyFill="1" applyBorder="1"/>
    <xf numFmtId="168" fontId="0" fillId="8" borderId="1" xfId="0" applyNumberFormat="1" applyFill="1" applyBorder="1" applyAlignment="1" applyProtection="1">
      <alignment horizontal="center" vertical="center" wrapText="1"/>
      <protection locked="0"/>
    </xf>
    <xf numFmtId="2" fontId="0" fillId="0" borderId="1" xfId="0" applyNumberFormat="1" applyFill="1" applyBorder="1" applyAlignment="1">
      <alignment horizontal="center"/>
    </xf>
    <xf numFmtId="2" fontId="0" fillId="0" borderId="1" xfId="0" applyNumberFormat="1" applyFill="1" applyBorder="1"/>
    <xf numFmtId="166" fontId="0" fillId="0" borderId="1" xfId="0" applyNumberFormat="1" applyFill="1" applyBorder="1"/>
    <xf numFmtId="0" fontId="0" fillId="0" borderId="0" xfId="0" applyProtection="1">
      <protection locked="0"/>
    </xf>
    <xf numFmtId="0" fontId="0" fillId="0" borderId="0" xfId="0" applyAlignment="1" applyProtection="1">
      <alignment horizontal="left"/>
      <protection locked="0"/>
    </xf>
    <xf numFmtId="1" fontId="0" fillId="0" borderId="0" xfId="0" applyNumberFormat="1" applyBorder="1" applyProtection="1">
      <protection locked="0"/>
    </xf>
    <xf numFmtId="1" fontId="0" fillId="0" borderId="0" xfId="0" applyNumberFormat="1" applyBorder="1" applyAlignment="1" applyProtection="1">
      <alignment horizontal="left"/>
      <protection locked="0"/>
    </xf>
    <xf numFmtId="166" fontId="0" fillId="0" borderId="12" xfId="0" applyNumberFormat="1" applyFill="1" applyBorder="1" applyAlignment="1">
      <alignment horizontal="center"/>
    </xf>
    <xf numFmtId="166" fontId="0" fillId="0" borderId="4" xfId="3" applyNumberFormat="1" applyFont="1" applyFill="1" applyBorder="1" applyAlignment="1">
      <alignment horizontal="center"/>
    </xf>
    <xf numFmtId="167" fontId="0" fillId="0" borderId="8" xfId="0" applyNumberFormat="1" applyFill="1" applyBorder="1" applyAlignment="1">
      <alignment horizontal="center"/>
    </xf>
    <xf numFmtId="10" fontId="0" fillId="0" borderId="10" xfId="0" applyNumberFormat="1" applyFill="1" applyBorder="1" applyAlignment="1">
      <alignment horizontal="center"/>
    </xf>
    <xf numFmtId="171" fontId="0" fillId="0" borderId="10" xfId="3" applyNumberFormat="1" applyFont="1" applyFill="1" applyBorder="1" applyAlignment="1">
      <alignment horizontal="center"/>
    </xf>
    <xf numFmtId="9" fontId="0" fillId="0" borderId="10" xfId="2" applyFont="1" applyFill="1" applyBorder="1" applyAlignment="1">
      <alignment horizontal="center"/>
    </xf>
    <xf numFmtId="0" fontId="0" fillId="0" borderId="15" xfId="0" applyFont="1" applyBorder="1"/>
    <xf numFmtId="167" fontId="0" fillId="0" borderId="7" xfId="0" applyNumberFormat="1" applyFill="1" applyBorder="1" applyAlignment="1">
      <alignment horizontal="center"/>
    </xf>
    <xf numFmtId="10" fontId="0" fillId="0" borderId="0" xfId="0" applyNumberFormat="1" applyFill="1" applyBorder="1" applyAlignment="1">
      <alignment horizontal="center"/>
    </xf>
    <xf numFmtId="171" fontId="0" fillId="0" borderId="0" xfId="3" applyNumberFormat="1" applyFont="1" applyFill="1" applyBorder="1" applyAlignment="1">
      <alignment horizontal="center"/>
    </xf>
    <xf numFmtId="166" fontId="0" fillId="0" borderId="10" xfId="3" applyNumberFormat="1" applyFont="1" applyFill="1" applyBorder="1" applyAlignment="1">
      <alignment horizontal="center"/>
    </xf>
    <xf numFmtId="0" fontId="22" fillId="0" borderId="1" xfId="0" applyFont="1" applyBorder="1"/>
    <xf numFmtId="0" fontId="22" fillId="0" borderId="0" xfId="0" applyFont="1" applyBorder="1"/>
    <xf numFmtId="167" fontId="23" fillId="0" borderId="2" xfId="2" applyNumberFormat="1" applyFont="1" applyBorder="1"/>
    <xf numFmtId="167" fontId="22" fillId="0" borderId="2" xfId="2" applyNumberFormat="1" applyFont="1" applyBorder="1" applyAlignment="1">
      <alignment horizontal="center"/>
    </xf>
    <xf numFmtId="3" fontId="0" fillId="0" borderId="0" xfId="0" applyNumberFormat="1"/>
    <xf numFmtId="9" fontId="0" fillId="0" borderId="3" xfId="2" applyFont="1" applyFill="1" applyBorder="1" applyAlignment="1">
      <alignment horizontal="center"/>
    </xf>
    <xf numFmtId="167" fontId="0" fillId="0" borderId="0" xfId="2" applyNumberFormat="1" applyFont="1"/>
    <xf numFmtId="2" fontId="4" fillId="0" borderId="15" xfId="0" applyNumberFormat="1" applyFont="1" applyFill="1" applyBorder="1" applyAlignment="1">
      <alignment horizontal="center"/>
    </xf>
    <xf numFmtId="2" fontId="4" fillId="0" borderId="10" xfId="0" applyNumberFormat="1" applyFont="1" applyFill="1" applyBorder="1" applyAlignment="1">
      <alignment horizontal="center"/>
    </xf>
    <xf numFmtId="167" fontId="2" fillId="0" borderId="13" xfId="2" applyNumberFormat="1" applyFont="1" applyFill="1" applyBorder="1"/>
    <xf numFmtId="167" fontId="2" fillId="0" borderId="2" xfId="2" applyNumberFormat="1" applyFont="1" applyFill="1" applyBorder="1"/>
    <xf numFmtId="0" fontId="0" fillId="0" borderId="1" xfId="0" applyFill="1" applyBorder="1" applyAlignment="1" applyProtection="1">
      <alignment horizontal="center" vertical="center" wrapText="1"/>
    </xf>
    <xf numFmtId="2" fontId="0" fillId="3" borderId="1" xfId="0" applyNumberFormat="1" applyFill="1" applyBorder="1" applyAlignment="1">
      <alignment horizontal="center" vertical="center" wrapText="1"/>
    </xf>
    <xf numFmtId="0" fontId="2" fillId="2" borderId="14" xfId="0" applyFont="1" applyFill="1" applyBorder="1" applyAlignment="1"/>
    <xf numFmtId="169" fontId="0" fillId="0" borderId="0" xfId="0" applyNumberFormat="1" applyFill="1" applyBorder="1"/>
    <xf numFmtId="167" fontId="0" fillId="0" borderId="0" xfId="0" applyNumberFormat="1" applyFill="1" applyBorder="1"/>
    <xf numFmtId="168" fontId="0" fillId="0" borderId="0" xfId="0" applyNumberFormat="1" applyFill="1" applyBorder="1"/>
    <xf numFmtId="169" fontId="0" fillId="0" borderId="15" xfId="0" applyNumberFormat="1" applyBorder="1"/>
    <xf numFmtId="0" fontId="0" fillId="0" borderId="15" xfId="0" applyBorder="1" applyAlignment="1">
      <alignment wrapText="1"/>
    </xf>
    <xf numFmtId="0" fontId="0" fillId="23" borderId="0" xfId="0" applyFill="1"/>
    <xf numFmtId="0" fontId="0" fillId="23" borderId="0" xfId="0" applyFill="1" applyAlignment="1">
      <alignment horizontal="left"/>
    </xf>
    <xf numFmtId="170" fontId="0" fillId="0" borderId="0" xfId="3" applyNumberFormat="1" applyFont="1" applyAlignment="1" applyProtection="1">
      <alignment horizontal="left"/>
      <protection locked="0"/>
    </xf>
    <xf numFmtId="170" fontId="0" fillId="0" borderId="0" xfId="0" applyNumberFormat="1" applyProtection="1">
      <protection locked="0"/>
    </xf>
    <xf numFmtId="0" fontId="0" fillId="0" borderId="5" xfId="0" applyBorder="1" applyAlignment="1">
      <alignment horizontal="left"/>
    </xf>
    <xf numFmtId="0" fontId="0" fillId="0" borderId="3" xfId="0" applyBorder="1" applyAlignment="1">
      <alignment horizontal="left"/>
    </xf>
    <xf numFmtId="0" fontId="0" fillId="0" borderId="0" xfId="0" applyFont="1" applyFill="1" applyBorder="1" applyAlignment="1">
      <alignment horizontal="left" vertical="center" wrapText="1"/>
    </xf>
    <xf numFmtId="1" fontId="0" fillId="0" borderId="0" xfId="0" applyNumberFormat="1" applyFill="1" applyBorder="1" applyAlignment="1">
      <alignment horizontal="left" vertical="center" wrapText="1"/>
    </xf>
    <xf numFmtId="9" fontId="0" fillId="0" borderId="0" xfId="2" applyFont="1" applyFill="1" applyBorder="1" applyAlignment="1">
      <alignment horizontal="left" vertical="center" wrapText="1"/>
    </xf>
    <xf numFmtId="167" fontId="0" fillId="0" borderId="0" xfId="2" applyNumberFormat="1" applyFont="1" applyFill="1" applyBorder="1" applyAlignment="1">
      <alignment horizontal="left" vertical="center" wrapText="1"/>
    </xf>
    <xf numFmtId="2" fontId="0" fillId="0" borderId="0" xfId="2" applyNumberFormat="1" applyFont="1" applyFill="1" applyBorder="1" applyAlignment="1">
      <alignment horizontal="left" vertical="center" wrapText="1"/>
    </xf>
    <xf numFmtId="1" fontId="0" fillId="0" borderId="0" xfId="0" applyNumberFormat="1" applyBorder="1" applyAlignment="1">
      <alignment horizontal="left" vertical="center" wrapText="1"/>
    </xf>
    <xf numFmtId="2" fontId="0" fillId="0" borderId="0" xfId="0" applyNumberFormat="1" applyBorder="1" applyAlignment="1">
      <alignment horizontal="left" vertical="center" wrapText="1"/>
    </xf>
    <xf numFmtId="1" fontId="0" fillId="0" borderId="0" xfId="0" applyNumberFormat="1" applyBorder="1" applyAlignment="1">
      <alignment horizontal="left"/>
    </xf>
    <xf numFmtId="0" fontId="0" fillId="0" borderId="0" xfId="0" applyFill="1" applyBorder="1" applyAlignment="1">
      <alignment horizontal="left"/>
    </xf>
    <xf numFmtId="167" fontId="0" fillId="0" borderId="0" xfId="0" applyNumberFormat="1" applyFill="1" applyBorder="1" applyAlignment="1">
      <alignment horizontal="left"/>
    </xf>
    <xf numFmtId="166" fontId="0" fillId="0" borderId="0" xfId="0" applyNumberFormat="1" applyFont="1" applyFill="1" applyBorder="1" applyAlignment="1">
      <alignment horizontal="left" vertical="center" wrapText="1"/>
    </xf>
    <xf numFmtId="1" fontId="0" fillId="0" borderId="15" xfId="0" applyNumberFormat="1" applyBorder="1" applyAlignment="1">
      <alignment horizontal="left"/>
    </xf>
    <xf numFmtId="0" fontId="0" fillId="0" borderId="8" xfId="0" applyFill="1" applyBorder="1" applyAlignment="1">
      <alignment horizontal="left"/>
    </xf>
    <xf numFmtId="0" fontId="0" fillId="0" borderId="10" xfId="0" applyFill="1" applyBorder="1" applyAlignment="1">
      <alignment horizontal="left"/>
    </xf>
    <xf numFmtId="167" fontId="21" fillId="0" borderId="1" xfId="2" applyNumberFormat="1" applyFont="1" applyFill="1" applyBorder="1" applyAlignment="1">
      <alignment horizontal="center" wrapText="1"/>
    </xf>
    <xf numFmtId="174" fontId="0" fillId="0" borderId="0" xfId="3" applyNumberFormat="1" applyFont="1" applyFill="1" applyBorder="1" applyAlignment="1">
      <alignment horizontal="center" vertical="center" wrapText="1"/>
    </xf>
    <xf numFmtId="172" fontId="0" fillId="0" borderId="1" xfId="3" applyNumberFormat="1" applyFont="1" applyFill="1" applyBorder="1" applyAlignment="1">
      <alignment horizontal="center" vertical="center" wrapText="1"/>
    </xf>
    <xf numFmtId="166" fontId="0" fillId="0" borderId="1" xfId="0" applyNumberFormat="1" applyFill="1" applyBorder="1" applyAlignment="1">
      <alignment horizontal="center" vertical="center" wrapText="1"/>
    </xf>
    <xf numFmtId="0" fontId="0" fillId="0" borderId="1" xfId="0" applyFont="1" applyFill="1" applyBorder="1" applyAlignment="1">
      <alignment horizontal="center" vertical="center"/>
    </xf>
    <xf numFmtId="166" fontId="0" fillId="0" borderId="1" xfId="0" applyNumberFormat="1" applyFont="1" applyFill="1" applyBorder="1" applyAlignment="1">
      <alignment horizontal="center" vertical="center"/>
    </xf>
    <xf numFmtId="167" fontId="15" fillId="0" borderId="2" xfId="2" applyNumberFormat="1" applyFont="1" applyBorder="1"/>
    <xf numFmtId="167" fontId="0" fillId="0" borderId="14" xfId="0" applyNumberFormat="1" applyBorder="1" applyAlignment="1"/>
    <xf numFmtId="167" fontId="0" fillId="0" borderId="13" xfId="0" applyNumberFormat="1" applyBorder="1" applyAlignment="1"/>
    <xf numFmtId="167" fontId="0" fillId="0" borderId="2" xfId="0" applyNumberFormat="1" applyBorder="1" applyAlignment="1"/>
    <xf numFmtId="167" fontId="0" fillId="0" borderId="14" xfId="2" applyNumberFormat="1" applyFont="1" applyBorder="1" applyAlignment="1"/>
    <xf numFmtId="167" fontId="0" fillId="0" borderId="13" xfId="2" applyNumberFormat="1" applyFont="1" applyBorder="1" applyAlignment="1"/>
    <xf numFmtId="167" fontId="0" fillId="0" borderId="2" xfId="2" applyNumberFormat="1" applyFont="1" applyBorder="1" applyAlignment="1"/>
    <xf numFmtId="167" fontId="0" fillId="0" borderId="1" xfId="0" applyNumberFormat="1" applyBorder="1" applyAlignment="1"/>
    <xf numFmtId="167" fontId="0" fillId="0" borderId="1" xfId="2" applyNumberFormat="1" applyFont="1" applyBorder="1" applyAlignment="1"/>
    <xf numFmtId="0" fontId="7" fillId="0" borderId="0" xfId="0" applyFont="1" applyFill="1"/>
    <xf numFmtId="0" fontId="4" fillId="0" borderId="0" xfId="0" quotePrefix="1" applyFont="1" applyFill="1" applyBorder="1"/>
    <xf numFmtId="0" fontId="0" fillId="0" borderId="0" xfId="0" applyFont="1"/>
    <xf numFmtId="0" fontId="4" fillId="0" borderId="0" xfId="0" applyFont="1" applyFill="1" applyBorder="1"/>
    <xf numFmtId="0" fontId="4" fillId="0" borderId="0" xfId="0" quotePrefix="1" applyFont="1" applyFill="1"/>
    <xf numFmtId="0" fontId="4" fillId="0" borderId="0" xfId="0" quotePrefix="1" applyFont="1"/>
    <xf numFmtId="0" fontId="4" fillId="0" borderId="0" xfId="0" applyFont="1" applyFill="1"/>
    <xf numFmtId="0" fontId="0" fillId="0" borderId="0" xfId="0" quotePrefix="1" applyFont="1"/>
    <xf numFmtId="0" fontId="2" fillId="0" borderId="0" xfId="0" applyFont="1" applyFill="1" applyBorder="1" applyAlignment="1">
      <alignment horizontal="center"/>
    </xf>
    <xf numFmtId="0" fontId="0" fillId="0" borderId="6" xfId="0" applyBorder="1" applyAlignment="1">
      <alignment horizontal="center"/>
    </xf>
    <xf numFmtId="1" fontId="0" fillId="0" borderId="12" xfId="0" applyNumberFormat="1" applyBorder="1" applyAlignment="1">
      <alignment horizontal="center"/>
    </xf>
    <xf numFmtId="1" fontId="0" fillId="0" borderId="4" xfId="0" applyNumberFormat="1" applyBorder="1" applyAlignment="1">
      <alignment horizontal="center"/>
    </xf>
    <xf numFmtId="9" fontId="0" fillId="0" borderId="4" xfId="2" applyFont="1" applyFill="1" applyBorder="1" applyAlignment="1">
      <alignment horizontal="center" vertical="center" wrapText="1"/>
    </xf>
    <xf numFmtId="9" fontId="0" fillId="0" borderId="3" xfId="2" applyFont="1" applyFill="1" applyBorder="1" applyAlignment="1">
      <alignment horizontal="center" vertical="center" wrapText="1"/>
    </xf>
    <xf numFmtId="1" fontId="0" fillId="0" borderId="9" xfId="0" applyNumberFormat="1" applyFont="1" applyBorder="1" applyAlignment="1">
      <alignment horizontal="center"/>
    </xf>
    <xf numFmtId="0" fontId="0" fillId="4" borderId="6" xfId="0" applyFont="1" applyFill="1" applyBorder="1" applyAlignment="1">
      <alignment vertical="center" wrapText="1"/>
    </xf>
    <xf numFmtId="0" fontId="0" fillId="0" borderId="0" xfId="0" applyFill="1" applyBorder="1" applyAlignment="1">
      <alignment horizontal="left" vertical="center" wrapText="1"/>
    </xf>
    <xf numFmtId="0" fontId="13" fillId="0" borderId="1" xfId="0" applyFont="1" applyBorder="1" applyAlignment="1">
      <alignment horizontal="left" vertical="center"/>
    </xf>
    <xf numFmtId="2" fontId="2" fillId="0" borderId="14" xfId="0" applyNumberFormat="1" applyFont="1" applyFill="1" applyBorder="1" applyAlignment="1">
      <alignment horizontal="center"/>
    </xf>
    <xf numFmtId="2" fontId="0" fillId="0" borderId="13" xfId="0" applyNumberFormat="1" applyFont="1" applyFill="1" applyBorder="1" applyAlignment="1">
      <alignment horizontal="center"/>
    </xf>
    <xf numFmtId="2" fontId="0" fillId="0" borderId="14" xfId="0" applyNumberFormat="1" applyFont="1" applyFill="1" applyBorder="1" applyAlignment="1">
      <alignment horizontal="center"/>
    </xf>
    <xf numFmtId="2" fontId="2" fillId="0" borderId="13" xfId="0" applyNumberFormat="1" applyFont="1" applyFill="1" applyBorder="1" applyAlignment="1">
      <alignment horizontal="center"/>
    </xf>
    <xf numFmtId="2" fontId="0" fillId="0" borderId="0" xfId="0" applyNumberFormat="1" applyFill="1" applyBorder="1"/>
    <xf numFmtId="169" fontId="0" fillId="0" borderId="5" xfId="0" applyNumberFormat="1" applyBorder="1" applyAlignment="1">
      <alignment horizontal="center"/>
    </xf>
    <xf numFmtId="169" fontId="0" fillId="0" borderId="3" xfId="0" applyNumberFormat="1" applyBorder="1" applyAlignment="1">
      <alignment horizontal="center"/>
    </xf>
    <xf numFmtId="169" fontId="0" fillId="0" borderId="15" xfId="0" applyNumberFormat="1" applyBorder="1" applyAlignment="1">
      <alignment horizontal="center"/>
    </xf>
    <xf numFmtId="169" fontId="0" fillId="0" borderId="3" xfId="0" applyNumberFormat="1" applyFill="1" applyBorder="1" applyAlignment="1">
      <alignment horizontal="center"/>
    </xf>
    <xf numFmtId="1" fontId="0" fillId="0" borderId="7" xfId="0" applyNumberFormat="1" applyBorder="1"/>
    <xf numFmtId="1" fontId="0" fillId="0" borderId="8" xfId="0" applyNumberFormat="1" applyBorder="1"/>
    <xf numFmtId="2" fontId="0" fillId="0" borderId="10" xfId="0" applyNumberFormat="1" applyBorder="1"/>
    <xf numFmtId="1" fontId="0" fillId="0" borderId="0" xfId="0" applyNumberFormat="1" applyBorder="1"/>
    <xf numFmtId="2" fontId="0" fillId="0" borderId="4" xfId="0" applyNumberFormat="1" applyBorder="1"/>
    <xf numFmtId="2" fontId="0" fillId="0" borderId="9" xfId="0" applyNumberFormat="1" applyBorder="1"/>
    <xf numFmtId="2" fontId="0" fillId="0" borderId="11" xfId="0" applyNumberFormat="1" applyBorder="1"/>
    <xf numFmtId="0" fontId="2" fillId="0" borderId="0" xfId="0" applyFont="1" applyFill="1" applyBorder="1" applyAlignment="1">
      <alignment horizontal="center" vertical="center" textRotation="90"/>
    </xf>
    <xf numFmtId="0" fontId="0" fillId="3" borderId="1" xfId="0" applyFill="1" applyBorder="1"/>
    <xf numFmtId="1" fontId="2" fillId="3" borderId="2" xfId="0" applyNumberFormat="1" applyFont="1" applyFill="1" applyBorder="1" applyAlignment="1">
      <alignment horizontal="center"/>
    </xf>
    <xf numFmtId="0" fontId="2" fillId="0" borderId="13" xfId="0" applyFont="1" applyBorder="1" applyAlignment="1">
      <alignment horizontal="center"/>
    </xf>
    <xf numFmtId="0" fontId="2" fillId="0" borderId="2"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166" fontId="7" fillId="0" borderId="0" xfId="0" applyNumberFormat="1" applyFont="1" applyFill="1" applyBorder="1" applyAlignment="1">
      <alignment horizontal="center"/>
    </xf>
    <xf numFmtId="0" fontId="2" fillId="2" borderId="14" xfId="0" applyFont="1" applyFill="1" applyBorder="1" applyAlignment="1">
      <alignment horizontal="center"/>
    </xf>
    <xf numFmtId="0" fontId="2" fillId="2" borderId="2" xfId="0" applyFont="1" applyFill="1" applyBorder="1" applyAlignment="1">
      <alignment horizontal="center"/>
    </xf>
    <xf numFmtId="0" fontId="2" fillId="2" borderId="14" xfId="0" applyFont="1" applyFill="1" applyBorder="1" applyAlignment="1">
      <alignment horizontal="center" wrapText="1"/>
    </xf>
    <xf numFmtId="0" fontId="2" fillId="2" borderId="13" xfId="0" applyFont="1" applyFill="1" applyBorder="1" applyAlignment="1">
      <alignment horizontal="center" wrapText="1"/>
    </xf>
    <xf numFmtId="0" fontId="2" fillId="2" borderId="2" xfId="0" applyFont="1" applyFill="1" applyBorder="1" applyAlignment="1">
      <alignment horizontal="center" wrapText="1"/>
    </xf>
    <xf numFmtId="0" fontId="2" fillId="2" borderId="13" xfId="0" applyFont="1" applyFill="1" applyBorder="1" applyAlignment="1">
      <alignment horizontal="center"/>
    </xf>
    <xf numFmtId="0" fontId="12" fillId="0" borderId="0" xfId="0" applyFont="1" applyFill="1" applyBorder="1" applyAlignment="1">
      <alignment horizontal="center"/>
    </xf>
    <xf numFmtId="0" fontId="2" fillId="0" borderId="0" xfId="0" applyFont="1" applyBorder="1" applyAlignment="1">
      <alignment horizontal="center"/>
    </xf>
    <xf numFmtId="0" fontId="7" fillId="0" borderId="0" xfId="0" applyFont="1" applyFill="1" applyBorder="1" applyAlignment="1">
      <alignment horizontal="center"/>
    </xf>
    <xf numFmtId="0" fontId="12" fillId="0" borderId="0" xfId="0" applyFont="1" applyBorder="1" applyAlignment="1">
      <alignment horizontal="center"/>
    </xf>
    <xf numFmtId="0" fontId="12" fillId="0" borderId="14" xfId="0" applyFont="1" applyBorder="1" applyAlignment="1">
      <alignment horizontal="center"/>
    </xf>
    <xf numFmtId="0" fontId="12" fillId="0" borderId="13" xfId="0" applyFont="1" applyBorder="1" applyAlignment="1">
      <alignment horizontal="center"/>
    </xf>
    <xf numFmtId="0" fontId="12" fillId="0" borderId="2" xfId="0" applyFont="1" applyBorder="1" applyAlignment="1">
      <alignment horizontal="center"/>
    </xf>
    <xf numFmtId="0" fontId="2" fillId="5" borderId="5" xfId="0" applyFont="1" applyFill="1" applyBorder="1" applyAlignment="1">
      <alignment horizontal="center" vertical="center" textRotation="90" wrapText="1"/>
    </xf>
    <xf numFmtId="0" fontId="2" fillId="5" borderId="15" xfId="0" applyFont="1" applyFill="1" applyBorder="1" applyAlignment="1">
      <alignment horizontal="center" vertical="center" textRotation="90" wrapText="1"/>
    </xf>
    <xf numFmtId="0" fontId="2" fillId="5" borderId="3" xfId="0" applyFont="1" applyFill="1" applyBorder="1" applyAlignment="1">
      <alignment horizontal="center" vertical="center" textRotation="90" wrapText="1"/>
    </xf>
    <xf numFmtId="0" fontId="2" fillId="18" borderId="14" xfId="0" applyFont="1" applyFill="1" applyBorder="1" applyAlignment="1">
      <alignment horizontal="center"/>
    </xf>
    <xf numFmtId="0" fontId="2" fillId="18" borderId="13" xfId="0" applyFont="1" applyFill="1" applyBorder="1" applyAlignment="1">
      <alignment horizontal="center"/>
    </xf>
    <xf numFmtId="0" fontId="2" fillId="18" borderId="2" xfId="0" applyFont="1" applyFill="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9" fontId="2" fillId="2" borderId="14" xfId="0" applyNumberFormat="1" applyFont="1" applyFill="1" applyBorder="1" applyAlignment="1">
      <alignment horizontal="center"/>
    </xf>
    <xf numFmtId="9" fontId="2" fillId="2" borderId="13" xfId="0" applyNumberFormat="1" applyFont="1" applyFill="1" applyBorder="1" applyAlignment="1">
      <alignment horizontal="center"/>
    </xf>
    <xf numFmtId="9" fontId="2" fillId="2" borderId="2" xfId="0" applyNumberFormat="1" applyFont="1" applyFill="1" applyBorder="1" applyAlignment="1">
      <alignment horizontal="center"/>
    </xf>
    <xf numFmtId="0" fontId="7" fillId="0" borderId="0" xfId="0" applyFont="1" applyBorder="1" applyAlignment="1">
      <alignment horizontal="center"/>
    </xf>
    <xf numFmtId="0" fontId="7" fillId="2" borderId="14" xfId="0" applyFont="1" applyFill="1" applyBorder="1" applyAlignment="1">
      <alignment horizontal="center"/>
    </xf>
    <xf numFmtId="0" fontId="7" fillId="2" borderId="13" xfId="0" applyFont="1" applyFill="1" applyBorder="1" applyAlignment="1">
      <alignment horizontal="center"/>
    </xf>
    <xf numFmtId="0" fontId="7" fillId="2" borderId="2" xfId="0" applyFont="1" applyFill="1" applyBorder="1" applyAlignment="1">
      <alignment horizontal="center"/>
    </xf>
    <xf numFmtId="0" fontId="2" fillId="5" borderId="14" xfId="0" applyFont="1" applyFill="1" applyBorder="1" applyAlignment="1">
      <alignment horizontal="center"/>
    </xf>
    <xf numFmtId="0" fontId="2" fillId="5" borderId="13" xfId="0" applyFont="1" applyFill="1" applyBorder="1" applyAlignment="1">
      <alignment horizontal="center"/>
    </xf>
    <xf numFmtId="0" fontId="2" fillId="5" borderId="2" xfId="0" applyFont="1" applyFill="1" applyBorder="1" applyAlignment="1">
      <alignment horizontal="center"/>
    </xf>
    <xf numFmtId="0" fontId="2" fillId="9" borderId="14"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2" fillId="19" borderId="5" xfId="0" applyFont="1" applyFill="1" applyBorder="1" applyAlignment="1">
      <alignment horizontal="center" vertical="center" textRotation="91" wrapText="1"/>
    </xf>
    <xf numFmtId="0" fontId="2" fillId="19" borderId="15" xfId="0" applyFont="1" applyFill="1" applyBorder="1" applyAlignment="1">
      <alignment horizontal="center" vertical="center" textRotation="91" wrapText="1"/>
    </xf>
    <xf numFmtId="0" fontId="2" fillId="19" borderId="3" xfId="0" applyFont="1" applyFill="1" applyBorder="1" applyAlignment="1">
      <alignment horizontal="center" vertical="center" textRotation="91" wrapText="1"/>
    </xf>
    <xf numFmtId="170" fontId="2" fillId="3" borderId="14" xfId="0" applyNumberFormat="1" applyFont="1" applyFill="1" applyBorder="1" applyAlignment="1">
      <alignment horizontal="center"/>
    </xf>
    <xf numFmtId="170" fontId="2" fillId="3" borderId="13" xfId="0" applyNumberFormat="1" applyFont="1" applyFill="1" applyBorder="1" applyAlignment="1">
      <alignment horizontal="center"/>
    </xf>
    <xf numFmtId="170" fontId="2" fillId="3" borderId="2" xfId="0" applyNumberFormat="1" applyFont="1" applyFill="1" applyBorder="1" applyAlignment="1">
      <alignment horizontal="center"/>
    </xf>
    <xf numFmtId="2" fontId="2" fillId="3" borderId="14" xfId="0" applyNumberFormat="1" applyFont="1" applyFill="1" applyBorder="1" applyAlignment="1">
      <alignment horizontal="center"/>
    </xf>
    <xf numFmtId="2" fontId="2" fillId="3" borderId="13" xfId="0" applyNumberFormat="1" applyFont="1" applyFill="1" applyBorder="1" applyAlignment="1">
      <alignment horizontal="center"/>
    </xf>
    <xf numFmtId="2" fontId="2" fillId="3" borderId="2" xfId="0" applyNumberFormat="1" applyFont="1" applyFill="1" applyBorder="1" applyAlignment="1">
      <alignment horizontal="center"/>
    </xf>
    <xf numFmtId="0" fontId="0" fillId="0" borderId="0" xfId="0" applyFill="1" applyBorder="1" applyAlignment="1">
      <alignment horizontal="center" vertical="center" wrapText="1"/>
    </xf>
    <xf numFmtId="0" fontId="2" fillId="0" borderId="14" xfId="0" applyFont="1" applyBorder="1" applyAlignment="1">
      <alignment horizontal="center"/>
    </xf>
    <xf numFmtId="0" fontId="2" fillId="0" borderId="8" xfId="0" applyFont="1" applyBorder="1" applyAlignment="1">
      <alignment horizontal="center" vertical="center" textRotation="90"/>
    </xf>
    <xf numFmtId="0" fontId="2" fillId="0" borderId="10" xfId="0" applyFont="1" applyBorder="1" applyAlignment="1">
      <alignment horizontal="center" vertical="center" textRotation="90"/>
    </xf>
    <xf numFmtId="0" fontId="2" fillId="0" borderId="4" xfId="0" applyFont="1" applyBorder="1" applyAlignment="1">
      <alignment horizontal="center" vertical="center" textRotation="90"/>
    </xf>
    <xf numFmtId="0" fontId="2" fillId="0" borderId="5" xfId="0" applyFont="1" applyBorder="1" applyAlignment="1">
      <alignment horizontal="center" vertical="center" textRotation="90"/>
    </xf>
    <xf numFmtId="0" fontId="2" fillId="0" borderId="3" xfId="0" applyFont="1" applyBorder="1" applyAlignment="1">
      <alignment horizontal="center" vertical="center" textRotation="90"/>
    </xf>
    <xf numFmtId="0" fontId="2" fillId="0" borderId="15" xfId="0" applyFont="1" applyBorder="1" applyAlignment="1">
      <alignment horizontal="center" vertical="center" textRotation="90"/>
    </xf>
    <xf numFmtId="0" fontId="23" fillId="3" borderId="5" xfId="0" applyFont="1" applyFill="1" applyBorder="1" applyAlignment="1">
      <alignment horizontal="center" vertical="center" textRotation="90"/>
    </xf>
    <xf numFmtId="0" fontId="23" fillId="3" borderId="15" xfId="0" applyFont="1" applyFill="1" applyBorder="1" applyAlignment="1">
      <alignment horizontal="center" vertical="center" textRotation="90"/>
    </xf>
    <xf numFmtId="0" fontId="23" fillId="3" borderId="3" xfId="0" applyFont="1" applyFill="1" applyBorder="1" applyAlignment="1">
      <alignment horizontal="center" vertical="center" textRotation="90"/>
    </xf>
    <xf numFmtId="0" fontId="0" fillId="0" borderId="5" xfId="0" applyBorder="1" applyAlignment="1">
      <alignment horizontal="left" vertical="center"/>
    </xf>
    <xf numFmtId="0" fontId="0" fillId="0" borderId="15" xfId="0" applyBorder="1" applyAlignment="1">
      <alignment horizontal="left" vertical="center"/>
    </xf>
    <xf numFmtId="0" fontId="0" fillId="0" borderId="3" xfId="0" applyBorder="1" applyAlignment="1">
      <alignment horizontal="left" vertical="center"/>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5" xfId="0" applyFont="1" applyFill="1" applyBorder="1" applyAlignment="1">
      <alignment horizontal="center" vertical="center" wrapText="1"/>
    </xf>
    <xf numFmtId="0" fontId="2" fillId="4" borderId="3" xfId="0" applyFont="1" applyFill="1" applyBorder="1" applyAlignment="1">
      <alignment horizontal="center" vertical="center" wrapText="1"/>
    </xf>
    <xf numFmtId="0" fontId="2" fillId="9" borderId="14" xfId="0" applyFont="1" applyFill="1" applyBorder="1" applyAlignment="1">
      <alignment horizontal="center"/>
    </xf>
    <xf numFmtId="0" fontId="2" fillId="9" borderId="13" xfId="0" applyFont="1" applyFill="1" applyBorder="1" applyAlignment="1">
      <alignment horizontal="center"/>
    </xf>
    <xf numFmtId="0" fontId="2" fillId="9" borderId="2" xfId="0" applyFont="1" applyFill="1" applyBorder="1" applyAlignment="1">
      <alignment horizontal="center"/>
    </xf>
    <xf numFmtId="0" fontId="2" fillId="9" borderId="13" xfId="0" applyFont="1" applyFill="1" applyBorder="1" applyAlignment="1">
      <alignment horizontal="center" vertical="center" wrapText="1"/>
    </xf>
    <xf numFmtId="0" fontId="2" fillId="0" borderId="0" xfId="0" applyFont="1" applyFill="1" applyBorder="1" applyAlignment="1">
      <alignment horizontal="center"/>
    </xf>
    <xf numFmtId="0" fontId="0" fillId="0" borderId="5" xfId="0" applyFill="1" applyBorder="1" applyAlignment="1">
      <alignment horizontal="left" vertical="center" wrapText="1"/>
    </xf>
    <xf numFmtId="0" fontId="0" fillId="0" borderId="3" xfId="0" applyFill="1" applyBorder="1" applyAlignment="1">
      <alignment horizontal="left" vertical="center" wrapText="1"/>
    </xf>
    <xf numFmtId="2" fontId="12" fillId="3" borderId="9" xfId="0" applyNumberFormat="1" applyFont="1" applyFill="1" applyBorder="1" applyAlignment="1">
      <alignment horizontal="center" vertical="center"/>
    </xf>
    <xf numFmtId="2" fontId="12" fillId="3" borderId="0" xfId="0" applyNumberFormat="1" applyFont="1" applyFill="1" applyBorder="1" applyAlignment="1">
      <alignment horizontal="center" vertical="center"/>
    </xf>
    <xf numFmtId="2" fontId="12" fillId="3" borderId="10" xfId="0" applyNumberFormat="1" applyFont="1" applyFill="1" applyBorder="1" applyAlignment="1">
      <alignment horizontal="center" vertical="center"/>
    </xf>
    <xf numFmtId="2" fontId="12" fillId="3" borderId="14" xfId="0" applyNumberFormat="1" applyFont="1" applyFill="1" applyBorder="1" applyAlignment="1">
      <alignment horizontal="center" vertical="center"/>
    </xf>
    <xf numFmtId="2" fontId="12" fillId="3" borderId="13" xfId="0" applyNumberFormat="1" applyFont="1" applyFill="1" applyBorder="1" applyAlignment="1">
      <alignment horizontal="center" vertical="center"/>
    </xf>
    <xf numFmtId="2" fontId="12" fillId="3" borderId="2" xfId="0" applyNumberFormat="1" applyFont="1" applyFill="1" applyBorder="1" applyAlignment="1">
      <alignment horizontal="center" vertical="center"/>
    </xf>
    <xf numFmtId="0" fontId="2" fillId="2" borderId="11" xfId="0" applyFont="1" applyFill="1" applyBorder="1" applyAlignment="1">
      <alignment horizontal="center"/>
    </xf>
    <xf numFmtId="0" fontId="2" fillId="2" borderId="12" xfId="0" applyFont="1" applyFill="1" applyBorder="1" applyAlignment="1">
      <alignment horizontal="center"/>
    </xf>
    <xf numFmtId="0" fontId="2" fillId="2" borderId="4" xfId="0" applyFont="1" applyFill="1" applyBorder="1" applyAlignment="1">
      <alignment horizontal="center"/>
    </xf>
    <xf numFmtId="0" fontId="0" fillId="0" borderId="6" xfId="0" applyBorder="1" applyAlignment="1">
      <alignment horizontal="center"/>
    </xf>
    <xf numFmtId="0" fontId="0" fillId="0" borderId="8" xfId="0" applyBorder="1" applyAlignment="1">
      <alignment horizontal="center"/>
    </xf>
    <xf numFmtId="0" fontId="9" fillId="0" borderId="14" xfId="0" applyFont="1" applyBorder="1" applyAlignment="1">
      <alignment horizontal="center"/>
    </xf>
    <xf numFmtId="0" fontId="9" fillId="0" borderId="2"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2" borderId="5" xfId="0" applyFont="1" applyFill="1" applyBorder="1" applyAlignment="1">
      <alignment horizontal="center" vertical="center" textRotation="90"/>
    </xf>
    <xf numFmtId="0" fontId="2" fillId="2" borderId="15" xfId="0" applyFont="1" applyFill="1" applyBorder="1" applyAlignment="1">
      <alignment horizontal="center" vertical="center" textRotation="90"/>
    </xf>
    <xf numFmtId="0" fontId="2" fillId="2" borderId="3" xfId="0" applyFont="1" applyFill="1" applyBorder="1" applyAlignment="1">
      <alignment horizontal="center" vertical="center" textRotation="90"/>
    </xf>
    <xf numFmtId="0" fontId="2" fillId="4" borderId="5" xfId="0" applyFont="1" applyFill="1" applyBorder="1" applyAlignment="1">
      <alignment horizontal="center" vertical="center" textRotation="90" wrapText="1"/>
    </xf>
    <xf numFmtId="0" fontId="2" fillId="4" borderId="15" xfId="0" applyFont="1" applyFill="1" applyBorder="1" applyAlignment="1">
      <alignment horizontal="center" vertical="center" textRotation="90" wrapText="1"/>
    </xf>
    <xf numFmtId="0" fontId="2" fillId="4" borderId="3" xfId="0" applyFont="1" applyFill="1" applyBorder="1" applyAlignment="1">
      <alignment horizontal="center" vertical="center" textRotation="90" wrapText="1"/>
    </xf>
    <xf numFmtId="0" fontId="15" fillId="4" borderId="5" xfId="0" applyFont="1" applyFill="1" applyBorder="1" applyAlignment="1">
      <alignment horizontal="center" vertical="center" textRotation="90" wrapText="1"/>
    </xf>
    <xf numFmtId="0" fontId="15" fillId="4" borderId="15" xfId="0" applyFont="1" applyFill="1" applyBorder="1" applyAlignment="1">
      <alignment horizontal="center" vertical="center" textRotation="90" wrapText="1"/>
    </xf>
    <xf numFmtId="0" fontId="15" fillId="4" borderId="3" xfId="0" applyFont="1" applyFill="1" applyBorder="1" applyAlignment="1">
      <alignment horizontal="center" vertical="center" textRotation="90" wrapText="1"/>
    </xf>
    <xf numFmtId="0" fontId="0" fillId="2" borderId="14"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cellXfs>
  <cellStyles count="8">
    <cellStyle name="Comma" xfId="3" builtinId="3"/>
    <cellStyle name="Currency" xfId="5" builtinId="4"/>
    <cellStyle name="Hyperlink" xfId="4" builtinId="8"/>
    <cellStyle name="Komma 2" xfId="6" xr:uid="{EF20FB47-4D7C-4A55-B201-6B20D0C68C26}"/>
    <cellStyle name="Normal" xfId="0" builtinId="0"/>
    <cellStyle name="Percent" xfId="2" builtinId="5"/>
    <cellStyle name="Standaard 2" xfId="1" xr:uid="{F2F3726B-803F-49D4-9B5E-AB19F5A6A3B2}"/>
    <cellStyle name="Valuta 2" xfId="7" xr:uid="{B95CD952-775C-4735-A7C7-19DD81138688}"/>
  </cellStyles>
  <dxfs count="0"/>
  <tableStyles count="0" defaultTableStyle="TableStyleMedium2" defaultPivotStyle="PivotStyleLight16"/>
  <colors>
    <mruColors>
      <color rgb="FFEFB081"/>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for offshore hydrogen production- floating and bottom fixed</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2"/>
          <c:order val="0"/>
          <c:tx>
            <c:v>H2 offshore floating 2035</c:v>
          </c:tx>
          <c:spPr>
            <a:ln w="28575" cap="rnd">
              <a:solidFill>
                <a:schemeClr val="accent2">
                  <a:lumMod val="50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Calculations!$F$244:$Z$244</c:f>
              <c:numCache>
                <c:formatCode>0.00</c:formatCode>
                <c:ptCount val="21"/>
                <c:pt idx="0">
                  <c:v>2.2517843246459961</c:v>
                </c:pt>
                <c:pt idx="1">
                  <c:v>2.2706866264343262</c:v>
                </c:pt>
                <c:pt idx="2">
                  <c:v>2.2896580696105957</c:v>
                </c:pt>
                <c:pt idx="3">
                  <c:v>2.3086988925933838</c:v>
                </c:pt>
                <c:pt idx="4">
                  <c:v>2.3278088569641113</c:v>
                </c:pt>
                <c:pt idx="5">
                  <c:v>2.3469879627227783</c:v>
                </c:pt>
                <c:pt idx="6">
                  <c:v>2.3662364482879639</c:v>
                </c:pt>
                <c:pt idx="7">
                  <c:v>2.3855540752410889</c:v>
                </c:pt>
                <c:pt idx="8">
                  <c:v>2.4049410820007324</c:v>
                </c:pt>
                <c:pt idx="9">
                  <c:v>2.4243972301483154</c:v>
                </c:pt>
                <c:pt idx="10">
                  <c:v>2.4439225196838379</c:v>
                </c:pt>
                <c:pt idx="11">
                  <c:v>2.4635171890258789</c:v>
                </c:pt>
                <c:pt idx="12">
                  <c:v>2.4831809997558594</c:v>
                </c:pt>
                <c:pt idx="13">
                  <c:v>2.5029139518737793</c:v>
                </c:pt>
                <c:pt idx="14">
                  <c:v>2.5227162837982178</c:v>
                </c:pt>
                <c:pt idx="15">
                  <c:v>2.5425877571105957</c:v>
                </c:pt>
                <c:pt idx="16">
                  <c:v>2.5625283718109131</c:v>
                </c:pt>
                <c:pt idx="17">
                  <c:v>2.582538366317749</c:v>
                </c:pt>
                <c:pt idx="18">
                  <c:v>2.6026175022125244</c:v>
                </c:pt>
                <c:pt idx="19">
                  <c:v>2.6227657794952393</c:v>
                </c:pt>
                <c:pt idx="20">
                  <c:v>2.6429834365844727</c:v>
                </c:pt>
              </c:numCache>
            </c:numRef>
          </c:val>
          <c:smooth val="0"/>
          <c:extLst>
            <c:ext xmlns:c16="http://schemas.microsoft.com/office/drawing/2014/chart" uri="{C3380CC4-5D6E-409C-BE32-E72D297353CC}">
              <c16:uniqueId val="{00000001-7959-4F9B-B573-8B4024904AEE}"/>
            </c:ext>
          </c:extLst>
        </c:ser>
        <c:ser>
          <c:idx val="5"/>
          <c:order val="1"/>
          <c:tx>
            <c:v>H2 offshore floating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Calculations!$F$248:$Z$248</c:f>
              <c:numCache>
                <c:formatCode>0.00</c:formatCode>
                <c:ptCount val="21"/>
                <c:pt idx="0">
                  <c:v>1.2581804990768433</c:v>
                </c:pt>
                <c:pt idx="1">
                  <c:v>1.2676944732666016</c:v>
                </c:pt>
                <c:pt idx="2">
                  <c:v>1.277240514755249</c:v>
                </c:pt>
                <c:pt idx="3">
                  <c:v>1.2868186235427856</c:v>
                </c:pt>
                <c:pt idx="4">
                  <c:v>1.2964286804199219</c:v>
                </c:pt>
                <c:pt idx="5">
                  <c:v>1.3060709238052368</c:v>
                </c:pt>
                <c:pt idx="6">
                  <c:v>1.3157451152801514</c:v>
                </c:pt>
                <c:pt idx="7">
                  <c:v>1.3254512548446655</c:v>
                </c:pt>
                <c:pt idx="8">
                  <c:v>1.3351895809173584</c:v>
                </c:pt>
                <c:pt idx="9">
                  <c:v>1.3449598550796509</c:v>
                </c:pt>
                <c:pt idx="10">
                  <c:v>1.3547621965408325</c:v>
                </c:pt>
                <c:pt idx="11">
                  <c:v>1.3645966053009033</c:v>
                </c:pt>
                <c:pt idx="12">
                  <c:v>1.3744629621505737</c:v>
                </c:pt>
                <c:pt idx="13">
                  <c:v>1.3843615055084229</c:v>
                </c:pt>
                <c:pt idx="14">
                  <c:v>1.3942919969558716</c:v>
                </c:pt>
                <c:pt idx="15">
                  <c:v>1.4042545557022095</c:v>
                </c:pt>
                <c:pt idx="16">
                  <c:v>1.414249062538147</c:v>
                </c:pt>
                <c:pt idx="17">
                  <c:v>1.4242756366729736</c:v>
                </c:pt>
                <c:pt idx="18">
                  <c:v>1.434334397315979</c:v>
                </c:pt>
                <c:pt idx="19">
                  <c:v>1.4444249868392944</c:v>
                </c:pt>
                <c:pt idx="20">
                  <c:v>1.4545477628707886</c:v>
                </c:pt>
              </c:numCache>
            </c:numRef>
          </c:val>
          <c:smooth val="0"/>
          <c:extLst>
            <c:ext xmlns:c16="http://schemas.microsoft.com/office/drawing/2014/chart" uri="{C3380CC4-5D6E-409C-BE32-E72D297353CC}">
              <c16:uniqueId val="{00000003-7959-4F9B-B573-8B4024904AEE}"/>
            </c:ext>
          </c:extLst>
        </c:ser>
        <c:ser>
          <c:idx val="0"/>
          <c:order val="2"/>
          <c:tx>
            <c:v>H2 offshore BF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Calculations!$F$236:$Z$236</c:f>
              <c:numCache>
                <c:formatCode>0.00</c:formatCode>
                <c:ptCount val="21"/>
                <c:pt idx="0">
                  <c:v>1.6612870693206787</c:v>
                </c:pt>
                <c:pt idx="1">
                  <c:v>1.6789555549621582</c:v>
                </c:pt>
                <c:pt idx="2">
                  <c:v>1.6966395378112793</c:v>
                </c:pt>
                <c:pt idx="3">
                  <c:v>1.7143388986587524</c:v>
                </c:pt>
                <c:pt idx="4">
                  <c:v>1.7320537567138672</c:v>
                </c:pt>
                <c:pt idx="5">
                  <c:v>1.7497838735580444</c:v>
                </c:pt>
                <c:pt idx="6">
                  <c:v>1.7675293684005737</c:v>
                </c:pt>
                <c:pt idx="7">
                  <c:v>1.7852903604507446</c:v>
                </c:pt>
                <c:pt idx="8">
                  <c:v>1.8030667304992676</c:v>
                </c:pt>
                <c:pt idx="9">
                  <c:v>1.8208584785461426</c:v>
                </c:pt>
                <c:pt idx="10">
                  <c:v>1.8386656045913696</c:v>
                </c:pt>
                <c:pt idx="11">
                  <c:v>1.8564881086349487</c:v>
                </c:pt>
                <c:pt idx="12">
                  <c:v>1.8743261098861694</c:v>
                </c:pt>
                <c:pt idx="13">
                  <c:v>1.8921793699264526</c:v>
                </c:pt>
                <c:pt idx="14">
                  <c:v>1.9100481271743774</c:v>
                </c:pt>
                <c:pt idx="15">
                  <c:v>1.9279322624206543</c:v>
                </c:pt>
                <c:pt idx="16">
                  <c:v>1.9458317756652832</c:v>
                </c:pt>
                <c:pt idx="17">
                  <c:v>1.9637466669082642</c:v>
                </c:pt>
                <c:pt idx="18">
                  <c:v>1.9816770553588867</c:v>
                </c:pt>
                <c:pt idx="19">
                  <c:v>1.9996227025985718</c:v>
                </c:pt>
                <c:pt idx="20">
                  <c:v>2.0175838470458984</c:v>
                </c:pt>
              </c:numCache>
            </c:numRef>
          </c:val>
          <c:smooth val="0"/>
          <c:extLst>
            <c:ext xmlns:c16="http://schemas.microsoft.com/office/drawing/2014/chart" uri="{C3380CC4-5D6E-409C-BE32-E72D297353CC}">
              <c16:uniqueId val="{00000007-7959-4F9B-B573-8B4024904AEE}"/>
            </c:ext>
          </c:extLst>
        </c:ser>
        <c:ser>
          <c:idx val="1"/>
          <c:order val="3"/>
          <c:tx>
            <c:v>H2 offshore BF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Calculations!$F$240:$Z$240</c:f>
              <c:numCache>
                <c:formatCode>0.00</c:formatCode>
                <c:ptCount val="21"/>
                <c:pt idx="0">
                  <c:v>1.1956058740615845</c:v>
                </c:pt>
                <c:pt idx="1">
                  <c:v>1.2082736492156982</c:v>
                </c:pt>
                <c:pt idx="2">
                  <c:v>1.2209502458572388</c:v>
                </c:pt>
                <c:pt idx="3">
                  <c:v>1.2336360216140747</c:v>
                </c:pt>
                <c:pt idx="4">
                  <c:v>1.2463306188583374</c:v>
                </c:pt>
                <c:pt idx="5">
                  <c:v>1.2590341567993164</c:v>
                </c:pt>
                <c:pt idx="6">
                  <c:v>1.2717467546463013</c:v>
                </c:pt>
                <c:pt idx="7">
                  <c:v>1.2844682931900024</c:v>
                </c:pt>
                <c:pt idx="8">
                  <c:v>1.2971987724304199</c:v>
                </c:pt>
                <c:pt idx="9">
                  <c:v>1.3099381923675537</c:v>
                </c:pt>
                <c:pt idx="10">
                  <c:v>1.3226865530014038</c:v>
                </c:pt>
                <c:pt idx="11">
                  <c:v>1.3354438543319702</c:v>
                </c:pt>
                <c:pt idx="12">
                  <c:v>1.3482102155685425</c:v>
                </c:pt>
                <c:pt idx="13">
                  <c:v>1.3609853982925415</c:v>
                </c:pt>
                <c:pt idx="14">
                  <c:v>1.3737696409225464</c:v>
                </c:pt>
                <c:pt idx="15">
                  <c:v>1.3865628242492676</c:v>
                </c:pt>
                <c:pt idx="16">
                  <c:v>1.3993649482727051</c:v>
                </c:pt>
                <c:pt idx="17">
                  <c:v>1.4121761322021484</c:v>
                </c:pt>
                <c:pt idx="18">
                  <c:v>1.4249961376190186</c:v>
                </c:pt>
                <c:pt idx="19">
                  <c:v>1.4378252029418945</c:v>
                </c:pt>
                <c:pt idx="20">
                  <c:v>1.4506630897521973</c:v>
                </c:pt>
              </c:numCache>
            </c:numRef>
          </c:val>
          <c:smooth val="0"/>
          <c:extLst>
            <c:ext xmlns:c16="http://schemas.microsoft.com/office/drawing/2014/chart" uri="{C3380CC4-5D6E-409C-BE32-E72D297353CC}">
              <c16:uniqueId val="{00000008-7959-4F9B-B573-8B4024904AEE}"/>
            </c:ext>
          </c:extLst>
        </c:ser>
        <c:dLbls>
          <c:showLegendKey val="0"/>
          <c:showVal val="0"/>
          <c:showCatName val="0"/>
          <c:showSerName val="0"/>
          <c:showPercent val="0"/>
          <c:showBubbleSize val="0"/>
        </c:dLbls>
        <c:smooth val="0"/>
        <c:axId val="459114496"/>
        <c:axId val="459107936"/>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3.6"/>
          <c:min val="1.10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 hydrogen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459114496"/>
        <c:crosses val="autoZero"/>
        <c:crossBetween val="between"/>
      </c:valAx>
      <c:spPr>
        <a:noFill/>
        <a:ln>
          <a:noFill/>
        </a:ln>
        <a:effectLst/>
      </c:spPr>
    </c:plotArea>
    <c:legend>
      <c:legendPos val="b"/>
      <c:overlay val="0"/>
      <c:spPr>
        <a:noFill/>
        <a:ln>
          <a:solidFill>
            <a:schemeClr val="accent2">
              <a:lumMod val="50000"/>
            </a:schemeClr>
          </a:solidFill>
          <a:prstDash val="dash"/>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Depth dependency LCOH </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1"/>
          <c:order val="0"/>
          <c:tx>
            <c:v>H2 onshore FB 2035</c:v>
          </c:tx>
          <c:spPr>
            <a:ln w="28575" cap="rnd">
              <a:solidFill>
                <a:schemeClr val="accent2"/>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Calculations!$F$256:$Z$256</c:f>
              <c:numCache>
                <c:formatCode>0.00</c:formatCode>
                <c:ptCount val="21"/>
                <c:pt idx="0">
                  <c:v>2.0516252517700195</c:v>
                </c:pt>
                <c:pt idx="1">
                  <c:v>2.054018497467041</c:v>
                </c:pt>
                <c:pt idx="2">
                  <c:v>2.0565147399902344</c:v>
                </c:pt>
                <c:pt idx="3">
                  <c:v>2.0821611881256104</c:v>
                </c:pt>
                <c:pt idx="4">
                  <c:v>2.10971999168396</c:v>
                </c:pt>
                <c:pt idx="5">
                  <c:v>2.1394224166870117</c:v>
                </c:pt>
                <c:pt idx="6">
                  <c:v>2.1715383529663086</c:v>
                </c:pt>
                <c:pt idx="7">
                  <c:v>2.2063846588134766</c:v>
                </c:pt>
                <c:pt idx="8">
                  <c:v>2.2443366050720215</c:v>
                </c:pt>
                <c:pt idx="9">
                  <c:v>2.2858414649963379</c:v>
                </c:pt>
                <c:pt idx="10">
                  <c:v>2.3314366340637207</c:v>
                </c:pt>
                <c:pt idx="11">
                  <c:v>2.3817734718322754</c:v>
                </c:pt>
                <c:pt idx="12">
                  <c:v>2.437650203704834</c:v>
                </c:pt>
                <c:pt idx="13">
                  <c:v>2.5000534057617188</c:v>
                </c:pt>
                <c:pt idx="14">
                  <c:v>2.5702202320098877</c:v>
                </c:pt>
                <c:pt idx="15">
                  <c:v>2.6497204303741455</c:v>
                </c:pt>
                <c:pt idx="16">
                  <c:v>2.7405784130096436</c:v>
                </c:pt>
                <c:pt idx="17">
                  <c:v>2.8454492092132568</c:v>
                </c:pt>
                <c:pt idx="18">
                  <c:v>2.9678852558135986</c:v>
                </c:pt>
                <c:pt idx="19">
                  <c:v>3.1127510070800781</c:v>
                </c:pt>
                <c:pt idx="20">
                  <c:v>3.2763209342956543</c:v>
                </c:pt>
              </c:numCache>
            </c:numRef>
          </c:val>
          <c:smooth val="0"/>
          <c:extLst>
            <c:ext xmlns:c16="http://schemas.microsoft.com/office/drawing/2014/chart" uri="{C3380CC4-5D6E-409C-BE32-E72D297353CC}">
              <c16:uniqueId val="{00000000-D4DE-40DD-841A-0C3A138770A9}"/>
            </c:ext>
          </c:extLst>
        </c:ser>
        <c:ser>
          <c:idx val="2"/>
          <c:order val="1"/>
          <c:tx>
            <c:v>H2 offshore FB 2035</c:v>
          </c:tx>
          <c:spPr>
            <a:ln w="28575" cap="rnd">
              <a:solidFill>
                <a:schemeClr val="accent6">
                  <a:lumMod val="50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Calculations!$F$257:$Z$257</c:f>
              <c:numCache>
                <c:formatCode>0.00</c:formatCode>
                <c:ptCount val="21"/>
                <c:pt idx="0">
                  <c:v>1.6150286197662354</c:v>
                </c:pt>
                <c:pt idx="1">
                  <c:v>1.6169630289077759</c:v>
                </c:pt>
                <c:pt idx="2">
                  <c:v>1.6190006732940674</c:v>
                </c:pt>
                <c:pt idx="3">
                  <c:v>1.6441597938537598</c:v>
                </c:pt>
                <c:pt idx="4">
                  <c:v>1.6712281703948975</c:v>
                </c:pt>
                <c:pt idx="5">
                  <c:v>1.7004363536834717</c:v>
                </c:pt>
                <c:pt idx="6">
                  <c:v>1.7320537567138672</c:v>
                </c:pt>
                <c:pt idx="7">
                  <c:v>1.7663967609405518</c:v>
                </c:pt>
                <c:pt idx="8">
                  <c:v>1.8038399219512939</c:v>
                </c:pt>
                <c:pt idx="9">
                  <c:v>1.844829797744751</c:v>
                </c:pt>
                <c:pt idx="10">
                  <c:v>1.8899028301239014</c:v>
                </c:pt>
                <c:pt idx="11">
                  <c:v>1.9397093057632446</c:v>
                </c:pt>
                <c:pt idx="12">
                  <c:v>1.9950456619262695</c:v>
                </c:pt>
                <c:pt idx="13">
                  <c:v>2.0568971633911133</c:v>
                </c:pt>
                <c:pt idx="14">
                  <c:v>2.1264986991882324</c:v>
                </c:pt>
                <c:pt idx="15">
                  <c:v>2.2054173946380615</c:v>
                </c:pt>
                <c:pt idx="16">
                  <c:v>2.2956736087799072</c:v>
                </c:pt>
                <c:pt idx="17">
                  <c:v>2.3999183177947998</c:v>
                </c:pt>
                <c:pt idx="18">
                  <c:v>2.5216972827911377</c:v>
                </c:pt>
                <c:pt idx="19">
                  <c:v>2.6658663749694824</c:v>
                </c:pt>
                <c:pt idx="20">
                  <c:v>2.828704833984375</c:v>
                </c:pt>
              </c:numCache>
            </c:numRef>
          </c:val>
          <c:smooth val="0"/>
          <c:extLst>
            <c:ext xmlns:c16="http://schemas.microsoft.com/office/drawing/2014/chart" uri="{C3380CC4-5D6E-409C-BE32-E72D297353CC}">
              <c16:uniqueId val="{00000001-D4DE-40DD-841A-0C3A138770A9}"/>
            </c:ext>
          </c:extLst>
        </c:ser>
        <c:ser>
          <c:idx val="4"/>
          <c:order val="2"/>
          <c:tx>
            <c:v>H2 onshore FB 2050</c:v>
          </c:tx>
          <c:spPr>
            <a:ln w="28575" cap="rnd">
              <a:solidFill>
                <a:schemeClr val="accent2"/>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Calculations!$F$260:$Z$260</c:f>
              <c:numCache>
                <c:formatCode>0.00</c:formatCode>
                <c:ptCount val="21"/>
                <c:pt idx="0">
                  <c:v>1.5356020927429199</c:v>
                </c:pt>
                <c:pt idx="1">
                  <c:v>1.537738561630249</c:v>
                </c:pt>
                <c:pt idx="2">
                  <c:v>1.5399696826934814</c:v>
                </c:pt>
                <c:pt idx="3">
                  <c:v>1.5633929967880249</c:v>
                </c:pt>
                <c:pt idx="4">
                  <c:v>1.5885671377182007</c:v>
                </c:pt>
                <c:pt idx="5">
                  <c:v>1.6157035827636719</c:v>
                </c:pt>
                <c:pt idx="6">
                  <c:v>1.6450494527816772</c:v>
                </c:pt>
                <c:pt idx="7">
                  <c:v>1.6768947839736938</c:v>
                </c:pt>
                <c:pt idx="8">
                  <c:v>1.711583137512207</c:v>
                </c:pt>
                <c:pt idx="9">
                  <c:v>1.7495239973068237</c:v>
                </c:pt>
                <c:pt idx="10">
                  <c:v>1.7912092208862305</c:v>
                </c:pt>
                <c:pt idx="11">
                  <c:v>1.8372353315353394</c:v>
                </c:pt>
                <c:pt idx="12">
                  <c:v>1.8883324861526489</c:v>
                </c:pt>
                <c:pt idx="13">
                  <c:v>1.9454045295715332</c:v>
                </c:pt>
                <c:pt idx="14">
                  <c:v>2.0095834732055664</c:v>
                </c:pt>
                <c:pt idx="15">
                  <c:v>2.0823068618774414</c:v>
                </c:pt>
                <c:pt idx="16">
                  <c:v>2.1654272079467773</c:v>
                </c:pt>
                <c:pt idx="17">
                  <c:v>2.2613756656646729</c:v>
                </c:pt>
                <c:pt idx="18">
                  <c:v>2.373403787612915</c:v>
                </c:pt>
                <c:pt idx="19">
                  <c:v>2.5059647560119629</c:v>
                </c:pt>
                <c:pt idx="20">
                  <c:v>2.6556484699249268</c:v>
                </c:pt>
              </c:numCache>
            </c:numRef>
          </c:val>
          <c:smooth val="0"/>
          <c:extLst>
            <c:ext xmlns:c16="http://schemas.microsoft.com/office/drawing/2014/chart" uri="{C3380CC4-5D6E-409C-BE32-E72D297353CC}">
              <c16:uniqueId val="{00000002-D4DE-40DD-841A-0C3A138770A9}"/>
            </c:ext>
          </c:extLst>
        </c:ser>
        <c:ser>
          <c:idx val="5"/>
          <c:order val="3"/>
          <c:tx>
            <c:v>H2 offshore FB 2050</c:v>
          </c:tx>
          <c:spPr>
            <a:ln w="28575" cap="rnd">
              <a:solidFill>
                <a:schemeClr val="accent6">
                  <a:lumMod val="50000"/>
                </a:schemeClr>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Calculations!$F$261:$Z$261</c:f>
              <c:numCache>
                <c:formatCode>0.00</c:formatCode>
                <c:ptCount val="21"/>
                <c:pt idx="0">
                  <c:v>1.1401833295822144</c:v>
                </c:pt>
                <c:pt idx="1">
                  <c:v>1.1417880058288574</c:v>
                </c:pt>
                <c:pt idx="2">
                  <c:v>1.1434869766235352</c:v>
                </c:pt>
                <c:pt idx="3">
                  <c:v>1.1663558483123779</c:v>
                </c:pt>
                <c:pt idx="4">
                  <c:v>1.1909726858139038</c:v>
                </c:pt>
                <c:pt idx="5">
                  <c:v>1.2175487279891968</c:v>
                </c:pt>
                <c:pt idx="6">
                  <c:v>1.2463306188583374</c:v>
                </c:pt>
                <c:pt idx="7">
                  <c:v>1.2776080369949341</c:v>
                </c:pt>
                <c:pt idx="8">
                  <c:v>1.3117239475250244</c:v>
                </c:pt>
                <c:pt idx="9">
                  <c:v>1.3490872383117676</c:v>
                </c:pt>
                <c:pt idx="10">
                  <c:v>1.3901888132095337</c:v>
                </c:pt>
                <c:pt idx="11">
                  <c:v>1.435624361038208</c:v>
                </c:pt>
                <c:pt idx="12">
                  <c:v>1.4861229658126831</c:v>
                </c:pt>
                <c:pt idx="13">
                  <c:v>1.5425869226455688</c:v>
                </c:pt>
                <c:pt idx="14">
                  <c:v>1.6061464548110962</c:v>
                </c:pt>
                <c:pt idx="15">
                  <c:v>1.6782366037368774</c:v>
                </c:pt>
                <c:pt idx="16">
                  <c:v>1.7607074975967407</c:v>
                </c:pt>
                <c:pt idx="17">
                  <c:v>1.8559857606887817</c:v>
                </c:pt>
                <c:pt idx="18">
                  <c:v>1.9673181772232056</c:v>
                </c:pt>
                <c:pt idx="19">
                  <c:v>2.0991508960723877</c:v>
                </c:pt>
                <c:pt idx="20">
                  <c:v>2.2480769157409668</c:v>
                </c:pt>
              </c:numCache>
            </c:numRef>
          </c:val>
          <c:smooth val="0"/>
          <c:extLst>
            <c:ext xmlns:c16="http://schemas.microsoft.com/office/drawing/2014/chart" uri="{C3380CC4-5D6E-409C-BE32-E72D297353CC}">
              <c16:uniqueId val="{00000003-D4DE-40DD-841A-0C3A138770A9}"/>
            </c:ext>
          </c:extLst>
        </c:ser>
        <c:ser>
          <c:idx val="7"/>
          <c:order val="5"/>
          <c:tx>
            <c:v>H2 onshore float 2050</c:v>
          </c:tx>
          <c:spPr>
            <a:ln w="63500" cap="rnd">
              <a:solidFill>
                <a:schemeClr val="accent2"/>
              </a:solidFill>
              <a:prstDash val="sysDot"/>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Calculations!$F$268:$Z$268</c:f>
              <c:numCache>
                <c:formatCode>0.00</c:formatCode>
                <c:ptCount val="21"/>
                <c:pt idx="0">
                  <c:v>1.6768618822097778</c:v>
                </c:pt>
                <c:pt idx="1">
                  <c:v>1.6799185276031494</c:v>
                </c:pt>
                <c:pt idx="2">
                  <c:v>1.6829754114151001</c:v>
                </c:pt>
                <c:pt idx="3">
                  <c:v>1.6860322952270508</c:v>
                </c:pt>
                <c:pt idx="4">
                  <c:v>1.689089298248291</c:v>
                </c:pt>
                <c:pt idx="5">
                  <c:v>1.6921464204788208</c:v>
                </c:pt>
                <c:pt idx="6">
                  <c:v>1.6952036619186401</c:v>
                </c:pt>
                <c:pt idx="7">
                  <c:v>1.6982609033584595</c:v>
                </c:pt>
                <c:pt idx="8">
                  <c:v>1.7013182640075684</c:v>
                </c:pt>
                <c:pt idx="9">
                  <c:v>1.7043757438659668</c:v>
                </c:pt>
                <c:pt idx="10">
                  <c:v>1.7074333429336548</c:v>
                </c:pt>
                <c:pt idx="11">
                  <c:v>1.7104909420013428</c:v>
                </c:pt>
                <c:pt idx="12">
                  <c:v>1.7135486602783203</c:v>
                </c:pt>
                <c:pt idx="13">
                  <c:v>1.7166064977645874</c:v>
                </c:pt>
                <c:pt idx="14">
                  <c:v>1.7196643352508545</c:v>
                </c:pt>
                <c:pt idx="15">
                  <c:v>1.7227224111557007</c:v>
                </c:pt>
                <c:pt idx="16">
                  <c:v>1.7257804870605469</c:v>
                </c:pt>
                <c:pt idx="17">
                  <c:v>1.7288385629653931</c:v>
                </c:pt>
                <c:pt idx="18">
                  <c:v>1.7318968772888184</c:v>
                </c:pt>
                <c:pt idx="19">
                  <c:v>1.7349551916122437</c:v>
                </c:pt>
                <c:pt idx="20">
                  <c:v>1.7380136251449585</c:v>
                </c:pt>
              </c:numCache>
            </c:numRef>
          </c:val>
          <c:smooth val="0"/>
          <c:extLst>
            <c:ext xmlns:c16="http://schemas.microsoft.com/office/drawing/2014/chart" uri="{C3380CC4-5D6E-409C-BE32-E72D297353CC}">
              <c16:uniqueId val="{00000004-D4DE-40DD-841A-0C3A138770A9}"/>
            </c:ext>
          </c:extLst>
        </c:ser>
        <c:ser>
          <c:idx val="8"/>
          <c:order val="6"/>
          <c:tx>
            <c:v>H2 offshore float 2050</c:v>
          </c:tx>
          <c:spPr>
            <a:ln w="63500" cap="rnd">
              <a:solidFill>
                <a:schemeClr val="accent6">
                  <a:lumMod val="50000"/>
                </a:schemeClr>
              </a:solidFill>
              <a:prstDash val="sysDot"/>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Calculations!$F$269:$Z$269</c:f>
              <c:numCache>
                <c:formatCode>0.00</c:formatCode>
                <c:ptCount val="21"/>
                <c:pt idx="0">
                  <c:v>1.2813018560409546</c:v>
                </c:pt>
                <c:pt idx="1">
                  <c:v>1.2838230133056641</c:v>
                </c:pt>
                <c:pt idx="2">
                  <c:v>1.2863441705703735</c:v>
                </c:pt>
                <c:pt idx="3">
                  <c:v>1.288865327835083</c:v>
                </c:pt>
                <c:pt idx="4">
                  <c:v>1.2913863658905029</c:v>
                </c:pt>
                <c:pt idx="5">
                  <c:v>1.2939075231552124</c:v>
                </c:pt>
                <c:pt idx="6">
                  <c:v>1.2964286804199219</c:v>
                </c:pt>
                <c:pt idx="7">
                  <c:v>1.2989498376846313</c:v>
                </c:pt>
                <c:pt idx="8">
                  <c:v>1.3014709949493408</c:v>
                </c:pt>
                <c:pt idx="9">
                  <c:v>1.3039921522140503</c:v>
                </c:pt>
                <c:pt idx="10">
                  <c:v>1.3065133094787598</c:v>
                </c:pt>
                <c:pt idx="11">
                  <c:v>1.3090344667434692</c:v>
                </c:pt>
                <c:pt idx="12">
                  <c:v>1.3115556240081787</c:v>
                </c:pt>
                <c:pt idx="13">
                  <c:v>1.3140767812728882</c:v>
                </c:pt>
                <c:pt idx="14">
                  <c:v>1.3165979385375977</c:v>
                </c:pt>
                <c:pt idx="15">
                  <c:v>1.3191189765930176</c:v>
                </c:pt>
                <c:pt idx="16">
                  <c:v>1.3216401338577271</c:v>
                </c:pt>
                <c:pt idx="17">
                  <c:v>1.3241612911224365</c:v>
                </c:pt>
                <c:pt idx="18">
                  <c:v>1.326682448387146</c:v>
                </c:pt>
                <c:pt idx="19">
                  <c:v>1.3292036056518555</c:v>
                </c:pt>
                <c:pt idx="20">
                  <c:v>1.3317247629165649</c:v>
                </c:pt>
              </c:numCache>
            </c:numRef>
          </c:val>
          <c:smooth val="0"/>
          <c:extLst>
            <c:ext xmlns:c16="http://schemas.microsoft.com/office/drawing/2014/chart" uri="{C3380CC4-5D6E-409C-BE32-E72D297353CC}">
              <c16:uniqueId val="{00000005-D4DE-40DD-841A-0C3A138770A9}"/>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6"/>
          <c:order val="4"/>
          <c:tx>
            <c:v>electr float 2050</c:v>
          </c:tx>
          <c:spPr>
            <a:ln w="28575" cap="rnd">
              <a:solidFill>
                <a:schemeClr val="accent1">
                  <a:lumMod val="60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extLst xmlns:c15="http://schemas.microsoft.com/office/drawing/2012/chart"/>
            </c:numRef>
          </c:cat>
          <c:val>
            <c:numRef>
              <c:f>Calculations!#REF!</c:f>
              <c:numCache>
                <c:formatCode>General</c:formatCode>
                <c:ptCount val="1"/>
                <c:pt idx="0">
                  <c:v>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8-D4DE-40DD-841A-0C3A138770A9}"/>
            </c:ext>
          </c:extLst>
        </c:ser>
        <c:dLbls>
          <c:showLegendKey val="0"/>
          <c:showVal val="0"/>
          <c:showCatName val="0"/>
          <c:showSerName val="0"/>
          <c:showPercent val="0"/>
          <c:showBubbleSize val="0"/>
        </c:dLbls>
        <c:marker val="1"/>
        <c:smooth val="0"/>
        <c:axId val="632081752"/>
        <c:axId val="632082080"/>
        <c:extLst/>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Water depth [m]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3.3"/>
          <c:min val="1.100000000000000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 hydrogen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459114496"/>
        <c:crosses val="autoZero"/>
        <c:crossBetween val="midCat"/>
      </c:valAx>
      <c:valAx>
        <c:axId val="632082080"/>
        <c:scaling>
          <c:orientation val="minMax"/>
          <c:max val="3.3"/>
          <c:min val="1.1000000000000001"/>
        </c:scaling>
        <c:delete val="1"/>
        <c:axPos val="r"/>
        <c:numFmt formatCode="General" sourceLinked="1"/>
        <c:majorTickMark val="out"/>
        <c:minorTickMark val="none"/>
        <c:tickLblPos val="nextTo"/>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sz="1400" b="1" i="0" baseline="0">
                <a:solidFill>
                  <a:sysClr val="windowText" lastClr="000000"/>
                </a:solidFill>
                <a:effectLst/>
              </a:rPr>
              <a:t>Depth dependency LCOE </a:t>
            </a:r>
            <a:endParaRPr lang="nl-NL" sz="1400" b="1">
              <a:solidFill>
                <a:sysClr val="windowText" lastClr="000000"/>
              </a:solidFill>
              <a:effectLst/>
            </a:endParaRPr>
          </a:p>
        </c:rich>
      </c:tx>
      <c:layout>
        <c:manualLayout>
          <c:xMode val="edge"/>
          <c:yMode val="edge"/>
          <c:x val="0.42179732026970257"/>
          <c:y val="1.692650630912198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Floating 2050</c:v>
          </c:tx>
          <c:spPr>
            <a:ln w="28575" cap="rnd">
              <a:solidFill>
                <a:schemeClr val="accent1"/>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Calculations!$F$267:$Z$267</c:f>
              <c:numCache>
                <c:formatCode>0.00</c:formatCode>
                <c:ptCount val="21"/>
                <c:pt idx="0">
                  <c:v>32.139610290527344</c:v>
                </c:pt>
                <c:pt idx="1">
                  <c:v>32.206516265869141</c:v>
                </c:pt>
                <c:pt idx="2">
                  <c:v>32.273426055908203</c:v>
                </c:pt>
                <c:pt idx="3">
                  <c:v>32.340339660644531</c:v>
                </c:pt>
                <c:pt idx="4">
                  <c:v>32.407253265380859</c:v>
                </c:pt>
                <c:pt idx="5">
                  <c:v>32.474166870117188</c:v>
                </c:pt>
                <c:pt idx="6">
                  <c:v>32.541084289550781</c:v>
                </c:pt>
                <c:pt idx="7">
                  <c:v>32.608005523681641</c:v>
                </c:pt>
                <c:pt idx="8">
                  <c:v>32.6749267578125</c:v>
                </c:pt>
                <c:pt idx="9">
                  <c:v>32.741851806640625</c:v>
                </c:pt>
                <c:pt idx="10">
                  <c:v>32.80877685546875</c:v>
                </c:pt>
                <c:pt idx="11">
                  <c:v>32.875701904296875</c:v>
                </c:pt>
                <c:pt idx="12">
                  <c:v>32.942630767822266</c:v>
                </c:pt>
                <c:pt idx="13">
                  <c:v>33.009563446044922</c:v>
                </c:pt>
                <c:pt idx="14">
                  <c:v>33.076496124267578</c:v>
                </c:pt>
                <c:pt idx="15">
                  <c:v>33.1434326171875</c:v>
                </c:pt>
                <c:pt idx="16">
                  <c:v>33.210369110107422</c:v>
                </c:pt>
                <c:pt idx="17">
                  <c:v>33.277309417724609</c:v>
                </c:pt>
                <c:pt idx="18">
                  <c:v>33.344249725341797</c:v>
                </c:pt>
                <c:pt idx="19">
                  <c:v>33.41119384765625</c:v>
                </c:pt>
                <c:pt idx="20">
                  <c:v>33.478137969970703</c:v>
                </c:pt>
              </c:numCache>
            </c:numRef>
          </c:val>
          <c:smooth val="0"/>
          <c:extLst>
            <c:ext xmlns:c16="http://schemas.microsoft.com/office/drawing/2014/chart" uri="{C3380CC4-5D6E-409C-BE32-E72D297353CC}">
              <c16:uniqueId val="{00000000-2248-41C9-8A40-D8B713A2745E}"/>
            </c:ext>
          </c:extLst>
        </c:ser>
        <c:ser>
          <c:idx val="1"/>
          <c:order val="1"/>
          <c:tx>
            <c:v>Floating 2035</c:v>
          </c:tx>
          <c:spPr>
            <a:ln w="28575" cap="rnd">
              <a:solidFill>
                <a:srgbClr val="0070C0"/>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Calculations!$F$263:$Z$263</c:f>
              <c:numCache>
                <c:formatCode>0.00</c:formatCode>
                <c:ptCount val="21"/>
                <c:pt idx="0">
                  <c:v>45.565174102783203</c:v>
                </c:pt>
                <c:pt idx="1">
                  <c:v>45.688983917236328</c:v>
                </c:pt>
                <c:pt idx="2">
                  <c:v>45.812797546386719</c:v>
                </c:pt>
                <c:pt idx="3">
                  <c:v>45.936614990234375</c:v>
                </c:pt>
                <c:pt idx="4">
                  <c:v>46.060436248779297</c:v>
                </c:pt>
                <c:pt idx="5">
                  <c:v>46.184261322021484</c:v>
                </c:pt>
                <c:pt idx="6">
                  <c:v>46.308094024658203</c:v>
                </c:pt>
                <c:pt idx="7">
                  <c:v>46.431926727294922</c:v>
                </c:pt>
                <c:pt idx="8">
                  <c:v>46.555767059326172</c:v>
                </c:pt>
                <c:pt idx="9">
                  <c:v>46.679607391357422</c:v>
                </c:pt>
                <c:pt idx="10">
                  <c:v>46.803455352783203</c:v>
                </c:pt>
                <c:pt idx="11">
                  <c:v>46.92730712890625</c:v>
                </c:pt>
                <c:pt idx="12">
                  <c:v>47.051162719726563</c:v>
                </c:pt>
                <c:pt idx="13">
                  <c:v>47.175022125244141</c:v>
                </c:pt>
                <c:pt idx="14">
                  <c:v>47.298885345458984</c:v>
                </c:pt>
                <c:pt idx="15">
                  <c:v>47.422752380371094</c:v>
                </c:pt>
                <c:pt idx="16">
                  <c:v>47.546623229980469</c:v>
                </c:pt>
                <c:pt idx="17">
                  <c:v>47.670501708984375</c:v>
                </c:pt>
                <c:pt idx="18">
                  <c:v>47.794380187988281</c:v>
                </c:pt>
                <c:pt idx="19">
                  <c:v>47.918266296386719</c:v>
                </c:pt>
                <c:pt idx="20">
                  <c:v>48.042156219482422</c:v>
                </c:pt>
              </c:numCache>
            </c:numRef>
          </c:val>
          <c:smooth val="0"/>
          <c:extLst>
            <c:ext xmlns:c16="http://schemas.microsoft.com/office/drawing/2014/chart" uri="{C3380CC4-5D6E-409C-BE32-E72D297353CC}">
              <c16:uniqueId val="{00000001-2248-41C9-8A40-D8B713A2745E}"/>
            </c:ext>
          </c:extLst>
        </c:ser>
        <c:ser>
          <c:idx val="2"/>
          <c:order val="2"/>
          <c:tx>
            <c:v>Fixed bottom 2035</c:v>
          </c:tx>
          <c:spPr>
            <a:ln w="28575" cap="rnd">
              <a:solidFill>
                <a:schemeClr val="accent6">
                  <a:lumMod val="75000"/>
                </a:schemeClr>
              </a:solidFill>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Calculations!$F$255:$Z$255</c:f>
              <c:numCache>
                <c:formatCode>0.00</c:formatCode>
                <c:ptCount val="21"/>
                <c:pt idx="0">
                  <c:v>31.952487945556641</c:v>
                </c:pt>
                <c:pt idx="1">
                  <c:v>32.000438690185547</c:v>
                </c:pt>
                <c:pt idx="2">
                  <c:v>32.050460815429688</c:v>
                </c:pt>
                <c:pt idx="3">
                  <c:v>32.564350128173828</c:v>
                </c:pt>
                <c:pt idx="4">
                  <c:v>33.116565704345703</c:v>
                </c:pt>
                <c:pt idx="5">
                  <c:v>33.71173095703125</c:v>
                </c:pt>
                <c:pt idx="6">
                  <c:v>34.355255126953125</c:v>
                </c:pt>
                <c:pt idx="7">
                  <c:v>35.053493499755859</c:v>
                </c:pt>
                <c:pt idx="8">
                  <c:v>35.813961029052734</c:v>
                </c:pt>
                <c:pt idx="9">
                  <c:v>36.645622253417969</c:v>
                </c:pt>
                <c:pt idx="10">
                  <c:v>37.559238433837891</c:v>
                </c:pt>
                <c:pt idx="11">
                  <c:v>38.567874908447266</c:v>
                </c:pt>
                <c:pt idx="12">
                  <c:v>39.687507629394531</c:v>
                </c:pt>
                <c:pt idx="13">
                  <c:v>40.937919616699219</c:v>
                </c:pt>
                <c:pt idx="14">
                  <c:v>42.343894958496094</c:v>
                </c:pt>
                <c:pt idx="15">
                  <c:v>43.936893463134766</c:v>
                </c:pt>
                <c:pt idx="16">
                  <c:v>45.757472991943359</c:v>
                </c:pt>
                <c:pt idx="17">
                  <c:v>47.858833312988281</c:v>
                </c:pt>
                <c:pt idx="18">
                  <c:v>50.312160491943359</c:v>
                </c:pt>
                <c:pt idx="19">
                  <c:v>53.214923858642578</c:v>
                </c:pt>
                <c:pt idx="20">
                  <c:v>56.492477416992188</c:v>
                </c:pt>
              </c:numCache>
            </c:numRef>
          </c:val>
          <c:smooth val="0"/>
          <c:extLst>
            <c:ext xmlns:c16="http://schemas.microsoft.com/office/drawing/2014/chart" uri="{C3380CC4-5D6E-409C-BE32-E72D297353CC}">
              <c16:uniqueId val="{00000002-2248-41C9-8A40-D8B713A2745E}"/>
            </c:ext>
          </c:extLst>
        </c:ser>
        <c:ser>
          <c:idx val="3"/>
          <c:order val="3"/>
          <c:tx>
            <c:v>Fixed bottom 2050</c:v>
          </c:tx>
          <c:spPr>
            <a:ln w="28575" cap="rnd">
              <a:solidFill>
                <a:schemeClr val="accent6">
                  <a:lumMod val="75000"/>
                </a:schemeClr>
              </a:solidFill>
              <a:prstDash val="sysDash"/>
              <a:round/>
            </a:ln>
            <a:effectLst/>
          </c:spPr>
          <c:marker>
            <c:symbol val="none"/>
          </c:marker>
          <c:cat>
            <c:numRef>
              <c:f>Calculations!$F$254:$Z$254</c:f>
              <c:numCache>
                <c:formatCode>0</c:formatCode>
                <c:ptCount val="21"/>
                <c:pt idx="0">
                  <c:v>0</c:v>
                </c:pt>
                <c:pt idx="1">
                  <c:v>10</c:v>
                </c:pt>
                <c:pt idx="2">
                  <c:v>20</c:v>
                </c:pt>
                <c:pt idx="3">
                  <c:v>30</c:v>
                </c:pt>
                <c:pt idx="4">
                  <c:v>40</c:v>
                </c:pt>
                <c:pt idx="5">
                  <c:v>50</c:v>
                </c:pt>
                <c:pt idx="6">
                  <c:v>60</c:v>
                </c:pt>
                <c:pt idx="7">
                  <c:v>70</c:v>
                </c:pt>
                <c:pt idx="8">
                  <c:v>80</c:v>
                </c:pt>
                <c:pt idx="9">
                  <c:v>90</c:v>
                </c:pt>
                <c:pt idx="10">
                  <c:v>100</c:v>
                </c:pt>
                <c:pt idx="11">
                  <c:v>110</c:v>
                </c:pt>
                <c:pt idx="12">
                  <c:v>120</c:v>
                </c:pt>
                <c:pt idx="13">
                  <c:v>130</c:v>
                </c:pt>
                <c:pt idx="14">
                  <c:v>140</c:v>
                </c:pt>
                <c:pt idx="15">
                  <c:v>150</c:v>
                </c:pt>
                <c:pt idx="16">
                  <c:v>160</c:v>
                </c:pt>
                <c:pt idx="17">
                  <c:v>170</c:v>
                </c:pt>
                <c:pt idx="18">
                  <c:v>180</c:v>
                </c:pt>
                <c:pt idx="19">
                  <c:v>190</c:v>
                </c:pt>
                <c:pt idx="20">
                  <c:v>200</c:v>
                </c:pt>
              </c:numCache>
            </c:numRef>
          </c:cat>
          <c:val>
            <c:numRef>
              <c:f>Calculations!$F$259:$Z$259</c:f>
              <c:numCache>
                <c:formatCode>0.00</c:formatCode>
                <c:ptCount val="21"/>
                <c:pt idx="0">
                  <c:v>29.047632217407227</c:v>
                </c:pt>
                <c:pt idx="1">
                  <c:v>29.094396591186523</c:v>
                </c:pt>
                <c:pt idx="2">
                  <c:v>29.143230438232422</c:v>
                </c:pt>
                <c:pt idx="3">
                  <c:v>29.655935287475586</c:v>
                </c:pt>
                <c:pt idx="4">
                  <c:v>30.206962585449219</c:v>
                </c:pt>
                <c:pt idx="5">
                  <c:v>30.800941467285156</c:v>
                </c:pt>
                <c:pt idx="6">
                  <c:v>31.443279266357422</c:v>
                </c:pt>
                <c:pt idx="7">
                  <c:v>32.140331268310547</c:v>
                </c:pt>
                <c:pt idx="8">
                  <c:v>32.899612426757813</c:v>
                </c:pt>
                <c:pt idx="9">
                  <c:v>33.730083465576172</c:v>
                </c:pt>
                <c:pt idx="10">
                  <c:v>34.642513275146484</c:v>
                </c:pt>
                <c:pt idx="11">
                  <c:v>35.64996337890625</c:v>
                </c:pt>
                <c:pt idx="12">
                  <c:v>36.768405914306641</c:v>
                </c:pt>
                <c:pt idx="13">
                  <c:v>38.017635345458984</c:v>
                </c:pt>
                <c:pt idx="14">
                  <c:v>39.42242431640625</c:v>
                </c:pt>
                <c:pt idx="15">
                  <c:v>41.014232635498047</c:v>
                </c:pt>
                <c:pt idx="16">
                  <c:v>42.833625793457031</c:v>
                </c:pt>
                <c:pt idx="17">
                  <c:v>44.933799743652344</c:v>
                </c:pt>
                <c:pt idx="18">
                  <c:v>47.385940551757813</c:v>
                </c:pt>
                <c:pt idx="19">
                  <c:v>50.287517547607422</c:v>
                </c:pt>
                <c:pt idx="20">
                  <c:v>53.563884735107422</c:v>
                </c:pt>
              </c:numCache>
            </c:numRef>
          </c:val>
          <c:smooth val="0"/>
          <c:extLst>
            <c:ext xmlns:c16="http://schemas.microsoft.com/office/drawing/2014/chart" uri="{C3380CC4-5D6E-409C-BE32-E72D297353CC}">
              <c16:uniqueId val="{00000003-2248-41C9-8A40-D8B713A2745E}"/>
            </c:ext>
          </c:extLst>
        </c:ser>
        <c:dLbls>
          <c:showLegendKey val="0"/>
          <c:showVal val="0"/>
          <c:showCatName val="0"/>
          <c:showSerName val="0"/>
          <c:showPercent val="0"/>
          <c:showBubbleSize val="0"/>
        </c:dLbls>
        <c:smooth val="0"/>
        <c:axId val="488164192"/>
        <c:axId val="488164520"/>
      </c:lineChart>
      <c:catAx>
        <c:axId val="488164192"/>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a:solidFill>
                      <a:sysClr val="windowText" lastClr="000000"/>
                    </a:solidFill>
                  </a:rPr>
                  <a:t>Water depth (m)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accent6">
                <a:lumMod val="7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8164520"/>
        <c:crosses val="autoZero"/>
        <c:auto val="1"/>
        <c:lblAlgn val="ctr"/>
        <c:lblOffset val="100"/>
        <c:noMultiLvlLbl val="0"/>
      </c:catAx>
      <c:valAx>
        <c:axId val="488164520"/>
        <c:scaling>
          <c:orientation val="minMax"/>
          <c:max val="60"/>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1">
                        <a:lumMod val="75000"/>
                      </a:schemeClr>
                    </a:solidFill>
                    <a:latin typeface="+mn-lt"/>
                    <a:ea typeface="+mn-ea"/>
                    <a:cs typeface="+mn-cs"/>
                  </a:defRPr>
                </a:pPr>
                <a:r>
                  <a:rPr lang="en-US" sz="1400" b="1">
                    <a:solidFill>
                      <a:schemeClr val="accent1">
                        <a:lumMod val="75000"/>
                      </a:schemeClr>
                    </a:solidFill>
                  </a:rPr>
                  <a:t>electricity (incl. grid)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1">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1">
                    <a:lumMod val="75000"/>
                  </a:schemeClr>
                </a:solidFill>
                <a:latin typeface="+mn-lt"/>
                <a:ea typeface="+mn-ea"/>
                <a:cs typeface="+mn-cs"/>
              </a:defRPr>
            </a:pPr>
            <a:endParaRPr lang="en-US"/>
          </a:p>
        </c:txPr>
        <c:crossAx val="488164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 bottom fixed</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9.8910949395585965E-2"/>
          <c:y val="0.1081689252362768"/>
          <c:w val="0.75050730561299128"/>
          <c:h val="0.61695132529034724"/>
        </c:manualLayout>
      </c:layout>
      <c:lineChart>
        <c:grouping val="standard"/>
        <c:varyColors val="0"/>
        <c:ser>
          <c:idx val="0"/>
          <c:order val="0"/>
          <c:tx>
            <c:v>electricity 2035</c:v>
          </c:tx>
          <c:spPr>
            <a:ln w="28575" cap="rnd">
              <a:solidFill>
                <a:schemeClr val="accent1"/>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Calculations!$F$234:$Z$234</c:f>
              <c:numCache>
                <c:formatCode>0.00</c:formatCode>
                <c:ptCount val="21"/>
                <c:pt idx="0">
                  <c:v>30.649995803833008</c:v>
                </c:pt>
                <c:pt idx="1">
                  <c:v>31.575149536132813</c:v>
                </c:pt>
                <c:pt idx="2">
                  <c:v>32.501079559326172</c:v>
                </c:pt>
                <c:pt idx="3">
                  <c:v>33.427780151367188</c:v>
                </c:pt>
                <c:pt idx="4">
                  <c:v>34.355255126953125</c:v>
                </c:pt>
                <c:pt idx="5">
                  <c:v>35.28350830078125</c:v>
                </c:pt>
                <c:pt idx="6">
                  <c:v>36.212532043457031</c:v>
                </c:pt>
                <c:pt idx="7">
                  <c:v>37.142330169677734</c:v>
                </c:pt>
                <c:pt idx="8">
                  <c:v>38.072898864746094</c:v>
                </c:pt>
                <c:pt idx="9">
                  <c:v>39.004245758056641</c:v>
                </c:pt>
                <c:pt idx="10">
                  <c:v>39.936367034912109</c:v>
                </c:pt>
                <c:pt idx="11">
                  <c:v>40.8692626953125</c:v>
                </c:pt>
                <c:pt idx="12">
                  <c:v>41.802928924560547</c:v>
                </c:pt>
                <c:pt idx="13">
                  <c:v>42.737369537353516</c:v>
                </c:pt>
                <c:pt idx="14">
                  <c:v>43.672588348388672</c:v>
                </c:pt>
                <c:pt idx="15">
                  <c:v>44.608577728271484</c:v>
                </c:pt>
                <c:pt idx="16">
                  <c:v>45.545341491699219</c:v>
                </c:pt>
                <c:pt idx="17">
                  <c:v>46.482879638671875</c:v>
                </c:pt>
                <c:pt idx="18">
                  <c:v>47.421192169189453</c:v>
                </c:pt>
                <c:pt idx="19">
                  <c:v>48.360275268554688</c:v>
                </c:pt>
                <c:pt idx="20">
                  <c:v>49.300136566162109</c:v>
                </c:pt>
              </c:numCache>
            </c:numRef>
          </c:val>
          <c:smooth val="0"/>
          <c:extLst>
            <c:ext xmlns:c16="http://schemas.microsoft.com/office/drawing/2014/chart" uri="{C3380CC4-5D6E-409C-BE32-E72D297353CC}">
              <c16:uniqueId val="{00000004-1929-4276-9C5F-CBF314CF2FA1}"/>
            </c:ext>
          </c:extLst>
        </c:ser>
        <c:ser>
          <c:idx val="3"/>
          <c:order val="3"/>
          <c:tx>
            <c:v>electricity 2050</c:v>
          </c:tx>
          <c:spPr>
            <a:ln w="28575" cap="rnd">
              <a:solidFill>
                <a:schemeClr val="accent5">
                  <a:lumMod val="75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Calculations!$F$238:$Z$238</c:f>
              <c:numCache>
                <c:formatCode>0.00</c:formatCode>
                <c:ptCount val="21"/>
                <c:pt idx="0">
                  <c:v>28.076299667358398</c:v>
                </c:pt>
                <c:pt idx="1">
                  <c:v>28.916980743408203</c:v>
                </c:pt>
                <c:pt idx="2">
                  <c:v>29.758369445800781</c:v>
                </c:pt>
                <c:pt idx="3">
                  <c:v>30.600469589233398</c:v>
                </c:pt>
                <c:pt idx="4">
                  <c:v>31.443279266357422</c:v>
                </c:pt>
                <c:pt idx="5">
                  <c:v>32.286800384521484</c:v>
                </c:pt>
                <c:pt idx="6">
                  <c:v>33.131031036376953</c:v>
                </c:pt>
                <c:pt idx="7">
                  <c:v>33.975971221923828</c:v>
                </c:pt>
                <c:pt idx="8">
                  <c:v>34.821620941162109</c:v>
                </c:pt>
                <c:pt idx="9">
                  <c:v>35.667980194091797</c:v>
                </c:pt>
                <c:pt idx="10">
                  <c:v>36.515052795410156</c:v>
                </c:pt>
                <c:pt idx="11">
                  <c:v>37.362831115722656</c:v>
                </c:pt>
                <c:pt idx="12">
                  <c:v>38.211322784423828</c:v>
                </c:pt>
                <c:pt idx="13">
                  <c:v>39.060523986816406</c:v>
                </c:pt>
                <c:pt idx="14">
                  <c:v>39.910434722900391</c:v>
                </c:pt>
                <c:pt idx="15">
                  <c:v>40.761058807373047</c:v>
                </c:pt>
                <c:pt idx="16">
                  <c:v>41.612388610839844</c:v>
                </c:pt>
                <c:pt idx="17">
                  <c:v>42.464431762695313</c:v>
                </c:pt>
                <c:pt idx="18">
                  <c:v>43.317180633544922</c:v>
                </c:pt>
                <c:pt idx="19">
                  <c:v>44.170642852783203</c:v>
                </c:pt>
                <c:pt idx="20">
                  <c:v>45.024814605712891</c:v>
                </c:pt>
              </c:numCache>
            </c:numRef>
          </c:val>
          <c:smooth val="0"/>
          <c:extLst>
            <c:ext xmlns:c16="http://schemas.microsoft.com/office/drawing/2014/chart" uri="{C3380CC4-5D6E-409C-BE32-E72D297353CC}">
              <c16:uniqueId val="{00000005-1929-4276-9C5F-CBF314CF2FA1}"/>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1"/>
          <c:order val="1"/>
          <c:tx>
            <c:v>H2 onshore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Calculations!$F$235:$Z$235</c:f>
              <c:numCache>
                <c:formatCode>0.00</c:formatCode>
                <c:ptCount val="21"/>
                <c:pt idx="0">
                  <c:v>1.9863044023513794</c:v>
                </c:pt>
                <c:pt idx="1">
                  <c:v>2.0325548648834229</c:v>
                </c:pt>
                <c:pt idx="2">
                  <c:v>2.0788440704345703</c:v>
                </c:pt>
                <c:pt idx="3">
                  <c:v>2.1251718997955322</c:v>
                </c:pt>
                <c:pt idx="4">
                  <c:v>2.1715383529663086</c:v>
                </c:pt>
                <c:pt idx="5">
                  <c:v>2.2179431915283203</c:v>
                </c:pt>
                <c:pt idx="6">
                  <c:v>2.2643868923187256</c:v>
                </c:pt>
                <c:pt idx="7">
                  <c:v>2.3108692169189453</c:v>
                </c:pt>
                <c:pt idx="8">
                  <c:v>2.3573901653289795</c:v>
                </c:pt>
                <c:pt idx="9">
                  <c:v>2.4039497375488281</c:v>
                </c:pt>
                <c:pt idx="10">
                  <c:v>2.4505479335784912</c:v>
                </c:pt>
                <c:pt idx="11">
                  <c:v>2.4971847534179688</c:v>
                </c:pt>
                <c:pt idx="12">
                  <c:v>2.5438601970672607</c:v>
                </c:pt>
                <c:pt idx="13">
                  <c:v>2.5905740261077881</c:v>
                </c:pt>
                <c:pt idx="14">
                  <c:v>2.637326717376709</c:v>
                </c:pt>
                <c:pt idx="15">
                  <c:v>2.6841180324554443</c:v>
                </c:pt>
                <c:pt idx="16">
                  <c:v>2.7309479713439941</c:v>
                </c:pt>
                <c:pt idx="17">
                  <c:v>2.7778165340423584</c:v>
                </c:pt>
                <c:pt idx="18">
                  <c:v>2.8247237205505371</c:v>
                </c:pt>
                <c:pt idx="19">
                  <c:v>2.8716695308685303</c:v>
                </c:pt>
                <c:pt idx="20">
                  <c:v>2.9186539649963379</c:v>
                </c:pt>
              </c:numCache>
            </c:numRef>
          </c:val>
          <c:smooth val="0"/>
          <c:extLst>
            <c:ext xmlns:c16="http://schemas.microsoft.com/office/drawing/2014/chart" uri="{C3380CC4-5D6E-409C-BE32-E72D297353CC}">
              <c16:uniqueId val="{00000000-1929-4276-9C5F-CBF314CF2FA1}"/>
            </c:ext>
          </c:extLst>
        </c:ser>
        <c:ser>
          <c:idx val="2"/>
          <c:order val="2"/>
          <c:tx>
            <c:v>H2 offshore 2035</c:v>
          </c:tx>
          <c:spPr>
            <a:ln w="28575" cap="rnd">
              <a:solidFill>
                <a:schemeClr val="accent2">
                  <a:lumMod val="50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Calculations!$F$236:$Z$236</c:f>
              <c:numCache>
                <c:formatCode>0.00</c:formatCode>
                <c:ptCount val="21"/>
                <c:pt idx="0">
                  <c:v>1.6612870693206787</c:v>
                </c:pt>
                <c:pt idx="1">
                  <c:v>1.6789555549621582</c:v>
                </c:pt>
                <c:pt idx="2">
                  <c:v>1.6966395378112793</c:v>
                </c:pt>
                <c:pt idx="3">
                  <c:v>1.7143388986587524</c:v>
                </c:pt>
                <c:pt idx="4">
                  <c:v>1.7320537567138672</c:v>
                </c:pt>
                <c:pt idx="5">
                  <c:v>1.7497838735580444</c:v>
                </c:pt>
                <c:pt idx="6">
                  <c:v>1.7675293684005737</c:v>
                </c:pt>
                <c:pt idx="7">
                  <c:v>1.7852903604507446</c:v>
                </c:pt>
                <c:pt idx="8">
                  <c:v>1.8030667304992676</c:v>
                </c:pt>
                <c:pt idx="9">
                  <c:v>1.8208584785461426</c:v>
                </c:pt>
                <c:pt idx="10">
                  <c:v>1.8386656045913696</c:v>
                </c:pt>
                <c:pt idx="11">
                  <c:v>1.8564881086349487</c:v>
                </c:pt>
                <c:pt idx="12">
                  <c:v>1.8743261098861694</c:v>
                </c:pt>
                <c:pt idx="13">
                  <c:v>1.8921793699264526</c:v>
                </c:pt>
                <c:pt idx="14">
                  <c:v>1.9100481271743774</c:v>
                </c:pt>
                <c:pt idx="15">
                  <c:v>1.9279322624206543</c:v>
                </c:pt>
                <c:pt idx="16">
                  <c:v>1.9458317756652832</c:v>
                </c:pt>
                <c:pt idx="17">
                  <c:v>1.9637466669082642</c:v>
                </c:pt>
                <c:pt idx="18">
                  <c:v>1.9816770553588867</c:v>
                </c:pt>
                <c:pt idx="19">
                  <c:v>1.9996227025985718</c:v>
                </c:pt>
                <c:pt idx="20">
                  <c:v>2.0175838470458984</c:v>
                </c:pt>
              </c:numCache>
            </c:numRef>
          </c:val>
          <c:smooth val="0"/>
          <c:extLst>
            <c:ext xmlns:c16="http://schemas.microsoft.com/office/drawing/2014/chart" uri="{C3380CC4-5D6E-409C-BE32-E72D297353CC}">
              <c16:uniqueId val="{00000001-1929-4276-9C5F-CBF314CF2FA1}"/>
            </c:ext>
          </c:extLst>
        </c:ser>
        <c:ser>
          <c:idx val="4"/>
          <c:order val="4"/>
          <c:tx>
            <c:v>H2 onshore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Calculations!$F$239:$Z$239</c:f>
              <c:numCache>
                <c:formatCode>0.00</c:formatCode>
                <c:ptCount val="21"/>
                <c:pt idx="0">
                  <c:v>1.4909650087356567</c:v>
                </c:pt>
                <c:pt idx="1">
                  <c:v>1.5294375419616699</c:v>
                </c:pt>
                <c:pt idx="2">
                  <c:v>1.5679423809051514</c:v>
                </c:pt>
                <c:pt idx="3">
                  <c:v>1.6064796447753906</c:v>
                </c:pt>
                <c:pt idx="4">
                  <c:v>1.6450494527816772</c:v>
                </c:pt>
                <c:pt idx="5">
                  <c:v>1.6836515665054321</c:v>
                </c:pt>
                <c:pt idx="6">
                  <c:v>1.7222862243652344</c:v>
                </c:pt>
                <c:pt idx="7">
                  <c:v>1.7609533071517944</c:v>
                </c:pt>
                <c:pt idx="8">
                  <c:v>1.7996528148651123</c:v>
                </c:pt>
                <c:pt idx="9">
                  <c:v>1.838384747505188</c:v>
                </c:pt>
                <c:pt idx="10">
                  <c:v>1.877149224281311</c:v>
                </c:pt>
                <c:pt idx="11">
                  <c:v>1.9159460067749023</c:v>
                </c:pt>
                <c:pt idx="12">
                  <c:v>1.954775333404541</c:v>
                </c:pt>
                <c:pt idx="13">
                  <c:v>1.9936370849609375</c:v>
                </c:pt>
                <c:pt idx="14">
                  <c:v>2.0325312614440918</c:v>
                </c:pt>
                <c:pt idx="15">
                  <c:v>2.0714578628540039</c:v>
                </c:pt>
                <c:pt idx="16">
                  <c:v>2.1104168891906738</c:v>
                </c:pt>
                <c:pt idx="17">
                  <c:v>2.1494083404541016</c:v>
                </c:pt>
                <c:pt idx="18">
                  <c:v>2.1884324550628662</c:v>
                </c:pt>
                <c:pt idx="19">
                  <c:v>2.2274887561798096</c:v>
                </c:pt>
                <c:pt idx="20">
                  <c:v>2.2665774822235107</c:v>
                </c:pt>
              </c:numCache>
            </c:numRef>
          </c:val>
          <c:smooth val="0"/>
          <c:extLst>
            <c:ext xmlns:c16="http://schemas.microsoft.com/office/drawing/2014/chart" uri="{C3380CC4-5D6E-409C-BE32-E72D297353CC}">
              <c16:uniqueId val="{00000002-1929-4276-9C5F-CBF314CF2FA1}"/>
            </c:ext>
          </c:extLst>
        </c:ser>
        <c:ser>
          <c:idx val="5"/>
          <c:order val="5"/>
          <c:tx>
            <c:v>H2 offshore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Calculations!$F$240:$Z$240</c:f>
              <c:numCache>
                <c:formatCode>0.00</c:formatCode>
                <c:ptCount val="21"/>
                <c:pt idx="0">
                  <c:v>1.1956058740615845</c:v>
                </c:pt>
                <c:pt idx="1">
                  <c:v>1.2082736492156982</c:v>
                </c:pt>
                <c:pt idx="2">
                  <c:v>1.2209502458572388</c:v>
                </c:pt>
                <c:pt idx="3">
                  <c:v>1.2336360216140747</c:v>
                </c:pt>
                <c:pt idx="4">
                  <c:v>1.2463306188583374</c:v>
                </c:pt>
                <c:pt idx="5">
                  <c:v>1.2590341567993164</c:v>
                </c:pt>
                <c:pt idx="6">
                  <c:v>1.2717467546463013</c:v>
                </c:pt>
                <c:pt idx="7">
                  <c:v>1.2844682931900024</c:v>
                </c:pt>
                <c:pt idx="8">
                  <c:v>1.2971987724304199</c:v>
                </c:pt>
                <c:pt idx="9">
                  <c:v>1.3099381923675537</c:v>
                </c:pt>
                <c:pt idx="10">
                  <c:v>1.3226865530014038</c:v>
                </c:pt>
                <c:pt idx="11">
                  <c:v>1.3354438543319702</c:v>
                </c:pt>
                <c:pt idx="12">
                  <c:v>1.3482102155685425</c:v>
                </c:pt>
                <c:pt idx="13">
                  <c:v>1.3609853982925415</c:v>
                </c:pt>
                <c:pt idx="14">
                  <c:v>1.3737696409225464</c:v>
                </c:pt>
                <c:pt idx="15">
                  <c:v>1.3865628242492676</c:v>
                </c:pt>
                <c:pt idx="16">
                  <c:v>1.3993649482727051</c:v>
                </c:pt>
                <c:pt idx="17">
                  <c:v>1.4121761322021484</c:v>
                </c:pt>
                <c:pt idx="18">
                  <c:v>1.4249961376190186</c:v>
                </c:pt>
                <c:pt idx="19">
                  <c:v>1.4378252029418945</c:v>
                </c:pt>
                <c:pt idx="20">
                  <c:v>1.4506630897521973</c:v>
                </c:pt>
              </c:numCache>
            </c:numRef>
          </c:val>
          <c:smooth val="0"/>
          <c:extLst>
            <c:ext xmlns:c16="http://schemas.microsoft.com/office/drawing/2014/chart" uri="{C3380CC4-5D6E-409C-BE32-E72D297353CC}">
              <c16:uniqueId val="{00000003-1929-4276-9C5F-CBF314CF2FA1}"/>
            </c:ext>
          </c:extLst>
        </c:ser>
        <c:dLbls>
          <c:showLegendKey val="0"/>
          <c:showVal val="0"/>
          <c:showCatName val="0"/>
          <c:showSerName val="0"/>
          <c:showPercent val="0"/>
          <c:showBubbleSize val="0"/>
        </c:dLbls>
        <c:marker val="1"/>
        <c:smooth val="0"/>
        <c:axId val="632081752"/>
        <c:axId val="632082080"/>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6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nl-NL" sz="1400" b="1">
                    <a:solidFill>
                      <a:schemeClr val="accent5">
                        <a:lumMod val="75000"/>
                      </a:schemeClr>
                    </a:solidFill>
                  </a:rPr>
                  <a:t> Electricity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459114496"/>
        <c:crosses val="autoZero"/>
        <c:crossBetween val="between"/>
      </c:valAx>
      <c:valAx>
        <c:axId val="632082080"/>
        <c:scaling>
          <c:orientation val="minMax"/>
          <c:max val="3.6"/>
          <c:min val="1.1000000000000001"/>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a:solidFill>
                      <a:schemeClr val="accent2"/>
                    </a:solidFill>
                  </a:rPr>
                  <a:t>Hydrogen</a:t>
                </a:r>
                <a:r>
                  <a:rPr lang="nl-NL" sz="1400" b="1" baseline="0">
                    <a:solidFill>
                      <a:schemeClr val="accent2"/>
                    </a:solidFill>
                  </a:rPr>
                  <a:t> €/kg</a:t>
                </a:r>
                <a:endParaRPr lang="nl-NL" sz="1400" b="1">
                  <a:solidFill>
                    <a:schemeClr val="accent2"/>
                  </a:solidFill>
                </a:endParaRP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Distance dependency - floating</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electricity 2035</c:v>
          </c:tx>
          <c:spPr>
            <a:ln w="28575" cap="rnd">
              <a:solidFill>
                <a:schemeClr val="accent1"/>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Calculations!$F$242:$Z$242</c:f>
              <c:numCache>
                <c:formatCode>0.00</c:formatCode>
                <c:ptCount val="21"/>
                <c:pt idx="0">
                  <c:v>42.483165740966797</c:v>
                </c:pt>
                <c:pt idx="1">
                  <c:v>43.436595916748047</c:v>
                </c:pt>
                <c:pt idx="2">
                  <c:v>44.391891479492188</c:v>
                </c:pt>
                <c:pt idx="3">
                  <c:v>45.349056243896484</c:v>
                </c:pt>
                <c:pt idx="4">
                  <c:v>46.308094024658203</c:v>
                </c:pt>
                <c:pt idx="5">
                  <c:v>47.268997192382813</c:v>
                </c:pt>
                <c:pt idx="6">
                  <c:v>48.231777191162109</c:v>
                </c:pt>
                <c:pt idx="7">
                  <c:v>49.196430206298828</c:v>
                </c:pt>
                <c:pt idx="8">
                  <c:v>50.162956237792969</c:v>
                </c:pt>
                <c:pt idx="9">
                  <c:v>51.131355285644531</c:v>
                </c:pt>
                <c:pt idx="10">
                  <c:v>52.101631164550781</c:v>
                </c:pt>
                <c:pt idx="11">
                  <c:v>53.073783874511719</c:v>
                </c:pt>
                <c:pt idx="12">
                  <c:v>54.047817230224609</c:v>
                </c:pt>
                <c:pt idx="13">
                  <c:v>55.023727416992188</c:v>
                </c:pt>
                <c:pt idx="14">
                  <c:v>56.001518249511719</c:v>
                </c:pt>
                <c:pt idx="15">
                  <c:v>56.981185913085938</c:v>
                </c:pt>
                <c:pt idx="16">
                  <c:v>57.962741851806641</c:v>
                </c:pt>
                <c:pt idx="17">
                  <c:v>58.946174621582031</c:v>
                </c:pt>
                <c:pt idx="18">
                  <c:v>59.931495666503906</c:v>
                </c:pt>
                <c:pt idx="19">
                  <c:v>60.918697357177734</c:v>
                </c:pt>
                <c:pt idx="20">
                  <c:v>61.907787322998047</c:v>
                </c:pt>
              </c:numCache>
            </c:numRef>
          </c:val>
          <c:smooth val="0"/>
          <c:extLst>
            <c:ext xmlns:c16="http://schemas.microsoft.com/office/drawing/2014/chart" uri="{C3380CC4-5D6E-409C-BE32-E72D297353CC}">
              <c16:uniqueId val="{00000004-8088-42AF-92EE-F0E142BCCF00}"/>
            </c:ext>
          </c:extLst>
        </c:ser>
        <c:ser>
          <c:idx val="3"/>
          <c:order val="3"/>
          <c:tx>
            <c:v>electricity 2050</c:v>
          </c:tx>
          <c:spPr>
            <a:ln w="28575" cap="rnd">
              <a:solidFill>
                <a:schemeClr val="accent1">
                  <a:lumMod val="75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Calculations!$F$246:$Z$246</c:f>
              <c:numCache>
                <c:formatCode>0.00</c:formatCode>
                <c:ptCount val="21"/>
                <c:pt idx="0">
                  <c:v>29.445865631103516</c:v>
                </c:pt>
                <c:pt idx="1">
                  <c:v>30.21790885925293</c:v>
                </c:pt>
                <c:pt idx="2">
                  <c:v>30.991127014160156</c:v>
                </c:pt>
                <c:pt idx="3">
                  <c:v>31.765518188476563</c:v>
                </c:pt>
                <c:pt idx="4">
                  <c:v>32.541084289550781</c:v>
                </c:pt>
                <c:pt idx="5">
                  <c:v>33.317829132080078</c:v>
                </c:pt>
                <c:pt idx="6">
                  <c:v>34.095748901367188</c:v>
                </c:pt>
                <c:pt idx="7">
                  <c:v>34.874843597412109</c:v>
                </c:pt>
                <c:pt idx="8">
                  <c:v>35.655113220214844</c:v>
                </c:pt>
                <c:pt idx="9">
                  <c:v>36.436565399169922</c:v>
                </c:pt>
                <c:pt idx="10">
                  <c:v>37.219192504882813</c:v>
                </c:pt>
                <c:pt idx="11">
                  <c:v>38.002998352050781</c:v>
                </c:pt>
                <c:pt idx="12">
                  <c:v>38.787982940673828</c:v>
                </c:pt>
                <c:pt idx="13">
                  <c:v>39.574146270751953</c:v>
                </c:pt>
                <c:pt idx="14">
                  <c:v>40.361488342285156</c:v>
                </c:pt>
                <c:pt idx="15">
                  <c:v>41.150012969970703</c:v>
                </c:pt>
                <c:pt idx="16">
                  <c:v>41.939716339111328</c:v>
                </c:pt>
                <c:pt idx="17">
                  <c:v>42.730602264404297</c:v>
                </c:pt>
                <c:pt idx="18">
                  <c:v>43.522666931152344</c:v>
                </c:pt>
                <c:pt idx="19">
                  <c:v>44.31591796875</c:v>
                </c:pt>
                <c:pt idx="20">
                  <c:v>45.110347747802734</c:v>
                </c:pt>
              </c:numCache>
            </c:numRef>
          </c:val>
          <c:smooth val="0"/>
          <c:extLst>
            <c:ext xmlns:c16="http://schemas.microsoft.com/office/drawing/2014/chart" uri="{C3380CC4-5D6E-409C-BE32-E72D297353CC}">
              <c16:uniqueId val="{00000005-8088-42AF-92EE-F0E142BCCF00}"/>
            </c:ext>
          </c:extLst>
        </c:ser>
        <c:dLbls>
          <c:showLegendKey val="0"/>
          <c:showVal val="0"/>
          <c:showCatName val="0"/>
          <c:showSerName val="0"/>
          <c:showPercent val="0"/>
          <c:showBubbleSize val="0"/>
        </c:dLbls>
        <c:marker val="1"/>
        <c:smooth val="0"/>
        <c:axId val="459114496"/>
        <c:axId val="459107936"/>
      </c:lineChart>
      <c:lineChart>
        <c:grouping val="standard"/>
        <c:varyColors val="0"/>
        <c:ser>
          <c:idx val="1"/>
          <c:order val="1"/>
          <c:tx>
            <c:v>H2 onshore 2035</c:v>
          </c:tx>
          <c:spPr>
            <a:ln w="28575" cap="rnd">
              <a:solidFill>
                <a:schemeClr val="accent2"/>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Calculations!$F$243:$Z$243</c:f>
              <c:numCache>
                <c:formatCode>0.00</c:formatCode>
                <c:ptCount val="21"/>
                <c:pt idx="0">
                  <c:v>2.5768518447875977</c:v>
                </c:pt>
                <c:pt idx="1">
                  <c:v>2.6245136260986328</c:v>
                </c:pt>
                <c:pt idx="2">
                  <c:v>2.6722683906555176</c:v>
                </c:pt>
                <c:pt idx="3">
                  <c:v>2.7201163768768311</c:v>
                </c:pt>
                <c:pt idx="4">
                  <c:v>2.7680578231811523</c:v>
                </c:pt>
                <c:pt idx="5">
                  <c:v>2.8160924911499023</c:v>
                </c:pt>
                <c:pt idx="6">
                  <c:v>2.8642208576202393</c:v>
                </c:pt>
                <c:pt idx="7">
                  <c:v>2.9124424457550049</c:v>
                </c:pt>
                <c:pt idx="8">
                  <c:v>2.9607577323913574</c:v>
                </c:pt>
                <c:pt idx="9">
                  <c:v>3.0091664791107178</c:v>
                </c:pt>
                <c:pt idx="10">
                  <c:v>3.057668924331665</c:v>
                </c:pt>
                <c:pt idx="11">
                  <c:v>3.1062650680541992</c:v>
                </c:pt>
                <c:pt idx="12">
                  <c:v>3.1549549102783203</c:v>
                </c:pt>
                <c:pt idx="13">
                  <c:v>3.2037384510040283</c:v>
                </c:pt>
                <c:pt idx="14">
                  <c:v>3.2526156902313232</c:v>
                </c:pt>
                <c:pt idx="15">
                  <c:v>3.3015871047973633</c:v>
                </c:pt>
                <c:pt idx="16">
                  <c:v>3.3506522178649902</c:v>
                </c:pt>
                <c:pt idx="17">
                  <c:v>3.3998112678527832</c:v>
                </c:pt>
                <c:pt idx="18">
                  <c:v>3.4490642547607422</c:v>
                </c:pt>
                <c:pt idx="19">
                  <c:v>3.4984116554260254</c:v>
                </c:pt>
                <c:pt idx="20">
                  <c:v>3.5478527545928955</c:v>
                </c:pt>
              </c:numCache>
            </c:numRef>
          </c:val>
          <c:smooth val="0"/>
          <c:extLst>
            <c:ext xmlns:c16="http://schemas.microsoft.com/office/drawing/2014/chart" uri="{C3380CC4-5D6E-409C-BE32-E72D297353CC}">
              <c16:uniqueId val="{00000000-8088-42AF-92EE-F0E142BCCF00}"/>
            </c:ext>
          </c:extLst>
        </c:ser>
        <c:ser>
          <c:idx val="2"/>
          <c:order val="2"/>
          <c:tx>
            <c:v>H2 offshore 2035</c:v>
          </c:tx>
          <c:spPr>
            <a:ln w="28575" cap="rnd">
              <a:solidFill>
                <a:schemeClr val="accent2">
                  <a:lumMod val="50000"/>
                </a:schemeClr>
              </a:solidFill>
              <a:prstDash val="solid"/>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Calculations!$F$244:$Z$244</c:f>
              <c:numCache>
                <c:formatCode>0.00</c:formatCode>
                <c:ptCount val="21"/>
                <c:pt idx="0">
                  <c:v>2.2517843246459961</c:v>
                </c:pt>
                <c:pt idx="1">
                  <c:v>2.2706866264343262</c:v>
                </c:pt>
                <c:pt idx="2">
                  <c:v>2.2896580696105957</c:v>
                </c:pt>
                <c:pt idx="3">
                  <c:v>2.3086988925933838</c:v>
                </c:pt>
                <c:pt idx="4">
                  <c:v>2.3278088569641113</c:v>
                </c:pt>
                <c:pt idx="5">
                  <c:v>2.3469879627227783</c:v>
                </c:pt>
                <c:pt idx="6">
                  <c:v>2.3662364482879639</c:v>
                </c:pt>
                <c:pt idx="7">
                  <c:v>2.3855540752410889</c:v>
                </c:pt>
                <c:pt idx="8">
                  <c:v>2.4049410820007324</c:v>
                </c:pt>
                <c:pt idx="9">
                  <c:v>2.4243972301483154</c:v>
                </c:pt>
                <c:pt idx="10">
                  <c:v>2.4439225196838379</c:v>
                </c:pt>
                <c:pt idx="11">
                  <c:v>2.4635171890258789</c:v>
                </c:pt>
                <c:pt idx="12">
                  <c:v>2.4831809997558594</c:v>
                </c:pt>
                <c:pt idx="13">
                  <c:v>2.5029139518737793</c:v>
                </c:pt>
                <c:pt idx="14">
                  <c:v>2.5227162837982178</c:v>
                </c:pt>
                <c:pt idx="15">
                  <c:v>2.5425877571105957</c:v>
                </c:pt>
                <c:pt idx="16">
                  <c:v>2.5625283718109131</c:v>
                </c:pt>
                <c:pt idx="17">
                  <c:v>2.582538366317749</c:v>
                </c:pt>
                <c:pt idx="18">
                  <c:v>2.6026175022125244</c:v>
                </c:pt>
                <c:pt idx="19">
                  <c:v>2.6227657794952393</c:v>
                </c:pt>
                <c:pt idx="20">
                  <c:v>2.6429834365844727</c:v>
                </c:pt>
              </c:numCache>
            </c:numRef>
          </c:val>
          <c:smooth val="0"/>
          <c:extLst>
            <c:ext xmlns:c16="http://schemas.microsoft.com/office/drawing/2014/chart" uri="{C3380CC4-5D6E-409C-BE32-E72D297353CC}">
              <c16:uniqueId val="{00000001-8088-42AF-92EE-F0E142BCCF00}"/>
            </c:ext>
          </c:extLst>
        </c:ser>
        <c:ser>
          <c:idx val="4"/>
          <c:order val="4"/>
          <c:tx>
            <c:v>H2 onshore 2050</c:v>
          </c:tx>
          <c:spPr>
            <a:ln w="28575" cap="rnd">
              <a:solidFill>
                <a:schemeClr val="accent2"/>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Calculations!$F$247:$Z$247</c:f>
              <c:numCache>
                <c:formatCode>0.00</c:formatCode>
                <c:ptCount val="21"/>
                <c:pt idx="0">
                  <c:v>1.5535348653793335</c:v>
                </c:pt>
                <c:pt idx="1">
                  <c:v>1.5888715982437134</c:v>
                </c:pt>
                <c:pt idx="2">
                  <c:v>1.6242618560791016</c:v>
                </c:pt>
                <c:pt idx="3">
                  <c:v>1.6597058773040771</c:v>
                </c:pt>
                <c:pt idx="4">
                  <c:v>1.6952036619186401</c:v>
                </c:pt>
                <c:pt idx="5">
                  <c:v>1.730755090713501</c:v>
                </c:pt>
                <c:pt idx="6">
                  <c:v>1.7663601636886597</c:v>
                </c:pt>
                <c:pt idx="7">
                  <c:v>1.8020191192626953</c:v>
                </c:pt>
                <c:pt idx="8">
                  <c:v>1.8377317190170288</c:v>
                </c:pt>
                <c:pt idx="9">
                  <c:v>1.8734982013702393</c:v>
                </c:pt>
                <c:pt idx="10">
                  <c:v>1.9093184471130371</c:v>
                </c:pt>
                <c:pt idx="11">
                  <c:v>1.9451925754547119</c:v>
                </c:pt>
                <c:pt idx="12">
                  <c:v>1.9811204671859741</c:v>
                </c:pt>
                <c:pt idx="13">
                  <c:v>2.0171022415161133</c:v>
                </c:pt>
                <c:pt idx="14">
                  <c:v>2.0531380176544189</c:v>
                </c:pt>
                <c:pt idx="15">
                  <c:v>2.0892276763916016</c:v>
                </c:pt>
                <c:pt idx="16">
                  <c:v>2.1253712177276611</c:v>
                </c:pt>
                <c:pt idx="17">
                  <c:v>2.1615686416625977</c:v>
                </c:pt>
                <c:pt idx="18">
                  <c:v>2.1978201866149902</c:v>
                </c:pt>
                <c:pt idx="19">
                  <c:v>2.2341256141662598</c:v>
                </c:pt>
                <c:pt idx="20">
                  <c:v>2.2704851627349854</c:v>
                </c:pt>
              </c:numCache>
            </c:numRef>
          </c:val>
          <c:smooth val="0"/>
          <c:extLst>
            <c:ext xmlns:c16="http://schemas.microsoft.com/office/drawing/2014/chart" uri="{C3380CC4-5D6E-409C-BE32-E72D297353CC}">
              <c16:uniqueId val="{00000002-8088-42AF-92EE-F0E142BCCF00}"/>
            </c:ext>
          </c:extLst>
        </c:ser>
        <c:ser>
          <c:idx val="5"/>
          <c:order val="5"/>
          <c:tx>
            <c:v>H2 offshore 2050</c:v>
          </c:tx>
          <c:spPr>
            <a:ln w="28575" cap="rnd">
              <a:solidFill>
                <a:schemeClr val="accent2">
                  <a:lumMod val="50000"/>
                </a:schemeClr>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Calculations!$F$248:$Z$248</c:f>
              <c:numCache>
                <c:formatCode>0.00</c:formatCode>
                <c:ptCount val="21"/>
                <c:pt idx="0">
                  <c:v>1.2581804990768433</c:v>
                </c:pt>
                <c:pt idx="1">
                  <c:v>1.2676944732666016</c:v>
                </c:pt>
                <c:pt idx="2">
                  <c:v>1.277240514755249</c:v>
                </c:pt>
                <c:pt idx="3">
                  <c:v>1.2868186235427856</c:v>
                </c:pt>
                <c:pt idx="4">
                  <c:v>1.2964286804199219</c:v>
                </c:pt>
                <c:pt idx="5">
                  <c:v>1.3060709238052368</c:v>
                </c:pt>
                <c:pt idx="6">
                  <c:v>1.3157451152801514</c:v>
                </c:pt>
                <c:pt idx="7">
                  <c:v>1.3254512548446655</c:v>
                </c:pt>
                <c:pt idx="8">
                  <c:v>1.3351895809173584</c:v>
                </c:pt>
                <c:pt idx="9">
                  <c:v>1.3449598550796509</c:v>
                </c:pt>
                <c:pt idx="10">
                  <c:v>1.3547621965408325</c:v>
                </c:pt>
                <c:pt idx="11">
                  <c:v>1.3645966053009033</c:v>
                </c:pt>
                <c:pt idx="12">
                  <c:v>1.3744629621505737</c:v>
                </c:pt>
                <c:pt idx="13">
                  <c:v>1.3843615055084229</c:v>
                </c:pt>
                <c:pt idx="14">
                  <c:v>1.3942919969558716</c:v>
                </c:pt>
                <c:pt idx="15">
                  <c:v>1.4042545557022095</c:v>
                </c:pt>
                <c:pt idx="16">
                  <c:v>1.414249062538147</c:v>
                </c:pt>
                <c:pt idx="17">
                  <c:v>1.4242756366729736</c:v>
                </c:pt>
                <c:pt idx="18">
                  <c:v>1.434334397315979</c:v>
                </c:pt>
                <c:pt idx="19">
                  <c:v>1.4444249868392944</c:v>
                </c:pt>
                <c:pt idx="20">
                  <c:v>1.4545477628707886</c:v>
                </c:pt>
              </c:numCache>
            </c:numRef>
          </c:val>
          <c:smooth val="0"/>
          <c:extLst>
            <c:ext xmlns:c16="http://schemas.microsoft.com/office/drawing/2014/chart" uri="{C3380CC4-5D6E-409C-BE32-E72D297353CC}">
              <c16:uniqueId val="{00000003-8088-42AF-92EE-F0E142BCCF00}"/>
            </c:ext>
          </c:extLst>
        </c:ser>
        <c:dLbls>
          <c:showLegendKey val="0"/>
          <c:showVal val="0"/>
          <c:showCatName val="0"/>
          <c:showSerName val="0"/>
          <c:showPercent val="0"/>
          <c:showBubbleSize val="0"/>
        </c:dLbls>
        <c:marker val="1"/>
        <c:smooth val="0"/>
        <c:axId val="632081752"/>
        <c:axId val="632082080"/>
      </c:lineChart>
      <c:catAx>
        <c:axId val="459114496"/>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59107936"/>
        <c:crosses val="autoZero"/>
        <c:auto val="1"/>
        <c:lblAlgn val="ctr"/>
        <c:lblOffset val="100"/>
        <c:noMultiLvlLbl val="0"/>
      </c:catAx>
      <c:valAx>
        <c:axId val="459107936"/>
        <c:scaling>
          <c:orientation val="minMax"/>
          <c:max val="65"/>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nl-NL" sz="1400" b="1">
                    <a:solidFill>
                      <a:schemeClr val="accent5">
                        <a:lumMod val="75000"/>
                      </a:schemeClr>
                    </a:solidFill>
                  </a:rPr>
                  <a:t>Electricity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459114496"/>
        <c:crosses val="autoZero"/>
        <c:crossBetween val="between"/>
      </c:valAx>
      <c:valAx>
        <c:axId val="632082080"/>
        <c:scaling>
          <c:orientation val="minMax"/>
          <c:max val="3.6"/>
          <c:min val="1.1000000000000001"/>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nl-NL" sz="1400" b="1" baseline="0">
                    <a:solidFill>
                      <a:schemeClr val="accent2"/>
                    </a:solidFill>
                  </a:rPr>
                  <a:t>Hydrogen  €/kg</a:t>
                </a:r>
                <a:endParaRPr lang="nl-NL" sz="1400" b="1">
                  <a:solidFill>
                    <a:schemeClr val="accent2"/>
                  </a:solidFill>
                </a:endParaRP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2081752"/>
        <c:crosses val="max"/>
        <c:crossBetween val="between"/>
      </c:valAx>
      <c:catAx>
        <c:axId val="632081752"/>
        <c:scaling>
          <c:orientation val="minMax"/>
        </c:scaling>
        <c:delete val="1"/>
        <c:axPos val="b"/>
        <c:numFmt formatCode="0" sourceLinked="1"/>
        <c:majorTickMark val="out"/>
        <c:minorTickMark val="none"/>
        <c:tickLblPos val="nextTo"/>
        <c:crossAx val="63208208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nl-NL" sz="1400" b="1" i="0" baseline="0">
                <a:solidFill>
                  <a:sysClr val="windowText" lastClr="000000"/>
                </a:solidFill>
                <a:effectLst/>
              </a:rPr>
              <a:t>Onshore received energy prices 2050</a:t>
            </a:r>
            <a:endParaRPr lang="nl-NL" sz="1400">
              <a:solidFill>
                <a:sysClr val="windowText" lastClr="000000"/>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Fixed bottom electricity</c:v>
          </c:tx>
          <c:spPr>
            <a:ln w="28575" cap="rnd">
              <a:solidFill>
                <a:schemeClr val="accent1"/>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Calculations!$F$238:$Z$238</c:f>
              <c:numCache>
                <c:formatCode>0.00</c:formatCode>
                <c:ptCount val="21"/>
                <c:pt idx="0">
                  <c:v>28.076299667358398</c:v>
                </c:pt>
                <c:pt idx="1">
                  <c:v>28.916980743408203</c:v>
                </c:pt>
                <c:pt idx="2">
                  <c:v>29.758369445800781</c:v>
                </c:pt>
                <c:pt idx="3">
                  <c:v>30.600469589233398</c:v>
                </c:pt>
                <c:pt idx="4">
                  <c:v>31.443279266357422</c:v>
                </c:pt>
                <c:pt idx="5">
                  <c:v>32.286800384521484</c:v>
                </c:pt>
                <c:pt idx="6">
                  <c:v>33.131031036376953</c:v>
                </c:pt>
                <c:pt idx="7">
                  <c:v>33.975971221923828</c:v>
                </c:pt>
                <c:pt idx="8">
                  <c:v>34.821620941162109</c:v>
                </c:pt>
                <c:pt idx="9">
                  <c:v>35.667980194091797</c:v>
                </c:pt>
                <c:pt idx="10">
                  <c:v>36.515052795410156</c:v>
                </c:pt>
                <c:pt idx="11">
                  <c:v>37.362831115722656</c:v>
                </c:pt>
                <c:pt idx="12">
                  <c:v>38.211322784423828</c:v>
                </c:pt>
                <c:pt idx="13">
                  <c:v>39.060523986816406</c:v>
                </c:pt>
                <c:pt idx="14">
                  <c:v>39.910434722900391</c:v>
                </c:pt>
                <c:pt idx="15">
                  <c:v>40.761058807373047</c:v>
                </c:pt>
                <c:pt idx="16">
                  <c:v>41.612388610839844</c:v>
                </c:pt>
                <c:pt idx="17">
                  <c:v>42.464431762695313</c:v>
                </c:pt>
                <c:pt idx="18">
                  <c:v>43.317180633544922</c:v>
                </c:pt>
                <c:pt idx="19">
                  <c:v>44.170642852783203</c:v>
                </c:pt>
                <c:pt idx="20">
                  <c:v>45.024814605712891</c:v>
                </c:pt>
              </c:numCache>
            </c:numRef>
          </c:val>
          <c:smooth val="0"/>
          <c:extLst>
            <c:ext xmlns:c16="http://schemas.microsoft.com/office/drawing/2014/chart" uri="{C3380CC4-5D6E-409C-BE32-E72D297353CC}">
              <c16:uniqueId val="{00000000-1F2F-4325-9B14-01CAAA5EDCF1}"/>
            </c:ext>
          </c:extLst>
        </c:ser>
        <c:ser>
          <c:idx val="1"/>
          <c:order val="1"/>
          <c:tx>
            <c:v>Fixed bottom hydrogen</c:v>
          </c:tx>
          <c:spPr>
            <a:ln w="28575" cap="rnd">
              <a:solidFill>
                <a:schemeClr val="accent5">
                  <a:lumMod val="75000"/>
                </a:schemeClr>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Calculations!$F$250:$Z$250</c:f>
              <c:numCache>
                <c:formatCode>0.00</c:formatCode>
                <c:ptCount val="21"/>
                <c:pt idx="0">
                  <c:v>30.353886788587477</c:v>
                </c:pt>
                <c:pt idx="1">
                  <c:v>30.675494620426758</c:v>
                </c:pt>
                <c:pt idx="2">
                  <c:v>30.997326411044142</c:v>
                </c:pt>
                <c:pt idx="3">
                  <c:v>31.319391239849566</c:v>
                </c:pt>
                <c:pt idx="4">
                  <c:v>31.641680027433104</c:v>
                </c:pt>
                <c:pt idx="5">
                  <c:v>31.964195800264729</c:v>
                </c:pt>
                <c:pt idx="6">
                  <c:v>32.286941584814421</c:v>
                </c:pt>
                <c:pt idx="7">
                  <c:v>32.609914354612194</c:v>
                </c:pt>
                <c:pt idx="8">
                  <c:v>32.93311410965805</c:v>
                </c:pt>
                <c:pt idx="9">
                  <c:v>33.256540849951996</c:v>
                </c:pt>
                <c:pt idx="10">
                  <c:v>33.580194575494026</c:v>
                </c:pt>
                <c:pt idx="11">
                  <c:v>33.904075286284147</c:v>
                </c:pt>
                <c:pt idx="12">
                  <c:v>34.228186008792335</c:v>
                </c:pt>
                <c:pt idx="13">
                  <c:v>34.552520690078623</c:v>
                </c:pt>
                <c:pt idx="14">
                  <c:v>34.877085383082978</c:v>
                </c:pt>
                <c:pt idx="15">
                  <c:v>35.201877061335423</c:v>
                </c:pt>
                <c:pt idx="16">
                  <c:v>35.526895724835953</c:v>
                </c:pt>
                <c:pt idx="17">
                  <c:v>35.852144400054549</c:v>
                </c:pt>
                <c:pt idx="18">
                  <c:v>36.177617034051252</c:v>
                </c:pt>
                <c:pt idx="19">
                  <c:v>36.503319679766008</c:v>
                </c:pt>
                <c:pt idx="20">
                  <c:v>36.829246284258886</c:v>
                </c:pt>
              </c:numCache>
            </c:numRef>
          </c:val>
          <c:smooth val="0"/>
          <c:extLst>
            <c:ext xmlns:c16="http://schemas.microsoft.com/office/drawing/2014/chart" uri="{C3380CC4-5D6E-409C-BE32-E72D297353CC}">
              <c16:uniqueId val="{00000002-1F2F-4325-9B14-01CAAA5EDCF1}"/>
            </c:ext>
          </c:extLst>
        </c:ser>
        <c:ser>
          <c:idx val="2"/>
          <c:order val="2"/>
          <c:tx>
            <c:v>Floating electricity</c:v>
          </c:tx>
          <c:spPr>
            <a:ln w="28575" cap="rnd">
              <a:solidFill>
                <a:srgbClr val="FF0000"/>
              </a:solidFill>
              <a:prstDash val="sysDash"/>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Calculations!$F$246:$Z$246</c:f>
              <c:numCache>
                <c:formatCode>0.00</c:formatCode>
                <c:ptCount val="21"/>
                <c:pt idx="0">
                  <c:v>29.445865631103516</c:v>
                </c:pt>
                <c:pt idx="1">
                  <c:v>30.21790885925293</c:v>
                </c:pt>
                <c:pt idx="2">
                  <c:v>30.991127014160156</c:v>
                </c:pt>
                <c:pt idx="3">
                  <c:v>31.765518188476563</c:v>
                </c:pt>
                <c:pt idx="4">
                  <c:v>32.541084289550781</c:v>
                </c:pt>
                <c:pt idx="5">
                  <c:v>33.317829132080078</c:v>
                </c:pt>
                <c:pt idx="6">
                  <c:v>34.095748901367188</c:v>
                </c:pt>
                <c:pt idx="7">
                  <c:v>34.874843597412109</c:v>
                </c:pt>
                <c:pt idx="8">
                  <c:v>35.655113220214844</c:v>
                </c:pt>
                <c:pt idx="9">
                  <c:v>36.436565399169922</c:v>
                </c:pt>
                <c:pt idx="10">
                  <c:v>37.219192504882813</c:v>
                </c:pt>
                <c:pt idx="11">
                  <c:v>38.002998352050781</c:v>
                </c:pt>
                <c:pt idx="12">
                  <c:v>38.787982940673828</c:v>
                </c:pt>
                <c:pt idx="13">
                  <c:v>39.574146270751953</c:v>
                </c:pt>
                <c:pt idx="14">
                  <c:v>40.361488342285156</c:v>
                </c:pt>
                <c:pt idx="15">
                  <c:v>41.150012969970703</c:v>
                </c:pt>
                <c:pt idx="16">
                  <c:v>41.939716339111328</c:v>
                </c:pt>
                <c:pt idx="17">
                  <c:v>42.730602264404297</c:v>
                </c:pt>
                <c:pt idx="18">
                  <c:v>43.522666931152344</c:v>
                </c:pt>
                <c:pt idx="19">
                  <c:v>44.31591796875</c:v>
                </c:pt>
                <c:pt idx="20">
                  <c:v>45.110347747802734</c:v>
                </c:pt>
              </c:numCache>
            </c:numRef>
          </c:val>
          <c:smooth val="0"/>
          <c:extLst>
            <c:ext xmlns:c16="http://schemas.microsoft.com/office/drawing/2014/chart" uri="{C3380CC4-5D6E-409C-BE32-E72D297353CC}">
              <c16:uniqueId val="{00000003-1F2F-4325-9B14-01CAAA5EDCF1}"/>
            </c:ext>
          </c:extLst>
        </c:ser>
        <c:ser>
          <c:idx val="3"/>
          <c:order val="3"/>
          <c:tx>
            <c:v>Floating hydrogen</c:v>
          </c:tx>
          <c:spPr>
            <a:ln w="28575" cap="rnd">
              <a:solidFill>
                <a:srgbClr val="FF0000"/>
              </a:solidFill>
              <a:round/>
            </a:ln>
            <a:effectLst/>
          </c:spPr>
          <c:marker>
            <c:symbol val="none"/>
          </c:marker>
          <c:cat>
            <c:numRef>
              <c:f>Calculations!$F$233:$Z$233</c:f>
              <c:numCache>
                <c:formatCode>0</c:formatCode>
                <c:ptCount val="21"/>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numCache>
            </c:numRef>
          </c:cat>
          <c:val>
            <c:numRef>
              <c:f>Calculations!$F$251:$Z$251</c:f>
              <c:numCache>
                <c:formatCode>0.00</c:formatCode>
                <c:ptCount val="21"/>
                <c:pt idx="0">
                  <c:v>31.942523248777402</c:v>
                </c:pt>
                <c:pt idx="1">
                  <c:v>32.184062790971552</c:v>
                </c:pt>
                <c:pt idx="2">
                  <c:v>32.426416453588836</c:v>
                </c:pt>
                <c:pt idx="3">
                  <c:v>32.669584236629262</c:v>
                </c:pt>
                <c:pt idx="4">
                  <c:v>32.913563113622843</c:v>
                </c:pt>
                <c:pt idx="5">
                  <c:v>33.158359137509535</c:v>
                </c:pt>
                <c:pt idx="6">
                  <c:v>33.403966255349403</c:v>
                </c:pt>
                <c:pt idx="7">
                  <c:v>33.650384467142423</c:v>
                </c:pt>
                <c:pt idx="8">
                  <c:v>33.897619825828563</c:v>
                </c:pt>
                <c:pt idx="9">
                  <c:v>34.145666278467864</c:v>
                </c:pt>
                <c:pt idx="10">
                  <c:v>34.394526851530301</c:v>
                </c:pt>
                <c:pt idx="11">
                  <c:v>34.644201545015882</c:v>
                </c:pt>
                <c:pt idx="12">
                  <c:v>34.894687332454623</c:v>
                </c:pt>
                <c:pt idx="13">
                  <c:v>35.145990266786477</c:v>
                </c:pt>
                <c:pt idx="14">
                  <c:v>35.398104295071491</c:v>
                </c:pt>
                <c:pt idx="15">
                  <c:v>35.651032443779641</c:v>
                </c:pt>
                <c:pt idx="16">
                  <c:v>35.904771686440959</c:v>
                </c:pt>
                <c:pt idx="17">
                  <c:v>36.159325049525421</c:v>
                </c:pt>
                <c:pt idx="18">
                  <c:v>36.414695559502988</c:v>
                </c:pt>
                <c:pt idx="19">
                  <c:v>36.670874136963754</c:v>
                </c:pt>
                <c:pt idx="20">
                  <c:v>36.927869861317618</c:v>
                </c:pt>
              </c:numCache>
            </c:numRef>
          </c:val>
          <c:smooth val="0"/>
          <c:extLst>
            <c:ext xmlns:c16="http://schemas.microsoft.com/office/drawing/2014/chart" uri="{C3380CC4-5D6E-409C-BE32-E72D297353CC}">
              <c16:uniqueId val="{00000004-1F2F-4325-9B14-01CAAA5EDCF1}"/>
            </c:ext>
          </c:extLst>
        </c:ser>
        <c:dLbls>
          <c:showLegendKey val="0"/>
          <c:showVal val="0"/>
          <c:showCatName val="0"/>
          <c:showSerName val="0"/>
          <c:showPercent val="0"/>
          <c:showBubbleSize val="0"/>
        </c:dLbls>
        <c:smooth val="0"/>
        <c:axId val="615177544"/>
        <c:axId val="615183120"/>
      </c:lineChart>
      <c:catAx>
        <c:axId val="615177544"/>
        <c:scaling>
          <c:orientation val="minMax"/>
        </c:scaling>
        <c:delete val="0"/>
        <c:axPos val="b"/>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nl-NL" sz="1200" b="1">
                    <a:solidFill>
                      <a:sysClr val="windowText" lastClr="000000"/>
                    </a:solidFill>
                  </a:rPr>
                  <a:t>Distance to shore [km]</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5183120"/>
        <c:crosses val="autoZero"/>
        <c:auto val="1"/>
        <c:lblAlgn val="ctr"/>
        <c:lblOffset val="100"/>
        <c:noMultiLvlLbl val="0"/>
      </c:catAx>
      <c:valAx>
        <c:axId val="615183120"/>
        <c:scaling>
          <c:orientation val="minMax"/>
          <c:max val="50"/>
          <c:min val="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energy price [€/MWh]</a:t>
                </a:r>
              </a:p>
            </c:rich>
          </c:tx>
          <c:layout>
            <c:manualLayout>
              <c:xMode val="edge"/>
              <c:yMode val="edge"/>
              <c:x val="2.478053615714372E-2"/>
              <c:y val="0.27692751553519213"/>
            </c:manualLayout>
          </c:layout>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5177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r>
              <a:rPr lang="nl-NL" sz="1800" b="1">
                <a:solidFill>
                  <a:schemeClr val="accent5">
                    <a:lumMod val="75000"/>
                  </a:schemeClr>
                </a:solidFill>
              </a:rPr>
              <a:t>Electricity - with grid connection</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endParaRPr lang="en-US"/>
        </a:p>
      </c:txPr>
    </c:title>
    <c:autoTitleDeleted val="0"/>
    <c:plotArea>
      <c:layout>
        <c:manualLayout>
          <c:layoutTarget val="inner"/>
          <c:xMode val="edge"/>
          <c:yMode val="edge"/>
          <c:x val="0.1213106546735039"/>
          <c:y val="9.3431917776765031E-2"/>
          <c:w val="0.85728969411473477"/>
          <c:h val="0.6578728223893423"/>
        </c:manualLayout>
      </c:layout>
      <c:barChart>
        <c:barDir val="col"/>
        <c:grouping val="stacked"/>
        <c:varyColors val="0"/>
        <c:ser>
          <c:idx val="0"/>
          <c:order val="0"/>
          <c:tx>
            <c:v>Turbine</c:v>
          </c:tx>
          <c:spPr>
            <a:solidFill>
              <a:schemeClr val="accent1"/>
            </a:solidFill>
            <a:ln>
              <a:noFill/>
            </a:ln>
            <a:effectLst/>
          </c:spPr>
          <c:invertIfNegative val="0"/>
          <c:dLbls>
            <c:dLbl>
              <c:idx val="0"/>
              <c:tx>
                <c:rich>
                  <a:bodyPr/>
                  <a:lstStyle/>
                  <a:p>
                    <a:fld id="{C8B026EA-54DC-4B3E-B5A8-D2468087867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9CD2-4A33-B336-2EEA2E99CED8}"/>
                </c:ext>
              </c:extLst>
            </c:dLbl>
            <c:dLbl>
              <c:idx val="1"/>
              <c:tx>
                <c:rich>
                  <a:bodyPr/>
                  <a:lstStyle/>
                  <a:p>
                    <a:fld id="{D6F3D269-AC89-4D2C-9ADE-B9E9F8B7A1A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CD2-4A33-B336-2EEA2E99CED8}"/>
                </c:ext>
              </c:extLst>
            </c:dLbl>
            <c:dLbl>
              <c:idx val="2"/>
              <c:tx>
                <c:rich>
                  <a:bodyPr/>
                  <a:lstStyle/>
                  <a:p>
                    <a:fld id="{C46E9DD0-512D-4308-B2A4-03CFA7560A6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CD2-4A33-B336-2EEA2E99CED8}"/>
                </c:ext>
              </c:extLst>
            </c:dLbl>
            <c:dLbl>
              <c:idx val="3"/>
              <c:tx>
                <c:rich>
                  <a:bodyPr/>
                  <a:lstStyle/>
                  <a:p>
                    <a:fld id="{931CAE1F-FCDC-40CF-A552-D73869ED80B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CD2-4A33-B336-2EEA2E99CED8}"/>
                </c:ext>
              </c:extLst>
            </c:dLbl>
            <c:dLbl>
              <c:idx val="4"/>
              <c:tx>
                <c:rich>
                  <a:bodyPr/>
                  <a:lstStyle/>
                  <a:p>
                    <a:fld id="{118EB65C-DE6E-4916-93E3-6297AA3F70F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(Calculations!$E$214,Calculations!$G$214,Calculations!$I$214,Calculations!$L$214,Calculations!$N$214)</c:f>
              <c:numCache>
                <c:formatCode>0.00</c:formatCode>
                <c:ptCount val="5"/>
                <c:pt idx="0" formatCode="0.0">
                  <c:v>145.2312994957793</c:v>
                </c:pt>
                <c:pt idx="1">
                  <c:v>87.102036916781245</c:v>
                </c:pt>
                <c:pt idx="2" formatCode="0.0">
                  <c:v>87.102036916781245</c:v>
                </c:pt>
                <c:pt idx="3" formatCode="_ * #,##0.00_ ;_ * \-#,##0.00_ ;_ * &quot;-&quot;??_ ;_ @_ ">
                  <c:v>44.405714587074257</c:v>
                </c:pt>
                <c:pt idx="4" formatCode="_ * #,##0.00_ ;_ * \-#,##0.00_ ;_ * &quot;-&quot;??_ ;_ @_ ">
                  <c:v>44.405714587074257</c:v>
                </c:pt>
              </c:numCache>
            </c:numRef>
          </c:val>
          <c:extLst>
            <c:ext xmlns:c15="http://schemas.microsoft.com/office/drawing/2012/chart" uri="{02D57815-91ED-43cb-92C2-25804820EDAC}">
              <c15:datalabelsRange>
                <c15:f>(Calculations!$F$214,Calculations!$H$214,Calculations!$J$214,Calculations!$M$214,Calculations!$O$214)</c15:f>
                <c15:dlblRangeCache>
                  <c:ptCount val="5"/>
                  <c:pt idx="0">
                    <c:v>23%</c:v>
                  </c:pt>
                  <c:pt idx="1">
                    <c:v>22%</c:v>
                  </c:pt>
                  <c:pt idx="2">
                    <c:v>24%</c:v>
                  </c:pt>
                  <c:pt idx="3">
                    <c:v>12%</c:v>
                  </c:pt>
                  <c:pt idx="4">
                    <c:v>13%</c:v>
                  </c:pt>
                </c15:dlblRangeCache>
              </c15:datalabelsRange>
            </c:ext>
            <c:ext xmlns:c16="http://schemas.microsoft.com/office/drawing/2014/chart" uri="{C3380CC4-5D6E-409C-BE32-E72D297353CC}">
              <c16:uniqueId val="{00000000-9CD2-4A33-B336-2EEA2E99CED8}"/>
            </c:ext>
          </c:extLst>
        </c:ser>
        <c:ser>
          <c:idx val="1"/>
          <c:order val="1"/>
          <c:tx>
            <c:v>Substructure</c:v>
          </c:tx>
          <c:spPr>
            <a:solidFill>
              <a:schemeClr val="accent2"/>
            </a:solidFill>
            <a:ln>
              <a:noFill/>
            </a:ln>
            <a:effectLst/>
          </c:spPr>
          <c:invertIfNegative val="0"/>
          <c:dLbls>
            <c:dLbl>
              <c:idx val="0"/>
              <c:tx>
                <c:rich>
                  <a:bodyPr/>
                  <a:lstStyle/>
                  <a:p>
                    <a:fld id="{025F4630-49E1-47A0-BF55-E3D1E5F20235}"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9CD2-4A33-B336-2EEA2E99CED8}"/>
                </c:ext>
              </c:extLst>
            </c:dLbl>
            <c:dLbl>
              <c:idx val="1"/>
              <c:tx>
                <c:rich>
                  <a:bodyPr/>
                  <a:lstStyle/>
                  <a:p>
                    <a:fld id="{BF92EFA8-A335-4396-AC11-2CF7C99B150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CD2-4A33-B336-2EEA2E99CED8}"/>
                </c:ext>
              </c:extLst>
            </c:dLbl>
            <c:dLbl>
              <c:idx val="2"/>
              <c:tx>
                <c:rich>
                  <a:bodyPr/>
                  <a:lstStyle/>
                  <a:p>
                    <a:fld id="{30331257-AC11-4A66-88EA-F4915D77F1E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CD2-4A33-B336-2EEA2E99CED8}"/>
                </c:ext>
              </c:extLst>
            </c:dLbl>
            <c:dLbl>
              <c:idx val="3"/>
              <c:tx>
                <c:rich>
                  <a:bodyPr/>
                  <a:lstStyle/>
                  <a:p>
                    <a:fld id="{9517D338-849E-4F02-9BEE-4226AA19B0B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CD2-4A33-B336-2EEA2E99CED8}"/>
                </c:ext>
              </c:extLst>
            </c:dLbl>
            <c:dLbl>
              <c:idx val="4"/>
              <c:tx>
                <c:rich>
                  <a:bodyPr/>
                  <a:lstStyle/>
                  <a:p>
                    <a:fld id="{24A35EDE-005B-4F12-8BBD-7F54575090B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(Calculations!$E$215,Calculations!$G$215,Calculations!$I$215,Calculations!$L$215,Calculations!$N$215)</c:f>
              <c:numCache>
                <c:formatCode>0.00</c:formatCode>
                <c:ptCount val="5"/>
                <c:pt idx="0" formatCode="0.0">
                  <c:v>63.59778548771996</c:v>
                </c:pt>
                <c:pt idx="1">
                  <c:v>57.789124658066783</c:v>
                </c:pt>
                <c:pt idx="2" formatCode="0.0">
                  <c:v>30.509121279094614</c:v>
                </c:pt>
                <c:pt idx="3" formatCode="_ * #,##0.00_ ;_ * \-#,##0.00_ ;_ * &quot;-&quot;??_ ;_ @_ ">
                  <c:v>65.152491832804571</c:v>
                </c:pt>
                <c:pt idx="4" formatCode="_ * #,##0.00_ ;_ * \-#,##0.00_ ;_ * &quot;-&quot;??_ ;_ @_ ">
                  <c:v>48.864368874603429</c:v>
                </c:pt>
              </c:numCache>
            </c:numRef>
          </c:val>
          <c:extLst>
            <c:ext xmlns:c15="http://schemas.microsoft.com/office/drawing/2012/chart" uri="{02D57815-91ED-43cb-92C2-25804820EDAC}">
              <c15:datalabelsRange>
                <c15:f>(Calculations!$F$215,Calculations!$H$215,Calculations!$J$215,Calculations!$M$215,Calculations!$O$215)</c15:f>
                <c15:dlblRangeCache>
                  <c:ptCount val="5"/>
                  <c:pt idx="0">
                    <c:v>10%</c:v>
                  </c:pt>
                  <c:pt idx="1">
                    <c:v>14%</c:v>
                  </c:pt>
                  <c:pt idx="2">
                    <c:v>8%</c:v>
                  </c:pt>
                  <c:pt idx="3">
                    <c:v>18%</c:v>
                  </c:pt>
                  <c:pt idx="4">
                    <c:v>14%</c:v>
                  </c:pt>
                </c15:dlblRangeCache>
              </c15:datalabelsRange>
            </c:ext>
            <c:ext xmlns:c16="http://schemas.microsoft.com/office/drawing/2014/chart" uri="{C3380CC4-5D6E-409C-BE32-E72D297353CC}">
              <c16:uniqueId val="{00000001-9CD2-4A33-B336-2EEA2E99CED8}"/>
            </c:ext>
          </c:extLst>
        </c:ser>
        <c:ser>
          <c:idx val="2"/>
          <c:order val="2"/>
          <c:tx>
            <c:v>Electr. infra</c:v>
          </c:tx>
          <c:spPr>
            <a:solidFill>
              <a:schemeClr val="accent3"/>
            </a:solidFill>
            <a:ln>
              <a:noFill/>
            </a:ln>
            <a:effectLst/>
          </c:spPr>
          <c:invertIfNegative val="0"/>
          <c:dLbls>
            <c:dLbl>
              <c:idx val="0"/>
              <c:tx>
                <c:rich>
                  <a:bodyPr/>
                  <a:lstStyle/>
                  <a:p>
                    <a:fld id="{A32613EE-0EBC-465A-9CA5-1B420AAC6740}"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9CD2-4A33-B336-2EEA2E99CED8}"/>
                </c:ext>
              </c:extLst>
            </c:dLbl>
            <c:dLbl>
              <c:idx val="1"/>
              <c:tx>
                <c:rich>
                  <a:bodyPr/>
                  <a:lstStyle/>
                  <a:p>
                    <a:fld id="{47FBDC5F-D2B8-4740-B675-2263B3974D6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CD2-4A33-B336-2EEA2E99CED8}"/>
                </c:ext>
              </c:extLst>
            </c:dLbl>
            <c:dLbl>
              <c:idx val="2"/>
              <c:tx>
                <c:rich>
                  <a:bodyPr/>
                  <a:lstStyle/>
                  <a:p>
                    <a:fld id="{7FC83018-F803-4998-9F23-2A82F637E7B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CD2-4A33-B336-2EEA2E99CED8}"/>
                </c:ext>
              </c:extLst>
            </c:dLbl>
            <c:dLbl>
              <c:idx val="3"/>
              <c:tx>
                <c:rich>
                  <a:bodyPr/>
                  <a:lstStyle/>
                  <a:p>
                    <a:fld id="{E97BE79F-1E94-4A03-837C-8FC19F0B5BE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CD2-4A33-B336-2EEA2E99CED8}"/>
                </c:ext>
              </c:extLst>
            </c:dLbl>
            <c:dLbl>
              <c:idx val="4"/>
              <c:tx>
                <c:rich>
                  <a:bodyPr/>
                  <a:lstStyle/>
                  <a:p>
                    <a:fld id="{D53C34DA-07AA-48EA-960A-531197D5EBB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(Calculations!$E$216,Calculations!$G$216,Calculations!$I$216,Calculations!$L$216,Calculations!$N$216)</c:f>
              <c:numCache>
                <c:formatCode>0.00</c:formatCode>
                <c:ptCount val="5"/>
                <c:pt idx="0" formatCode="0.0">
                  <c:v>221.91708837925424</c:v>
                </c:pt>
                <c:pt idx="1">
                  <c:v>135.54971705845264</c:v>
                </c:pt>
                <c:pt idx="2" formatCode="0.0">
                  <c:v>135.54971705845264</c:v>
                </c:pt>
                <c:pt idx="3" formatCode="_ * #,##0.00_ ;_ * \-#,##0.00_ ;_ * &quot;-&quot;??_ ;_ @_ ">
                  <c:v>135.54971705845264</c:v>
                </c:pt>
                <c:pt idx="4" formatCode="_ * #,##0.00_ ;_ * \-#,##0.00_ ;_ * &quot;-&quot;??_ ;_ @_ ">
                  <c:v>135.54971705845264</c:v>
                </c:pt>
              </c:numCache>
            </c:numRef>
          </c:val>
          <c:extLst>
            <c:ext xmlns:c15="http://schemas.microsoft.com/office/drawing/2012/chart" uri="{02D57815-91ED-43cb-92C2-25804820EDAC}">
              <c15:datalabelsRange>
                <c15:f>(Calculations!$F$216,Calculations!$H$216,Calculations!$J$216,Calculations!$M$216,Calculations!$O$216)</c15:f>
                <c15:dlblRangeCache>
                  <c:ptCount val="5"/>
                  <c:pt idx="0">
                    <c:v>36%</c:v>
                  </c:pt>
                  <c:pt idx="1">
                    <c:v>33%</c:v>
                  </c:pt>
                  <c:pt idx="2">
                    <c:v>37%</c:v>
                  </c:pt>
                  <c:pt idx="3">
                    <c:v>38%</c:v>
                  </c:pt>
                  <c:pt idx="4">
                    <c:v>40%</c:v>
                  </c:pt>
                </c15:dlblRangeCache>
              </c15:datalabelsRange>
            </c:ext>
            <c:ext xmlns:c16="http://schemas.microsoft.com/office/drawing/2014/chart" uri="{C3380CC4-5D6E-409C-BE32-E72D297353CC}">
              <c16:uniqueId val="{00000002-9CD2-4A33-B336-2EEA2E99CED8}"/>
            </c:ext>
          </c:extLst>
        </c:ser>
        <c:ser>
          <c:idx val="3"/>
          <c:order val="3"/>
          <c:tx>
            <c:v>Oper. &amp; maint.</c:v>
          </c:tx>
          <c:spPr>
            <a:solidFill>
              <a:schemeClr val="accent4"/>
            </a:solidFill>
            <a:ln>
              <a:noFill/>
            </a:ln>
            <a:effectLst/>
          </c:spPr>
          <c:invertIfNegative val="0"/>
          <c:dLbls>
            <c:dLbl>
              <c:idx val="0"/>
              <c:tx>
                <c:rich>
                  <a:bodyPr/>
                  <a:lstStyle/>
                  <a:p>
                    <a:fld id="{1878E5F3-5823-4575-863A-CB7575B8E3B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9CD2-4A33-B336-2EEA2E99CED8}"/>
                </c:ext>
              </c:extLst>
            </c:dLbl>
            <c:dLbl>
              <c:idx val="1"/>
              <c:tx>
                <c:rich>
                  <a:bodyPr/>
                  <a:lstStyle/>
                  <a:p>
                    <a:fld id="{D64FFDAB-1ADB-4A40-A84E-089079F1542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CD2-4A33-B336-2EEA2E99CED8}"/>
                </c:ext>
              </c:extLst>
            </c:dLbl>
            <c:dLbl>
              <c:idx val="2"/>
              <c:tx>
                <c:rich>
                  <a:bodyPr/>
                  <a:lstStyle/>
                  <a:p>
                    <a:fld id="{BF2C4880-FD1E-46DB-9D1E-17974DB33EF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CD2-4A33-B336-2EEA2E99CED8}"/>
                </c:ext>
              </c:extLst>
            </c:dLbl>
            <c:dLbl>
              <c:idx val="3"/>
              <c:tx>
                <c:rich>
                  <a:bodyPr/>
                  <a:lstStyle/>
                  <a:p>
                    <a:fld id="{EE2F32EF-97F7-457D-8C78-511E9CF29DC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CD2-4A33-B336-2EEA2E99CED8}"/>
                </c:ext>
              </c:extLst>
            </c:dLbl>
            <c:dLbl>
              <c:idx val="4"/>
              <c:tx>
                <c:rich>
                  <a:bodyPr/>
                  <a:lstStyle/>
                  <a:p>
                    <a:fld id="{20CFE137-428D-43B0-8EB1-C3025E18B9EF}"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(Calculations!$E$217,Calculations!$G$217,Calculations!$I$217,Calculations!$L$217,Calculations!$N$217)</c:f>
              <c:numCache>
                <c:formatCode>0.00</c:formatCode>
                <c:ptCount val="5"/>
                <c:pt idx="0" formatCode="0.0">
                  <c:v>137.73569717856324</c:v>
                </c:pt>
                <c:pt idx="1">
                  <c:v>84.749348275086646</c:v>
                </c:pt>
                <c:pt idx="2" formatCode="0.0">
                  <c:v>73.638504739095453</c:v>
                </c:pt>
                <c:pt idx="3" formatCode="_ * #,##0.00_ ;_ * \-#,##0.00_ ;_ * &quot;-&quot;??_ ;_ @_ ">
                  <c:v>84.40494049321191</c:v>
                </c:pt>
                <c:pt idx="4" formatCode="_ * #,##0.00_ ;_ * \-#,##0.00_ ;_ * &quot;-&quot;??_ ;_ @_ ">
                  <c:v>78.217776503934601</c:v>
                </c:pt>
              </c:numCache>
            </c:numRef>
          </c:val>
          <c:extLst>
            <c:ext xmlns:c15="http://schemas.microsoft.com/office/drawing/2012/chart" uri="{02D57815-91ED-43cb-92C2-25804820EDAC}">
              <c15:datalabelsRange>
                <c15:f>(Calculations!$F$217,Calculations!$H$217,Calculations!$J$217,Calculations!$M$217,Calculations!$O$217)</c15:f>
                <c15:dlblRangeCache>
                  <c:ptCount val="5"/>
                  <c:pt idx="0">
                    <c:v>22%</c:v>
                  </c:pt>
                  <c:pt idx="1">
                    <c:v>21%</c:v>
                  </c:pt>
                  <c:pt idx="2">
                    <c:v>20%</c:v>
                  </c:pt>
                  <c:pt idx="3">
                    <c:v>23%</c:v>
                  </c:pt>
                  <c:pt idx="4">
                    <c:v>23%</c:v>
                  </c:pt>
                </c15:dlblRangeCache>
              </c15:datalabelsRange>
            </c:ext>
            <c:ext xmlns:c16="http://schemas.microsoft.com/office/drawing/2014/chart" uri="{C3380CC4-5D6E-409C-BE32-E72D297353CC}">
              <c16:uniqueId val="{00000003-9CD2-4A33-B336-2EEA2E99CED8}"/>
            </c:ext>
          </c:extLst>
        </c:ser>
        <c:ser>
          <c:idx val="4"/>
          <c:order val="4"/>
          <c:tx>
            <c:v>Project dev., etc.</c:v>
          </c:tx>
          <c:spPr>
            <a:solidFill>
              <a:schemeClr val="accent6"/>
            </a:solidFill>
            <a:ln>
              <a:noFill/>
            </a:ln>
            <a:effectLst/>
          </c:spPr>
          <c:invertIfNegative val="0"/>
          <c:dLbls>
            <c:dLbl>
              <c:idx val="0"/>
              <c:tx>
                <c:rich>
                  <a:bodyPr/>
                  <a:lstStyle/>
                  <a:p>
                    <a:fld id="{59608D1A-68BF-42FE-9734-5DA3F0D01C7D}"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9CD2-4A33-B336-2EEA2E99CED8}"/>
                </c:ext>
              </c:extLst>
            </c:dLbl>
            <c:dLbl>
              <c:idx val="1"/>
              <c:tx>
                <c:rich>
                  <a:bodyPr/>
                  <a:lstStyle/>
                  <a:p>
                    <a:fld id="{F322857C-9F80-4FDD-9CE7-E9EDA00001A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CD2-4A33-B336-2EEA2E99CED8}"/>
                </c:ext>
              </c:extLst>
            </c:dLbl>
            <c:dLbl>
              <c:idx val="2"/>
              <c:tx>
                <c:rich>
                  <a:bodyPr/>
                  <a:lstStyle/>
                  <a:p>
                    <a:fld id="{F75A0517-16C8-4311-8EF1-5D216790CB4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CD2-4A33-B336-2EEA2E99CED8}"/>
                </c:ext>
              </c:extLst>
            </c:dLbl>
            <c:dLbl>
              <c:idx val="3"/>
              <c:tx>
                <c:rich>
                  <a:bodyPr/>
                  <a:lstStyle/>
                  <a:p>
                    <a:fld id="{4F2E4125-2549-46D5-A3AD-BBAE9184213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CD2-4A33-B336-2EEA2E99CED8}"/>
                </c:ext>
              </c:extLst>
            </c:dLbl>
            <c:dLbl>
              <c:idx val="4"/>
              <c:tx>
                <c:rich>
                  <a:bodyPr/>
                  <a:lstStyle/>
                  <a:p>
                    <a:fld id="{7E17BD3B-FC26-4EA5-BAE5-0C9B01366EC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CD2-4A33-B336-2EEA2E99CED8}"/>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(Calculations!$E$218,Calculations!$G$218,Calculations!$I$218,Calculations!$L$218,Calculations!$N$218)</c:f>
              <c:numCache>
                <c:formatCode>0.0</c:formatCode>
                <c:ptCount val="5"/>
                <c:pt idx="0">
                  <c:v>55.950822516710403</c:v>
                </c:pt>
                <c:pt idx="1">
                  <c:v>39.869941996806816</c:v>
                </c:pt>
                <c:pt idx="2">
                  <c:v>37.032821645393717</c:v>
                </c:pt>
                <c:pt idx="3" formatCode="_ * #,##0.00_ ;_ * \-#,##0.00_ ;_ * &quot;-&quot;??_ ;_ @_ ">
                  <c:v>30.84326935121825</c:v>
                </c:pt>
                <c:pt idx="4" formatCode="_ * #,##0.00_ ;_ * \-#,##0.00_ ;_ * &quot;-&quot;??_ ;_ @_ ">
                  <c:v>34.501349873037107</c:v>
                </c:pt>
              </c:numCache>
            </c:numRef>
          </c:val>
          <c:extLst>
            <c:ext xmlns:c15="http://schemas.microsoft.com/office/drawing/2012/chart" uri="{02D57815-91ED-43cb-92C2-25804820EDAC}">
              <c15:datalabelsRange>
                <c15:f>(Calculations!$F$218,Calculations!$H$218,Calculations!$J$218,Calculations!$M$218,Calculations!$O$218)</c15:f>
                <c15:dlblRangeCache>
                  <c:ptCount val="5"/>
                  <c:pt idx="0">
                    <c:v>9%</c:v>
                  </c:pt>
                  <c:pt idx="1">
                    <c:v>10%</c:v>
                  </c:pt>
                  <c:pt idx="2">
                    <c:v>10%</c:v>
                  </c:pt>
                  <c:pt idx="3">
                    <c:v>9%</c:v>
                  </c:pt>
                  <c:pt idx="4">
                    <c:v>10%</c:v>
                  </c:pt>
                </c15:dlblRangeCache>
              </c15:datalabelsRange>
            </c:ext>
            <c:ext xmlns:c16="http://schemas.microsoft.com/office/drawing/2014/chart" uri="{C3380CC4-5D6E-409C-BE32-E72D297353CC}">
              <c16:uniqueId val="{00000004-9CD2-4A33-B336-2EEA2E99CED8}"/>
            </c:ext>
          </c:extLst>
        </c:ser>
        <c:dLbls>
          <c:showLegendKey val="0"/>
          <c:showVal val="0"/>
          <c:showCatName val="0"/>
          <c:showSerName val="0"/>
          <c:showPercent val="0"/>
          <c:showBubbleSize val="0"/>
        </c:dLbls>
        <c:gapWidth val="150"/>
        <c:overlap val="100"/>
        <c:axId val="581415032"/>
        <c:axId val="581408144"/>
      </c:barChart>
      <c:catAx>
        <c:axId val="581415032"/>
        <c:scaling>
          <c:orientation val="minMax"/>
        </c:scaling>
        <c:delete val="1"/>
        <c:axPos val="b"/>
        <c:numFmt formatCode="General" sourceLinked="1"/>
        <c:majorTickMark val="none"/>
        <c:minorTickMark val="none"/>
        <c:tickLblPos val="nextTo"/>
        <c:crossAx val="581408144"/>
        <c:crosses val="autoZero"/>
        <c:auto val="1"/>
        <c:lblAlgn val="ctr"/>
        <c:lblOffset val="100"/>
        <c:noMultiLvlLbl val="0"/>
      </c:catAx>
      <c:valAx>
        <c:axId val="581408144"/>
        <c:scaling>
          <c:orientation val="minMax"/>
          <c:max val="63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k€/MW/year</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15032"/>
        <c:crosses val="autoZero"/>
        <c:crossBetween val="between"/>
        <c:majorUnit val="25"/>
      </c:valAx>
      <c:spPr>
        <a:noFill/>
        <a:ln>
          <a:noFill/>
        </a:ln>
        <a:effectLst/>
      </c:spPr>
    </c:plotArea>
    <c:legend>
      <c:legendPos val="b"/>
      <c:layout>
        <c:manualLayout>
          <c:xMode val="edge"/>
          <c:yMode val="edge"/>
          <c:x val="0.14633384437531319"/>
          <c:y val="0.92254872066403426"/>
          <c:w val="0.85366610474526849"/>
          <c:h val="4.6254821604027857E-2"/>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r>
              <a:rPr lang="nl-NL" sz="1800" b="1">
                <a:solidFill>
                  <a:schemeClr val="accent5">
                    <a:lumMod val="75000"/>
                  </a:schemeClr>
                </a:solidFill>
              </a:rPr>
              <a:t>Offshore hydrogen</a:t>
            </a:r>
            <a:r>
              <a:rPr lang="nl-NL" sz="1800" b="1" baseline="0">
                <a:solidFill>
                  <a:schemeClr val="accent5">
                    <a:lumMod val="75000"/>
                  </a:schemeClr>
                </a:solidFill>
              </a:rPr>
              <a:t> production</a:t>
            </a:r>
            <a:endParaRPr lang="nl-NL" sz="1800" b="1">
              <a:solidFill>
                <a:schemeClr val="accent5">
                  <a:lumMod val="75000"/>
                </a:schemeClr>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accent5">
                  <a:lumMod val="75000"/>
                </a:schemeClr>
              </a:solidFill>
              <a:latin typeface="+mn-lt"/>
              <a:ea typeface="+mn-ea"/>
              <a:cs typeface="+mn-cs"/>
            </a:defRPr>
          </a:pPr>
          <a:endParaRPr lang="en-US"/>
        </a:p>
      </c:txPr>
    </c:title>
    <c:autoTitleDeleted val="0"/>
    <c:plotArea>
      <c:layout>
        <c:manualLayout>
          <c:layoutTarget val="inner"/>
          <c:xMode val="edge"/>
          <c:yMode val="edge"/>
          <c:x val="0.13474495845593037"/>
          <c:y val="9.4233227890597002E-2"/>
          <c:w val="0.84509103033478461"/>
          <c:h val="0.65993688666392303"/>
        </c:manualLayout>
      </c:layout>
      <c:barChart>
        <c:barDir val="col"/>
        <c:grouping val="stacked"/>
        <c:varyColors val="0"/>
        <c:ser>
          <c:idx val="0"/>
          <c:order val="0"/>
          <c:tx>
            <c:v>Turbine</c:v>
          </c:tx>
          <c:spPr>
            <a:solidFill>
              <a:schemeClr val="accent1"/>
            </a:solidFill>
            <a:ln>
              <a:noFill/>
            </a:ln>
            <a:effectLst/>
          </c:spPr>
          <c:invertIfNegative val="0"/>
          <c:dLbls>
            <c:dLbl>
              <c:idx val="0"/>
              <c:tx>
                <c:rich>
                  <a:bodyPr/>
                  <a:lstStyle/>
                  <a:p>
                    <a:fld id="{0C7F6E4B-D38C-4D58-9B58-611D8FA13DE9}"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4884-4BD7-B74E-6A2A75FA1C1B}"/>
                </c:ext>
              </c:extLst>
            </c:dLbl>
            <c:dLbl>
              <c:idx val="1"/>
              <c:tx>
                <c:rich>
                  <a:bodyPr/>
                  <a:lstStyle/>
                  <a:p>
                    <a:fld id="{66385499-1E42-44D4-A0D9-62863294D99F}"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884-4BD7-B74E-6A2A75FA1C1B}"/>
                </c:ext>
              </c:extLst>
            </c:dLbl>
            <c:dLbl>
              <c:idx val="2"/>
              <c:tx>
                <c:rich>
                  <a:bodyPr/>
                  <a:lstStyle/>
                  <a:p>
                    <a:fld id="{54D52F5A-4C1E-48E1-8CB8-976C6CF5DA3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884-4BD7-B74E-6A2A75FA1C1B}"/>
                </c:ext>
              </c:extLst>
            </c:dLbl>
            <c:dLbl>
              <c:idx val="3"/>
              <c:tx>
                <c:rich>
                  <a:bodyPr/>
                  <a:lstStyle/>
                  <a:p>
                    <a:fld id="{BB2AAC70-3A28-43D4-ACA6-56CBDAC34D2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884-4BD7-B74E-6A2A75FA1C1B}"/>
                </c:ext>
              </c:extLst>
            </c:dLbl>
            <c:dLbl>
              <c:idx val="4"/>
              <c:tx>
                <c:rich>
                  <a:bodyPr/>
                  <a:lstStyle/>
                  <a:p>
                    <a:fld id="{EF508F68-30EC-4857-9DE5-0F8CA27FFAA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(Calculations!$E$224,Calculations!$G$224,Calculations!$I$224,Calculations!$L$224,Calculations!$N$224)</c:f>
              <c:numCache>
                <c:formatCode>0.00</c:formatCode>
                <c:ptCount val="5"/>
                <c:pt idx="0">
                  <c:v>145.2312994957793</c:v>
                </c:pt>
                <c:pt idx="1">
                  <c:v>87.102036916781245</c:v>
                </c:pt>
                <c:pt idx="2">
                  <c:v>87.102036916781245</c:v>
                </c:pt>
                <c:pt idx="3" formatCode="0.000">
                  <c:v>44.405714587074257</c:v>
                </c:pt>
                <c:pt idx="4" formatCode="0.000">
                  <c:v>44.405714587074257</c:v>
                </c:pt>
              </c:numCache>
            </c:numRef>
          </c:val>
          <c:extLst>
            <c:ext xmlns:c15="http://schemas.microsoft.com/office/drawing/2012/chart" uri="{02D57815-91ED-43cb-92C2-25804820EDAC}">
              <c15:datalabelsRange>
                <c15:f>(Calculations!$F$224,Calculations!$H$224,Calculations!$J$224,Calculations!$M$224,Calculations!$O$224)</c15:f>
                <c15:dlblRangeCache>
                  <c:ptCount val="5"/>
                  <c:pt idx="0">
                    <c:v>28%</c:v>
                  </c:pt>
                  <c:pt idx="1">
                    <c:v>33%</c:v>
                  </c:pt>
                  <c:pt idx="2">
                    <c:v>39%</c:v>
                  </c:pt>
                  <c:pt idx="3">
                    <c:v>20%</c:v>
                  </c:pt>
                  <c:pt idx="4">
                    <c:v>23%</c:v>
                  </c:pt>
                </c15:dlblRangeCache>
              </c15:datalabelsRange>
            </c:ext>
            <c:ext xmlns:c16="http://schemas.microsoft.com/office/drawing/2014/chart" uri="{C3380CC4-5D6E-409C-BE32-E72D297353CC}">
              <c16:uniqueId val="{00000000-4884-4BD7-B74E-6A2A75FA1C1B}"/>
            </c:ext>
          </c:extLst>
        </c:ser>
        <c:ser>
          <c:idx val="1"/>
          <c:order val="1"/>
          <c:tx>
            <c:v>Substructure</c:v>
          </c:tx>
          <c:spPr>
            <a:solidFill>
              <a:schemeClr val="accent2"/>
            </a:solidFill>
            <a:ln>
              <a:noFill/>
            </a:ln>
            <a:effectLst/>
          </c:spPr>
          <c:invertIfNegative val="0"/>
          <c:dLbls>
            <c:dLbl>
              <c:idx val="0"/>
              <c:tx>
                <c:rich>
                  <a:bodyPr/>
                  <a:lstStyle/>
                  <a:p>
                    <a:fld id="{B9694B5B-AC0C-42F9-BA2E-765553C7F002}"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4884-4BD7-B74E-6A2A75FA1C1B}"/>
                </c:ext>
              </c:extLst>
            </c:dLbl>
            <c:dLbl>
              <c:idx val="1"/>
              <c:tx>
                <c:rich>
                  <a:bodyPr/>
                  <a:lstStyle/>
                  <a:p>
                    <a:fld id="{2BBC9548-8BF3-477A-B7CB-A533DE53E14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884-4BD7-B74E-6A2A75FA1C1B}"/>
                </c:ext>
              </c:extLst>
            </c:dLbl>
            <c:dLbl>
              <c:idx val="2"/>
              <c:tx>
                <c:rich>
                  <a:bodyPr/>
                  <a:lstStyle/>
                  <a:p>
                    <a:fld id="{6A959D85-ACDD-460E-9BFF-4B918D61D48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884-4BD7-B74E-6A2A75FA1C1B}"/>
                </c:ext>
              </c:extLst>
            </c:dLbl>
            <c:dLbl>
              <c:idx val="3"/>
              <c:tx>
                <c:rich>
                  <a:bodyPr/>
                  <a:lstStyle/>
                  <a:p>
                    <a:fld id="{CF85E9C6-7472-48DE-A914-3E959AFC21D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884-4BD7-B74E-6A2A75FA1C1B}"/>
                </c:ext>
              </c:extLst>
            </c:dLbl>
            <c:dLbl>
              <c:idx val="4"/>
              <c:tx>
                <c:rich>
                  <a:bodyPr/>
                  <a:lstStyle/>
                  <a:p>
                    <a:fld id="{1674F8BE-898B-4B7A-9FFA-B831B57FACC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(Calculations!$E$225,Calculations!$G$225,Calculations!$I$225,Calculations!$L$225,Calculations!$N$225)</c:f>
              <c:numCache>
                <c:formatCode>0.00</c:formatCode>
                <c:ptCount val="5"/>
                <c:pt idx="0">
                  <c:v>63.59778548771996</c:v>
                </c:pt>
                <c:pt idx="1">
                  <c:v>57.789124658066783</c:v>
                </c:pt>
                <c:pt idx="2">
                  <c:v>30.509121279094614</c:v>
                </c:pt>
                <c:pt idx="3">
                  <c:v>65.152491832804571</c:v>
                </c:pt>
                <c:pt idx="4">
                  <c:v>48.864368874603429</c:v>
                </c:pt>
              </c:numCache>
            </c:numRef>
          </c:val>
          <c:extLst>
            <c:ext xmlns:c15="http://schemas.microsoft.com/office/drawing/2012/chart" uri="{02D57815-91ED-43cb-92C2-25804820EDAC}">
              <c15:datalabelsRange>
                <c15:f>(Calculations!$F$225,Calculations!$H$225,Calculations!$J$225,Calculations!$M$225,Calculations!$O$225)</c15:f>
                <c15:dlblRangeCache>
                  <c:ptCount val="5"/>
                  <c:pt idx="0">
                    <c:v>12%</c:v>
                  </c:pt>
                  <c:pt idx="1">
                    <c:v>22%</c:v>
                  </c:pt>
                  <c:pt idx="2">
                    <c:v>14%</c:v>
                  </c:pt>
                  <c:pt idx="3">
                    <c:v>29%</c:v>
                  </c:pt>
                  <c:pt idx="4">
                    <c:v>25%</c:v>
                  </c:pt>
                </c15:dlblRangeCache>
              </c15:datalabelsRange>
            </c:ext>
            <c:ext xmlns:c16="http://schemas.microsoft.com/office/drawing/2014/chart" uri="{C3380CC4-5D6E-409C-BE32-E72D297353CC}">
              <c16:uniqueId val="{00000001-4884-4BD7-B74E-6A2A75FA1C1B}"/>
            </c:ext>
          </c:extLst>
        </c:ser>
        <c:ser>
          <c:idx val="2"/>
          <c:order val="2"/>
          <c:tx>
            <c:v>H2 production</c:v>
          </c:tx>
          <c:spPr>
            <a:solidFill>
              <a:schemeClr val="tx1">
                <a:lumMod val="65000"/>
                <a:lumOff val="35000"/>
              </a:schemeClr>
            </a:solidFill>
            <a:ln>
              <a:noFill/>
            </a:ln>
            <a:effectLst/>
          </c:spPr>
          <c:invertIfNegative val="0"/>
          <c:dLbls>
            <c:dLbl>
              <c:idx val="0"/>
              <c:tx>
                <c:rich>
                  <a:bodyPr/>
                  <a:lstStyle/>
                  <a:p>
                    <a:fld id="{15B06A7E-7CC8-4D67-8ABA-A5A34C83B9AF}"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4884-4BD7-B74E-6A2A75FA1C1B}"/>
                </c:ext>
              </c:extLst>
            </c:dLbl>
            <c:dLbl>
              <c:idx val="1"/>
              <c:tx>
                <c:rich>
                  <a:bodyPr/>
                  <a:lstStyle/>
                  <a:p>
                    <a:fld id="{AAC9D488-5A6C-4BA6-A37C-B5018095D5B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884-4BD7-B74E-6A2A75FA1C1B}"/>
                </c:ext>
              </c:extLst>
            </c:dLbl>
            <c:dLbl>
              <c:idx val="2"/>
              <c:tx>
                <c:rich>
                  <a:bodyPr/>
                  <a:lstStyle/>
                  <a:p>
                    <a:fld id="{CE96E2A3-479B-4CEB-8152-BAA7D3E03603}"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884-4BD7-B74E-6A2A75FA1C1B}"/>
                </c:ext>
              </c:extLst>
            </c:dLbl>
            <c:dLbl>
              <c:idx val="3"/>
              <c:tx>
                <c:rich>
                  <a:bodyPr/>
                  <a:lstStyle/>
                  <a:p>
                    <a:fld id="{6E24BA0C-669E-40F0-8DE3-EAED0EC574F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884-4BD7-B74E-6A2A75FA1C1B}"/>
                </c:ext>
              </c:extLst>
            </c:dLbl>
            <c:dLbl>
              <c:idx val="4"/>
              <c:tx>
                <c:rich>
                  <a:bodyPr/>
                  <a:lstStyle/>
                  <a:p>
                    <a:fld id="{018E2495-0037-49C3-9D3A-DBEBCFCB0739}"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(Calculations!$E$226,Calculations!$G$226,Calculations!$I$226,Calculations!$L$226,Calculations!$N$226)</c:f>
              <c:numCache>
                <c:formatCode>0.00</c:formatCode>
                <c:ptCount val="5"/>
                <c:pt idx="0">
                  <c:v>109.19510005752771</c:v>
                </c:pt>
                <c:pt idx="1">
                  <c:v>16.625524421654582</c:v>
                </c:pt>
                <c:pt idx="2">
                  <c:v>16.625524421654582</c:v>
                </c:pt>
                <c:pt idx="3">
                  <c:v>16.625524421654582</c:v>
                </c:pt>
                <c:pt idx="4">
                  <c:v>16.625524421654582</c:v>
                </c:pt>
              </c:numCache>
            </c:numRef>
          </c:val>
          <c:extLst>
            <c:ext xmlns:c15="http://schemas.microsoft.com/office/drawing/2012/chart" uri="{02D57815-91ED-43cb-92C2-25804820EDAC}">
              <c15:datalabelsRange>
                <c15:f>(Calculations!$F$226,Calculations!$H$226,Calculations!$J$226,Calculations!$M$226,Calculations!$O$226)</c15:f>
                <c15:dlblRangeCache>
                  <c:ptCount val="5"/>
                  <c:pt idx="0">
                    <c:v>21%</c:v>
                  </c:pt>
                  <c:pt idx="1">
                    <c:v>6%</c:v>
                  </c:pt>
                  <c:pt idx="2">
                    <c:v>8%</c:v>
                  </c:pt>
                  <c:pt idx="3">
                    <c:v>7%</c:v>
                  </c:pt>
                  <c:pt idx="4">
                    <c:v>9%</c:v>
                  </c:pt>
                </c15:dlblRangeCache>
              </c15:datalabelsRange>
            </c:ext>
            <c:ext xmlns:c16="http://schemas.microsoft.com/office/drawing/2014/chart" uri="{C3380CC4-5D6E-409C-BE32-E72D297353CC}">
              <c16:uniqueId val="{00000002-4884-4BD7-B74E-6A2A75FA1C1B}"/>
            </c:ext>
          </c:extLst>
        </c:ser>
        <c:ser>
          <c:idx val="3"/>
          <c:order val="3"/>
          <c:tx>
            <c:v>H2 compr. &amp; transp.</c:v>
          </c:tx>
          <c:spPr>
            <a:solidFill>
              <a:schemeClr val="bg2">
                <a:lumMod val="75000"/>
              </a:schemeClr>
            </a:solidFill>
            <a:ln>
              <a:noFill/>
            </a:ln>
            <a:effectLst/>
          </c:spPr>
          <c:invertIfNegative val="0"/>
          <c:dLbls>
            <c:dLbl>
              <c:idx val="0"/>
              <c:tx>
                <c:rich>
                  <a:bodyPr/>
                  <a:lstStyle/>
                  <a:p>
                    <a:fld id="{9176B0B3-40A5-46A6-AF4D-106239B3107A}"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6-4884-4BD7-B74E-6A2A75FA1C1B}"/>
                </c:ext>
              </c:extLst>
            </c:dLbl>
            <c:dLbl>
              <c:idx val="1"/>
              <c:tx>
                <c:rich>
                  <a:bodyPr/>
                  <a:lstStyle/>
                  <a:p>
                    <a:fld id="{E8F8ADF4-E683-4644-8B06-6EA7474A9EB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884-4BD7-B74E-6A2A75FA1C1B}"/>
                </c:ext>
              </c:extLst>
            </c:dLbl>
            <c:dLbl>
              <c:idx val="2"/>
              <c:tx>
                <c:rich>
                  <a:bodyPr/>
                  <a:lstStyle/>
                  <a:p>
                    <a:fld id="{44AB8C4C-3BAD-4037-B41B-8120919BE96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884-4BD7-B74E-6A2A75FA1C1B}"/>
                </c:ext>
              </c:extLst>
            </c:dLbl>
            <c:dLbl>
              <c:idx val="3"/>
              <c:tx>
                <c:rich>
                  <a:bodyPr/>
                  <a:lstStyle/>
                  <a:p>
                    <a:fld id="{41B418E8-FB4B-4E0F-934F-7E58494C602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884-4BD7-B74E-6A2A75FA1C1B}"/>
                </c:ext>
              </c:extLst>
            </c:dLbl>
            <c:dLbl>
              <c:idx val="4"/>
              <c:tx>
                <c:rich>
                  <a:bodyPr/>
                  <a:lstStyle/>
                  <a:p>
                    <a:fld id="{07A20C21-D984-4FB8-B758-2F1205D1340D}"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(Calculations!$E$227,Calculations!$G$227,Calculations!$I$227,Calculations!$L$227,Calculations!$N$227)</c:f>
              <c:numCache>
                <c:formatCode>0.00</c:formatCode>
                <c:ptCount val="5"/>
                <c:pt idx="0">
                  <c:v>32.103381505713799</c:v>
                </c:pt>
                <c:pt idx="1">
                  <c:v>13.779434220286296</c:v>
                </c:pt>
                <c:pt idx="2">
                  <c:v>13.04638833227623</c:v>
                </c:pt>
                <c:pt idx="3">
                  <c:v>13.779434220286296</c:v>
                </c:pt>
                <c:pt idx="4">
                  <c:v>13.04638833227623</c:v>
                </c:pt>
              </c:numCache>
            </c:numRef>
          </c:val>
          <c:extLst>
            <c:ext xmlns:c15="http://schemas.microsoft.com/office/drawing/2012/chart" uri="{02D57815-91ED-43cb-92C2-25804820EDAC}">
              <c15:datalabelsRange>
                <c15:f>(Calculations!$F$227,Calculations!$H$227,Calculations!$J$227,Calculations!$M$227,Calculations!$O$227)</c15:f>
                <c15:dlblRangeCache>
                  <c:ptCount val="5"/>
                  <c:pt idx="0">
                    <c:v>6%</c:v>
                  </c:pt>
                  <c:pt idx="1">
                    <c:v>5%</c:v>
                  </c:pt>
                  <c:pt idx="2">
                    <c:v>6%</c:v>
                  </c:pt>
                  <c:pt idx="3">
                    <c:v>6%</c:v>
                  </c:pt>
                  <c:pt idx="4">
                    <c:v>7%</c:v>
                  </c:pt>
                </c15:dlblRangeCache>
              </c15:datalabelsRange>
            </c:ext>
            <c:ext xmlns:c16="http://schemas.microsoft.com/office/drawing/2014/chart" uri="{C3380CC4-5D6E-409C-BE32-E72D297353CC}">
              <c16:uniqueId val="{00000003-4884-4BD7-B74E-6A2A75FA1C1B}"/>
            </c:ext>
          </c:extLst>
        </c:ser>
        <c:ser>
          <c:idx val="4"/>
          <c:order val="4"/>
          <c:tx>
            <c:v>Oper. &amp; maint.</c:v>
          </c:tx>
          <c:spPr>
            <a:solidFill>
              <a:schemeClr val="accent4"/>
            </a:solidFill>
            <a:ln>
              <a:noFill/>
            </a:ln>
            <a:effectLst/>
          </c:spPr>
          <c:invertIfNegative val="0"/>
          <c:dLbls>
            <c:dLbl>
              <c:idx val="0"/>
              <c:tx>
                <c:rich>
                  <a:bodyPr/>
                  <a:lstStyle/>
                  <a:p>
                    <a:fld id="{75097411-9EA5-460F-9AB8-DCF2A13B77BC}"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4884-4BD7-B74E-6A2A75FA1C1B}"/>
                </c:ext>
              </c:extLst>
            </c:dLbl>
            <c:dLbl>
              <c:idx val="1"/>
              <c:tx>
                <c:rich>
                  <a:bodyPr/>
                  <a:lstStyle/>
                  <a:p>
                    <a:fld id="{07E90DFC-3934-40FD-AB57-C2A855F740A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884-4BD7-B74E-6A2A75FA1C1B}"/>
                </c:ext>
              </c:extLst>
            </c:dLbl>
            <c:dLbl>
              <c:idx val="2"/>
              <c:tx>
                <c:rich>
                  <a:bodyPr/>
                  <a:lstStyle/>
                  <a:p>
                    <a:fld id="{BD835BAA-3ED5-427A-8171-4D077CCF07E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884-4BD7-B74E-6A2A75FA1C1B}"/>
                </c:ext>
              </c:extLst>
            </c:dLbl>
            <c:dLbl>
              <c:idx val="3"/>
              <c:tx>
                <c:rich>
                  <a:bodyPr/>
                  <a:lstStyle/>
                  <a:p>
                    <a:fld id="{A21593AA-71B0-4283-A02D-CC63B7C0D0BE}"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884-4BD7-B74E-6A2A75FA1C1B}"/>
                </c:ext>
              </c:extLst>
            </c:dLbl>
            <c:dLbl>
              <c:idx val="4"/>
              <c:tx>
                <c:rich>
                  <a:bodyPr/>
                  <a:lstStyle/>
                  <a:p>
                    <a:fld id="{2FB539E9-FD4F-40B4-9B9A-B229CF30F9D5}"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(Calculations!$E$228,Calculations!$G$228,Calculations!$I$228,Calculations!$L$228,Calculations!$N$228)</c:f>
              <c:numCache>
                <c:formatCode>0.00</c:formatCode>
                <c:ptCount val="5"/>
                <c:pt idx="0">
                  <c:v>139.58236785896</c:v>
                </c:pt>
                <c:pt idx="1">
                  <c:v>69.490214859856337</c:v>
                </c:pt>
                <c:pt idx="2">
                  <c:v>58.061971367301446</c:v>
                </c:pt>
                <c:pt idx="3">
                  <c:v>69.490214859856337</c:v>
                </c:pt>
                <c:pt idx="4">
                  <c:v>58.061971367301446</c:v>
                </c:pt>
              </c:numCache>
            </c:numRef>
          </c:val>
          <c:extLst>
            <c:ext xmlns:c15="http://schemas.microsoft.com/office/drawing/2012/chart" uri="{02D57815-91ED-43cb-92C2-25804820EDAC}">
              <c15:datalabelsRange>
                <c15:f>(Calculations!$F$228,Calculations!$H$228,Calculations!$J$228,Calculations!$M$228,Calculations!$O$228)</c15:f>
                <c15:dlblRangeCache>
                  <c:ptCount val="5"/>
                  <c:pt idx="0">
                    <c:v>27%</c:v>
                  </c:pt>
                  <c:pt idx="1">
                    <c:v>26%</c:v>
                  </c:pt>
                  <c:pt idx="2">
                    <c:v>26%</c:v>
                  </c:pt>
                  <c:pt idx="3">
                    <c:v>31%</c:v>
                  </c:pt>
                  <c:pt idx="4">
                    <c:v>30%</c:v>
                  </c:pt>
                </c15:dlblRangeCache>
              </c15:datalabelsRange>
            </c:ext>
            <c:ext xmlns:c16="http://schemas.microsoft.com/office/drawing/2014/chart" uri="{C3380CC4-5D6E-409C-BE32-E72D297353CC}">
              <c16:uniqueId val="{00000004-4884-4BD7-B74E-6A2A75FA1C1B}"/>
            </c:ext>
          </c:extLst>
        </c:ser>
        <c:ser>
          <c:idx val="5"/>
          <c:order val="5"/>
          <c:tx>
            <c:v>Proect dev., etc.</c:v>
          </c:tx>
          <c:spPr>
            <a:solidFill>
              <a:schemeClr val="accent6"/>
            </a:solidFill>
            <a:ln>
              <a:noFill/>
            </a:ln>
            <a:effectLst/>
          </c:spPr>
          <c:invertIfNegative val="0"/>
          <c:dLbls>
            <c:dLbl>
              <c:idx val="0"/>
              <c:tx>
                <c:rich>
                  <a:bodyPr/>
                  <a:lstStyle/>
                  <a:p>
                    <a:fld id="{01F8A954-8012-4D90-A821-8BA595E43458}"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4884-4BD7-B74E-6A2A75FA1C1B}"/>
                </c:ext>
              </c:extLst>
            </c:dLbl>
            <c:dLbl>
              <c:idx val="1"/>
              <c:tx>
                <c:rich>
                  <a:bodyPr/>
                  <a:lstStyle/>
                  <a:p>
                    <a:fld id="{4FDB9721-8256-4C04-8E9D-BFA3E13F85B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884-4BD7-B74E-6A2A75FA1C1B}"/>
                </c:ext>
              </c:extLst>
            </c:dLbl>
            <c:dLbl>
              <c:idx val="2"/>
              <c:tx>
                <c:rich>
                  <a:bodyPr/>
                  <a:lstStyle/>
                  <a:p>
                    <a:fld id="{613BF411-B3FF-4013-903F-0EB0346C84A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884-4BD7-B74E-6A2A75FA1C1B}"/>
                </c:ext>
              </c:extLst>
            </c:dLbl>
            <c:dLbl>
              <c:idx val="3"/>
              <c:tx>
                <c:rich>
                  <a:bodyPr/>
                  <a:lstStyle/>
                  <a:p>
                    <a:fld id="{BBE3320E-0A40-4018-BDC3-7E0E5414D7A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884-4BD7-B74E-6A2A75FA1C1B}"/>
                </c:ext>
              </c:extLst>
            </c:dLbl>
            <c:dLbl>
              <c:idx val="4"/>
              <c:tx>
                <c:rich>
                  <a:bodyPr/>
                  <a:lstStyle/>
                  <a:p>
                    <a:fld id="{0EC83036-2332-46BE-97E2-88C9D23778A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884-4BD7-B74E-6A2A75FA1C1B}"/>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(Calculations!$E$229,Calculations!$G$229,Calculations!$I$229,Calculations!$L$229,Calculations!$N$229)</c:f>
              <c:numCache>
                <c:formatCode>0.0</c:formatCode>
                <c:ptCount val="5"/>
                <c:pt idx="0">
                  <c:v>36.413266920861034</c:v>
                </c:pt>
                <c:pt idx="1">
                  <c:v>18.230796502546045</c:v>
                </c:pt>
                <c:pt idx="2">
                  <c:v>15.317439378779893</c:v>
                </c:pt>
                <c:pt idx="3" formatCode="0.00">
                  <c:v>14.55616916642925</c:v>
                </c:pt>
                <c:pt idx="4" formatCode="0.00">
                  <c:v>12.785967606423283</c:v>
                </c:pt>
              </c:numCache>
            </c:numRef>
          </c:val>
          <c:extLst>
            <c:ext xmlns:c15="http://schemas.microsoft.com/office/drawing/2012/chart" uri="{02D57815-91ED-43cb-92C2-25804820EDAC}">
              <c15:datalabelsRange>
                <c15:f>(Calculations!$F$229,Calculations!$H$229,Calculations!$J$229,Calculations!$M$229,Calculations!$O$229)</c15:f>
                <c15:dlblRangeCache>
                  <c:ptCount val="5"/>
                  <c:pt idx="0">
                    <c:v>7%</c:v>
                  </c:pt>
                  <c:pt idx="1">
                    <c:v>7%</c:v>
                  </c:pt>
                  <c:pt idx="2">
                    <c:v>7%</c:v>
                  </c:pt>
                  <c:pt idx="3">
                    <c:v>6%</c:v>
                  </c:pt>
                  <c:pt idx="4">
                    <c:v>7%</c:v>
                  </c:pt>
                </c15:dlblRangeCache>
              </c15:datalabelsRange>
            </c:ext>
            <c:ext xmlns:c16="http://schemas.microsoft.com/office/drawing/2014/chart" uri="{C3380CC4-5D6E-409C-BE32-E72D297353CC}">
              <c16:uniqueId val="{00000005-4884-4BD7-B74E-6A2A75FA1C1B}"/>
            </c:ext>
          </c:extLst>
        </c:ser>
        <c:dLbls>
          <c:showLegendKey val="0"/>
          <c:showVal val="0"/>
          <c:showCatName val="0"/>
          <c:showSerName val="0"/>
          <c:showPercent val="0"/>
          <c:showBubbleSize val="0"/>
        </c:dLbls>
        <c:gapWidth val="150"/>
        <c:overlap val="100"/>
        <c:axId val="581415032"/>
        <c:axId val="581408144"/>
      </c:barChart>
      <c:catAx>
        <c:axId val="581415032"/>
        <c:scaling>
          <c:orientation val="minMax"/>
        </c:scaling>
        <c:delete val="0"/>
        <c:axPos val="b"/>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08144"/>
        <c:crosses val="autoZero"/>
        <c:auto val="1"/>
        <c:lblAlgn val="ctr"/>
        <c:lblOffset val="100"/>
        <c:noMultiLvlLbl val="0"/>
      </c:catAx>
      <c:valAx>
        <c:axId val="581408144"/>
        <c:scaling>
          <c:orientation val="minMax"/>
          <c:max val="63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k€/MW/year</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1415032"/>
        <c:crosses val="autoZero"/>
        <c:crossBetween val="between"/>
        <c:majorUnit val="25"/>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Calculations!$F$274:$P$274</c:f>
              <c:numCache>
                <c:formatCode>#,##0.0_ ;\-#,##0.0\ </c:formatCode>
                <c:ptCount val="11"/>
                <c:pt idx="0">
                  <c:v>24.117442926787731</c:v>
                </c:pt>
                <c:pt idx="1">
                  <c:v>25.461362879629828</c:v>
                </c:pt>
                <c:pt idx="2">
                  <c:v>26.867383185852958</c:v>
                </c:pt>
                <c:pt idx="3">
                  <c:v>28.334110649401801</c:v>
                </c:pt>
                <c:pt idx="4">
                  <c:v>29.859977944498958</c:v>
                </c:pt>
                <c:pt idx="5">
                  <c:v>31.443279476446275</c:v>
                </c:pt>
                <c:pt idx="6">
                  <c:v>33.082206333665759</c:v>
                </c:pt>
                <c:pt idx="7">
                  <c:v>34.774879450047109</c:v>
                </c:pt>
                <c:pt idx="8">
                  <c:v>36.519380285283177</c:v>
                </c:pt>
                <c:pt idx="9">
                  <c:v>38.313778522613894</c:v>
                </c:pt>
                <c:pt idx="10">
                  <c:v>40.156156466601693</c:v>
                </c:pt>
              </c:numCache>
            </c:numRef>
          </c:val>
          <c:smooth val="0"/>
          <c:extLst>
            <c:ext xmlns:c16="http://schemas.microsoft.com/office/drawing/2014/chart" uri="{C3380CC4-5D6E-409C-BE32-E72D297353CC}">
              <c16:uniqueId val="{00000000-4AC6-4C63-B68A-13E18BB3D5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Calculations!$F$275:$P$275</c:f>
              <c:numCache>
                <c:formatCode>#,##0.00_ ;\-#,##0.00\ </c:formatCode>
                <c:ptCount val="11"/>
                <c:pt idx="0">
                  <c:v>0.95131410325407384</c:v>
                </c:pt>
                <c:pt idx="1">
                  <c:v>1.0055126748103835</c:v>
                </c:pt>
                <c:pt idx="2">
                  <c:v>1.0621686459112707</c:v>
                </c:pt>
                <c:pt idx="3">
                  <c:v>1.1212301844509904</c:v>
                </c:pt>
                <c:pt idx="4">
                  <c:v>1.1826387876354962</c:v>
                </c:pt>
                <c:pt idx="5">
                  <c:v>1.2463306062607198</c:v>
                </c:pt>
                <c:pt idx="6">
                  <c:v>1.3122377384338217</c:v>
                </c:pt>
                <c:pt idx="7">
                  <c:v>1.380289460541795</c:v>
                </c:pt>
                <c:pt idx="8">
                  <c:v>1.450413370002489</c:v>
                </c:pt>
                <c:pt idx="9">
                  <c:v>1.5225364211964996</c:v>
                </c:pt>
                <c:pt idx="10">
                  <c:v>1.5965858425585608</c:v>
                </c:pt>
              </c:numCache>
            </c:numRef>
          </c:val>
          <c:smooth val="0"/>
          <c:extLst>
            <c:ext xmlns:c16="http://schemas.microsoft.com/office/drawing/2014/chart" uri="{C3380CC4-5D6E-409C-BE32-E72D297353CC}">
              <c16:uniqueId val="{00000001-4AC6-4C63-B68A-13E18BB3D5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Calculations!$F$285:$P$285</c:f>
              <c:numCache>
                <c:formatCode>0.0</c:formatCode>
                <c:ptCount val="11"/>
                <c:pt idx="0">
                  <c:v>6.9511665444537156</c:v>
                </c:pt>
                <c:pt idx="1">
                  <c:v>8.3413998533444591</c:v>
                </c:pt>
                <c:pt idx="2">
                  <c:v>9.7316331622352017</c:v>
                </c:pt>
                <c:pt idx="3">
                  <c:v>11.121866471125944</c:v>
                </c:pt>
                <c:pt idx="4">
                  <c:v>12.512099780016687</c:v>
                </c:pt>
                <c:pt idx="5">
                  <c:v>13.902333088907429</c:v>
                </c:pt>
                <c:pt idx="6">
                  <c:v>15.292566397798176</c:v>
                </c:pt>
                <c:pt idx="7">
                  <c:v>16.682799706688918</c:v>
                </c:pt>
                <c:pt idx="8">
                  <c:v>18.073033015579661</c:v>
                </c:pt>
                <c:pt idx="9">
                  <c:v>19.463266324470403</c:v>
                </c:pt>
                <c:pt idx="10">
                  <c:v>20.853499633361146</c:v>
                </c:pt>
              </c:numCache>
            </c:numRef>
          </c:cat>
          <c:val>
            <c:numRef>
              <c:f>Calculations!$F$286:$P$286</c:f>
              <c:numCache>
                <c:formatCode>#,##0.0_ ;\-#,##0.0\ </c:formatCode>
                <c:ptCount val="11"/>
                <c:pt idx="0">
                  <c:v>26.728436425370447</c:v>
                </c:pt>
                <c:pt idx="1">
                  <c:v>27.671405035585618</c:v>
                </c:pt>
                <c:pt idx="2">
                  <c:v>28.614373645800782</c:v>
                </c:pt>
                <c:pt idx="3">
                  <c:v>29.557342256015943</c:v>
                </c:pt>
                <c:pt idx="4">
                  <c:v>30.500310866231114</c:v>
                </c:pt>
                <c:pt idx="5">
                  <c:v>31.443279476446275</c:v>
                </c:pt>
                <c:pt idx="6">
                  <c:v>32.386248086661446</c:v>
                </c:pt>
                <c:pt idx="7">
                  <c:v>33.329216696876607</c:v>
                </c:pt>
                <c:pt idx="8">
                  <c:v>34.272185307091775</c:v>
                </c:pt>
                <c:pt idx="9">
                  <c:v>35.215153917306942</c:v>
                </c:pt>
                <c:pt idx="10">
                  <c:v>36.158122527522103</c:v>
                </c:pt>
              </c:numCache>
            </c:numRef>
          </c:val>
          <c:smooth val="0"/>
          <c:extLst>
            <c:ext xmlns:c16="http://schemas.microsoft.com/office/drawing/2014/chart" uri="{C3380CC4-5D6E-409C-BE32-E72D297353CC}">
              <c16:uniqueId val="{00000000-132B-4A85-BA49-4277C7519DD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Calculations!$F$287:$P$287</c:f>
              <c:numCache>
                <c:formatCode>#,##0.00_ ;\-#,##0.00\ </c:formatCode>
                <c:ptCount val="11"/>
                <c:pt idx="0">
                  <c:v>1.0311699437659647</c:v>
                </c:pt>
                <c:pt idx="1">
                  <c:v>1.0742020762649158</c:v>
                </c:pt>
                <c:pt idx="2">
                  <c:v>1.1172342087638667</c:v>
                </c:pt>
                <c:pt idx="3">
                  <c:v>1.160266341262818</c:v>
                </c:pt>
                <c:pt idx="4">
                  <c:v>1.2032984737617689</c:v>
                </c:pt>
                <c:pt idx="5">
                  <c:v>1.2463306062607198</c:v>
                </c:pt>
                <c:pt idx="6">
                  <c:v>1.2893627387596709</c:v>
                </c:pt>
                <c:pt idx="7">
                  <c:v>1.332394871258622</c:v>
                </c:pt>
                <c:pt idx="8">
                  <c:v>1.3754270037575729</c:v>
                </c:pt>
                <c:pt idx="9">
                  <c:v>1.418459136256524</c:v>
                </c:pt>
                <c:pt idx="10">
                  <c:v>1.4614912687554749</c:v>
                </c:pt>
              </c:numCache>
            </c:numRef>
          </c:val>
          <c:smooth val="0"/>
          <c:extLst>
            <c:ext xmlns:c16="http://schemas.microsoft.com/office/drawing/2014/chart" uri="{C3380CC4-5D6E-409C-BE32-E72D297353CC}">
              <c16:uniqueId val="{00000001-132B-4A85-BA49-4277C7519DD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Capacity factor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Calculations!$F$282:$P$282</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Calculations!$F$283:$P$283</c:f>
              <c:numCache>
                <c:formatCode>#,##0.0_ ;\-#,##0.0\ </c:formatCode>
                <c:ptCount val="11"/>
                <c:pt idx="0">
                  <c:v>40.876263319380165</c:v>
                </c:pt>
                <c:pt idx="1">
                  <c:v>38.562512565452977</c:v>
                </c:pt>
                <c:pt idx="2">
                  <c:v>36.496663678018002</c:v>
                </c:pt>
                <c:pt idx="3">
                  <c:v>34.640901118118776</c:v>
                </c:pt>
                <c:pt idx="4">
                  <c:v>32.964728483371097</c:v>
                </c:pt>
                <c:pt idx="5">
                  <c:v>31.443279476446275</c:v>
                </c:pt>
                <c:pt idx="6">
                  <c:v>30.056075970132472</c:v>
                </c:pt>
                <c:pt idx="7">
                  <c:v>28.786100929140957</c:v>
                </c:pt>
                <c:pt idx="8">
                  <c:v>27.619096837419029</c:v>
                </c:pt>
                <c:pt idx="9">
                  <c:v>26.543028129467636</c:v>
                </c:pt>
                <c:pt idx="10">
                  <c:v>25.5476645746126</c:v>
                </c:pt>
              </c:numCache>
            </c:numRef>
          </c:val>
          <c:smooth val="0"/>
          <c:extLst>
            <c:ext xmlns:c16="http://schemas.microsoft.com/office/drawing/2014/chart" uri="{C3380CC4-5D6E-409C-BE32-E72D297353CC}">
              <c16:uniqueId val="{00000000-9E42-4C07-9D7D-B2D0C340D94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Calculations!$F$284:$P$284</c:f>
              <c:numCache>
                <c:formatCode>#,##0.00_ ;\-#,##0.00\ </c:formatCode>
                <c:ptCount val="11"/>
                <c:pt idx="0">
                  <c:v>1.620229788138936</c:v>
                </c:pt>
                <c:pt idx="1">
                  <c:v>1.5285186680556</c:v>
                </c:pt>
                <c:pt idx="2">
                  <c:v>1.4466337394097644</c:v>
                </c:pt>
                <c:pt idx="3">
                  <c:v>1.3730760916431657</c:v>
                </c:pt>
                <c:pt idx="4">
                  <c:v>1.3066369259184967</c:v>
                </c:pt>
                <c:pt idx="5">
                  <c:v>1.2463306062607198</c:v>
                </c:pt>
                <c:pt idx="6">
                  <c:v>1.1913454324550998</c:v>
                </c:pt>
                <c:pt idx="7">
                  <c:v>1.1410068930555888</c:v>
                </c:pt>
                <c:pt idx="8">
                  <c:v>1.0947498568506324</c:v>
                </c:pt>
                <c:pt idx="9">
                  <c:v>1.0520972650252831</c:v>
                </c:pt>
                <c:pt idx="10">
                  <c:v>1.0126436175868352</c:v>
                </c:pt>
              </c:numCache>
            </c:numRef>
          </c:val>
          <c:smooth val="0"/>
          <c:extLst>
            <c:ext xmlns:c16="http://schemas.microsoft.com/office/drawing/2014/chart" uri="{C3380CC4-5D6E-409C-BE32-E72D297353CC}">
              <c16:uniqueId val="{00000001-9E42-4C07-9D7D-B2D0C340D94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Monopile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Calculations!$F$279:$P$279</c:f>
              <c:numCache>
                <c:formatCode>0.00</c:formatCode>
                <c:ptCount val="11"/>
                <c:pt idx="0">
                  <c:v>2.9796820124522267</c:v>
                </c:pt>
                <c:pt idx="1">
                  <c:v>3.5756184149426722</c:v>
                </c:pt>
                <c:pt idx="2">
                  <c:v>4.1715548174331172</c:v>
                </c:pt>
                <c:pt idx="3">
                  <c:v>4.7674912199235635</c:v>
                </c:pt>
                <c:pt idx="4">
                  <c:v>5.3634276224140081</c:v>
                </c:pt>
                <c:pt idx="5">
                  <c:v>5.9593640249044544</c:v>
                </c:pt>
                <c:pt idx="6">
                  <c:v>6.5553004273948989</c:v>
                </c:pt>
                <c:pt idx="7">
                  <c:v>7.1512368298853453</c:v>
                </c:pt>
                <c:pt idx="8">
                  <c:v>7.7471732323757898</c:v>
                </c:pt>
                <c:pt idx="9">
                  <c:v>8.3431096348662361</c:v>
                </c:pt>
                <c:pt idx="10">
                  <c:v>8.9390460373566807</c:v>
                </c:pt>
              </c:numCache>
            </c:numRef>
          </c:cat>
          <c:val>
            <c:numRef>
              <c:f>Calculations!$F$280:$P$280</c:f>
              <c:numCache>
                <c:formatCode>#,##0.0_ ;\-#,##0.0\ </c:formatCode>
                <c:ptCount val="11"/>
                <c:pt idx="0">
                  <c:v>28.687130430345974</c:v>
                </c:pt>
                <c:pt idx="1">
                  <c:v>29.238360239566035</c:v>
                </c:pt>
                <c:pt idx="2">
                  <c:v>29.789590048786096</c:v>
                </c:pt>
                <c:pt idx="3">
                  <c:v>30.340819858006164</c:v>
                </c:pt>
                <c:pt idx="4">
                  <c:v>30.892049667226225</c:v>
                </c:pt>
                <c:pt idx="5">
                  <c:v>31.443279476446275</c:v>
                </c:pt>
                <c:pt idx="6">
                  <c:v>31.994509285666346</c:v>
                </c:pt>
                <c:pt idx="7">
                  <c:v>32.5457390948864</c:v>
                </c:pt>
                <c:pt idx="8">
                  <c:v>33.096968904106461</c:v>
                </c:pt>
                <c:pt idx="9">
                  <c:v>33.648198713326529</c:v>
                </c:pt>
                <c:pt idx="10">
                  <c:v>34.199428522546583</c:v>
                </c:pt>
              </c:numCache>
            </c:numRef>
          </c:val>
          <c:smooth val="0"/>
          <c:extLst>
            <c:ext xmlns:c16="http://schemas.microsoft.com/office/drawing/2014/chart" uri="{C3380CC4-5D6E-409C-BE32-E72D297353CC}">
              <c16:uniqueId val="{00000000-C6A2-4471-A6D4-519768ACAFE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Calculations!$F$281:$P$281</c:f>
              <c:numCache>
                <c:formatCode>#,##0.00_ ;\-#,##0.00\ </c:formatCode>
                <c:ptCount val="11"/>
                <c:pt idx="0">
                  <c:v>1.1205544461066899</c:v>
                </c:pt>
                <c:pt idx="1">
                  <c:v>1.1457096781374958</c:v>
                </c:pt>
                <c:pt idx="2">
                  <c:v>1.170864910168302</c:v>
                </c:pt>
                <c:pt idx="3">
                  <c:v>1.1960201421991081</c:v>
                </c:pt>
                <c:pt idx="4">
                  <c:v>1.2211753742299138</c:v>
                </c:pt>
                <c:pt idx="5">
                  <c:v>1.2463306062607198</c:v>
                </c:pt>
                <c:pt idx="6">
                  <c:v>1.2714858382915262</c:v>
                </c:pt>
                <c:pt idx="7">
                  <c:v>1.2966410703223321</c:v>
                </c:pt>
                <c:pt idx="8">
                  <c:v>1.3217963023531381</c:v>
                </c:pt>
                <c:pt idx="9">
                  <c:v>1.3469515343839442</c:v>
                </c:pt>
                <c:pt idx="10">
                  <c:v>1.3721067664147502</c:v>
                </c:pt>
              </c:numCache>
            </c:numRef>
          </c:val>
          <c:smooth val="0"/>
          <c:extLst>
            <c:ext xmlns:c16="http://schemas.microsoft.com/office/drawing/2014/chart" uri="{C3380CC4-5D6E-409C-BE32-E72D297353CC}">
              <c16:uniqueId val="{00000001-C6A2-4471-A6D4-519768ACAFE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Operation &amp; Maintenance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Calculations!$F$276:$P$276</c:f>
              <c:numCache>
                <c:formatCode>0.00%</c:formatCode>
                <c:ptCount val="11"/>
                <c:pt idx="0">
                  <c:v>2.1965894423004798E-2</c:v>
                </c:pt>
                <c:pt idx="1">
                  <c:v>2.6359073307605757E-2</c:v>
                </c:pt>
                <c:pt idx="2">
                  <c:v>3.0752252192206717E-2</c:v>
                </c:pt>
                <c:pt idx="3">
                  <c:v>3.5145431076807676E-2</c:v>
                </c:pt>
                <c:pt idx="4">
                  <c:v>3.9538609961408636E-2</c:v>
                </c:pt>
                <c:pt idx="5">
                  <c:v>4.3931788846009595E-2</c:v>
                </c:pt>
                <c:pt idx="6">
                  <c:v>4.8324967730610555E-2</c:v>
                </c:pt>
                <c:pt idx="7">
                  <c:v>5.2718146615211514E-2</c:v>
                </c:pt>
                <c:pt idx="8">
                  <c:v>5.7111325499812474E-2</c:v>
                </c:pt>
                <c:pt idx="9">
                  <c:v>6.1504504384413433E-2</c:v>
                </c:pt>
                <c:pt idx="10">
                  <c:v>6.5897683269014393E-2</c:v>
                </c:pt>
              </c:numCache>
            </c:numRef>
          </c:cat>
          <c:val>
            <c:numRef>
              <c:f>Calculations!$F$277:$P$277</c:f>
              <c:numCache>
                <c:formatCode>#,##0.0_ ;\-#,##0.0\ </c:formatCode>
                <c:ptCount val="11"/>
                <c:pt idx="0">
                  <c:v>27.262956917994504</c:v>
                </c:pt>
                <c:pt idx="1">
                  <c:v>28.099021429684861</c:v>
                </c:pt>
                <c:pt idx="2">
                  <c:v>28.935085941375213</c:v>
                </c:pt>
                <c:pt idx="3">
                  <c:v>29.77115045306557</c:v>
                </c:pt>
                <c:pt idx="4">
                  <c:v>30.607214964755922</c:v>
                </c:pt>
                <c:pt idx="5">
                  <c:v>31.443279476446275</c:v>
                </c:pt>
                <c:pt idx="6">
                  <c:v>32.279343988136631</c:v>
                </c:pt>
                <c:pt idx="7">
                  <c:v>33.115408499826984</c:v>
                </c:pt>
                <c:pt idx="8">
                  <c:v>33.951473011517336</c:v>
                </c:pt>
                <c:pt idx="9">
                  <c:v>34.787537523207696</c:v>
                </c:pt>
                <c:pt idx="10">
                  <c:v>35.623602034898049</c:v>
                </c:pt>
              </c:numCache>
            </c:numRef>
          </c:val>
          <c:smooth val="0"/>
          <c:extLst>
            <c:ext xmlns:c16="http://schemas.microsoft.com/office/drawing/2014/chart" uri="{C3380CC4-5D6E-409C-BE32-E72D297353CC}">
              <c16:uniqueId val="{00000000-95D5-4FB6-8DCC-1F4675A00972}"/>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Calculations!$F$278:$P$278</c:f>
              <c:numCache>
                <c:formatCode>#,##0.00_ ;\-#,##0.00\ </c:formatCode>
                <c:ptCount val="11"/>
                <c:pt idx="0">
                  <c:v>1.1005793460689082</c:v>
                </c:pt>
                <c:pt idx="1">
                  <c:v>1.1301132052347092</c:v>
                </c:pt>
                <c:pt idx="2">
                  <c:v>1.1596470644005099</c:v>
                </c:pt>
                <c:pt idx="3">
                  <c:v>1.1891809235663107</c:v>
                </c:pt>
                <c:pt idx="4">
                  <c:v>1.2187147827321119</c:v>
                </c:pt>
                <c:pt idx="5">
                  <c:v>1.2482486418979128</c:v>
                </c:pt>
                <c:pt idx="6">
                  <c:v>1.2777825010637136</c:v>
                </c:pt>
                <c:pt idx="7">
                  <c:v>1.3073163602295146</c:v>
                </c:pt>
                <c:pt idx="8">
                  <c:v>1.3368502193953153</c:v>
                </c:pt>
                <c:pt idx="9">
                  <c:v>1.3663840785611165</c:v>
                </c:pt>
                <c:pt idx="10">
                  <c:v>1.3959179377269175</c:v>
                </c:pt>
              </c:numCache>
            </c:numRef>
          </c:val>
          <c:smooth val="0"/>
          <c:extLst>
            <c:ext xmlns:c16="http://schemas.microsoft.com/office/drawing/2014/chart" uri="{C3380CC4-5D6E-409C-BE32-E72D297353CC}">
              <c16:uniqueId val="{00000001-95D5-4FB6-8DCC-1F4675A00972}"/>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 of CAPEX (hardware</a:t>
                </a:r>
                <a:r>
                  <a:rPr lang="nl-NL" sz="1400" b="1" baseline="0">
                    <a:solidFill>
                      <a:sysClr val="windowText" lastClr="000000"/>
                    </a:solidFill>
                  </a:rPr>
                  <a:t> + installation + assembly)</a:t>
                </a: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Calculations!$F$274:$P$274</c:f>
              <c:numCache>
                <c:formatCode>#,##0.0_ ;\-#,##0.0\ </c:formatCode>
                <c:ptCount val="11"/>
                <c:pt idx="0">
                  <c:v>24.117442926787731</c:v>
                </c:pt>
                <c:pt idx="1">
                  <c:v>25.461362879629828</c:v>
                </c:pt>
                <c:pt idx="2">
                  <c:v>26.867383185852958</c:v>
                </c:pt>
                <c:pt idx="3">
                  <c:v>28.334110649401801</c:v>
                </c:pt>
                <c:pt idx="4">
                  <c:v>29.859977944498958</c:v>
                </c:pt>
                <c:pt idx="5">
                  <c:v>31.443279476446275</c:v>
                </c:pt>
                <c:pt idx="6">
                  <c:v>33.082206333665759</c:v>
                </c:pt>
                <c:pt idx="7">
                  <c:v>34.774879450047109</c:v>
                </c:pt>
                <c:pt idx="8">
                  <c:v>36.519380285283177</c:v>
                </c:pt>
                <c:pt idx="9">
                  <c:v>38.313778522613894</c:v>
                </c:pt>
                <c:pt idx="10">
                  <c:v>40.156156466601693</c:v>
                </c:pt>
              </c:numCache>
            </c:numRef>
          </c:val>
          <c:smooth val="0"/>
          <c:extLst>
            <c:ext xmlns:c16="http://schemas.microsoft.com/office/drawing/2014/chart" uri="{C3380CC4-5D6E-409C-BE32-E72D297353CC}">
              <c16:uniqueId val="{00000000-4AC6-4C63-B68A-13E18BB3D5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Calculations!$F$275:$P$275</c:f>
              <c:numCache>
                <c:formatCode>#,##0.00_ ;\-#,##0.00\ </c:formatCode>
                <c:ptCount val="11"/>
                <c:pt idx="0">
                  <c:v>0.95131410325407384</c:v>
                </c:pt>
                <c:pt idx="1">
                  <c:v>1.0055126748103835</c:v>
                </c:pt>
                <c:pt idx="2">
                  <c:v>1.0621686459112707</c:v>
                </c:pt>
                <c:pt idx="3">
                  <c:v>1.1212301844509904</c:v>
                </c:pt>
                <c:pt idx="4">
                  <c:v>1.1826387876354962</c:v>
                </c:pt>
                <c:pt idx="5">
                  <c:v>1.2463306062607198</c:v>
                </c:pt>
                <c:pt idx="6">
                  <c:v>1.3122377384338217</c:v>
                </c:pt>
                <c:pt idx="7">
                  <c:v>1.380289460541795</c:v>
                </c:pt>
                <c:pt idx="8">
                  <c:v>1.450413370002489</c:v>
                </c:pt>
                <c:pt idx="9">
                  <c:v>1.5225364211964996</c:v>
                </c:pt>
                <c:pt idx="10">
                  <c:v>1.5965858425585608</c:v>
                </c:pt>
              </c:numCache>
            </c:numRef>
          </c:val>
          <c:smooth val="0"/>
          <c:extLst>
            <c:ext xmlns:c16="http://schemas.microsoft.com/office/drawing/2014/chart" uri="{C3380CC4-5D6E-409C-BE32-E72D297353CC}">
              <c16:uniqueId val="{00000001-4AC6-4C63-B68A-13E18BB3D5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Calculations!$F$301:$P$301</c:f>
              <c:numCache>
                <c:formatCode>0.0</c:formatCode>
                <c:ptCount val="11"/>
                <c:pt idx="0">
                  <c:v>5.7663883344557387</c:v>
                </c:pt>
                <c:pt idx="1">
                  <c:v>6.9196660013468865</c:v>
                </c:pt>
                <c:pt idx="2">
                  <c:v>8.0729436682380342</c:v>
                </c:pt>
                <c:pt idx="3">
                  <c:v>9.226221335129182</c:v>
                </c:pt>
                <c:pt idx="4">
                  <c:v>10.379499002020328</c:v>
                </c:pt>
                <c:pt idx="5">
                  <c:v>11.532776668911477</c:v>
                </c:pt>
                <c:pt idx="6">
                  <c:v>12.686054335802623</c:v>
                </c:pt>
                <c:pt idx="7">
                  <c:v>13.839332002693771</c:v>
                </c:pt>
                <c:pt idx="8">
                  <c:v>14.992609669584919</c:v>
                </c:pt>
                <c:pt idx="9">
                  <c:v>16.145887336476065</c:v>
                </c:pt>
                <c:pt idx="10">
                  <c:v>17.299165003367214</c:v>
                </c:pt>
              </c:numCache>
            </c:numRef>
          </c:cat>
          <c:val>
            <c:numRef>
              <c:f>Calculations!$F$302:$P$302</c:f>
              <c:numCache>
                <c:formatCode>#,##0.0_ ;\-#,##0.0\ </c:formatCode>
                <c:ptCount val="11"/>
                <c:pt idx="0">
                  <c:v>28.629854963127976</c:v>
                </c:pt>
                <c:pt idx="1">
                  <c:v>29.412101102524716</c:v>
                </c:pt>
                <c:pt idx="2">
                  <c:v>30.194347241921449</c:v>
                </c:pt>
                <c:pt idx="3">
                  <c:v>30.976593381318185</c:v>
                </c:pt>
                <c:pt idx="4">
                  <c:v>31.758839520714918</c:v>
                </c:pt>
                <c:pt idx="5">
                  <c:v>32.541085660111662</c:v>
                </c:pt>
                <c:pt idx="6">
                  <c:v>33.323331799508395</c:v>
                </c:pt>
                <c:pt idx="7">
                  <c:v>34.105577938905128</c:v>
                </c:pt>
                <c:pt idx="8">
                  <c:v>34.887824078301861</c:v>
                </c:pt>
                <c:pt idx="9">
                  <c:v>35.670070217698601</c:v>
                </c:pt>
                <c:pt idx="10">
                  <c:v>36.452316357095327</c:v>
                </c:pt>
              </c:numCache>
            </c:numRef>
          </c:val>
          <c:smooth val="0"/>
          <c:extLst>
            <c:ext xmlns:c16="http://schemas.microsoft.com/office/drawing/2014/chart" uri="{C3380CC4-5D6E-409C-BE32-E72D297353CC}">
              <c16:uniqueId val="{00000000-CBDC-4DEE-A051-296BB9CA621A}"/>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Calculations!$F$303:$P$303</c:f>
              <c:numCache>
                <c:formatCode>#,##0.00_ ;\-#,##0.00\ </c:formatCode>
                <c:ptCount val="11"/>
                <c:pt idx="0">
                  <c:v>1.1179406947393968</c:v>
                </c:pt>
                <c:pt idx="1">
                  <c:v>1.1536382981936968</c:v>
                </c:pt>
                <c:pt idx="2">
                  <c:v>1.189335901647997</c:v>
                </c:pt>
                <c:pt idx="3">
                  <c:v>1.2250335051022967</c:v>
                </c:pt>
                <c:pt idx="4">
                  <c:v>1.2607311085565966</c:v>
                </c:pt>
                <c:pt idx="5">
                  <c:v>1.2964287120108966</c:v>
                </c:pt>
                <c:pt idx="6">
                  <c:v>1.3321263154651963</c:v>
                </c:pt>
                <c:pt idx="7">
                  <c:v>1.3678239189194963</c:v>
                </c:pt>
                <c:pt idx="8">
                  <c:v>1.4035215223737962</c:v>
                </c:pt>
                <c:pt idx="9">
                  <c:v>1.4392191258280962</c:v>
                </c:pt>
                <c:pt idx="10">
                  <c:v>1.4749167292823959</c:v>
                </c:pt>
              </c:numCache>
            </c:numRef>
          </c:val>
          <c:smooth val="0"/>
          <c:extLst>
            <c:ext xmlns:c16="http://schemas.microsoft.com/office/drawing/2014/chart" uri="{C3380CC4-5D6E-409C-BE32-E72D297353CC}">
              <c16:uniqueId val="{00000001-CBDC-4DEE-A051-296BB9CA621A}"/>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Capacity factor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Calculations!$F$298:$P$298</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Calculations!$F$299:$P$299</c:f>
              <c:numCache>
                <c:formatCode>#,##0.0_ ;\-#,##0.0\ </c:formatCode>
                <c:ptCount val="11"/>
                <c:pt idx="0">
                  <c:v>42.303411358145155</c:v>
                </c:pt>
                <c:pt idx="1">
                  <c:v>39.908878639759578</c:v>
                </c:pt>
                <c:pt idx="2">
                  <c:v>37.770902998343892</c:v>
                </c:pt>
                <c:pt idx="3">
                  <c:v>35.850348608597585</c:v>
                </c:pt>
                <c:pt idx="4">
                  <c:v>34.115654321084804</c:v>
                </c:pt>
                <c:pt idx="5">
                  <c:v>32.541085660111662</c:v>
                </c:pt>
                <c:pt idx="6">
                  <c:v>31.10544952804791</c:v>
                </c:pt>
                <c:pt idx="7">
                  <c:v>29.791134759257151</c:v>
                </c:pt>
                <c:pt idx="8">
                  <c:v>28.58338605280078</c:v>
                </c:pt>
                <c:pt idx="9">
                  <c:v>27.469747635159194</c:v>
                </c:pt>
                <c:pt idx="10">
                  <c:v>26.439632098840722</c:v>
                </c:pt>
              </c:numCache>
            </c:numRef>
          </c:val>
          <c:smooth val="0"/>
          <c:extLst>
            <c:ext xmlns:c16="http://schemas.microsoft.com/office/drawing/2014/chart" uri="{C3380CC4-5D6E-409C-BE32-E72D297353CC}">
              <c16:uniqueId val="{00000000-7B35-4242-A739-8F260A7F999F}"/>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Calculations!$F$298:$P$298</c:f>
              <c:numCache>
                <c:formatCode>0%</c:formatCode>
                <c:ptCount val="11"/>
                <c:pt idx="0">
                  <c:v>0.5</c:v>
                </c:pt>
                <c:pt idx="1">
                  <c:v>0.53</c:v>
                </c:pt>
                <c:pt idx="2">
                  <c:v>0.56000000000000005</c:v>
                </c:pt>
                <c:pt idx="3">
                  <c:v>0.59000000000000008</c:v>
                </c:pt>
                <c:pt idx="4">
                  <c:v>0.62</c:v>
                </c:pt>
                <c:pt idx="5">
                  <c:v>0.65</c:v>
                </c:pt>
                <c:pt idx="6">
                  <c:v>0.68</c:v>
                </c:pt>
                <c:pt idx="7">
                  <c:v>0.71000000000000008</c:v>
                </c:pt>
                <c:pt idx="8">
                  <c:v>0.74</c:v>
                </c:pt>
                <c:pt idx="9">
                  <c:v>0.77</c:v>
                </c:pt>
                <c:pt idx="10">
                  <c:v>0.8</c:v>
                </c:pt>
              </c:numCache>
            </c:numRef>
          </c:cat>
          <c:val>
            <c:numRef>
              <c:f>Calculations!$F$300:$P$300</c:f>
              <c:numCache>
                <c:formatCode>#,##0.00_ ;\-#,##0.00\ </c:formatCode>
                <c:ptCount val="11"/>
                <c:pt idx="0">
                  <c:v>1.6853573256141654</c:v>
                </c:pt>
                <c:pt idx="1">
                  <c:v>1.5899597411454391</c:v>
                </c:pt>
                <c:pt idx="2">
                  <c:v>1.5047833264412189</c:v>
                </c:pt>
                <c:pt idx="3">
                  <c:v>1.4282689200120042</c:v>
                </c:pt>
                <c:pt idx="4">
                  <c:v>1.3591591335598108</c:v>
                </c:pt>
                <c:pt idx="5">
                  <c:v>1.2964287120108966</c:v>
                </c:pt>
                <c:pt idx="6">
                  <c:v>1.2392333276574745</c:v>
                </c:pt>
                <c:pt idx="7">
                  <c:v>1.1868713560663136</c:v>
                </c:pt>
                <c:pt idx="8">
                  <c:v>1.1387549497393008</c:v>
                </c:pt>
                <c:pt idx="9">
                  <c:v>1.0943878737754322</c:v>
                </c:pt>
                <c:pt idx="10">
                  <c:v>1.0533483285088532</c:v>
                </c:pt>
              </c:numCache>
            </c:numRef>
          </c:val>
          <c:smooth val="0"/>
          <c:extLst>
            <c:ext xmlns:c16="http://schemas.microsoft.com/office/drawing/2014/chart" uri="{C3380CC4-5D6E-409C-BE32-E72D297353CC}">
              <c16:uniqueId val="{00000001-7B35-4242-A739-8F260A7F999F}"/>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Floating substructure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Calculations!$F$295:$P$295</c:f>
              <c:numCache>
                <c:formatCode>0.00</c:formatCode>
                <c:ptCount val="11"/>
                <c:pt idx="0">
                  <c:v>4.4303801017914193</c:v>
                </c:pt>
                <c:pt idx="1">
                  <c:v>5.3164561221497033</c:v>
                </c:pt>
                <c:pt idx="2">
                  <c:v>6.2025321425079873</c:v>
                </c:pt>
                <c:pt idx="3">
                  <c:v>7.0886081628662705</c:v>
                </c:pt>
                <c:pt idx="4">
                  <c:v>7.9746841832245545</c:v>
                </c:pt>
                <c:pt idx="5">
                  <c:v>8.8607602035828386</c:v>
                </c:pt>
                <c:pt idx="6">
                  <c:v>9.7468362239411217</c:v>
                </c:pt>
                <c:pt idx="7">
                  <c:v>10.632912244299405</c:v>
                </c:pt>
                <c:pt idx="8">
                  <c:v>11.51898826465769</c:v>
                </c:pt>
                <c:pt idx="9">
                  <c:v>12.405064285015975</c:v>
                </c:pt>
                <c:pt idx="10">
                  <c:v>13.291140305374258</c:v>
                </c:pt>
              </c:numCache>
            </c:numRef>
          </c:cat>
          <c:val>
            <c:numRef>
              <c:f>Calculations!$F$296:$P$296</c:f>
              <c:numCache>
                <c:formatCode>#,##0.0_ ;\-#,##0.0\ </c:formatCode>
                <c:ptCount val="11"/>
                <c:pt idx="0">
                  <c:v>28.443068542719683</c:v>
                </c:pt>
                <c:pt idx="1">
                  <c:v>29.262671966198081</c:v>
                </c:pt>
                <c:pt idx="2">
                  <c:v>30.082275389676475</c:v>
                </c:pt>
                <c:pt idx="3">
                  <c:v>30.901878813154866</c:v>
                </c:pt>
                <c:pt idx="4">
                  <c:v>31.721482236633264</c:v>
                </c:pt>
                <c:pt idx="5">
                  <c:v>32.541085660111662</c:v>
                </c:pt>
                <c:pt idx="6">
                  <c:v>33.360689083590053</c:v>
                </c:pt>
                <c:pt idx="7">
                  <c:v>34.180292507068451</c:v>
                </c:pt>
                <c:pt idx="8">
                  <c:v>34.999895930546849</c:v>
                </c:pt>
                <c:pt idx="9">
                  <c:v>35.81949935402524</c:v>
                </c:pt>
                <c:pt idx="10">
                  <c:v>36.639102777503638</c:v>
                </c:pt>
              </c:numCache>
            </c:numRef>
          </c:val>
          <c:smooth val="0"/>
          <c:extLst>
            <c:ext xmlns:c16="http://schemas.microsoft.com/office/drawing/2014/chart" uri="{C3380CC4-5D6E-409C-BE32-E72D297353CC}">
              <c16:uniqueId val="{00000000-56AE-4222-9F86-B0AAF47FB3EE}"/>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Calculations!$F$297:$P$297</c:f>
              <c:numCache>
                <c:formatCode>#,##0.00_ ;\-#,##0.00\ </c:formatCode>
                <c:ptCount val="11"/>
                <c:pt idx="0">
                  <c:v>1.1094167439896681</c:v>
                </c:pt>
                <c:pt idx="1">
                  <c:v>1.1468191375939139</c:v>
                </c:pt>
                <c:pt idx="2">
                  <c:v>1.1842215311981594</c:v>
                </c:pt>
                <c:pt idx="3">
                  <c:v>1.2216239248024052</c:v>
                </c:pt>
                <c:pt idx="4">
                  <c:v>1.2590263184066508</c:v>
                </c:pt>
                <c:pt idx="5">
                  <c:v>1.2964287120108966</c:v>
                </c:pt>
                <c:pt idx="6">
                  <c:v>1.3338311056151422</c:v>
                </c:pt>
                <c:pt idx="7">
                  <c:v>1.371233499219388</c:v>
                </c:pt>
                <c:pt idx="8">
                  <c:v>1.4086358928236336</c:v>
                </c:pt>
                <c:pt idx="9">
                  <c:v>1.4460382864278798</c:v>
                </c:pt>
                <c:pt idx="10">
                  <c:v>1.4834406800321251</c:v>
                </c:pt>
              </c:numCache>
            </c:numRef>
          </c:val>
          <c:smooth val="0"/>
          <c:extLst>
            <c:ext xmlns:c16="http://schemas.microsoft.com/office/drawing/2014/chart" uri="{C3380CC4-5D6E-409C-BE32-E72D297353CC}">
              <c16:uniqueId val="{00000001-56AE-4222-9F86-B0AAF47FB3EE}"/>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[M€/turbine]</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Operation &amp; Maintenance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Calculations!$F$292:$P$292</c:f>
              <c:numCache>
                <c:formatCode>0.00%</c:formatCode>
                <c:ptCount val="11"/>
                <c:pt idx="0">
                  <c:v>2.0026968159177264E-2</c:v>
                </c:pt>
                <c:pt idx="1">
                  <c:v>2.4032361791012716E-2</c:v>
                </c:pt>
                <c:pt idx="2">
                  <c:v>2.8037755422848171E-2</c:v>
                </c:pt>
                <c:pt idx="3">
                  <c:v>3.2043149054683626E-2</c:v>
                </c:pt>
                <c:pt idx="4">
                  <c:v>3.6048542686519081E-2</c:v>
                </c:pt>
                <c:pt idx="5">
                  <c:v>4.0053936318354535E-2</c:v>
                </c:pt>
                <c:pt idx="6">
                  <c:v>4.4059329950189983E-2</c:v>
                </c:pt>
                <c:pt idx="7">
                  <c:v>4.8064723582025431E-2</c:v>
                </c:pt>
                <c:pt idx="8">
                  <c:v>5.2070117213860886E-2</c:v>
                </c:pt>
                <c:pt idx="9">
                  <c:v>5.6075510845696341E-2</c:v>
                </c:pt>
                <c:pt idx="10">
                  <c:v>6.0080904477531796E-2</c:v>
                </c:pt>
              </c:numCache>
            </c:numRef>
          </c:cat>
          <c:val>
            <c:numRef>
              <c:f>Calculations!$F$293:$P$293</c:f>
              <c:numCache>
                <c:formatCode>#,##0.0_ ;\-#,##0.0\ </c:formatCode>
                <c:ptCount val="11"/>
                <c:pt idx="0">
                  <c:v>28.10598647901514</c:v>
                </c:pt>
                <c:pt idx="1">
                  <c:v>28.993006315234439</c:v>
                </c:pt>
                <c:pt idx="2">
                  <c:v>29.880026151453745</c:v>
                </c:pt>
                <c:pt idx="3">
                  <c:v>30.767045987673047</c:v>
                </c:pt>
                <c:pt idx="4">
                  <c:v>31.654065823892349</c:v>
                </c:pt>
                <c:pt idx="5">
                  <c:v>32.541085660111662</c:v>
                </c:pt>
                <c:pt idx="6">
                  <c:v>33.428105496330964</c:v>
                </c:pt>
                <c:pt idx="7">
                  <c:v>34.315125332550267</c:v>
                </c:pt>
                <c:pt idx="8">
                  <c:v>35.202145168769569</c:v>
                </c:pt>
                <c:pt idx="9">
                  <c:v>36.089165004988871</c:v>
                </c:pt>
                <c:pt idx="10">
                  <c:v>36.976184841208173</c:v>
                </c:pt>
              </c:numCache>
            </c:numRef>
          </c:val>
          <c:smooth val="0"/>
          <c:extLst>
            <c:ext xmlns:c16="http://schemas.microsoft.com/office/drawing/2014/chart" uri="{C3380CC4-5D6E-409C-BE32-E72D297353CC}">
              <c16:uniqueId val="{00000000-E3A1-40B0-AEE6-02B98EE96437}"/>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Calculations!$F$294:$P$294</c:f>
              <c:numCache>
                <c:formatCode>#,##0.00_ ;\-#,##0.00\ </c:formatCode>
                <c:ptCount val="11"/>
                <c:pt idx="0">
                  <c:v>1.1382313055998474</c:v>
                </c:pt>
                <c:pt idx="1">
                  <c:v>1.1698827950211252</c:v>
                </c:pt>
                <c:pt idx="2">
                  <c:v>1.2015342844424028</c:v>
                </c:pt>
                <c:pt idx="3">
                  <c:v>1.2331857738636804</c:v>
                </c:pt>
                <c:pt idx="4">
                  <c:v>1.264837263284958</c:v>
                </c:pt>
                <c:pt idx="5">
                  <c:v>1.2964887527062359</c:v>
                </c:pt>
                <c:pt idx="6">
                  <c:v>1.3281402421275135</c:v>
                </c:pt>
                <c:pt idx="7">
                  <c:v>1.3597917315487908</c:v>
                </c:pt>
                <c:pt idx="8">
                  <c:v>1.3914432209700685</c:v>
                </c:pt>
                <c:pt idx="9">
                  <c:v>1.4230947103913461</c:v>
                </c:pt>
                <c:pt idx="10">
                  <c:v>1.4547461998126237</c:v>
                </c:pt>
              </c:numCache>
            </c:numRef>
          </c:val>
          <c:smooth val="0"/>
          <c:extLst>
            <c:ext xmlns:c16="http://schemas.microsoft.com/office/drawing/2014/chart" uri="{C3380CC4-5D6E-409C-BE32-E72D297353CC}">
              <c16:uniqueId val="{00000001-E3A1-40B0-AEE6-02B98EE96437}"/>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 of CAPEX (hardware</a:t>
                </a:r>
                <a:r>
                  <a:rPr lang="nl-NL" sz="1400" b="1" baseline="0">
                    <a:solidFill>
                      <a:sysClr val="windowText" lastClr="000000"/>
                    </a:solidFill>
                  </a:rPr>
                  <a:t> + installation + assembly)</a:t>
                </a:r>
                <a:r>
                  <a:rPr lang="nl-NL"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nl-NL" b="1">
                <a:solidFill>
                  <a:schemeClr val="tx1"/>
                </a:solidFill>
              </a:rPr>
              <a:t>WACC</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v>LCOE</c:v>
          </c:tx>
          <c:spPr>
            <a:ln w="28575" cap="rnd">
              <a:solidFill>
                <a:schemeClr val="accent1"/>
              </a:solidFill>
              <a:round/>
            </a:ln>
            <a:effectLst/>
          </c:spPr>
          <c:marker>
            <c:symbol val="none"/>
          </c:marker>
          <c:cat>
            <c:numRef>
              <c:f>Calculations!$F$289:$P$289</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Calculations!$F$290:$P$290</c:f>
              <c:numCache>
                <c:formatCode>#,##0.0_ ;\-#,##0.0\ </c:formatCode>
                <c:ptCount val="11"/>
                <c:pt idx="0">
                  <c:v>25.028910947974676</c:v>
                </c:pt>
                <c:pt idx="1">
                  <c:v>26.407014515593492</c:v>
                </c:pt>
                <c:pt idx="2">
                  <c:v>27.848798005787902</c:v>
                </c:pt>
                <c:pt idx="3">
                  <c:v>29.352832785513083</c:v>
                </c:pt>
                <c:pt idx="4">
                  <c:v>30.917511662881711</c:v>
                </c:pt>
                <c:pt idx="5">
                  <c:v>32.541085660111662</c:v>
                </c:pt>
                <c:pt idx="6">
                  <c:v>34.221699854598448</c:v>
                </c:pt>
                <c:pt idx="7">
                  <c:v>35.957427384772025</c:v>
                </c:pt>
                <c:pt idx="8">
                  <c:v>37.746300910809538</c:v>
                </c:pt>
                <c:pt idx="9">
                  <c:v>39.586341016892341</c:v>
                </c:pt>
                <c:pt idx="10">
                  <c:v>41.475581229557086</c:v>
                </c:pt>
              </c:numCache>
            </c:numRef>
          </c:val>
          <c:smooth val="0"/>
          <c:extLst>
            <c:ext xmlns:c16="http://schemas.microsoft.com/office/drawing/2014/chart" uri="{C3380CC4-5D6E-409C-BE32-E72D297353CC}">
              <c16:uniqueId val="{00000000-3587-4FEF-ACC9-6778484A7739}"/>
            </c:ext>
          </c:extLst>
        </c:ser>
        <c:dLbls>
          <c:showLegendKey val="0"/>
          <c:showVal val="0"/>
          <c:showCatName val="0"/>
          <c:showSerName val="0"/>
          <c:showPercent val="0"/>
          <c:showBubbleSize val="0"/>
        </c:dLbls>
        <c:marker val="1"/>
        <c:smooth val="0"/>
        <c:axId val="617723832"/>
        <c:axId val="617724160"/>
      </c:lineChart>
      <c:lineChart>
        <c:grouping val="standard"/>
        <c:varyColors val="0"/>
        <c:ser>
          <c:idx val="1"/>
          <c:order val="1"/>
          <c:tx>
            <c:v>LCOH</c:v>
          </c:tx>
          <c:spPr>
            <a:ln w="28575" cap="rnd">
              <a:solidFill>
                <a:schemeClr val="accent2"/>
              </a:solidFill>
              <a:round/>
            </a:ln>
            <a:effectLst/>
          </c:spPr>
          <c:marker>
            <c:symbol val="none"/>
          </c:marker>
          <c:cat>
            <c:numRef>
              <c:f>Calculations!$F$273:$P$273</c:f>
              <c:numCache>
                <c:formatCode>0.0%</c:formatCode>
                <c:ptCount val="11"/>
                <c:pt idx="0">
                  <c:v>0.03</c:v>
                </c:pt>
                <c:pt idx="1">
                  <c:v>3.5999999999999997E-2</c:v>
                </c:pt>
                <c:pt idx="2">
                  <c:v>4.1999999999999996E-2</c:v>
                </c:pt>
                <c:pt idx="3">
                  <c:v>4.8000000000000001E-2</c:v>
                </c:pt>
                <c:pt idx="4">
                  <c:v>5.3999999999999999E-2</c:v>
                </c:pt>
                <c:pt idx="5">
                  <c:v>0.06</c:v>
                </c:pt>
                <c:pt idx="6">
                  <c:v>6.6000000000000003E-2</c:v>
                </c:pt>
                <c:pt idx="7">
                  <c:v>7.2000000000000008E-2</c:v>
                </c:pt>
                <c:pt idx="8">
                  <c:v>7.8E-2</c:v>
                </c:pt>
                <c:pt idx="9">
                  <c:v>8.3999999999999991E-2</c:v>
                </c:pt>
                <c:pt idx="10">
                  <c:v>0.09</c:v>
                </c:pt>
              </c:numCache>
            </c:numRef>
          </c:cat>
          <c:val>
            <c:numRef>
              <c:f>Calculations!$F$291:$P$291</c:f>
              <c:numCache>
                <c:formatCode>#,##0.00_ ;\-#,##0.00\ </c:formatCode>
                <c:ptCount val="11"/>
                <c:pt idx="0">
                  <c:v>0.992908714391049</c:v>
                </c:pt>
                <c:pt idx="1">
                  <c:v>1.0486672465064155</c:v>
                </c:pt>
                <c:pt idx="2">
                  <c:v>1.1069552614044822</c:v>
                </c:pt>
                <c:pt idx="3">
                  <c:v>1.167719309821508</c:v>
                </c:pt>
                <c:pt idx="4">
                  <c:v>1.2308990696836664</c:v>
                </c:pt>
                <c:pt idx="5">
                  <c:v>1.2964287120108966</c:v>
                </c:pt>
                <c:pt idx="6">
                  <c:v>1.3642382352088769</c:v>
                </c:pt>
                <c:pt idx="7">
                  <c:v>1.4342547345309598</c:v>
                </c:pt>
                <c:pt idx="8">
                  <c:v>1.5064035804415181</c:v>
                </c:pt>
                <c:pt idx="9">
                  <c:v>1.5806094866981077</c:v>
                </c:pt>
                <c:pt idx="10">
                  <c:v>1.6567974557626717</c:v>
                </c:pt>
              </c:numCache>
            </c:numRef>
          </c:val>
          <c:smooth val="0"/>
          <c:extLst>
            <c:ext xmlns:c16="http://schemas.microsoft.com/office/drawing/2014/chart" uri="{C3380CC4-5D6E-409C-BE32-E72D297353CC}">
              <c16:uniqueId val="{00000001-3587-4FEF-ACC9-6778484A7739}"/>
            </c:ext>
          </c:extLst>
        </c:ser>
        <c:dLbls>
          <c:showLegendKey val="0"/>
          <c:showVal val="0"/>
          <c:showCatName val="0"/>
          <c:showSerName val="0"/>
          <c:showPercent val="0"/>
          <c:showBubbleSize val="0"/>
        </c:dLbls>
        <c:marker val="1"/>
        <c:smooth val="0"/>
        <c:axId val="639962248"/>
        <c:axId val="639967496"/>
      </c:lineChart>
      <c:catAx>
        <c:axId val="617723832"/>
        <c:scaling>
          <c:orientation val="minMax"/>
        </c:scaling>
        <c:delete val="0"/>
        <c:axPos val="b"/>
        <c:title>
          <c:tx>
            <c:rich>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a:t>
                </a:r>
              </a:p>
            </c:rich>
          </c:tx>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617724160"/>
        <c:crosses val="autoZero"/>
        <c:auto val="1"/>
        <c:lblAlgn val="ctr"/>
        <c:lblOffset val="100"/>
        <c:noMultiLvlLbl val="0"/>
      </c:catAx>
      <c:valAx>
        <c:axId val="617724160"/>
        <c:scaling>
          <c:orientation val="minMax"/>
          <c:max val="45"/>
          <c:min val="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r>
                  <a:rPr lang="en-US" sz="1400" b="1">
                    <a:solidFill>
                      <a:schemeClr val="accent5">
                        <a:lumMod val="75000"/>
                      </a:schemeClr>
                    </a:solidFill>
                  </a:rPr>
                  <a:t>LCOE 2050  €/MWh</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5">
                      <a:lumMod val="75000"/>
                    </a:schemeClr>
                  </a:solidFill>
                  <a:latin typeface="+mn-lt"/>
                  <a:ea typeface="+mn-ea"/>
                  <a:cs typeface="+mn-cs"/>
                </a:defRPr>
              </a:pPr>
              <a:endParaRPr lang="en-US"/>
            </a:p>
          </c:txPr>
        </c:title>
        <c:numFmt formatCode="#,##0.0_ ;\-#,##0.0\ "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5">
                    <a:lumMod val="75000"/>
                  </a:schemeClr>
                </a:solidFill>
                <a:latin typeface="+mn-lt"/>
                <a:ea typeface="+mn-ea"/>
                <a:cs typeface="+mn-cs"/>
              </a:defRPr>
            </a:pPr>
            <a:endParaRPr lang="en-US"/>
          </a:p>
        </c:txPr>
        <c:crossAx val="617723832"/>
        <c:crosses val="autoZero"/>
        <c:crossBetween val="between"/>
      </c:valAx>
      <c:valAx>
        <c:axId val="639967496"/>
        <c:scaling>
          <c:orientation val="minMax"/>
          <c:max val="1.7"/>
          <c:min val="0.9"/>
        </c:scaling>
        <c:delete val="0"/>
        <c:axPos val="r"/>
        <c:title>
          <c:tx>
            <c:rich>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r>
                  <a:rPr lang="en-US" sz="1400" b="1">
                    <a:solidFill>
                      <a:schemeClr val="accent2"/>
                    </a:solidFill>
                  </a:rPr>
                  <a:t>LCOH €/kg</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accent2"/>
                  </a:solidFill>
                  <a:latin typeface="+mn-lt"/>
                  <a:ea typeface="+mn-ea"/>
                  <a:cs typeface="+mn-cs"/>
                </a:defRPr>
              </a:pPr>
              <a:endParaRPr lang="en-US"/>
            </a:p>
          </c:txPr>
        </c:title>
        <c:numFmt formatCode="#,##0.00_ ;\-#,##0.00\ "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accent2"/>
                </a:solidFill>
                <a:latin typeface="+mn-lt"/>
                <a:ea typeface="+mn-ea"/>
                <a:cs typeface="+mn-cs"/>
              </a:defRPr>
            </a:pPr>
            <a:endParaRPr lang="en-US"/>
          </a:p>
        </c:txPr>
        <c:crossAx val="639962248"/>
        <c:crosses val="max"/>
        <c:crossBetween val="between"/>
        <c:majorUnit val="0.2"/>
      </c:valAx>
      <c:catAx>
        <c:axId val="639962248"/>
        <c:scaling>
          <c:orientation val="minMax"/>
        </c:scaling>
        <c:delete val="1"/>
        <c:axPos val="b"/>
        <c:numFmt formatCode="0.0%" sourceLinked="1"/>
        <c:majorTickMark val="out"/>
        <c:minorTickMark val="none"/>
        <c:tickLblPos val="nextTo"/>
        <c:crossAx val="63996749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Turbine CAPEX</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Turbine price</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rates'!$AB$69:$AB$111</c:f>
              <c:numCache>
                <c:formatCode>0</c:formatCode>
                <c:ptCount val="43"/>
                <c:pt idx="0">
                  <c:v>1586.1</c:v>
                </c:pt>
                <c:pt idx="1">
                  <c:v>1459.45</c:v>
                </c:pt>
                <c:pt idx="2">
                  <c:v>1306.45</c:v>
                </c:pt>
                <c:pt idx="3">
                  <c:v>1338.75</c:v>
                </c:pt>
                <c:pt idx="4">
                  <c:v>1248.6499999999999</c:v>
                </c:pt>
                <c:pt idx="5">
                  <c:v>1212.0999999999999</c:v>
                </c:pt>
                <c:pt idx="6">
                  <c:v>1085.45</c:v>
                </c:pt>
                <c:pt idx="7">
                  <c:v>927.35</c:v>
                </c:pt>
                <c:pt idx="8">
                  <c:v>903.55</c:v>
                </c:pt>
                <c:pt idx="9">
                  <c:v>795.6</c:v>
                </c:pt>
                <c:pt idx="10">
                  <c:v>762.44999999999993</c:v>
                </c:pt>
                <c:pt idx="11">
                  <c:v>730.05497577991309</c:v>
                </c:pt>
                <c:pt idx="12">
                  <c:v>702.99777844683831</c:v>
                </c:pt>
                <c:pt idx="13">
                  <c:v>687.46217250742529</c:v>
                </c:pt>
                <c:pt idx="14">
                  <c:v>672.26988920615486</c:v>
                </c:pt>
                <c:pt idx="15">
                  <c:v>661</c:v>
                </c:pt>
                <c:pt idx="16">
                  <c:v>635.36303308051038</c:v>
                </c:pt>
                <c:pt idx="17">
                  <c:v>611.83369649953249</c:v>
                </c:pt>
                <c:pt idx="18">
                  <c:v>590.23569004675301</c:v>
                </c:pt>
                <c:pt idx="19">
                  <c:v>570.41126566365642</c:v>
                </c:pt>
                <c:pt idx="20">
                  <c:v>552.219144214332</c:v>
                </c:pt>
                <c:pt idx="21">
                  <c:v>535.53269508626181</c:v>
                </c:pt>
                <c:pt idx="22">
                  <c:v>520.23834323529309</c:v>
                </c:pt>
                <c:pt idx="23">
                  <c:v>506.23417343105609</c:v>
                </c:pt>
                <c:pt idx="24">
                  <c:v>493.42870581000426</c:v>
                </c:pt>
                <c:pt idx="25">
                  <c:v>481.73982053198898</c:v>
                </c:pt>
                <c:pt idx="26">
                  <c:v>471.09381246971105</c:v>
                </c:pt>
                <c:pt idx="27">
                  <c:v>462.34239106756741</c:v>
                </c:pt>
                <c:pt idx="28">
                  <c:v>454.40620818695226</c:v>
                </c:pt>
                <c:pt idx="29">
                  <c:v>448.00214604881671</c:v>
                </c:pt>
                <c:pt idx="30">
                  <c:v>442.2428299007056</c:v>
                </c:pt>
                <c:pt idx="31">
                  <c:v>438.34315645141578</c:v>
                </c:pt>
                <c:pt idx="32">
                  <c:v>434.47787011251626</c:v>
                </c:pt>
                <c:pt idx="33">
                  <c:v>431.26758989583823</c:v>
                </c:pt>
                <c:pt idx="34">
                  <c:v>428.08102987247395</c:v>
                </c:pt>
                <c:pt idx="35">
                  <c:v>424.918014778106</c:v>
                </c:pt>
                <c:pt idx="36">
                  <c:v>422.3923300428541</c:v>
                </c:pt>
                <c:pt idx="37">
                  <c:v>419.88165781156772</c:v>
                </c:pt>
                <c:pt idx="38">
                  <c:v>417.99934898819828</c:v>
                </c:pt>
                <c:pt idx="39">
                  <c:v>416.12547846271735</c:v>
                </c:pt>
                <c:pt idx="40">
                  <c:v>414.2600084066504</c:v>
                </c:pt>
                <c:pt idx="41">
                  <c:v>413.01493548669441</c:v>
                </c:pt>
                <c:pt idx="42">
                  <c:v>412.39073038313978</c:v>
                </c:pt>
              </c:numCache>
            </c:numRef>
          </c:val>
          <c:smooth val="0"/>
          <c:extLst>
            <c:ext xmlns:c16="http://schemas.microsoft.com/office/drawing/2014/chart" uri="{C3380CC4-5D6E-409C-BE32-E72D297353CC}">
              <c16:uniqueId val="{00000000-B7F2-493E-BBA4-4FED7E6CB660}"/>
            </c:ext>
          </c:extLst>
        </c:ser>
        <c:ser>
          <c:idx val="2"/>
          <c:order val="2"/>
          <c:tx>
            <c:v>Historic CAPEX</c:v>
          </c:tx>
          <c:spPr>
            <a:ln w="28575" cap="rnd">
              <a:solidFill>
                <a:schemeClr val="accent1">
                  <a:lumMod val="60000"/>
                  <a:lumOff val="40000"/>
                </a:schemeClr>
              </a:solidFill>
              <a:round/>
            </a:ln>
            <a:effectLst/>
          </c:spPr>
          <c:marker>
            <c:symbol val="circle"/>
            <c:size val="5"/>
            <c:spPr>
              <a:solidFill>
                <a:schemeClr val="tx1"/>
              </a:solidFill>
              <a:ln w="9525">
                <a:solidFill>
                  <a:schemeClr val="tx1"/>
                </a:solidFill>
              </a:ln>
              <a:effectLst/>
            </c:spPr>
          </c:marker>
          <c:val>
            <c:numRef>
              <c:f>'Learning rates'!$AB$69:$AB$79</c:f>
              <c:numCache>
                <c:formatCode>0</c:formatCode>
                <c:ptCount val="11"/>
                <c:pt idx="0">
                  <c:v>1586.1</c:v>
                </c:pt>
                <c:pt idx="1">
                  <c:v>1459.45</c:v>
                </c:pt>
                <c:pt idx="2">
                  <c:v>1306.45</c:v>
                </c:pt>
                <c:pt idx="3">
                  <c:v>1338.75</c:v>
                </c:pt>
                <c:pt idx="4">
                  <c:v>1248.6499999999999</c:v>
                </c:pt>
                <c:pt idx="5">
                  <c:v>1212.0999999999999</c:v>
                </c:pt>
                <c:pt idx="6">
                  <c:v>1085.45</c:v>
                </c:pt>
                <c:pt idx="7">
                  <c:v>927.35</c:v>
                </c:pt>
                <c:pt idx="8">
                  <c:v>903.55</c:v>
                </c:pt>
                <c:pt idx="9">
                  <c:v>795.6</c:v>
                </c:pt>
                <c:pt idx="10">
                  <c:v>762.44999999999993</c:v>
                </c:pt>
              </c:numCache>
            </c:numRef>
          </c:val>
          <c:smooth val="0"/>
          <c:extLst>
            <c:ext xmlns:c16="http://schemas.microsoft.com/office/drawing/2014/chart" uri="{C3380CC4-5D6E-409C-BE32-E72D297353CC}">
              <c16:uniqueId val="{00000003-B7F2-493E-BBA4-4FED7E6CB660}"/>
            </c:ext>
          </c:extLst>
        </c:ser>
        <c:ser>
          <c:idx val="3"/>
          <c:order val="3"/>
          <c:tx>
            <c:v>20 MW tubine 'actual'</c:v>
          </c:tx>
          <c:spPr>
            <a:ln w="28575" cap="rnd">
              <a:solidFill>
                <a:schemeClr val="accent4"/>
              </a:solidFill>
              <a:round/>
            </a:ln>
            <a:effectLst/>
          </c:spPr>
          <c:marker>
            <c:symbol val="none"/>
          </c:marker>
          <c:val>
            <c:numRef>
              <c:f>'Learning rates'!#REF!</c:f>
              <c:numCache>
                <c:formatCode>General</c:formatCode>
                <c:ptCount val="1"/>
                <c:pt idx="0">
                  <c:v>1</c:v>
                </c:pt>
              </c:numCache>
            </c:numRef>
          </c:val>
          <c:smooth val="0"/>
          <c:extLst>
            <c:ext xmlns:c16="http://schemas.microsoft.com/office/drawing/2014/chart" uri="{C3380CC4-5D6E-409C-BE32-E72D297353CC}">
              <c16:uniqueId val="{00000001-532E-4B3B-BD0E-E0BD3C9F1CE7}"/>
            </c:ext>
          </c:extLst>
        </c:ser>
        <c:dLbls>
          <c:showLegendKey val="0"/>
          <c:showVal val="0"/>
          <c:showCatName val="0"/>
          <c:showSerName val="0"/>
          <c:showPercent val="0"/>
          <c:showBubbleSize val="0"/>
        </c:dLbls>
        <c:marker val="1"/>
        <c:smooth val="0"/>
        <c:axId val="482263656"/>
        <c:axId val="482255784"/>
      </c:lineChart>
      <c:lineChart>
        <c:grouping val="standard"/>
        <c:varyColors val="0"/>
        <c:ser>
          <c:idx val="1"/>
          <c:order val="1"/>
          <c:tx>
            <c:v>Installed wind capacity</c:v>
          </c:tx>
          <c:spPr>
            <a:ln w="28575" cap="rnd">
              <a:solidFill>
                <a:schemeClr val="accent2"/>
              </a:solidFill>
              <a:round/>
            </a:ln>
            <a:effectLst/>
          </c:spPr>
          <c:marker>
            <c:symbol val="none"/>
          </c:marker>
          <c:val>
            <c:numRef>
              <c:f>'Learning rates'!$W$69:$W$111</c:f>
              <c:numCache>
                <c:formatCode>0</c:formatCode>
                <c:ptCount val="4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pt idx="13">
                  <c:v>804.1</c:v>
                </c:pt>
                <c:pt idx="14">
                  <c:v>884.5100000000001</c:v>
                </c:pt>
                <c:pt idx="15">
                  <c:v>972.96100000000024</c:v>
                </c:pt>
                <c:pt idx="16">
                  <c:v>1070.2571000000003</c:v>
                </c:pt>
                <c:pt idx="17">
                  <c:v>1177.2828100000004</c:v>
                </c:pt>
                <c:pt idx="18">
                  <c:v>1295.0110910000005</c:v>
                </c:pt>
                <c:pt idx="19">
                  <c:v>1424.5122001000007</c:v>
                </c:pt>
                <c:pt idx="20">
                  <c:v>1566.9634201100009</c:v>
                </c:pt>
                <c:pt idx="21">
                  <c:v>1723.6597621210012</c:v>
                </c:pt>
                <c:pt idx="22">
                  <c:v>1896.0257383331016</c:v>
                </c:pt>
                <c:pt idx="23">
                  <c:v>2085.6283121664119</c:v>
                </c:pt>
                <c:pt idx="24">
                  <c:v>2294.1911433830533</c:v>
                </c:pt>
                <c:pt idx="25">
                  <c:v>2523.6102577213587</c:v>
                </c:pt>
                <c:pt idx="26">
                  <c:v>2775.9712834934949</c:v>
                </c:pt>
                <c:pt idx="27">
                  <c:v>3025.8086990079096</c:v>
                </c:pt>
                <c:pt idx="28">
                  <c:v>3298.1314819186218</c:v>
                </c:pt>
                <c:pt idx="29">
                  <c:v>3561.9820004721118</c:v>
                </c:pt>
                <c:pt idx="30">
                  <c:v>3846.9405605098809</c:v>
                </c:pt>
                <c:pt idx="31">
                  <c:v>4077.756994140474</c:v>
                </c:pt>
                <c:pt idx="32">
                  <c:v>4322.4224137889023</c:v>
                </c:pt>
                <c:pt idx="33">
                  <c:v>4538.5435344783473</c:v>
                </c:pt>
                <c:pt idx="34">
                  <c:v>4765.4707112022652</c:v>
                </c:pt>
                <c:pt idx="35">
                  <c:v>5003.7442467623787</c:v>
                </c:pt>
                <c:pt idx="36">
                  <c:v>5203.8940166328739</c:v>
                </c:pt>
                <c:pt idx="37">
                  <c:v>5412.0497772981889</c:v>
                </c:pt>
                <c:pt idx="38">
                  <c:v>5574.4112706171345</c:v>
                </c:pt>
                <c:pt idx="39">
                  <c:v>5741.6436087356487</c:v>
                </c:pt>
                <c:pt idx="40">
                  <c:v>5913.8929169977182</c:v>
                </c:pt>
                <c:pt idx="41">
                  <c:v>6032.1707753376722</c:v>
                </c:pt>
                <c:pt idx="42">
                  <c:v>6092.4924830910486</c:v>
                </c:pt>
              </c:numCache>
            </c:numRef>
          </c:val>
          <c:smooth val="0"/>
          <c:extLst>
            <c:ext xmlns:c16="http://schemas.microsoft.com/office/drawing/2014/chart" uri="{C3380CC4-5D6E-409C-BE32-E72D297353CC}">
              <c16:uniqueId val="{00000001-B7F2-493E-BBA4-4FED7E6CB660}"/>
            </c:ext>
          </c:extLst>
        </c:ser>
        <c:dLbls>
          <c:showLegendKey val="0"/>
          <c:showVal val="0"/>
          <c:showCatName val="0"/>
          <c:showSerName val="0"/>
          <c:showPercent val="0"/>
          <c:showBubbleSize val="0"/>
        </c:dLbls>
        <c:marker val="1"/>
        <c:smooth val="0"/>
        <c:axId val="529516872"/>
        <c:axId val="535106904"/>
      </c:lineChart>
      <c:catAx>
        <c:axId val="482263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255784"/>
        <c:crosses val="autoZero"/>
        <c:auto val="1"/>
        <c:lblAlgn val="ctr"/>
        <c:lblOffset val="100"/>
        <c:noMultiLvlLbl val="0"/>
      </c:catAx>
      <c:valAx>
        <c:axId val="4822557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M€/MW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263656"/>
        <c:crosses val="autoZero"/>
        <c:crossBetween val="between"/>
      </c:valAx>
      <c:valAx>
        <c:axId val="535106904"/>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29516872"/>
        <c:crosses val="max"/>
        <c:crossBetween val="between"/>
      </c:valAx>
      <c:catAx>
        <c:axId val="529516872"/>
        <c:scaling>
          <c:orientation val="minMax"/>
        </c:scaling>
        <c:delete val="1"/>
        <c:axPos val="b"/>
        <c:majorTickMark val="out"/>
        <c:minorTickMark val="none"/>
        <c:tickLblPos val="nextTo"/>
        <c:crossAx val="53510690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rates'!$C$69:$C$111</c:f>
              <c:numCache>
                <c:formatCode>0%</c:formatCode>
                <c:ptCount val="43"/>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pt idx="15" formatCode="0.0%">
                  <c:v>0.25</c:v>
                </c:pt>
                <c:pt idx="16" formatCode="0.0%">
                  <c:v>0.24</c:v>
                </c:pt>
                <c:pt idx="17" formatCode="0.0%">
                  <c:v>0.23</c:v>
                </c:pt>
                <c:pt idx="18" formatCode="0.0%">
                  <c:v>0.22</c:v>
                </c:pt>
                <c:pt idx="19" formatCode="0.0%">
                  <c:v>0.21</c:v>
                </c:pt>
                <c:pt idx="20" formatCode="0.0%">
                  <c:v>0.2</c:v>
                </c:pt>
                <c:pt idx="21" formatCode="0.0%">
                  <c:v>0.19</c:v>
                </c:pt>
                <c:pt idx="22" formatCode="0.0%">
                  <c:v>0.18</c:v>
                </c:pt>
                <c:pt idx="23" formatCode="0.0%">
                  <c:v>0.17</c:v>
                </c:pt>
                <c:pt idx="24" formatCode="0.0%">
                  <c:v>0.16</c:v>
                </c:pt>
                <c:pt idx="25" formatCode="0.0%">
                  <c:v>0.15</c:v>
                </c:pt>
                <c:pt idx="26" formatCode="0.0%">
                  <c:v>0.14000000000000001</c:v>
                </c:pt>
                <c:pt idx="27" formatCode="0.0%">
                  <c:v>0.13</c:v>
                </c:pt>
                <c:pt idx="28" formatCode="0.0%">
                  <c:v>0.12</c:v>
                </c:pt>
                <c:pt idx="29" formatCode="0.0%">
                  <c:v>0.11</c:v>
                </c:pt>
                <c:pt idx="30" formatCode="0.0%">
                  <c:v>0.1</c:v>
                </c:pt>
                <c:pt idx="31" formatCode="0.0%">
                  <c:v>0.1</c:v>
                </c:pt>
                <c:pt idx="32" formatCode="0.0%">
                  <c:v>0.1</c:v>
                </c:pt>
                <c:pt idx="33" formatCode="0.0%">
                  <c:v>0.1</c:v>
                </c:pt>
                <c:pt idx="34" formatCode="0.0%">
                  <c:v>0.1</c:v>
                </c:pt>
                <c:pt idx="35" formatCode="0.0%">
                  <c:v>0.1</c:v>
                </c:pt>
                <c:pt idx="36" formatCode="0.0%">
                  <c:v>0.1</c:v>
                </c:pt>
                <c:pt idx="37" formatCode="0.0%">
                  <c:v>0.1</c:v>
                </c:pt>
                <c:pt idx="38" formatCode="0.0%">
                  <c:v>0.1</c:v>
                </c:pt>
                <c:pt idx="39" formatCode="0.0%">
                  <c:v>0.1</c:v>
                </c:pt>
                <c:pt idx="40" formatCode="0.0%">
                  <c:v>0.1</c:v>
                </c:pt>
                <c:pt idx="41" formatCode="0.0%">
                  <c:v>0.1</c:v>
                </c:pt>
                <c:pt idx="42" formatCode="0.0%">
                  <c:v>0.1</c:v>
                </c:pt>
              </c:numCache>
            </c:numRef>
          </c:val>
          <c:smooth val="0"/>
          <c:extLst>
            <c:ext xmlns:c16="http://schemas.microsoft.com/office/drawing/2014/chart" uri="{C3380CC4-5D6E-409C-BE32-E72D297353CC}">
              <c16:uniqueId val="{00000000-A158-462D-8736-74A2F37660E8}"/>
            </c:ext>
          </c:extLst>
        </c:ser>
        <c:ser>
          <c:idx val="1"/>
          <c:order val="1"/>
          <c:tx>
            <c:v>Historic</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rates'!$C$69:$C$83</c:f>
              <c:numCache>
                <c:formatCode>0%</c:formatCode>
                <c:ptCount val="15"/>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numCache>
            </c:numRef>
          </c:val>
          <c:smooth val="0"/>
          <c:extLst>
            <c:ext xmlns:c16="http://schemas.microsoft.com/office/drawing/2014/chart" uri="{C3380CC4-5D6E-409C-BE32-E72D297353CC}">
              <c16:uniqueId val="{00000002-A158-462D-8736-74A2F37660E8}"/>
            </c:ext>
          </c:extLst>
        </c:ser>
        <c:dLbls>
          <c:showLegendKey val="0"/>
          <c:showVal val="0"/>
          <c:showCatName val="0"/>
          <c:showSerName val="0"/>
          <c:showPercent val="0"/>
          <c:showBubbleSize val="0"/>
        </c:dLbls>
        <c:smooth val="0"/>
        <c:axId val="616578624"/>
        <c:axId val="616578296"/>
      </c:lineChart>
      <c:catAx>
        <c:axId val="6165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16578296"/>
        <c:crosses val="autoZero"/>
        <c:auto val="1"/>
        <c:lblAlgn val="ctr"/>
        <c:lblOffset val="100"/>
        <c:noMultiLvlLbl val="0"/>
      </c:catAx>
      <c:valAx>
        <c:axId val="616578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65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Offshore LCOE (onshore reception)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rates'!$AA$69:$AA$111</c:f>
              <c:numCache>
                <c:formatCode>0.000</c:formatCode>
                <c:ptCount val="43"/>
                <c:pt idx="0">
                  <c:v>0.15129999999999999</c:v>
                </c:pt>
                <c:pt idx="1">
                  <c:v>0.13344999999999999</c:v>
                </c:pt>
                <c:pt idx="2">
                  <c:v>0.13685</c:v>
                </c:pt>
                <c:pt idx="3">
                  <c:v>0.14874999999999999</c:v>
                </c:pt>
                <c:pt idx="4">
                  <c:v>0.13089999999999999</c:v>
                </c:pt>
                <c:pt idx="5">
                  <c:v>0.15045</c:v>
                </c:pt>
                <c:pt idx="6">
                  <c:v>0.15554999999999999</c:v>
                </c:pt>
                <c:pt idx="7">
                  <c:v>0.14365</c:v>
                </c:pt>
                <c:pt idx="8">
                  <c:v>0.12409999999999999</c:v>
                </c:pt>
                <c:pt idx="9">
                  <c:v>0.11135</c:v>
                </c:pt>
                <c:pt idx="10">
                  <c:v>0.10795</c:v>
                </c:pt>
                <c:pt idx="11">
                  <c:v>9.7750000000000004E-2</c:v>
                </c:pt>
                <c:pt idx="12">
                  <c:v>0.10795</c:v>
                </c:pt>
                <c:pt idx="13">
                  <c:v>0.11815000000000001</c:v>
                </c:pt>
                <c:pt idx="14">
                  <c:v>8.2449999999999996E-2</c:v>
                </c:pt>
                <c:pt idx="15">
                  <c:v>6.9699999999999998E-2</c:v>
                </c:pt>
                <c:pt idx="16">
                  <c:v>6.3806265245077598E-2</c:v>
                </c:pt>
                <c:pt idx="17">
                  <c:v>5.8835147000706856E-2</c:v>
                </c:pt>
                <c:pt idx="18">
                  <c:v>5.4627333081980881E-2</c:v>
                </c:pt>
                <c:pt idx="19">
                  <c:v>5.1055336289123975E-2</c:v>
                </c:pt>
                <c:pt idx="20">
                  <c:v>4.8016467287898289E-2</c:v>
                </c:pt>
                <c:pt idx="21">
                  <c:v>4.542747686656752E-2</c:v>
                </c:pt>
                <c:pt idx="22">
                  <c:v>4.3324992516074086E-2</c:v>
                </c:pt>
                <c:pt idx="23">
                  <c:v>4.163045031388897E-2</c:v>
                </c:pt>
                <c:pt idx="24">
                  <c:v>4.0280729992315141E-2</c:v>
                </c:pt>
                <c:pt idx="25">
                  <c:v>3.9224500004835391E-2</c:v>
                </c:pt>
                <c:pt idx="26">
                  <c:v>3.8419412775821504E-2</c:v>
                </c:pt>
                <c:pt idx="27">
                  <c:v>3.7759937261904797E-2</c:v>
                </c:pt>
                <c:pt idx="28">
                  <c:v>3.7164551678768094E-2</c:v>
                </c:pt>
                <c:pt idx="29">
                  <c:v>3.6686780747292431E-2</c:v>
                </c:pt>
                <c:pt idx="30">
                  <c:v>3.6260107724927722E-2</c:v>
                </c:pt>
                <c:pt idx="31">
                  <c:v>3.5940368048435874E-2</c:v>
                </c:pt>
                <c:pt idx="32">
                  <c:v>3.5623447819186124E-2</c:v>
                </c:pt>
                <c:pt idx="33">
                  <c:v>3.5360232457367635E-2</c:v>
                </c:pt>
                <c:pt idx="34">
                  <c:v>3.5098961947351501E-2</c:v>
                </c:pt>
                <c:pt idx="35">
                  <c:v>3.4839621918971379E-2</c:v>
                </c:pt>
                <c:pt idx="36">
                  <c:v>3.4632537497500934E-2</c:v>
                </c:pt>
                <c:pt idx="37">
                  <c:v>3.4426683972212879E-2</c:v>
                </c:pt>
                <c:pt idx="38">
                  <c:v>3.4272350840973007E-2</c:v>
                </c:pt>
                <c:pt idx="39">
                  <c:v>3.4118709577570808E-2</c:v>
                </c:pt>
                <c:pt idx="40">
                  <c:v>3.3965757080396806E-2</c:v>
                </c:pt>
                <c:pt idx="41">
                  <c:v>3.3863671811511536E-2</c:v>
                </c:pt>
                <c:pt idx="42">
                  <c:v>3.3812492362649882E-2</c:v>
                </c:pt>
              </c:numCache>
            </c:numRef>
          </c:val>
          <c:smooth val="0"/>
          <c:extLst>
            <c:ext xmlns:c16="http://schemas.microsoft.com/office/drawing/2014/chart" uri="{C3380CC4-5D6E-409C-BE32-E72D297353CC}">
              <c16:uniqueId val="{00000000-4D64-4CC4-95D6-61C4E3FB97F5}"/>
            </c:ext>
          </c:extLst>
        </c:ser>
        <c:ser>
          <c:idx val="1"/>
          <c:order val="1"/>
          <c:tx>
            <c:v>Historic &amp; auction/PPA &gt;2020</c:v>
          </c:tx>
          <c:spPr>
            <a:ln w="28575" cap="rnd">
              <a:solidFill>
                <a:schemeClr val="accent1">
                  <a:lumMod val="60000"/>
                  <a:lumOff val="40000"/>
                </a:schemeClr>
              </a:solidFill>
              <a:round/>
            </a:ln>
            <a:effectLst/>
          </c:spPr>
          <c:marker>
            <c:symbol val="circle"/>
            <c:size val="5"/>
            <c:spPr>
              <a:solidFill>
                <a:schemeClr val="tx1"/>
              </a:solidFill>
              <a:ln w="9525">
                <a:solidFill>
                  <a:schemeClr val="accent2"/>
                </a:solidFill>
              </a:ln>
              <a:effectLst/>
            </c:spPr>
          </c:marker>
          <c:val>
            <c:numRef>
              <c:f>'Learning rates'!$AA$69:$AA$84</c:f>
              <c:numCache>
                <c:formatCode>0.000</c:formatCode>
                <c:ptCount val="16"/>
                <c:pt idx="0">
                  <c:v>0.15129999999999999</c:v>
                </c:pt>
                <c:pt idx="1">
                  <c:v>0.13344999999999999</c:v>
                </c:pt>
                <c:pt idx="2">
                  <c:v>0.13685</c:v>
                </c:pt>
                <c:pt idx="3">
                  <c:v>0.14874999999999999</c:v>
                </c:pt>
                <c:pt idx="4">
                  <c:v>0.13089999999999999</c:v>
                </c:pt>
                <c:pt idx="5">
                  <c:v>0.15045</c:v>
                </c:pt>
                <c:pt idx="6">
                  <c:v>0.15554999999999999</c:v>
                </c:pt>
                <c:pt idx="7">
                  <c:v>0.14365</c:v>
                </c:pt>
                <c:pt idx="8">
                  <c:v>0.12409999999999999</c:v>
                </c:pt>
                <c:pt idx="9">
                  <c:v>0.11135</c:v>
                </c:pt>
                <c:pt idx="10">
                  <c:v>0.10795</c:v>
                </c:pt>
                <c:pt idx="11">
                  <c:v>9.7750000000000004E-2</c:v>
                </c:pt>
                <c:pt idx="12">
                  <c:v>0.10795</c:v>
                </c:pt>
                <c:pt idx="13">
                  <c:v>0.11815000000000001</c:v>
                </c:pt>
                <c:pt idx="14">
                  <c:v>8.2449999999999996E-2</c:v>
                </c:pt>
                <c:pt idx="15">
                  <c:v>6.9699999999999998E-2</c:v>
                </c:pt>
              </c:numCache>
            </c:numRef>
          </c:val>
          <c:smooth val="0"/>
          <c:extLst>
            <c:ext xmlns:c16="http://schemas.microsoft.com/office/drawing/2014/chart" uri="{C3380CC4-5D6E-409C-BE32-E72D297353CC}">
              <c16:uniqueId val="{00000002-4D64-4CC4-95D6-61C4E3FB97F5}"/>
            </c:ext>
          </c:extLst>
        </c:ser>
        <c:dLbls>
          <c:showLegendKey val="0"/>
          <c:showVal val="0"/>
          <c:showCatName val="0"/>
          <c:showSerName val="0"/>
          <c:showPercent val="0"/>
          <c:showBubbleSize val="0"/>
        </c:dLbls>
        <c:marker val="1"/>
        <c:smooth val="0"/>
        <c:axId val="577208736"/>
        <c:axId val="577207752"/>
      </c:lineChart>
      <c:lineChart>
        <c:grouping val="standard"/>
        <c:varyColors val="0"/>
        <c:ser>
          <c:idx val="2"/>
          <c:order val="2"/>
          <c:tx>
            <c:v>Offshore capacity - assumed</c:v>
          </c:tx>
          <c:spPr>
            <a:ln w="28575" cap="rnd">
              <a:solidFill>
                <a:schemeClr val="accent2"/>
              </a:solidFill>
              <a:round/>
            </a:ln>
            <a:effectLst/>
          </c:spPr>
          <c:marker>
            <c:symbol val="none"/>
          </c:marker>
          <c:val>
            <c:numRef>
              <c:f>'Learning rates'!$S$69:$S$111</c:f>
              <c:numCache>
                <c:formatCode>General</c:formatCode>
                <c:ptCount val="43"/>
                <c:pt idx="12" formatCode="0">
                  <c:v>35</c:v>
                </c:pt>
                <c:pt idx="13" formatCode="0">
                  <c:v>45.5</c:v>
                </c:pt>
                <c:pt idx="14" formatCode="0">
                  <c:v>58.24</c:v>
                </c:pt>
                <c:pt idx="15" formatCode="0">
                  <c:v>73.382400000000004</c:v>
                </c:pt>
                <c:pt idx="16" formatCode="0">
                  <c:v>91.728000000000009</c:v>
                </c:pt>
                <c:pt idx="17" formatCode="0">
                  <c:v>113.74272000000001</c:v>
                </c:pt>
                <c:pt idx="18" formatCode="0">
                  <c:v>139.9035456</c:v>
                </c:pt>
                <c:pt idx="19" formatCode="0">
                  <c:v>170.68232563199999</c:v>
                </c:pt>
                <c:pt idx="20" formatCode="0">
                  <c:v>206.52561401471999</c:v>
                </c:pt>
                <c:pt idx="21" formatCode="0">
                  <c:v>247.83073681766399</c:v>
                </c:pt>
                <c:pt idx="22" formatCode="0">
                  <c:v>292.44026944484347</c:v>
                </c:pt>
                <c:pt idx="23" formatCode="0">
                  <c:v>339.23071255601837</c:v>
                </c:pt>
                <c:pt idx="24" formatCode="0">
                  <c:v>386.72301231386098</c:v>
                </c:pt>
                <c:pt idx="25" formatCode="0">
                  <c:v>433.12977379152431</c:v>
                </c:pt>
                <c:pt idx="26" formatCode="0">
                  <c:v>476.44275117067679</c:v>
                </c:pt>
                <c:pt idx="27" formatCode="0">
                  <c:v>519.32259877603769</c:v>
                </c:pt>
                <c:pt idx="28" formatCode="0">
                  <c:v>566.06163266588112</c:v>
                </c:pt>
                <c:pt idx="29" formatCode="0">
                  <c:v>611.34656327915161</c:v>
                </c:pt>
                <c:pt idx="30" formatCode="0">
                  <c:v>660.25428834148374</c:v>
                </c:pt>
                <c:pt idx="31" formatCode="0">
                  <c:v>699.86954564197276</c:v>
                </c:pt>
                <c:pt idx="32" formatCode="0">
                  <c:v>741.8617183804912</c:v>
                </c:pt>
                <c:pt idx="33" formatCode="0">
                  <c:v>778.95480429951579</c:v>
                </c:pt>
                <c:pt idx="34" formatCode="0">
                  <c:v>817.90254451449164</c:v>
                </c:pt>
                <c:pt idx="35" formatCode="0">
                  <c:v>858.79767174021629</c:v>
                </c:pt>
                <c:pt idx="36" formatCode="0">
                  <c:v>893.14957860982497</c:v>
                </c:pt>
                <c:pt idx="37" formatCode="0">
                  <c:v>928.87556175421798</c:v>
                </c:pt>
                <c:pt idx="38" formatCode="0">
                  <c:v>956.74182860684459</c:v>
                </c:pt>
                <c:pt idx="39" formatCode="0">
                  <c:v>985.44408346504997</c:v>
                </c:pt>
                <c:pt idx="40" formatCode="0">
                  <c:v>1015.0074059690015</c:v>
                </c:pt>
                <c:pt idx="41" formatCode="0">
                  <c:v>1035.3075540883815</c:v>
                </c:pt>
                <c:pt idx="42" formatCode="0">
                  <c:v>1045.6606296292653</c:v>
                </c:pt>
              </c:numCache>
            </c:numRef>
          </c:val>
          <c:smooth val="0"/>
          <c:extLst>
            <c:ext xmlns:c16="http://schemas.microsoft.com/office/drawing/2014/chart" uri="{C3380CC4-5D6E-409C-BE32-E72D297353CC}">
              <c16:uniqueId val="{00000003-4D64-4CC4-95D6-61C4E3FB97F5}"/>
            </c:ext>
          </c:extLst>
        </c:ser>
        <c:dLbls>
          <c:showLegendKey val="0"/>
          <c:showVal val="0"/>
          <c:showCatName val="0"/>
          <c:showSerName val="0"/>
          <c:showPercent val="0"/>
          <c:showBubbleSize val="0"/>
        </c:dLbls>
        <c:marker val="1"/>
        <c:smooth val="0"/>
        <c:axId val="532998768"/>
        <c:axId val="532998440"/>
      </c:lineChart>
      <c:catAx>
        <c:axId val="57720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77207752"/>
        <c:crosses val="autoZero"/>
        <c:auto val="1"/>
        <c:lblAlgn val="ctr"/>
        <c:lblOffset val="100"/>
        <c:noMultiLvlLbl val="0"/>
      </c:catAx>
      <c:valAx>
        <c:axId val="57720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€/kWh</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77208736"/>
        <c:crosses val="autoZero"/>
        <c:crossBetween val="between"/>
      </c:valAx>
      <c:valAx>
        <c:axId val="532998440"/>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2998768"/>
        <c:crosses val="max"/>
        <c:crossBetween val="between"/>
      </c:valAx>
      <c:catAx>
        <c:axId val="532998768"/>
        <c:scaling>
          <c:orientation val="minMax"/>
        </c:scaling>
        <c:delete val="1"/>
        <c:axPos val="b"/>
        <c:majorTickMark val="out"/>
        <c:minorTickMark val="none"/>
        <c:tickLblPos val="nextTo"/>
        <c:crossAx val="53299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rates'!$C$69:$C$111</c:f>
              <c:numCache>
                <c:formatCode>0%</c:formatCode>
                <c:ptCount val="43"/>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pt idx="15" formatCode="0.0%">
                  <c:v>0.25</c:v>
                </c:pt>
                <c:pt idx="16" formatCode="0.0%">
                  <c:v>0.24</c:v>
                </c:pt>
                <c:pt idx="17" formatCode="0.0%">
                  <c:v>0.23</c:v>
                </c:pt>
                <c:pt idx="18" formatCode="0.0%">
                  <c:v>0.22</c:v>
                </c:pt>
                <c:pt idx="19" formatCode="0.0%">
                  <c:v>0.21</c:v>
                </c:pt>
                <c:pt idx="20" formatCode="0.0%">
                  <c:v>0.2</c:v>
                </c:pt>
                <c:pt idx="21" formatCode="0.0%">
                  <c:v>0.19</c:v>
                </c:pt>
                <c:pt idx="22" formatCode="0.0%">
                  <c:v>0.18</c:v>
                </c:pt>
                <c:pt idx="23" formatCode="0.0%">
                  <c:v>0.17</c:v>
                </c:pt>
                <c:pt idx="24" formatCode="0.0%">
                  <c:v>0.16</c:v>
                </c:pt>
                <c:pt idx="25" formatCode="0.0%">
                  <c:v>0.15</c:v>
                </c:pt>
                <c:pt idx="26" formatCode="0.0%">
                  <c:v>0.14000000000000001</c:v>
                </c:pt>
                <c:pt idx="27" formatCode="0.0%">
                  <c:v>0.13</c:v>
                </c:pt>
                <c:pt idx="28" formatCode="0.0%">
                  <c:v>0.12</c:v>
                </c:pt>
                <c:pt idx="29" formatCode="0.0%">
                  <c:v>0.11</c:v>
                </c:pt>
                <c:pt idx="30" formatCode="0.0%">
                  <c:v>0.1</c:v>
                </c:pt>
                <c:pt idx="31" formatCode="0.0%">
                  <c:v>0.1</c:v>
                </c:pt>
                <c:pt idx="32" formatCode="0.0%">
                  <c:v>0.1</c:v>
                </c:pt>
                <c:pt idx="33" formatCode="0.0%">
                  <c:v>0.1</c:v>
                </c:pt>
                <c:pt idx="34" formatCode="0.0%">
                  <c:v>0.1</c:v>
                </c:pt>
                <c:pt idx="35" formatCode="0.0%">
                  <c:v>0.1</c:v>
                </c:pt>
                <c:pt idx="36" formatCode="0.0%">
                  <c:v>0.1</c:v>
                </c:pt>
                <c:pt idx="37" formatCode="0.0%">
                  <c:v>0.1</c:v>
                </c:pt>
                <c:pt idx="38" formatCode="0.0%">
                  <c:v>0.1</c:v>
                </c:pt>
                <c:pt idx="39" formatCode="0.0%">
                  <c:v>0.1</c:v>
                </c:pt>
                <c:pt idx="40" formatCode="0.0%">
                  <c:v>0.1</c:v>
                </c:pt>
                <c:pt idx="41" formatCode="0.0%">
                  <c:v>0.1</c:v>
                </c:pt>
                <c:pt idx="42" formatCode="0.0%">
                  <c:v>0.1</c:v>
                </c:pt>
              </c:numCache>
            </c:numRef>
          </c:val>
          <c:smooth val="0"/>
          <c:extLst>
            <c:ext xmlns:c16="http://schemas.microsoft.com/office/drawing/2014/chart" uri="{C3380CC4-5D6E-409C-BE32-E72D297353CC}">
              <c16:uniqueId val="{00000000-B43C-4A13-B879-C0ABA80E6C26}"/>
            </c:ext>
          </c:extLst>
        </c:ser>
        <c:ser>
          <c:idx val="1"/>
          <c:order val="1"/>
          <c:tx>
            <c:v>Historic</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rates'!$C$69:$C$83</c:f>
              <c:numCache>
                <c:formatCode>0%</c:formatCode>
                <c:ptCount val="15"/>
                <c:pt idx="0">
                  <c:v>0.26</c:v>
                </c:pt>
                <c:pt idx="1">
                  <c:v>0.26</c:v>
                </c:pt>
                <c:pt idx="2">
                  <c:v>0.26</c:v>
                </c:pt>
                <c:pt idx="3">
                  <c:v>0.26</c:v>
                </c:pt>
                <c:pt idx="4">
                  <c:v>0.26</c:v>
                </c:pt>
                <c:pt idx="5">
                  <c:v>0.26</c:v>
                </c:pt>
                <c:pt idx="6">
                  <c:v>0.26</c:v>
                </c:pt>
                <c:pt idx="7">
                  <c:v>0.26</c:v>
                </c:pt>
                <c:pt idx="8">
                  <c:v>0.26</c:v>
                </c:pt>
                <c:pt idx="9">
                  <c:v>0.26</c:v>
                </c:pt>
                <c:pt idx="10">
                  <c:v>0.26</c:v>
                </c:pt>
                <c:pt idx="11">
                  <c:v>0.26</c:v>
                </c:pt>
                <c:pt idx="12">
                  <c:v>0.26</c:v>
                </c:pt>
                <c:pt idx="13">
                  <c:v>0.26</c:v>
                </c:pt>
                <c:pt idx="14">
                  <c:v>0.26</c:v>
                </c:pt>
              </c:numCache>
            </c:numRef>
          </c:val>
          <c:smooth val="0"/>
          <c:extLst>
            <c:ext xmlns:c16="http://schemas.microsoft.com/office/drawing/2014/chart" uri="{C3380CC4-5D6E-409C-BE32-E72D297353CC}">
              <c16:uniqueId val="{00000001-B43C-4A13-B879-C0ABA80E6C26}"/>
            </c:ext>
          </c:extLst>
        </c:ser>
        <c:dLbls>
          <c:showLegendKey val="0"/>
          <c:showVal val="0"/>
          <c:showCatName val="0"/>
          <c:showSerName val="0"/>
          <c:showPercent val="0"/>
          <c:showBubbleSize val="0"/>
        </c:dLbls>
        <c:smooth val="0"/>
        <c:axId val="616578624"/>
        <c:axId val="616578296"/>
      </c:lineChart>
      <c:catAx>
        <c:axId val="616578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16578296"/>
        <c:crosses val="autoZero"/>
        <c:auto val="1"/>
        <c:lblAlgn val="ctr"/>
        <c:lblOffset val="100"/>
        <c:noMultiLvlLbl val="0"/>
      </c:catAx>
      <c:valAx>
        <c:axId val="61657829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61657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Floating substructure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Floating substructure, total</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rates'!$AC$69:$AC$111</c:f>
              <c:numCache>
                <c:formatCode>General</c:formatCode>
                <c:ptCount val="43"/>
                <c:pt idx="27" formatCode="0">
                  <c:v>1254</c:v>
                </c:pt>
                <c:pt idx="28" formatCode="0">
                  <c:v>1152.4337544700502</c:v>
                </c:pt>
                <c:pt idx="29" formatCode="0">
                  <c:v>1059.0937467639042</c:v>
                </c:pt>
                <c:pt idx="30" formatCode="0">
                  <c:v>973.31370248714393</c:v>
                </c:pt>
                <c:pt idx="31" formatCode="0">
                  <c:v>898.9570366024343</c:v>
                </c:pt>
                <c:pt idx="32" formatCode="0">
                  <c:v>837.96459491544545</c:v>
                </c:pt>
                <c:pt idx="33" formatCode="0">
                  <c:v>786.10385712987431</c:v>
                </c:pt>
                <c:pt idx="34" formatCode="0">
                  <c:v>741.93628757867862</c:v>
                </c:pt>
                <c:pt idx="35" formatCode="0">
                  <c:v>705.73843054123017</c:v>
                </c:pt>
                <c:pt idx="36" formatCode="0">
                  <c:v>674.89074795754368</c:v>
                </c:pt>
                <c:pt idx="37" formatCode="0">
                  <c:v>648.64087595245485</c:v>
                </c:pt>
                <c:pt idx="38" formatCode="0">
                  <c:v>627.42570274084892</c:v>
                </c:pt>
                <c:pt idx="39" formatCode="0">
                  <c:v>610.48453784639969</c:v>
                </c:pt>
                <c:pt idx="40" formatCode="0">
                  <c:v>597.18331898842655</c:v>
                </c:pt>
                <c:pt idx="41" formatCode="0">
                  <c:v>586.98415278041637</c:v>
                </c:pt>
                <c:pt idx="42" formatCode="0">
                  <c:v>578.5415572856997</c:v>
                </c:pt>
              </c:numCache>
            </c:numRef>
          </c:val>
          <c:smooth val="0"/>
          <c:extLst>
            <c:ext xmlns:c16="http://schemas.microsoft.com/office/drawing/2014/chart" uri="{C3380CC4-5D6E-409C-BE32-E72D297353CC}">
              <c16:uniqueId val="{00000000-5D05-488B-AC3A-9E9AA28CA2CE}"/>
            </c:ext>
          </c:extLst>
        </c:ser>
        <c:dLbls>
          <c:showLegendKey val="0"/>
          <c:showVal val="0"/>
          <c:showCatName val="0"/>
          <c:showSerName val="0"/>
          <c:showPercent val="0"/>
          <c:showBubbleSize val="0"/>
        </c:dLbls>
        <c:marker val="1"/>
        <c:smooth val="0"/>
        <c:axId val="536414368"/>
        <c:axId val="536416008"/>
      </c:lineChart>
      <c:lineChart>
        <c:grouping val="standard"/>
        <c:varyColors val="0"/>
        <c:ser>
          <c:idx val="1"/>
          <c:order val="1"/>
          <c:tx>
            <c:v>Installed floating wind capacity</c:v>
          </c:tx>
          <c:spPr>
            <a:ln w="28575" cap="rnd">
              <a:solidFill>
                <a:schemeClr val="accent2"/>
              </a:solidFill>
              <a:round/>
            </a:ln>
            <a:effectLst/>
          </c:spPr>
          <c:marker>
            <c:symbol val="none"/>
          </c:marker>
          <c:val>
            <c:numRef>
              <c:f>'Learning rates'!$U$69:$U$111</c:f>
              <c:numCache>
                <c:formatCode>0</c:formatCode>
                <c:ptCount val="43"/>
                <c:pt idx="17">
                  <c:v>0.1</c:v>
                </c:pt>
                <c:pt idx="18">
                  <c:v>1</c:v>
                </c:pt>
                <c:pt idx="19">
                  <c:v>2</c:v>
                </c:pt>
                <c:pt idx="20">
                  <c:v>4</c:v>
                </c:pt>
                <c:pt idx="21">
                  <c:v>8</c:v>
                </c:pt>
                <c:pt idx="22">
                  <c:v>12</c:v>
                </c:pt>
                <c:pt idx="23">
                  <c:v>15.600000000000001</c:v>
                </c:pt>
                <c:pt idx="24">
                  <c:v>20.28</c:v>
                </c:pt>
                <c:pt idx="25">
                  <c:v>26.364000000000001</c:v>
                </c:pt>
                <c:pt idx="26">
                  <c:v>33.745919999999998</c:v>
                </c:pt>
                <c:pt idx="27">
                  <c:v>42.519859199999999</c:v>
                </c:pt>
                <c:pt idx="28">
                  <c:v>53.149823999999995</c:v>
                </c:pt>
                <c:pt idx="29">
                  <c:v>65.905781759999996</c:v>
                </c:pt>
                <c:pt idx="30">
                  <c:v>80.4050537472</c:v>
                </c:pt>
                <c:pt idx="31">
                  <c:v>97.290115034111992</c:v>
                </c:pt>
                <c:pt idx="32">
                  <c:v>116.74813804093438</c:v>
                </c:pt>
                <c:pt idx="33">
                  <c:v>137.76280288830256</c:v>
                </c:pt>
                <c:pt idx="34">
                  <c:v>159.80485135043097</c:v>
                </c:pt>
                <c:pt idx="35">
                  <c:v>182.17753053949133</c:v>
                </c:pt>
                <c:pt idx="36">
                  <c:v>204.03883420423031</c:v>
                </c:pt>
                <c:pt idx="37">
                  <c:v>224.44271762465337</c:v>
                </c:pt>
                <c:pt idx="38">
                  <c:v>246.88698938711872</c:v>
                </c:pt>
                <c:pt idx="39">
                  <c:v>271.57568832583058</c:v>
                </c:pt>
                <c:pt idx="40">
                  <c:v>298.73325715841366</c:v>
                </c:pt>
                <c:pt idx="41">
                  <c:v>328.60658287425508</c:v>
                </c:pt>
                <c:pt idx="42">
                  <c:v>361.46724116168065</c:v>
                </c:pt>
              </c:numCache>
            </c:numRef>
          </c:val>
          <c:smooth val="0"/>
          <c:extLst>
            <c:ext xmlns:c16="http://schemas.microsoft.com/office/drawing/2014/chart" uri="{C3380CC4-5D6E-409C-BE32-E72D297353CC}">
              <c16:uniqueId val="{00000008-2B56-4ADF-950A-1573A827CC6C}"/>
            </c:ext>
          </c:extLst>
        </c:ser>
        <c:dLbls>
          <c:showLegendKey val="0"/>
          <c:showVal val="0"/>
          <c:showCatName val="0"/>
          <c:showSerName val="0"/>
          <c:showPercent val="0"/>
          <c:showBubbleSize val="0"/>
        </c:dLbls>
        <c:marker val="1"/>
        <c:smooth val="0"/>
        <c:axId val="589845792"/>
        <c:axId val="589854320"/>
      </c:lineChart>
      <c:catAx>
        <c:axId val="5364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6008"/>
        <c:crosses val="autoZero"/>
        <c:auto val="1"/>
        <c:lblAlgn val="ctr"/>
        <c:lblOffset val="100"/>
        <c:noMultiLvlLbl val="0"/>
      </c:catAx>
      <c:valAx>
        <c:axId val="5364160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nl-NL" sz="1400" b="1">
                    <a:solidFill>
                      <a:sysClr val="windowText" lastClr="000000"/>
                    </a:solidFill>
                  </a:rPr>
                  <a:t>€/kW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4368"/>
        <c:crosses val="autoZero"/>
        <c:crossBetween val="between"/>
      </c:valAx>
      <c:valAx>
        <c:axId val="589854320"/>
        <c:scaling>
          <c:orientation val="minMax"/>
        </c:scaling>
        <c:delete val="0"/>
        <c:axPos val="r"/>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89845792"/>
        <c:crosses val="max"/>
        <c:crossBetween val="between"/>
      </c:valAx>
      <c:catAx>
        <c:axId val="589845792"/>
        <c:scaling>
          <c:orientation val="minMax"/>
        </c:scaling>
        <c:delete val="1"/>
        <c:axPos val="b"/>
        <c:majorTickMark val="out"/>
        <c:minorTickMark val="none"/>
        <c:tickLblPos val="nextTo"/>
        <c:crossAx val="5898543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Learning rate</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1"/>
          <c:order val="0"/>
          <c:tx>
            <c:v>Assumed</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rates'!$M$69:$M$111</c:f>
              <c:numCache>
                <c:formatCode>0%</c:formatCode>
                <c:ptCount val="43"/>
                <c:pt idx="27">
                  <c:v>0.2</c:v>
                </c:pt>
                <c:pt idx="28">
                  <c:v>0.2</c:v>
                </c:pt>
                <c:pt idx="29">
                  <c:v>0.2</c:v>
                </c:pt>
                <c:pt idx="30">
                  <c:v>0.2</c:v>
                </c:pt>
                <c:pt idx="31">
                  <c:v>0.2</c:v>
                </c:pt>
                <c:pt idx="32">
                  <c:v>0.19</c:v>
                </c:pt>
                <c:pt idx="33">
                  <c:v>0.18</c:v>
                </c:pt>
                <c:pt idx="34">
                  <c:v>0.17</c:v>
                </c:pt>
                <c:pt idx="35">
                  <c:v>0.16</c:v>
                </c:pt>
                <c:pt idx="36">
                  <c:v>0.15</c:v>
                </c:pt>
                <c:pt idx="37">
                  <c:v>0.14000000000000001</c:v>
                </c:pt>
                <c:pt idx="38">
                  <c:v>0.13</c:v>
                </c:pt>
                <c:pt idx="39">
                  <c:v>0.12</c:v>
                </c:pt>
                <c:pt idx="40">
                  <c:v>0.11</c:v>
                </c:pt>
                <c:pt idx="41">
                  <c:v>0.1</c:v>
                </c:pt>
                <c:pt idx="42">
                  <c:v>0.1</c:v>
                </c:pt>
              </c:numCache>
            </c:numRef>
          </c:val>
          <c:smooth val="0"/>
          <c:extLst>
            <c:ext xmlns:c16="http://schemas.microsoft.com/office/drawing/2014/chart" uri="{C3380CC4-5D6E-409C-BE32-E72D297353CC}">
              <c16:uniqueId val="{00000001-9421-4010-8EC9-853059477D1E}"/>
            </c:ext>
          </c:extLst>
        </c:ser>
        <c:dLbls>
          <c:showLegendKey val="0"/>
          <c:showVal val="0"/>
          <c:showCatName val="0"/>
          <c:showSerName val="0"/>
          <c:showPercent val="0"/>
          <c:showBubbleSize val="0"/>
        </c:dLbls>
        <c:smooth val="0"/>
        <c:axId val="536414368"/>
        <c:axId val="536416008"/>
      </c:lineChart>
      <c:catAx>
        <c:axId val="53641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6008"/>
        <c:crosses val="autoZero"/>
        <c:auto val="1"/>
        <c:lblAlgn val="ctr"/>
        <c:lblOffset val="100"/>
        <c:noMultiLvlLbl val="0"/>
      </c:catAx>
      <c:valAx>
        <c:axId val="5364160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36414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Scenario's: cost development to 2050</a:t>
            </a:r>
            <a:r>
              <a:rPr lang="nl-NL" b="1" baseline="0">
                <a:solidFill>
                  <a:sysClr val="windowText" lastClr="000000"/>
                </a:solidFill>
              </a:rPr>
              <a:t> </a:t>
            </a:r>
            <a:endParaRPr lang="nl-NL"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ProRES</c:v>
          </c:tx>
          <c:spPr>
            <a:ln w="28575" cap="rnd">
              <a:solidFill>
                <a:srgbClr val="0070C0"/>
              </a:solidFill>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rates'!$D$84:$D$111</c:f>
              <c:numCache>
                <c:formatCode>0%</c:formatCode>
                <c:ptCount val="28"/>
                <c:pt idx="0">
                  <c:v>1</c:v>
                </c:pt>
                <c:pt idx="1">
                  <c:v>0.9154413951948005</c:v>
                </c:pt>
                <c:pt idx="2">
                  <c:v>0.8441197561077024</c:v>
                </c:pt>
                <c:pt idx="3">
                  <c:v>0.78374939859369985</c:v>
                </c:pt>
                <c:pt idx="4">
                  <c:v>0.73250123800751754</c:v>
                </c:pt>
                <c:pt idx="5">
                  <c:v>0.68890196969724948</c:v>
                </c:pt>
                <c:pt idx="6">
                  <c:v>0.65175720038116958</c:v>
                </c:pt>
                <c:pt idx="7">
                  <c:v>0.62159243208140724</c:v>
                </c:pt>
                <c:pt idx="8">
                  <c:v>0.5972804923083066</c:v>
                </c:pt>
                <c:pt idx="9">
                  <c:v>0.57791578181226888</c:v>
                </c:pt>
                <c:pt idx="10">
                  <c:v>0.56276183651126821</c:v>
                </c:pt>
                <c:pt idx="11">
                  <c:v>0.55121108717104028</c:v>
                </c:pt>
                <c:pt idx="12">
                  <c:v>0.54174945856391388</c:v>
                </c:pt>
                <c:pt idx="13">
                  <c:v>0.5332073411587962</c:v>
                </c:pt>
                <c:pt idx="14">
                  <c:v>0.52635266495398036</c:v>
                </c:pt>
                <c:pt idx="15">
                  <c:v>0.52023110078805912</c:v>
                </c:pt>
                <c:pt idx="16">
                  <c:v>0.51564373096751615</c:v>
                </c:pt>
                <c:pt idx="17">
                  <c:v>0.51109681232691717</c:v>
                </c:pt>
                <c:pt idx="18">
                  <c:v>0.50732040828361025</c:v>
                </c:pt>
                <c:pt idx="19">
                  <c:v>0.50357190742254665</c:v>
                </c:pt>
                <c:pt idx="20">
                  <c:v>0.49985110357204271</c:v>
                </c:pt>
                <c:pt idx="21">
                  <c:v>0.49688002148494886</c:v>
                </c:pt>
                <c:pt idx="22">
                  <c:v>0.49392659931438848</c:v>
                </c:pt>
                <c:pt idx="23">
                  <c:v>0.49171235065958402</c:v>
                </c:pt>
                <c:pt idx="24">
                  <c:v>0.48950802837260848</c:v>
                </c:pt>
                <c:pt idx="25">
                  <c:v>0.48731358795404311</c:v>
                </c:pt>
                <c:pt idx="26">
                  <c:v>0.48584894994995037</c:v>
                </c:pt>
                <c:pt idx="27">
                  <c:v>0.48511466804375725</c:v>
                </c:pt>
              </c:numCache>
            </c:numRef>
          </c:val>
          <c:smooth val="0"/>
          <c:extLst>
            <c:ext xmlns:c16="http://schemas.microsoft.com/office/drawing/2014/chart" uri="{C3380CC4-5D6E-409C-BE32-E72D297353CC}">
              <c16:uniqueId val="{00000000-8569-45C8-81BD-3CAFDD0CF182}"/>
            </c:ext>
          </c:extLst>
        </c:ser>
        <c:ser>
          <c:idx val="1"/>
          <c:order val="1"/>
          <c:tx>
            <c:v>Reference</c:v>
          </c:tx>
          <c:spPr>
            <a:ln w="28575" cap="rnd">
              <a:solidFill>
                <a:schemeClr val="accent6">
                  <a:lumMod val="75000"/>
                </a:schemeClr>
              </a:solidFill>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rates'!$F$84:$F$111</c:f>
              <c:numCache>
                <c:formatCode>0%</c:formatCode>
                <c:ptCount val="28"/>
                <c:pt idx="0">
                  <c:v>1</c:v>
                </c:pt>
                <c:pt idx="1">
                  <c:v>0.94902569074178389</c:v>
                </c:pt>
                <c:pt idx="2">
                  <c:v>0.90234752218312997</c:v>
                </c:pt>
                <c:pt idx="3">
                  <c:v>0.85959564265065969</c:v>
                </c:pt>
                <c:pt idx="4">
                  <c:v>0.82043811050195026</c:v>
                </c:pt>
                <c:pt idx="5">
                  <c:v>0.78457692834567405</c:v>
                </c:pt>
                <c:pt idx="6">
                  <c:v>0.7608926051653534</c:v>
                </c:pt>
                <c:pt idx="7">
                  <c:v>0.74001131792832853</c:v>
                </c:pt>
                <c:pt idx="8">
                  <c:v>0.72177445425201503</c:v>
                </c:pt>
                <c:pt idx="9">
                  <c:v>0.70604845402280736</c:v>
                </c:pt>
                <c:pt idx="10">
                  <c:v>0.69272336561119796</c:v>
                </c:pt>
                <c:pt idx="11">
                  <c:v>0.68482646515523105</c:v>
                </c:pt>
                <c:pt idx="12">
                  <c:v>0.67776376003427985</c:v>
                </c:pt>
                <c:pt idx="13">
                  <c:v>0.67077389351721373</c:v>
                </c:pt>
                <c:pt idx="14">
                  <c:v>0.66459254679983526</c:v>
                </c:pt>
                <c:pt idx="15">
                  <c:v>0.6584681627156328</c:v>
                </c:pt>
                <c:pt idx="16">
                  <c:v>0.65563500464554669</c:v>
                </c:pt>
                <c:pt idx="17">
                  <c:v>0.65281403666315896</c:v>
                </c:pt>
                <c:pt idx="18">
                  <c:v>0.65046130107842337</c:v>
                </c:pt>
                <c:pt idx="19">
                  <c:v>0.64811704473037812</c:v>
                </c:pt>
                <c:pt idx="20">
                  <c:v>0.64578123705993484</c:v>
                </c:pt>
                <c:pt idx="21">
                  <c:v>0.64390966757824974</c:v>
                </c:pt>
                <c:pt idx="22">
                  <c:v>0.64204352218157013</c:v>
                </c:pt>
                <c:pt idx="23">
                  <c:v>0.64064067120710433</c:v>
                </c:pt>
                <c:pt idx="24">
                  <c:v>0.63924088543116253</c:v>
                </c:pt>
                <c:pt idx="25">
                  <c:v>0.63784415815635342</c:v>
                </c:pt>
                <c:pt idx="26">
                  <c:v>0.63691014206550789</c:v>
                </c:pt>
                <c:pt idx="27">
                  <c:v>0.63644133846778872</c:v>
                </c:pt>
              </c:numCache>
            </c:numRef>
          </c:val>
          <c:smooth val="0"/>
          <c:extLst>
            <c:ext xmlns:c16="http://schemas.microsoft.com/office/drawing/2014/chart" uri="{C3380CC4-5D6E-409C-BE32-E72D297353CC}">
              <c16:uniqueId val="{00000001-8569-45C8-81BD-3CAFDD0CF182}"/>
            </c:ext>
          </c:extLst>
        </c:ser>
        <c:ser>
          <c:idx val="2"/>
          <c:order val="2"/>
          <c:tx>
            <c:v>Turbine ProRES</c:v>
          </c:tx>
          <c:spPr>
            <a:ln w="28575" cap="rnd">
              <a:solidFill>
                <a:schemeClr val="accent5">
                  <a:lumMod val="75000"/>
                </a:schemeClr>
              </a:solidFill>
              <a:prstDash val="sys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rates'!$J$84:$J$111</c:f>
              <c:numCache>
                <c:formatCode>0.0%</c:formatCode>
                <c:ptCount val="28"/>
                <c:pt idx="0" formatCode="0%">
                  <c:v>1</c:v>
                </c:pt>
                <c:pt idx="1">
                  <c:v>0.96121487606733802</c:v>
                </c:pt>
                <c:pt idx="2">
                  <c:v>0.92561830030186465</c:v>
                </c:pt>
                <c:pt idx="3">
                  <c:v>0.89294355529009528</c:v>
                </c:pt>
                <c:pt idx="4">
                  <c:v>0.86295199041400361</c:v>
                </c:pt>
                <c:pt idx="5">
                  <c:v>0.83542987021835402</c:v>
                </c:pt>
                <c:pt idx="6">
                  <c:v>0.81018562040281672</c:v>
                </c:pt>
                <c:pt idx="7">
                  <c:v>0.78704741790513333</c:v>
                </c:pt>
                <c:pt idx="8">
                  <c:v>0.76586107932081104</c:v>
                </c:pt>
                <c:pt idx="9">
                  <c:v>0.74648820848714714</c:v>
                </c:pt>
                <c:pt idx="10">
                  <c:v>0.72880456963992279</c:v>
                </c:pt>
                <c:pt idx="11">
                  <c:v>0.71269865729154469</c:v>
                </c:pt>
                <c:pt idx="12">
                  <c:v>0.69945898799934558</c:v>
                </c:pt>
                <c:pt idx="13">
                  <c:v>0.687452659889489</c:v>
                </c:pt>
                <c:pt idx="14">
                  <c:v>0.67776421489987404</c:v>
                </c:pt>
                <c:pt idx="15">
                  <c:v>0.6690511798800387</c:v>
                </c:pt>
                <c:pt idx="16">
                  <c:v>0.66315152261938848</c:v>
                </c:pt>
                <c:pt idx="17">
                  <c:v>0.65730388821863273</c:v>
                </c:pt>
                <c:pt idx="18">
                  <c:v>0.65244718592411233</c:v>
                </c:pt>
                <c:pt idx="19">
                  <c:v>0.64762636894474124</c:v>
                </c:pt>
                <c:pt idx="20">
                  <c:v>0.64284117213026626</c:v>
                </c:pt>
                <c:pt idx="21">
                  <c:v>0.63902016647935567</c:v>
                </c:pt>
                <c:pt idx="22">
                  <c:v>0.63522187263474694</c:v>
                </c:pt>
                <c:pt idx="23">
                  <c:v>0.63237420421815171</c:v>
                </c:pt>
                <c:pt idx="24">
                  <c:v>0.62953930175902773</c:v>
                </c:pt>
                <c:pt idx="25">
                  <c:v>0.62671710802821545</c:v>
                </c:pt>
                <c:pt idx="26">
                  <c:v>0.62483348787699611</c:v>
                </c:pt>
                <c:pt idx="27">
                  <c:v>0.62388915337842632</c:v>
                </c:pt>
              </c:numCache>
            </c:numRef>
          </c:val>
          <c:smooth val="0"/>
          <c:extLst>
            <c:ext xmlns:c16="http://schemas.microsoft.com/office/drawing/2014/chart" uri="{C3380CC4-5D6E-409C-BE32-E72D297353CC}">
              <c16:uniqueId val="{00000002-8569-45C8-81BD-3CAFDD0CF182}"/>
            </c:ext>
          </c:extLst>
        </c:ser>
        <c:ser>
          <c:idx val="3"/>
          <c:order val="3"/>
          <c:tx>
            <c:v>Turbine reference</c:v>
          </c:tx>
          <c:spPr>
            <a:ln w="28575" cap="rnd">
              <a:solidFill>
                <a:schemeClr val="accent6">
                  <a:lumMod val="75000"/>
                </a:schemeClr>
              </a:solidFill>
              <a:prstDash val="sys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rates'!$L$84:$L$111</c:f>
              <c:numCache>
                <c:formatCode>0%</c:formatCode>
                <c:ptCount val="28"/>
                <c:pt idx="0">
                  <c:v>1</c:v>
                </c:pt>
                <c:pt idx="1">
                  <c:v>0.97790091744850682</c:v>
                </c:pt>
                <c:pt idx="2">
                  <c:v>0.95629020434663137</c:v>
                </c:pt>
                <c:pt idx="3">
                  <c:v>0.93515706817759092</c:v>
                </c:pt>
                <c:pt idx="4">
                  <c:v>0.91449095492932198</c:v>
                </c:pt>
                <c:pt idx="5">
                  <c:v>0.89428154382374503</c:v>
                </c:pt>
                <c:pt idx="6">
                  <c:v>0.88006594415186457</c:v>
                </c:pt>
                <c:pt idx="7">
                  <c:v>0.86607631724597356</c:v>
                </c:pt>
                <c:pt idx="8">
                  <c:v>0.85230907101765174</c:v>
                </c:pt>
                <c:pt idx="9">
                  <c:v>0.83876067047871894</c:v>
                </c:pt>
                <c:pt idx="10">
                  <c:v>0.82542763683356357</c:v>
                </c:pt>
                <c:pt idx="11">
                  <c:v>0.81601793563786695</c:v>
                </c:pt>
                <c:pt idx="12">
                  <c:v>0.80760223568165801</c:v>
                </c:pt>
                <c:pt idx="13">
                  <c:v>0.79927332794245787</c:v>
                </c:pt>
                <c:pt idx="14">
                  <c:v>0.79190782727268783</c:v>
                </c:pt>
                <c:pt idx="15">
                  <c:v>0.78461020150655814</c:v>
                </c:pt>
                <c:pt idx="16">
                  <c:v>0.78123429838756375</c:v>
                </c:pt>
                <c:pt idx="17">
                  <c:v>0.77787292059827695</c:v>
                </c:pt>
                <c:pt idx="18">
                  <c:v>0.77506947398421755</c:v>
                </c:pt>
                <c:pt idx="19">
                  <c:v>0.77227613096511527</c:v>
                </c:pt>
                <c:pt idx="20">
                  <c:v>0.76949285512771004</c:v>
                </c:pt>
                <c:pt idx="21">
                  <c:v>0.76726275109032982</c:v>
                </c:pt>
                <c:pt idx="22">
                  <c:v>0.76503911022409454</c:v>
                </c:pt>
                <c:pt idx="23">
                  <c:v>0.76336751659499658</c:v>
                </c:pt>
                <c:pt idx="24">
                  <c:v>0.76169957536121213</c:v>
                </c:pt>
                <c:pt idx="25">
                  <c:v>0.76003527854233777</c:v>
                </c:pt>
                <c:pt idx="26">
                  <c:v>0.75892233399202524</c:v>
                </c:pt>
                <c:pt idx="27">
                  <c:v>0.75836372219254744</c:v>
                </c:pt>
              </c:numCache>
            </c:numRef>
          </c:val>
          <c:smooth val="0"/>
          <c:extLst>
            <c:ext xmlns:c16="http://schemas.microsoft.com/office/drawing/2014/chart" uri="{C3380CC4-5D6E-409C-BE32-E72D297353CC}">
              <c16:uniqueId val="{00000003-8569-45C8-81BD-3CAFDD0CF182}"/>
            </c:ext>
          </c:extLst>
        </c:ser>
        <c:ser>
          <c:idx val="4"/>
          <c:order val="4"/>
          <c:tx>
            <c:v>Floating ProRES</c:v>
          </c:tx>
          <c:spPr>
            <a:ln w="28575" cap="rnd">
              <a:solidFill>
                <a:schemeClr val="accent5"/>
              </a:solidFill>
              <a:prstDash val="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rates'!$N$84:$N$111</c:f>
              <c:numCache>
                <c:formatCode>General</c:formatCode>
                <c:ptCount val="28"/>
                <c:pt idx="12" formatCode="0%">
                  <c:v>1</c:v>
                </c:pt>
                <c:pt idx="13" formatCode="0%">
                  <c:v>0.91900618378791876</c:v>
                </c:pt>
                <c:pt idx="14" formatCode="0%">
                  <c:v>0.84457236584043394</c:v>
                </c:pt>
                <c:pt idx="15" formatCode="0%">
                  <c:v>0.77616722686375117</c:v>
                </c:pt>
                <c:pt idx="16" formatCode="0%">
                  <c:v>0.71687164003383919</c:v>
                </c:pt>
                <c:pt idx="17" formatCode="0%">
                  <c:v>0.66823332927866463</c:v>
                </c:pt>
                <c:pt idx="18" formatCode="0%">
                  <c:v>0.62687707905093648</c:v>
                </c:pt>
                <c:pt idx="19" formatCode="0%">
                  <c:v>0.59165573172143426</c:v>
                </c:pt>
                <c:pt idx="20" formatCode="0%">
                  <c:v>0.56278981701852482</c:v>
                </c:pt>
                <c:pt idx="21" formatCode="0%">
                  <c:v>0.53819038912084827</c:v>
                </c:pt>
                <c:pt idx="22" formatCode="0%">
                  <c:v>0.51725747683608836</c:v>
                </c:pt>
                <c:pt idx="23" formatCode="0%">
                  <c:v>0.50033947586989547</c:v>
                </c:pt>
                <c:pt idx="24" formatCode="0%">
                  <c:v>0.48682977499712898</c:v>
                </c:pt>
                <c:pt idx="25" formatCode="0%">
                  <c:v>0.47622274241501322</c:v>
                </c:pt>
                <c:pt idx="26" formatCode="0%">
                  <c:v>0.46808943602904018</c:v>
                </c:pt>
                <c:pt idx="27" formatCode="0%">
                  <c:v>0.4613569037366026</c:v>
                </c:pt>
              </c:numCache>
            </c:numRef>
          </c:val>
          <c:smooth val="0"/>
          <c:extLst>
            <c:ext xmlns:c16="http://schemas.microsoft.com/office/drawing/2014/chart" uri="{C3380CC4-5D6E-409C-BE32-E72D297353CC}">
              <c16:uniqueId val="{00000004-8569-45C8-81BD-3CAFDD0CF182}"/>
            </c:ext>
          </c:extLst>
        </c:ser>
        <c:ser>
          <c:idx val="5"/>
          <c:order val="5"/>
          <c:tx>
            <c:v>Floating reference</c:v>
          </c:tx>
          <c:spPr>
            <a:ln w="28575" cap="rnd">
              <a:solidFill>
                <a:schemeClr val="accent6">
                  <a:lumMod val="75000"/>
                </a:schemeClr>
              </a:solidFill>
              <a:prstDash val="dash"/>
              <a:round/>
            </a:ln>
            <a:effectLst/>
          </c:spPr>
          <c:marker>
            <c:symbol val="none"/>
          </c:marker>
          <c:cat>
            <c:numRef>
              <c:f>'Learning rates'!$B$84:$B$111</c:f>
              <c:numCache>
                <c:formatCode>General</c:formatCode>
                <c:ptCount val="2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pt idx="18">
                  <c:v>2041</c:v>
                </c:pt>
                <c:pt idx="19">
                  <c:v>2042</c:v>
                </c:pt>
                <c:pt idx="20">
                  <c:v>2043</c:v>
                </c:pt>
                <c:pt idx="21">
                  <c:v>2044</c:v>
                </c:pt>
                <c:pt idx="22">
                  <c:v>2045</c:v>
                </c:pt>
                <c:pt idx="23">
                  <c:v>2046</c:v>
                </c:pt>
                <c:pt idx="24">
                  <c:v>2047</c:v>
                </c:pt>
                <c:pt idx="25">
                  <c:v>2048</c:v>
                </c:pt>
                <c:pt idx="26">
                  <c:v>2049</c:v>
                </c:pt>
                <c:pt idx="27">
                  <c:v>2050</c:v>
                </c:pt>
              </c:numCache>
            </c:numRef>
          </c:cat>
          <c:val>
            <c:numRef>
              <c:f>'Learning rates'!$P$84:$P$111</c:f>
              <c:numCache>
                <c:formatCode>General</c:formatCode>
                <c:ptCount val="28"/>
                <c:pt idx="12" formatCode="0%">
                  <c:v>1</c:v>
                </c:pt>
                <c:pt idx="13" formatCode="0%">
                  <c:v>0.9403385548632891</c:v>
                </c:pt>
                <c:pt idx="14" formatCode="0%">
                  <c:v>0.88423659776237895</c:v>
                </c:pt>
                <c:pt idx="15" formatCode="0%">
                  <c:v>0.83148176449710687</c:v>
                </c:pt>
                <c:pt idx="16" formatCode="0%">
                  <c:v>0.784721797403236</c:v>
                </c:pt>
                <c:pt idx="17" formatCode="0%">
                  <c:v>0.75481607978163512</c:v>
                </c:pt>
                <c:pt idx="18" formatCode="0%">
                  <c:v>0.72702335862645706</c:v>
                </c:pt>
                <c:pt idx="19" formatCode="0%">
                  <c:v>0.70120023527942521</c:v>
                </c:pt>
                <c:pt idx="20" formatCode="0%">
                  <c:v>0.67814568102079043</c:v>
                </c:pt>
                <c:pt idx="21" formatCode="0%">
                  <c:v>0.65675727966326647</c:v>
                </c:pt>
                <c:pt idx="22" formatCode="0%">
                  <c:v>0.64250993579003257</c:v>
                </c:pt>
                <c:pt idx="23" formatCode="0%">
                  <c:v>0.62984379762691545</c:v>
                </c:pt>
                <c:pt idx="24" formatCode="0%">
                  <c:v>0.61869831407421305</c:v>
                </c:pt>
                <c:pt idx="25" formatCode="0%">
                  <c:v>0.60902287779061159</c:v>
                </c:pt>
                <c:pt idx="26" formatCode="0%">
                  <c:v>0.60077653642793605</c:v>
                </c:pt>
                <c:pt idx="27" formatCode="0%">
                  <c:v>0.59655416200121225</c:v>
                </c:pt>
              </c:numCache>
            </c:numRef>
          </c:val>
          <c:smooth val="0"/>
          <c:extLst>
            <c:ext xmlns:c16="http://schemas.microsoft.com/office/drawing/2014/chart" uri="{C3380CC4-5D6E-409C-BE32-E72D297353CC}">
              <c16:uniqueId val="{00000005-8569-45C8-81BD-3CAFDD0CF182}"/>
            </c:ext>
          </c:extLst>
        </c:ser>
        <c:dLbls>
          <c:showLegendKey val="0"/>
          <c:showVal val="0"/>
          <c:showCatName val="0"/>
          <c:showSerName val="0"/>
          <c:showPercent val="0"/>
          <c:showBubbleSize val="0"/>
        </c:dLbls>
        <c:smooth val="0"/>
        <c:axId val="593526952"/>
        <c:axId val="593529576"/>
      </c:lineChart>
      <c:catAx>
        <c:axId val="593526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593529576"/>
        <c:crosses val="autoZero"/>
        <c:auto val="1"/>
        <c:lblAlgn val="ctr"/>
        <c:lblOffset val="100"/>
        <c:noMultiLvlLbl val="0"/>
      </c:catAx>
      <c:valAx>
        <c:axId val="593529576"/>
        <c:scaling>
          <c:orientation val="minMax"/>
          <c:max val="1"/>
          <c:min val="0.4"/>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59352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nl-NL" b="1">
                <a:solidFill>
                  <a:sysClr val="windowText" lastClr="000000"/>
                </a:solidFill>
              </a:rPr>
              <a:t>Historic and scenario</a:t>
            </a:r>
            <a:r>
              <a:rPr lang="nl-NL" b="1" baseline="0">
                <a:solidFill>
                  <a:sysClr val="windowText" lastClr="000000"/>
                </a:solidFill>
              </a:rPr>
              <a:t> installed capacity - world wide</a:t>
            </a:r>
            <a:endParaRPr lang="nl-NL" b="1">
              <a:solidFill>
                <a:sysClr val="windowText" lastClr="000000"/>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v>On- + Offshore</c:v>
          </c:tx>
          <c:spPr>
            <a:ln w="28575" cap="rnd">
              <a:solidFill>
                <a:schemeClr val="accent1"/>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rates'!$W$69:$W$111</c:f>
              <c:numCache>
                <c:formatCode>0</c:formatCode>
                <c:ptCount val="4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pt idx="13">
                  <c:v>804.1</c:v>
                </c:pt>
                <c:pt idx="14">
                  <c:v>884.5100000000001</c:v>
                </c:pt>
                <c:pt idx="15">
                  <c:v>972.96100000000024</c:v>
                </c:pt>
                <c:pt idx="16">
                  <c:v>1070.2571000000003</c:v>
                </c:pt>
                <c:pt idx="17">
                  <c:v>1177.2828100000004</c:v>
                </c:pt>
                <c:pt idx="18">
                  <c:v>1295.0110910000005</c:v>
                </c:pt>
                <c:pt idx="19">
                  <c:v>1424.5122001000007</c:v>
                </c:pt>
                <c:pt idx="20">
                  <c:v>1566.9634201100009</c:v>
                </c:pt>
                <c:pt idx="21">
                  <c:v>1723.6597621210012</c:v>
                </c:pt>
                <c:pt idx="22">
                  <c:v>1896.0257383331016</c:v>
                </c:pt>
                <c:pt idx="23">
                  <c:v>2085.6283121664119</c:v>
                </c:pt>
                <c:pt idx="24">
                  <c:v>2294.1911433830533</c:v>
                </c:pt>
                <c:pt idx="25">
                  <c:v>2523.6102577213587</c:v>
                </c:pt>
                <c:pt idx="26">
                  <c:v>2775.9712834934949</c:v>
                </c:pt>
                <c:pt idx="27">
                  <c:v>3025.8086990079096</c:v>
                </c:pt>
                <c:pt idx="28">
                  <c:v>3298.1314819186218</c:v>
                </c:pt>
                <c:pt idx="29">
                  <c:v>3561.9820004721118</c:v>
                </c:pt>
                <c:pt idx="30">
                  <c:v>3846.9405605098809</c:v>
                </c:pt>
                <c:pt idx="31">
                  <c:v>4077.756994140474</c:v>
                </c:pt>
                <c:pt idx="32">
                  <c:v>4322.4224137889023</c:v>
                </c:pt>
                <c:pt idx="33">
                  <c:v>4538.5435344783473</c:v>
                </c:pt>
                <c:pt idx="34">
                  <c:v>4765.4707112022652</c:v>
                </c:pt>
                <c:pt idx="35">
                  <c:v>5003.7442467623787</c:v>
                </c:pt>
                <c:pt idx="36">
                  <c:v>5203.8940166328739</c:v>
                </c:pt>
                <c:pt idx="37">
                  <c:v>5412.0497772981889</c:v>
                </c:pt>
                <c:pt idx="38">
                  <c:v>5574.4112706171345</c:v>
                </c:pt>
                <c:pt idx="39">
                  <c:v>5741.6436087356487</c:v>
                </c:pt>
                <c:pt idx="40">
                  <c:v>5913.8929169977182</c:v>
                </c:pt>
                <c:pt idx="41">
                  <c:v>6032.1707753376722</c:v>
                </c:pt>
                <c:pt idx="42">
                  <c:v>6092.4924830910486</c:v>
                </c:pt>
              </c:numCache>
            </c:numRef>
          </c:val>
          <c:smooth val="0"/>
          <c:extLst>
            <c:ext xmlns:c16="http://schemas.microsoft.com/office/drawing/2014/chart" uri="{C3380CC4-5D6E-409C-BE32-E72D297353CC}">
              <c16:uniqueId val="{00000000-E7BF-4A5B-A29E-7D25DCFA7C8F}"/>
            </c:ext>
          </c:extLst>
        </c:ser>
        <c:ser>
          <c:idx val="1"/>
          <c:order val="1"/>
          <c:tx>
            <c:v>Floating</c:v>
          </c:tx>
          <c:spPr>
            <a:ln w="28575" cap="rnd">
              <a:solidFill>
                <a:schemeClr val="accent2"/>
              </a:solidFill>
              <a:round/>
            </a:ln>
            <a:effectLst/>
          </c:spPr>
          <c:marker>
            <c:symbol val="none"/>
          </c:marker>
          <c:cat>
            <c:numRef>
              <c:f>'Learning rates'!$B$69:$B$111</c:f>
              <c:numCache>
                <c:formatCode>General</c:formatCode>
                <c:ptCount val="43"/>
                <c:pt idx="0">
                  <c:v>2008</c:v>
                </c:pt>
                <c:pt idx="1">
                  <c:v>2009</c:v>
                </c:pt>
                <c:pt idx="2">
                  <c:v>2010</c:v>
                </c:pt>
                <c:pt idx="3">
                  <c:v>2011</c:v>
                </c:pt>
                <c:pt idx="4">
                  <c:v>2012</c:v>
                </c:pt>
                <c:pt idx="5">
                  <c:v>2013</c:v>
                </c:pt>
                <c:pt idx="6">
                  <c:v>2014</c:v>
                </c:pt>
                <c:pt idx="7">
                  <c:v>2015</c:v>
                </c:pt>
                <c:pt idx="8">
                  <c:v>2016</c:v>
                </c:pt>
                <c:pt idx="9">
                  <c:v>2017</c:v>
                </c:pt>
                <c:pt idx="10">
                  <c:v>2018</c:v>
                </c:pt>
                <c:pt idx="11">
                  <c:v>2019</c:v>
                </c:pt>
                <c:pt idx="12">
                  <c:v>2020</c:v>
                </c:pt>
                <c:pt idx="13">
                  <c:v>2021</c:v>
                </c:pt>
                <c:pt idx="14">
                  <c:v>2022</c:v>
                </c:pt>
                <c:pt idx="15">
                  <c:v>2023</c:v>
                </c:pt>
                <c:pt idx="16">
                  <c:v>2024</c:v>
                </c:pt>
                <c:pt idx="17">
                  <c:v>2025</c:v>
                </c:pt>
                <c:pt idx="18">
                  <c:v>2026</c:v>
                </c:pt>
                <c:pt idx="19">
                  <c:v>2027</c:v>
                </c:pt>
                <c:pt idx="20">
                  <c:v>2028</c:v>
                </c:pt>
                <c:pt idx="21">
                  <c:v>2029</c:v>
                </c:pt>
                <c:pt idx="22">
                  <c:v>2030</c:v>
                </c:pt>
                <c:pt idx="23">
                  <c:v>2031</c:v>
                </c:pt>
                <c:pt idx="24">
                  <c:v>2032</c:v>
                </c:pt>
                <c:pt idx="25">
                  <c:v>2033</c:v>
                </c:pt>
                <c:pt idx="26">
                  <c:v>2034</c:v>
                </c:pt>
                <c:pt idx="27">
                  <c:v>2035</c:v>
                </c:pt>
                <c:pt idx="28">
                  <c:v>2036</c:v>
                </c:pt>
                <c:pt idx="29">
                  <c:v>2037</c:v>
                </c:pt>
                <c:pt idx="30">
                  <c:v>2038</c:v>
                </c:pt>
                <c:pt idx="31">
                  <c:v>2039</c:v>
                </c:pt>
                <c:pt idx="32">
                  <c:v>2040</c:v>
                </c:pt>
                <c:pt idx="33">
                  <c:v>2041</c:v>
                </c:pt>
                <c:pt idx="34">
                  <c:v>2042</c:v>
                </c:pt>
                <c:pt idx="35">
                  <c:v>2043</c:v>
                </c:pt>
                <c:pt idx="36">
                  <c:v>2044</c:v>
                </c:pt>
                <c:pt idx="37">
                  <c:v>2045</c:v>
                </c:pt>
                <c:pt idx="38">
                  <c:v>2046</c:v>
                </c:pt>
                <c:pt idx="39">
                  <c:v>2047</c:v>
                </c:pt>
                <c:pt idx="40">
                  <c:v>2048</c:v>
                </c:pt>
                <c:pt idx="41">
                  <c:v>2049</c:v>
                </c:pt>
                <c:pt idx="42">
                  <c:v>2050</c:v>
                </c:pt>
              </c:numCache>
            </c:numRef>
          </c:cat>
          <c:val>
            <c:numRef>
              <c:f>'Learning rates'!$U$69:$U$111</c:f>
              <c:numCache>
                <c:formatCode>0</c:formatCode>
                <c:ptCount val="43"/>
                <c:pt idx="17">
                  <c:v>0.1</c:v>
                </c:pt>
                <c:pt idx="18">
                  <c:v>1</c:v>
                </c:pt>
                <c:pt idx="19">
                  <c:v>2</c:v>
                </c:pt>
                <c:pt idx="20">
                  <c:v>4</c:v>
                </c:pt>
                <c:pt idx="21">
                  <c:v>8</c:v>
                </c:pt>
                <c:pt idx="22">
                  <c:v>12</c:v>
                </c:pt>
                <c:pt idx="23">
                  <c:v>15.600000000000001</c:v>
                </c:pt>
                <c:pt idx="24">
                  <c:v>20.28</c:v>
                </c:pt>
                <c:pt idx="25">
                  <c:v>26.364000000000001</c:v>
                </c:pt>
                <c:pt idx="26">
                  <c:v>33.745919999999998</c:v>
                </c:pt>
                <c:pt idx="27">
                  <c:v>42.519859199999999</c:v>
                </c:pt>
                <c:pt idx="28">
                  <c:v>53.149823999999995</c:v>
                </c:pt>
                <c:pt idx="29">
                  <c:v>65.905781759999996</c:v>
                </c:pt>
                <c:pt idx="30">
                  <c:v>80.4050537472</c:v>
                </c:pt>
                <c:pt idx="31">
                  <c:v>97.290115034111992</c:v>
                </c:pt>
                <c:pt idx="32">
                  <c:v>116.74813804093438</c:v>
                </c:pt>
                <c:pt idx="33">
                  <c:v>137.76280288830256</c:v>
                </c:pt>
                <c:pt idx="34">
                  <c:v>159.80485135043097</c:v>
                </c:pt>
                <c:pt idx="35">
                  <c:v>182.17753053949133</c:v>
                </c:pt>
                <c:pt idx="36">
                  <c:v>204.03883420423031</c:v>
                </c:pt>
                <c:pt idx="37">
                  <c:v>224.44271762465337</c:v>
                </c:pt>
                <c:pt idx="38">
                  <c:v>246.88698938711872</c:v>
                </c:pt>
                <c:pt idx="39">
                  <c:v>271.57568832583058</c:v>
                </c:pt>
                <c:pt idx="40">
                  <c:v>298.73325715841366</c:v>
                </c:pt>
                <c:pt idx="41">
                  <c:v>328.60658287425508</c:v>
                </c:pt>
                <c:pt idx="42">
                  <c:v>361.46724116168065</c:v>
                </c:pt>
              </c:numCache>
            </c:numRef>
          </c:val>
          <c:smooth val="0"/>
          <c:extLst>
            <c:ext xmlns:c16="http://schemas.microsoft.com/office/drawing/2014/chart" uri="{C3380CC4-5D6E-409C-BE32-E72D297353CC}">
              <c16:uniqueId val="{00000001-E7BF-4A5B-A29E-7D25DCFA7C8F}"/>
            </c:ext>
          </c:extLst>
        </c:ser>
        <c:ser>
          <c:idx val="2"/>
          <c:order val="2"/>
          <c:tx>
            <c:v>Offshore total</c:v>
          </c:tx>
          <c:spPr>
            <a:ln w="28575" cap="rnd">
              <a:solidFill>
                <a:schemeClr val="accent6">
                  <a:lumMod val="75000"/>
                </a:schemeClr>
              </a:solidFill>
              <a:round/>
            </a:ln>
            <a:effectLst/>
          </c:spPr>
          <c:marker>
            <c:symbol val="none"/>
          </c:marker>
          <c:val>
            <c:numRef>
              <c:f>'Learning rates'!$S$69:$S$111</c:f>
              <c:numCache>
                <c:formatCode>General</c:formatCode>
                <c:ptCount val="43"/>
                <c:pt idx="12" formatCode="0">
                  <c:v>35</c:v>
                </c:pt>
                <c:pt idx="13" formatCode="0">
                  <c:v>45.5</c:v>
                </c:pt>
                <c:pt idx="14" formatCode="0">
                  <c:v>58.24</c:v>
                </c:pt>
                <c:pt idx="15" formatCode="0">
                  <c:v>73.382400000000004</c:v>
                </c:pt>
                <c:pt idx="16" formatCode="0">
                  <c:v>91.728000000000009</c:v>
                </c:pt>
                <c:pt idx="17" formatCode="0">
                  <c:v>113.74272000000001</c:v>
                </c:pt>
                <c:pt idx="18" formatCode="0">
                  <c:v>139.9035456</c:v>
                </c:pt>
                <c:pt idx="19" formatCode="0">
                  <c:v>170.68232563199999</c:v>
                </c:pt>
                <c:pt idx="20" formatCode="0">
                  <c:v>206.52561401471999</c:v>
                </c:pt>
                <c:pt idx="21" formatCode="0">
                  <c:v>247.83073681766399</c:v>
                </c:pt>
                <c:pt idx="22" formatCode="0">
                  <c:v>292.44026944484347</c:v>
                </c:pt>
                <c:pt idx="23" formatCode="0">
                  <c:v>339.23071255601837</c:v>
                </c:pt>
                <c:pt idx="24" formatCode="0">
                  <c:v>386.72301231386098</c:v>
                </c:pt>
                <c:pt idx="25" formatCode="0">
                  <c:v>433.12977379152431</c:v>
                </c:pt>
                <c:pt idx="26" formatCode="0">
                  <c:v>476.44275117067679</c:v>
                </c:pt>
                <c:pt idx="27" formatCode="0">
                  <c:v>519.32259877603769</c:v>
                </c:pt>
                <c:pt idx="28" formatCode="0">
                  <c:v>566.06163266588112</c:v>
                </c:pt>
                <c:pt idx="29" formatCode="0">
                  <c:v>611.34656327915161</c:v>
                </c:pt>
                <c:pt idx="30" formatCode="0">
                  <c:v>660.25428834148374</c:v>
                </c:pt>
                <c:pt idx="31" formatCode="0">
                  <c:v>699.86954564197276</c:v>
                </c:pt>
                <c:pt idx="32" formatCode="0">
                  <c:v>741.8617183804912</c:v>
                </c:pt>
                <c:pt idx="33" formatCode="0">
                  <c:v>778.95480429951579</c:v>
                </c:pt>
                <c:pt idx="34" formatCode="0">
                  <c:v>817.90254451449164</c:v>
                </c:pt>
                <c:pt idx="35" formatCode="0">
                  <c:v>858.79767174021629</c:v>
                </c:pt>
                <c:pt idx="36" formatCode="0">
                  <c:v>893.14957860982497</c:v>
                </c:pt>
                <c:pt idx="37" formatCode="0">
                  <c:v>928.87556175421798</c:v>
                </c:pt>
                <c:pt idx="38" formatCode="0">
                  <c:v>956.74182860684459</c:v>
                </c:pt>
                <c:pt idx="39" formatCode="0">
                  <c:v>985.44408346504997</c:v>
                </c:pt>
                <c:pt idx="40" formatCode="0">
                  <c:v>1015.0074059690015</c:v>
                </c:pt>
                <c:pt idx="41" formatCode="0">
                  <c:v>1035.3075540883815</c:v>
                </c:pt>
                <c:pt idx="42" formatCode="0">
                  <c:v>1045.6606296292653</c:v>
                </c:pt>
              </c:numCache>
            </c:numRef>
          </c:val>
          <c:smooth val="0"/>
          <c:extLst>
            <c:ext xmlns:c16="http://schemas.microsoft.com/office/drawing/2014/chart" uri="{C3380CC4-5D6E-409C-BE32-E72D297353CC}">
              <c16:uniqueId val="{00000002-E7BF-4A5B-A29E-7D25DCFA7C8F}"/>
            </c:ext>
          </c:extLst>
        </c:ser>
        <c:ser>
          <c:idx val="3"/>
          <c:order val="3"/>
          <c:tx>
            <c:v>Historic on- + offshore</c:v>
          </c:tx>
          <c:spPr>
            <a:ln w="28575" cap="rnd">
              <a:solidFill>
                <a:schemeClr val="accent1"/>
              </a:solidFill>
              <a:round/>
            </a:ln>
            <a:effectLst/>
          </c:spPr>
          <c:marker>
            <c:symbol val="circle"/>
            <c:size val="5"/>
            <c:spPr>
              <a:solidFill>
                <a:schemeClr val="accent2"/>
              </a:solidFill>
              <a:ln w="9525">
                <a:solidFill>
                  <a:schemeClr val="accent4"/>
                </a:solidFill>
              </a:ln>
              <a:effectLst/>
            </c:spPr>
          </c:marker>
          <c:val>
            <c:numRef>
              <c:f>'Learning rates'!$W$69:$W$81</c:f>
              <c:numCache>
                <c:formatCode>0</c:formatCode>
                <c:ptCount val="13"/>
                <c:pt idx="0">
                  <c:v>115.56307999999996</c:v>
                </c:pt>
                <c:pt idx="1">
                  <c:v>150.11857299999997</c:v>
                </c:pt>
                <c:pt idx="2">
                  <c:v>180.849289</c:v>
                </c:pt>
                <c:pt idx="3">
                  <c:v>220.01909000000006</c:v>
                </c:pt>
                <c:pt idx="4">
                  <c:v>266.90755000000001</c:v>
                </c:pt>
                <c:pt idx="5">
                  <c:v>299.91860500000007</c:v>
                </c:pt>
                <c:pt idx="6">
                  <c:v>349.29990700000008</c:v>
                </c:pt>
                <c:pt idx="7">
                  <c:v>416.24831700000027</c:v>
                </c:pt>
                <c:pt idx="8">
                  <c:v>466.86423000000019</c:v>
                </c:pt>
                <c:pt idx="9">
                  <c:v>514.37380000000007</c:v>
                </c:pt>
                <c:pt idx="10">
                  <c:v>563.8298530000003</c:v>
                </c:pt>
                <c:pt idx="11">
                  <c:v>622.2488470000003</c:v>
                </c:pt>
                <c:pt idx="12" formatCode="General">
                  <c:v>731</c:v>
                </c:pt>
              </c:numCache>
            </c:numRef>
          </c:val>
          <c:smooth val="0"/>
          <c:extLst>
            <c:ext xmlns:c16="http://schemas.microsoft.com/office/drawing/2014/chart" uri="{C3380CC4-5D6E-409C-BE32-E72D297353CC}">
              <c16:uniqueId val="{00000005-E7BF-4A5B-A29E-7D25DCFA7C8F}"/>
            </c:ext>
          </c:extLst>
        </c:ser>
        <c:dLbls>
          <c:showLegendKey val="0"/>
          <c:showVal val="0"/>
          <c:showCatName val="0"/>
          <c:showSerName val="0"/>
          <c:showPercent val="0"/>
          <c:showBubbleSize val="0"/>
        </c:dLbls>
        <c:smooth val="0"/>
        <c:axId val="482877536"/>
        <c:axId val="482880160"/>
      </c:lineChart>
      <c:catAx>
        <c:axId val="482877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880160"/>
        <c:crosses val="autoZero"/>
        <c:auto val="1"/>
        <c:lblAlgn val="ctr"/>
        <c:lblOffset val="100"/>
        <c:noMultiLvlLbl val="0"/>
      </c:catAx>
      <c:valAx>
        <c:axId val="48288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r>
                  <a:rPr lang="en-US" sz="1400" b="1">
                    <a:solidFill>
                      <a:sysClr val="windowText" lastClr="000000"/>
                    </a:solidFill>
                  </a:rPr>
                  <a:t>GW</a:t>
                </a:r>
              </a:p>
            </c:rich>
          </c:tx>
          <c:overlay val="0"/>
          <c:spPr>
            <a:noFill/>
            <a:ln>
              <a:noFill/>
            </a:ln>
            <a:effectLst/>
          </c:spPr>
          <c:txPr>
            <a:bodyPr rot="-54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n-US"/>
          </a:p>
        </c:txPr>
        <c:crossAx val="482877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3" dropStyle="combo" dx="22" fmlaLink="N24" fmlaRange="'Learning rates'!$C$7:$C$9" sel="1" val="0"/>
</file>

<file path=xl/ctrlProps/ctrlProp2.xml><?xml version="1.0" encoding="utf-8"?>
<formControlPr xmlns="http://schemas.microsoft.com/office/spreadsheetml/2009/9/main" objectType="Drop" dropLines="3" dropStyle="combo" dx="22" fmlaLink="N25" fmlaRange="'Learning rates'!$C$7:$C$9" sel="1" val="0"/>
</file>

<file path=xl/ctrlProps/ctrlProp3.xml><?xml version="1.0" encoding="utf-8"?>
<formControlPr xmlns="http://schemas.microsoft.com/office/spreadsheetml/2009/9/main" objectType="Drop" dropLines="3" dropStyle="combo" dx="22" fmlaLink="N27" fmlaRange="'Learning rates'!$C$4:$C$6" sel="2" val="0"/>
</file>

<file path=xl/ctrlProps/ctrlProp4.xml><?xml version="1.0" encoding="utf-8"?>
<formControlPr xmlns="http://schemas.microsoft.com/office/spreadsheetml/2009/9/main" objectType="Drop" dropLines="3" dropStyle="combo" dx="22" fmlaLink="N31" fmlaRange="'Learning rates'!$C$4:$C$6" sel="1" val="0"/>
</file>

<file path=xl/ctrlProps/ctrlProp5.xml><?xml version="1.0" encoding="utf-8"?>
<formControlPr xmlns="http://schemas.microsoft.com/office/spreadsheetml/2009/9/main" objectType="Drop" dropLines="3" dropStyle="combo" dx="22" fmlaLink="N32" fmlaRange="'Learning rates'!$C$4:$C$6" sel="1" val="0"/>
</file>

<file path=xl/ctrlProps/ctrlProp6.xml><?xml version="1.0" encoding="utf-8"?>
<formControlPr xmlns="http://schemas.microsoft.com/office/spreadsheetml/2009/9/main" objectType="Drop" dropLines="3" dropStyle="combo" dx="22" fmlaLink="N12" fmlaRange="'Learning rates'!$C$4:$C$6" sel="3" val="0"/>
</file>

<file path=xl/ctrlProps/ctrlProp7.xml><?xml version="1.0" encoding="utf-8"?>
<formControlPr xmlns="http://schemas.microsoft.com/office/spreadsheetml/2009/9/main" objectType="Drop" dropLines="3" dropStyle="combo" dx="22" fmlaLink="N14" fmlaRange="'Learning rates'!$C$4:$C$6" sel="3" val="0"/>
</file>

<file path=xl/ctrlProps/ctrlProp8.xml><?xml version="1.0" encoding="utf-8"?>
<formControlPr xmlns="http://schemas.microsoft.com/office/spreadsheetml/2009/9/main" objectType="Drop" dropLines="3" dropStyle="combo" dx="22" fmlaLink="N26" fmlaRange="'Learning rates'!$C$10:$C$12" sel="1" val="0"/>
</file>

<file path=xl/ctrlProps/ctrlProp9.xml><?xml version="1.0" encoding="utf-8"?>
<formControlPr xmlns="http://schemas.microsoft.com/office/spreadsheetml/2009/9/main" objectType="Drop" dropLines="3" dropStyle="combo" dx="22" fmlaLink="N28" fmlaRange="'Learning rates'!$C$4:$C$6" sel="2" val="0"/>
</file>

<file path=xl/ctrlProps/ctrlProp10.xml><?xml version="1.0" encoding="utf-8"?>
<formControlPr xmlns="http://schemas.microsoft.com/office/spreadsheetml/2009/9/main" objectType="Drop" dropLines="3" dropStyle="combo" dx="22" fmlaLink="N29" fmlaRange="'Learning rates'!$C$4:$C$6" sel="3" val="0"/>
</file>

<file path=xl/ctrlProps/ctrlProp11.xml><?xml version="1.0" encoding="utf-8"?>
<formControlPr xmlns="http://schemas.microsoft.com/office/spreadsheetml/2009/9/main" objectType="Drop" dropLines="3" dropStyle="combo" dx="22" fmlaLink="N38" fmlaRange="'Learning rates'!$C$4:$C$6" sel="3" val="0"/>
</file>

<file path=xl/ctrlProps/ctrlProp12.xml><?xml version="1.0" encoding="utf-8"?>
<formControlPr xmlns="http://schemas.microsoft.com/office/spreadsheetml/2009/9/main" objectType="Drop" dropLines="3" dropStyle="combo" dx="22" fmlaLink="N47" fmlaRange="'Learning rates'!$C$4:$C$6" sel="2" val="0"/>
</file>

<file path=xl/ctrlProps/ctrlProp13.xml><?xml version="1.0" encoding="utf-8"?>
<formControlPr xmlns="http://schemas.microsoft.com/office/spreadsheetml/2009/9/main" objectType="Drop" dropLines="3" dropStyle="combo" dx="22" fmlaLink="N48" fmlaRange="'Learning rates'!$C$4:$C$6" sel="3" val="0"/>
</file>

<file path=xl/ctrlProps/ctrlProp14.xml><?xml version="1.0" encoding="utf-8"?>
<formControlPr xmlns="http://schemas.microsoft.com/office/spreadsheetml/2009/9/main" objectType="Drop" dropLines="3" dropStyle="combo" dx="22" fmlaLink="N39" fmlaRange="'Learning rates'!$C$4:$C$6" sel="3" val="0"/>
</file>

<file path=xl/ctrlProps/ctrlProp15.xml><?xml version="1.0" encoding="utf-8"?>
<formControlPr xmlns="http://schemas.microsoft.com/office/spreadsheetml/2009/9/main" objectType="Drop" dropLines="3" dropStyle="combo" dx="22" fmlaLink="N46" fmlaRange="'Learning rates'!$C$4:$C$6" sel="3" val="0"/>
</file>

<file path=xl/ctrlProps/ctrlProp16.xml><?xml version="1.0" encoding="utf-8"?>
<formControlPr xmlns="http://schemas.microsoft.com/office/spreadsheetml/2009/9/main" objectType="Drop" dropLines="3" dropStyle="combo" dx="22" fmlaLink="N60" fmlaRange="'Learning rates'!$C$4:$C$6" sel="2" val="0"/>
</file>

<file path=xl/ctrlProps/ctrlProp17.xml><?xml version="1.0" encoding="utf-8"?>
<formControlPr xmlns="http://schemas.microsoft.com/office/spreadsheetml/2009/9/main" objectType="Drop" dropLines="3" dropStyle="combo" dx="22" fmlaLink="N61" fmlaRange="'Learning rates'!$C$4:$C$6" sel="2" val="0"/>
</file>

<file path=xl/ctrlProps/ctrlProp18.xml><?xml version="1.0" encoding="utf-8"?>
<formControlPr xmlns="http://schemas.microsoft.com/office/spreadsheetml/2009/9/main" objectType="Drop" dropLines="3" dropStyle="combo" dx="22" fmlaLink="N62" fmlaRange="'Learning rates'!$C$4:$C$6" sel="2" val="0"/>
</file>

<file path=xl/ctrlProps/ctrlProp19.xml><?xml version="1.0" encoding="utf-8"?>
<formControlPr xmlns="http://schemas.microsoft.com/office/spreadsheetml/2009/9/main" objectType="Drop" dropLines="3" dropStyle="combo" dx="22" fmlaLink="N63" fmlaRange="'Learning rates'!$C$4:$C$6" sel="2" val="0"/>
</file>

<file path=xl/ctrlProps/ctrlProp20.xml><?xml version="1.0" encoding="utf-8"?>
<formControlPr xmlns="http://schemas.microsoft.com/office/spreadsheetml/2009/9/main" objectType="Drop" dropLines="3" dropStyle="combo" dx="22" fmlaLink="N64" fmlaRange="'Learning rates'!$C$4:$C$6" sel="2" val="0"/>
</file>

<file path=xl/ctrlProps/ctrlProp21.xml><?xml version="1.0" encoding="utf-8"?>
<formControlPr xmlns="http://schemas.microsoft.com/office/spreadsheetml/2009/9/main" objectType="Drop" dropLines="3" dropStyle="combo" dx="22" fmlaLink="N65" fmlaRange="'Learning rates'!$C$4:$C$6" sel="2" val="0"/>
</file>

<file path=xl/ctrlProps/ctrlProp22.xml><?xml version="1.0" encoding="utf-8"?>
<formControlPr xmlns="http://schemas.microsoft.com/office/spreadsheetml/2009/9/main" objectType="Drop" dropLines="3" dropStyle="combo" dx="22" fmlaLink="N66" fmlaRange="'Learning rates'!$C$4:$C$6" sel="2" val="0"/>
</file>

<file path=xl/ctrlProps/ctrlProp23.xml><?xml version="1.0" encoding="utf-8"?>
<formControlPr xmlns="http://schemas.microsoft.com/office/spreadsheetml/2009/9/main" objectType="Drop" dropLines="3" dropStyle="combo" dx="22" fmlaLink="N67" fmlaRange="'Learning rates'!$C$4:$C$6" sel="2" val="0"/>
</file>

<file path=xl/ctrlProps/ctrlProp24.xml><?xml version="1.0" encoding="utf-8"?>
<formControlPr xmlns="http://schemas.microsoft.com/office/spreadsheetml/2009/9/main" objectType="Drop" dropLines="3" dropStyle="combo" dx="22" fmlaLink="N69" fmlaRange="'Learning rates'!$C$4:$C$6" sel="2" val="0"/>
</file>

<file path=xl/ctrlProps/ctrlProp25.xml><?xml version="1.0" encoding="utf-8"?>
<formControlPr xmlns="http://schemas.microsoft.com/office/spreadsheetml/2009/9/main" objectType="Drop" dropLines="3" dropStyle="combo" dx="22" fmlaLink="N70" fmlaRange="'Learning rates'!$C$4:$C$6" sel="2" val="0"/>
</file>

<file path=xl/ctrlProps/ctrlProp26.xml><?xml version="1.0" encoding="utf-8"?>
<formControlPr xmlns="http://schemas.microsoft.com/office/spreadsheetml/2009/9/main" objectType="Drop" dropLines="3" dropStyle="combo" dx="22" fmlaLink="N84" fmlaRange="'Learning rates'!$C$4:$C$6" noThreeD="1" sel="3" val="0"/>
</file>

<file path=xl/ctrlProps/ctrlProp27.xml><?xml version="1.0" encoding="utf-8"?>
<formControlPr xmlns="http://schemas.microsoft.com/office/spreadsheetml/2009/9/main" objectType="Drop" dropLines="3" dropStyle="combo" dx="22" fmlaLink="N86" fmlaRange="'Learning rates'!$C$4:$C$6" noThreeD="1" sel="3" val="0"/>
</file>

<file path=xl/ctrlProps/ctrlProp28.xml><?xml version="1.0" encoding="utf-8"?>
<formControlPr xmlns="http://schemas.microsoft.com/office/spreadsheetml/2009/9/main" objectType="Drop" dropLines="3" dropStyle="combo" dx="22" fmlaLink="N89" fmlaRange="'Learning rates'!$C$4:$C$6" noThreeD="1" sel="1" val="0"/>
</file>

<file path=xl/ctrlProps/ctrlProp29.xml><?xml version="1.0" encoding="utf-8"?>
<formControlPr xmlns="http://schemas.microsoft.com/office/spreadsheetml/2009/9/main" objectType="Drop" dropLines="3" dropStyle="combo" dx="22" fmlaLink="N94" fmlaRange="'Learning rates'!$C$4:$C$6" noThreeD="1" sel="2" val="0"/>
</file>

<file path=xl/ctrlProps/ctrlProp30.xml><?xml version="1.0" encoding="utf-8"?>
<formControlPr xmlns="http://schemas.microsoft.com/office/spreadsheetml/2009/9/main" objectType="Drop" dropLines="3" dropStyle="combo" dx="22" fmlaLink="N95" fmlaRange="'Learning rates'!$C$4:$C$6" noThreeD="1" sel="3" val="0"/>
</file>

<file path=xl/ctrlProps/ctrlProp31.xml><?xml version="1.0" encoding="utf-8"?>
<formControlPr xmlns="http://schemas.microsoft.com/office/spreadsheetml/2009/9/main" objectType="Drop" dropLines="3" dropStyle="combo" dx="22" fmlaLink="N100" fmlaRange="'Learning rates'!$C$4:$C$6" noThreeD="1" sel="2" val="0"/>
</file>

<file path=xl/ctrlProps/ctrlProp32.xml><?xml version="1.0" encoding="utf-8"?>
<formControlPr xmlns="http://schemas.microsoft.com/office/spreadsheetml/2009/9/main" objectType="Drop" dropLines="3" dropStyle="combo" dx="22" fmlaLink="N104" fmlaRange="'Learning rates'!$C$4:$C$6" noThreeD="1" sel="3" val="0"/>
</file>

<file path=xl/ctrlProps/ctrlProp33.xml><?xml version="1.0" encoding="utf-8"?>
<formControlPr xmlns="http://schemas.microsoft.com/office/spreadsheetml/2009/9/main" objectType="Drop" dropLines="3" dropStyle="combo" dx="22" fmlaLink="N30" fmlaRange="'Learning rates'!$C$10:$C$12" sel="3" val="0"/>
</file>

<file path=xl/ctrlProps/ctrlProp34.xml><?xml version="1.0" encoding="utf-8"?>
<formControlPr xmlns="http://schemas.microsoft.com/office/spreadsheetml/2009/9/main" objectType="Drop" dropLines="3" dropStyle="combo" dx="22" fmlaLink="N51" fmlaRange="'Learning rates'!$C$10:$C$12" sel="1" val="0"/>
</file>

<file path=xl/ctrlProps/ctrlProp35.xml><?xml version="1.0" encoding="utf-8"?>
<formControlPr xmlns="http://schemas.microsoft.com/office/spreadsheetml/2009/9/main" objectType="Drop" dropLines="3" dropStyle="combo" dx="22" fmlaLink="N52" fmlaRange="'Learning rates'!$C$10:$C$12" sel="1" val="0"/>
</file>

<file path=xl/ctrlProps/ctrlProp36.xml><?xml version="1.0" encoding="utf-8"?>
<formControlPr xmlns="http://schemas.microsoft.com/office/spreadsheetml/2009/9/main" objectType="Drop" dropLines="3" dropStyle="combo" dx="22" fmlaLink="N53" fmlaRange="'Learning rates'!$C$10:$C$12" sel="3" val="0"/>
</file>

<file path=xl/ctrlProps/ctrlProp37.xml><?xml version="1.0" encoding="utf-8"?>
<formControlPr xmlns="http://schemas.microsoft.com/office/spreadsheetml/2009/9/main" objectType="Drop" dropLines="3" dropStyle="combo" dx="22" fmlaLink="N54" fmlaRange="'Learning rates'!$C$10:$C$12" sel="3" val="0"/>
</file>

<file path=xl/ctrlProps/ctrlProp38.xml><?xml version="1.0" encoding="utf-8"?>
<formControlPr xmlns="http://schemas.microsoft.com/office/spreadsheetml/2009/9/main" objectType="Drop" dropLines="3" dropStyle="combo" dx="22" fmlaLink="N56" fmlaRange="'Learning rates'!$C$10:$C$12" sel="2" val="0"/>
</file>

<file path=xl/ctrlProps/ctrlProp39.xml><?xml version="1.0" encoding="utf-8"?>
<formControlPr xmlns="http://schemas.microsoft.com/office/spreadsheetml/2009/9/main" objectType="Drop" dropLines="3" dropStyle="combo" dx="22" fmlaLink="N57" fmlaRange="'Learning rates'!$C$10:$C$12" sel="3" val="0"/>
</file>

<file path=xl/ctrlProps/ctrlProp40.xml><?xml version="1.0" encoding="utf-8"?>
<formControlPr xmlns="http://schemas.microsoft.com/office/spreadsheetml/2009/9/main" objectType="Drop" dropLines="3" dropStyle="combo" dx="22" fmlaLink="N107" fmlaRange="'Learning rates'!$C$4:$C$6" noThreeD="1" sel="3" val="0"/>
</file>

<file path=xl/ctrlProps/ctrlProp41.xml><?xml version="1.0" encoding="utf-8"?>
<formControlPr xmlns="http://schemas.microsoft.com/office/spreadsheetml/2009/9/main" objectType="Drop" dropLines="3" dropStyle="combo" dx="22" fmlaLink="B5" fmlaRange="Hidden!$B$5:$B$7" noThreeD="1" sel="1" val="0"/>
</file>

<file path=xl/ctrlProps/ctrlProp42.xml><?xml version="1.0" encoding="utf-8"?>
<formControlPr xmlns="http://schemas.microsoft.com/office/spreadsheetml/2009/9/main" objectType="Spin" dx="22" fmlaLink="$F$4" max="3" min="1" page="10" val="3"/>
</file>

<file path=xl/ctrlProps/ctrlProp43.xml><?xml version="1.0" encoding="utf-8"?>
<formControlPr xmlns="http://schemas.microsoft.com/office/spreadsheetml/2009/9/main" objectType="Spin" dx="22" fmlaLink="$F$4"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18" Type="http://schemas.openxmlformats.org/officeDocument/2006/relationships/chart" Target="../charts/chart17.xml"/><Relationship Id="rId3" Type="http://schemas.openxmlformats.org/officeDocument/2006/relationships/chart" Target="../charts/chart3.xml"/><Relationship Id="rId7" Type="http://schemas.openxmlformats.org/officeDocument/2006/relationships/image" Target="../media/image6.jpeg"/><Relationship Id="rId12" Type="http://schemas.openxmlformats.org/officeDocument/2006/relationships/chart" Target="../charts/chart11.xml"/><Relationship Id="rId17" Type="http://schemas.openxmlformats.org/officeDocument/2006/relationships/chart" Target="../charts/chart16.xml"/><Relationship Id="rId2" Type="http://schemas.openxmlformats.org/officeDocument/2006/relationships/chart" Target="../charts/chart2.xml"/><Relationship Id="rId16" Type="http://schemas.openxmlformats.org/officeDocument/2006/relationships/chart" Target="../charts/chart15.xml"/><Relationship Id="rId20" Type="http://schemas.openxmlformats.org/officeDocument/2006/relationships/chart" Target="../charts/chart1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5" Type="http://schemas.openxmlformats.org/officeDocument/2006/relationships/chart" Target="../charts/chart14.xml"/><Relationship Id="rId10" Type="http://schemas.openxmlformats.org/officeDocument/2006/relationships/chart" Target="../charts/chart9.xml"/><Relationship Id="rId19" Type="http://schemas.openxmlformats.org/officeDocument/2006/relationships/chart" Target="../charts/chart18.xml"/><Relationship Id="rId4" Type="http://schemas.openxmlformats.org/officeDocument/2006/relationships/chart" Target="../charts/chart4.xml"/><Relationship Id="rId9" Type="http://schemas.openxmlformats.org/officeDocument/2006/relationships/chart" Target="../charts/chart8.xml"/><Relationship Id="rId14" Type="http://schemas.openxmlformats.org/officeDocument/2006/relationships/chart" Target="../charts/chart13.xml"/></Relationships>
</file>

<file path=xl/drawings/_rels/drawing1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 Id="rId9" Type="http://schemas.openxmlformats.org/officeDocument/2006/relationships/chart" Target="../charts/chart2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9524</xdr:rowOff>
    </xdr:from>
    <xdr:to>
      <xdr:col>0</xdr:col>
      <xdr:colOff>1704975</xdr:colOff>
      <xdr:row>2</xdr:row>
      <xdr:rowOff>171450</xdr:rowOff>
    </xdr:to>
    <xdr:pic>
      <xdr:nvPicPr>
        <xdr:cNvPr id="3" name="Afbeelding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0576" b="29808"/>
        <a:stretch/>
      </xdr:blipFill>
      <xdr:spPr>
        <a:xfrm>
          <a:off x="19050" y="9524"/>
          <a:ext cx="1685925" cy="590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600075</xdr:colOff>
          <xdr:row>0</xdr:row>
          <xdr:rowOff>228600</xdr:rowOff>
        </xdr:from>
        <xdr:to>
          <xdr:col>8</xdr:col>
          <xdr:colOff>219075</xdr:colOff>
          <xdr:row>2</xdr:row>
          <xdr:rowOff>190500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21</xdr:col>
      <xdr:colOff>160421</xdr:colOff>
      <xdr:row>59</xdr:row>
      <xdr:rowOff>280735</xdr:rowOff>
    </xdr:from>
    <xdr:to>
      <xdr:col>33</xdr:col>
      <xdr:colOff>421105</xdr:colOff>
      <xdr:row>83</xdr:row>
      <xdr:rowOff>90237</xdr:rowOff>
    </xdr:to>
    <xdr:graphicFrame macro="">
      <xdr:nvGraphicFramePr>
        <xdr:cNvPr id="30" name="Grafiek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9525</xdr:colOff>
          <xdr:row>55</xdr:row>
          <xdr:rowOff>0</xdr:rowOff>
        </xdr:from>
        <xdr:to>
          <xdr:col>8</xdr:col>
          <xdr:colOff>533400</xdr:colOff>
          <xdr:row>57</xdr:row>
          <xdr:rowOff>19050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1228725</xdr:colOff>
          <xdr:row>107</xdr:row>
          <xdr:rowOff>9525</xdr:rowOff>
        </xdr:from>
        <xdr:to>
          <xdr:col>8</xdr:col>
          <xdr:colOff>371475</xdr:colOff>
          <xdr:row>109</xdr:row>
          <xdr:rowOff>38100</xdr:rowOff>
        </xdr:to>
        <xdr:sp macro="" textlink="">
          <xdr:nvSpPr>
            <xdr:cNvPr id="1027" name="CommandButton2"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431132</xdr:colOff>
      <xdr:row>112</xdr:row>
      <xdr:rowOff>10027</xdr:rowOff>
    </xdr:from>
    <xdr:to>
      <xdr:col>7</xdr:col>
      <xdr:colOff>143374</xdr:colOff>
      <xdr:row>135</xdr:row>
      <xdr:rowOff>170448</xdr:rowOff>
    </xdr:to>
    <xdr:graphicFrame macro="">
      <xdr:nvGraphicFramePr>
        <xdr:cNvPr id="31" name="Grafiek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150393</xdr:colOff>
      <xdr:row>112</xdr:row>
      <xdr:rowOff>10027</xdr:rowOff>
    </xdr:from>
    <xdr:to>
      <xdr:col>15</xdr:col>
      <xdr:colOff>541420</xdr:colOff>
      <xdr:row>135</xdr:row>
      <xdr:rowOff>130342</xdr:rowOff>
    </xdr:to>
    <xdr:graphicFrame macro="">
      <xdr:nvGraphicFramePr>
        <xdr:cNvPr id="32" name="Grafiek 31">
          <a:extLst>
            <a:ext uri="{FF2B5EF4-FFF2-40B4-BE49-F238E27FC236}">
              <a16:creationId xmlns:a16="http://schemas.microsoft.com/office/drawing/2014/main" id="{00000000-0008-0000-0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611604</xdr:colOff>
      <xdr:row>60</xdr:row>
      <xdr:rowOff>20052</xdr:rowOff>
    </xdr:from>
    <xdr:to>
      <xdr:col>10</xdr:col>
      <xdr:colOff>356435</xdr:colOff>
      <xdr:row>83</xdr:row>
      <xdr:rowOff>77202</xdr:rowOff>
    </xdr:to>
    <xdr:graphicFrame macro="">
      <xdr:nvGraphicFramePr>
        <xdr:cNvPr id="33" name="Grafiek 32">
          <a:extLst>
            <a:ext uri="{FF2B5EF4-FFF2-40B4-BE49-F238E27FC236}">
              <a16:creationId xmlns:a16="http://schemas.microsoft.com/office/drawing/2014/main" id="{00000000-0008-0000-0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370973</xdr:colOff>
      <xdr:row>60</xdr:row>
      <xdr:rowOff>1</xdr:rowOff>
    </xdr:from>
    <xdr:to>
      <xdr:col>21</xdr:col>
      <xdr:colOff>150395</xdr:colOff>
      <xdr:row>83</xdr:row>
      <xdr:rowOff>90237</xdr:rowOff>
    </xdr:to>
    <xdr:graphicFrame macro="">
      <xdr:nvGraphicFramePr>
        <xdr:cNvPr id="34" name="Grafiek 33">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5013</xdr:colOff>
      <xdr:row>83</xdr:row>
      <xdr:rowOff>182478</xdr:rowOff>
    </xdr:from>
    <xdr:to>
      <xdr:col>9</xdr:col>
      <xdr:colOff>80211</xdr:colOff>
      <xdr:row>104</xdr:row>
      <xdr:rowOff>50131</xdr:rowOff>
    </xdr:to>
    <xdr:graphicFrame macro="">
      <xdr:nvGraphicFramePr>
        <xdr:cNvPr id="4" name="Grafiek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0</xdr:colOff>
      <xdr:row>0</xdr:row>
      <xdr:rowOff>20052</xdr:rowOff>
    </xdr:from>
    <xdr:to>
      <xdr:col>1</xdr:col>
      <xdr:colOff>561473</xdr:colOff>
      <xdr:row>2</xdr:row>
      <xdr:rowOff>58904</xdr:rowOff>
    </xdr:to>
    <xdr:pic>
      <xdr:nvPicPr>
        <xdr:cNvPr id="35" name="Afbeelding 34">
          <a:extLst>
            <a:ext uri="{FF2B5EF4-FFF2-40B4-BE49-F238E27FC236}">
              <a16:creationId xmlns:a16="http://schemas.microsoft.com/office/drawing/2014/main" id="{00000000-0008-0000-0100-00002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t="10609" r="9604" b="34416"/>
        <a:stretch/>
      </xdr:blipFill>
      <xdr:spPr>
        <a:xfrm>
          <a:off x="0" y="20052"/>
          <a:ext cx="1173078" cy="439905"/>
        </a:xfrm>
        <a:prstGeom prst="rect">
          <a:avLst/>
        </a:prstGeom>
      </xdr:spPr>
    </xdr:pic>
    <xdr:clientData/>
  </xdr:twoCellAnchor>
  <xdr:twoCellAnchor>
    <xdr:from>
      <xdr:col>3</xdr:col>
      <xdr:colOff>0</xdr:colOff>
      <xdr:row>199</xdr:row>
      <xdr:rowOff>0</xdr:rowOff>
    </xdr:from>
    <xdr:to>
      <xdr:col>14</xdr:col>
      <xdr:colOff>2506</xdr:colOff>
      <xdr:row>231</xdr:row>
      <xdr:rowOff>96508</xdr:rowOff>
    </xdr:to>
    <xdr:grpSp>
      <xdr:nvGrpSpPr>
        <xdr:cNvPr id="13" name="Groep 12">
          <a:extLst>
            <a:ext uri="{FF2B5EF4-FFF2-40B4-BE49-F238E27FC236}">
              <a16:creationId xmlns:a16="http://schemas.microsoft.com/office/drawing/2014/main" id="{00000000-0008-0000-0100-00000D000000}"/>
            </a:ext>
          </a:extLst>
        </xdr:cNvPr>
        <xdr:cNvGrpSpPr/>
      </xdr:nvGrpSpPr>
      <xdr:grpSpPr>
        <a:xfrm>
          <a:off x="3667125" y="37090350"/>
          <a:ext cx="7984456" cy="6002008"/>
          <a:chOff x="3429000" y="22412570"/>
          <a:chExt cx="6928184" cy="6312825"/>
        </a:xfrm>
      </xdr:grpSpPr>
      <xdr:grpSp>
        <xdr:nvGrpSpPr>
          <xdr:cNvPr id="14" name="Groep 13">
            <a:extLst>
              <a:ext uri="{FF2B5EF4-FFF2-40B4-BE49-F238E27FC236}">
                <a16:creationId xmlns:a16="http://schemas.microsoft.com/office/drawing/2014/main" id="{00000000-0008-0000-0100-00000E000000}"/>
              </a:ext>
            </a:extLst>
          </xdr:cNvPr>
          <xdr:cNvGrpSpPr/>
        </xdr:nvGrpSpPr>
        <xdr:grpSpPr>
          <a:xfrm>
            <a:off x="3429000" y="22412570"/>
            <a:ext cx="6928184" cy="6312825"/>
            <a:chOff x="9713125" y="40729728"/>
            <a:chExt cx="5879299" cy="3915884"/>
          </a:xfrm>
        </xdr:grpSpPr>
        <xdr:grpSp>
          <xdr:nvGrpSpPr>
            <xdr:cNvPr id="20" name="Groep 19">
              <a:extLst>
                <a:ext uri="{FF2B5EF4-FFF2-40B4-BE49-F238E27FC236}">
                  <a16:creationId xmlns:a16="http://schemas.microsoft.com/office/drawing/2014/main" id="{00000000-0008-0000-0100-000014000000}"/>
                </a:ext>
              </a:extLst>
            </xdr:cNvPr>
            <xdr:cNvGrpSpPr/>
          </xdr:nvGrpSpPr>
          <xdr:grpSpPr>
            <a:xfrm>
              <a:off x="9713125" y="40729728"/>
              <a:ext cx="5879299" cy="3915884"/>
              <a:chOff x="9713125" y="40722440"/>
              <a:chExt cx="5879299" cy="3632701"/>
            </a:xfrm>
          </xdr:grpSpPr>
          <xdr:graphicFrame macro="">
            <xdr:nvGraphicFramePr>
              <xdr:cNvPr id="24" name="Grafiek 23">
                <a:extLst>
                  <a:ext uri="{FF2B5EF4-FFF2-40B4-BE49-F238E27FC236}">
                    <a16:creationId xmlns:a16="http://schemas.microsoft.com/office/drawing/2014/main" id="{00000000-0008-0000-0100-000018000000}"/>
                  </a:ext>
                </a:extLst>
              </xdr:cNvPr>
              <xdr:cNvGraphicFramePr>
                <a:graphicFrameLocks/>
              </xdr:cNvGraphicFramePr>
            </xdr:nvGraphicFramePr>
            <xdr:xfrm>
              <a:off x="9713125" y="40722440"/>
              <a:ext cx="5879299" cy="3632701"/>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25" name="Tekstvak 24">
                <a:extLst>
                  <a:ext uri="{FF2B5EF4-FFF2-40B4-BE49-F238E27FC236}">
                    <a16:creationId xmlns:a16="http://schemas.microsoft.com/office/drawing/2014/main" id="{00000000-0008-0000-0100-000019000000}"/>
                  </a:ext>
                </a:extLst>
              </xdr:cNvPr>
              <xdr:cNvSpPr txBox="1"/>
            </xdr:nvSpPr>
            <xdr:spPr>
              <a:xfrm>
                <a:off x="11419476" y="43802181"/>
                <a:ext cx="1118436" cy="2284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nl-NL" sz="1600" b="1" i="1">
                    <a:solidFill>
                      <a:sysClr val="windowText" lastClr="000000"/>
                    </a:solidFill>
                  </a:rPr>
                  <a:t>Bottom fixed</a:t>
                </a:r>
              </a:p>
            </xdr:txBody>
          </xdr:sp>
        </xdr:grpSp>
        <xdr:sp macro="" textlink="">
          <xdr:nvSpPr>
            <xdr:cNvPr id="21" name="Tekstvak 20">
              <a:extLst>
                <a:ext uri="{FF2B5EF4-FFF2-40B4-BE49-F238E27FC236}">
                  <a16:creationId xmlns:a16="http://schemas.microsoft.com/office/drawing/2014/main" id="{00000000-0008-0000-0100-000015000000}"/>
                </a:ext>
              </a:extLst>
            </xdr:cNvPr>
            <xdr:cNvSpPr txBox="1"/>
          </xdr:nvSpPr>
          <xdr:spPr>
            <a:xfrm>
              <a:off x="14096864" y="44060913"/>
              <a:ext cx="823395"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Floating</a:t>
              </a:r>
            </a:p>
          </xdr:txBody>
        </xdr:sp>
        <xdr:sp macro="" textlink="">
          <xdr:nvSpPr>
            <xdr:cNvPr id="22" name="Rechteraccolade 21">
              <a:extLst>
                <a:ext uri="{FF2B5EF4-FFF2-40B4-BE49-F238E27FC236}">
                  <a16:creationId xmlns:a16="http://schemas.microsoft.com/office/drawing/2014/main" id="{00000000-0008-0000-0100-000016000000}"/>
                </a:ext>
              </a:extLst>
            </xdr:cNvPr>
            <xdr:cNvSpPr/>
          </xdr:nvSpPr>
          <xdr:spPr>
            <a:xfrm rot="16200000" flipH="1">
              <a:off x="14375299" y="43277217"/>
              <a:ext cx="152947" cy="145099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sp macro="" textlink="">
          <xdr:nvSpPr>
            <xdr:cNvPr id="23" name="Rechteraccolade 22">
              <a:extLst>
                <a:ext uri="{FF2B5EF4-FFF2-40B4-BE49-F238E27FC236}">
                  <a16:creationId xmlns:a16="http://schemas.microsoft.com/office/drawing/2014/main" id="{00000000-0008-0000-0100-000017000000}"/>
                </a:ext>
              </a:extLst>
            </xdr:cNvPr>
            <xdr:cNvSpPr/>
          </xdr:nvSpPr>
          <xdr:spPr>
            <a:xfrm rot="16200000" flipH="1">
              <a:off x="11849603" y="42795291"/>
              <a:ext cx="151269" cy="241652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grpSp>
      <xdr:sp macro="" textlink="">
        <xdr:nvSpPr>
          <xdr:cNvPr id="15" name="Tekstvak 14">
            <a:extLst>
              <a:ext uri="{FF2B5EF4-FFF2-40B4-BE49-F238E27FC236}">
                <a16:creationId xmlns:a16="http://schemas.microsoft.com/office/drawing/2014/main" id="{00000000-0008-0000-0100-00000F000000}"/>
              </a:ext>
            </a:extLst>
          </xdr:cNvPr>
          <xdr:cNvSpPr txBox="1"/>
        </xdr:nvSpPr>
        <xdr:spPr>
          <a:xfrm>
            <a:off x="4473741" y="27136970"/>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2023</a:t>
            </a:r>
          </a:p>
        </xdr:txBody>
      </xdr:sp>
      <xdr:sp macro="" textlink="">
        <xdr:nvSpPr>
          <xdr:cNvPr id="16" name="Tekstvak 15">
            <a:extLst>
              <a:ext uri="{FF2B5EF4-FFF2-40B4-BE49-F238E27FC236}">
                <a16:creationId xmlns:a16="http://schemas.microsoft.com/office/drawing/2014/main" id="{00000000-0008-0000-0100-000010000000}"/>
              </a:ext>
            </a:extLst>
          </xdr:cNvPr>
          <xdr:cNvSpPr txBox="1"/>
        </xdr:nvSpPr>
        <xdr:spPr>
          <a:xfrm>
            <a:off x="5678905" y="27138975"/>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2050</a:t>
            </a:r>
          </a:p>
        </xdr:txBody>
      </xdr:sp>
      <xdr:sp macro="" textlink="">
        <xdr:nvSpPr>
          <xdr:cNvPr id="17" name="Tekstvak 16">
            <a:extLst>
              <a:ext uri="{FF2B5EF4-FFF2-40B4-BE49-F238E27FC236}">
                <a16:creationId xmlns:a16="http://schemas.microsoft.com/office/drawing/2014/main" id="{00000000-0008-0000-0100-000011000000}"/>
              </a:ext>
            </a:extLst>
          </xdr:cNvPr>
          <xdr:cNvSpPr txBox="1"/>
        </xdr:nvSpPr>
        <xdr:spPr>
          <a:xfrm>
            <a:off x="6853989" y="27110902"/>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20 MW</a:t>
            </a:r>
          </a:p>
          <a:p>
            <a:pPr algn="ctr"/>
            <a:r>
              <a:rPr lang="nl-NL" sz="1400" b="1" i="1">
                <a:solidFill>
                  <a:sysClr val="windowText" lastClr="000000"/>
                </a:solidFill>
              </a:rPr>
              <a:t>2050</a:t>
            </a:r>
          </a:p>
        </xdr:txBody>
      </xdr:sp>
      <xdr:sp macro="" textlink="">
        <xdr:nvSpPr>
          <xdr:cNvPr id="18" name="Tekstvak 17">
            <a:extLst>
              <a:ext uri="{FF2B5EF4-FFF2-40B4-BE49-F238E27FC236}">
                <a16:creationId xmlns:a16="http://schemas.microsoft.com/office/drawing/2014/main" id="{00000000-0008-0000-0100-000012000000}"/>
              </a:ext>
            </a:extLst>
          </xdr:cNvPr>
          <xdr:cNvSpPr txBox="1"/>
        </xdr:nvSpPr>
        <xdr:spPr>
          <a:xfrm>
            <a:off x="8057147" y="27130955"/>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10 MW</a:t>
            </a:r>
          </a:p>
          <a:p>
            <a:pPr algn="ctr"/>
            <a:r>
              <a:rPr lang="nl-NL" sz="1400" b="1" i="1">
                <a:solidFill>
                  <a:sysClr val="windowText" lastClr="000000"/>
                </a:solidFill>
              </a:rPr>
              <a:t>2050</a:t>
            </a:r>
          </a:p>
        </xdr:txBody>
      </xdr:sp>
      <xdr:sp macro="" textlink="">
        <xdr:nvSpPr>
          <xdr:cNvPr id="19" name="Tekstvak 18">
            <a:extLst>
              <a:ext uri="{FF2B5EF4-FFF2-40B4-BE49-F238E27FC236}">
                <a16:creationId xmlns:a16="http://schemas.microsoft.com/office/drawing/2014/main" id="{00000000-0008-0000-0100-000013000000}"/>
              </a:ext>
            </a:extLst>
          </xdr:cNvPr>
          <xdr:cNvSpPr txBox="1"/>
        </xdr:nvSpPr>
        <xdr:spPr>
          <a:xfrm>
            <a:off x="9232231" y="27132960"/>
            <a:ext cx="749969" cy="53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nl-NL" sz="1400" b="1" i="1">
                <a:solidFill>
                  <a:sysClr val="windowText" lastClr="000000"/>
                </a:solidFill>
              </a:rPr>
              <a:t>20 MW</a:t>
            </a:r>
          </a:p>
          <a:p>
            <a:pPr algn="ctr"/>
            <a:r>
              <a:rPr lang="nl-NL" sz="1400" b="1" i="1">
                <a:solidFill>
                  <a:sysClr val="windowText" lastClr="000000"/>
                </a:solidFill>
              </a:rPr>
              <a:t>2050</a:t>
            </a:r>
          </a:p>
        </xdr:txBody>
      </xdr:sp>
    </xdr:grpSp>
    <xdr:clientData/>
  </xdr:twoCellAnchor>
  <xdr:twoCellAnchor>
    <xdr:from>
      <xdr:col>15</xdr:col>
      <xdr:colOff>0</xdr:colOff>
      <xdr:row>199</xdr:row>
      <xdr:rowOff>0</xdr:rowOff>
    </xdr:from>
    <xdr:to>
      <xdr:col>26</xdr:col>
      <xdr:colOff>198522</xdr:colOff>
      <xdr:row>231</xdr:row>
      <xdr:rowOff>76199</xdr:rowOff>
    </xdr:to>
    <xdr:grpSp>
      <xdr:nvGrpSpPr>
        <xdr:cNvPr id="26" name="Groep 25">
          <a:extLst>
            <a:ext uri="{FF2B5EF4-FFF2-40B4-BE49-F238E27FC236}">
              <a16:creationId xmlns:a16="http://schemas.microsoft.com/office/drawing/2014/main" id="{00000000-0008-0000-0100-00001A000000}"/>
            </a:ext>
          </a:extLst>
        </xdr:cNvPr>
        <xdr:cNvGrpSpPr/>
      </xdr:nvGrpSpPr>
      <xdr:grpSpPr>
        <a:xfrm>
          <a:off x="12296775" y="37090350"/>
          <a:ext cx="8766260" cy="5981699"/>
          <a:chOff x="10457447" y="22362696"/>
          <a:chExt cx="6928185" cy="6322594"/>
        </a:xfrm>
      </xdr:grpSpPr>
      <xdr:graphicFrame macro="">
        <xdr:nvGraphicFramePr>
          <xdr:cNvPr id="27" name="Grafiek 26">
            <a:extLst>
              <a:ext uri="{FF2B5EF4-FFF2-40B4-BE49-F238E27FC236}">
                <a16:creationId xmlns:a16="http://schemas.microsoft.com/office/drawing/2014/main" id="{00000000-0008-0000-0100-00001B000000}"/>
              </a:ext>
            </a:extLst>
          </xdr:cNvPr>
          <xdr:cNvGraphicFramePr/>
        </xdr:nvGraphicFramePr>
        <xdr:xfrm>
          <a:off x="10457447" y="22362696"/>
          <a:ext cx="6928185" cy="6322594"/>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28" name="Rechteraccolade 27">
            <a:extLst>
              <a:ext uri="{FF2B5EF4-FFF2-40B4-BE49-F238E27FC236}">
                <a16:creationId xmlns:a16="http://schemas.microsoft.com/office/drawing/2014/main" id="{00000000-0008-0000-0100-00001C000000}"/>
              </a:ext>
            </a:extLst>
          </xdr:cNvPr>
          <xdr:cNvSpPr/>
        </xdr:nvSpPr>
        <xdr:spPr>
          <a:xfrm rot="16200000" flipH="1">
            <a:off x="15913771" y="26852484"/>
            <a:ext cx="266700" cy="1654339"/>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sp macro="" textlink="">
        <xdr:nvSpPr>
          <xdr:cNvPr id="29" name="Tekstvak 28">
            <a:extLst>
              <a:ext uri="{FF2B5EF4-FFF2-40B4-BE49-F238E27FC236}">
                <a16:creationId xmlns:a16="http://schemas.microsoft.com/office/drawing/2014/main" id="{00000000-0008-0000-0100-00001D000000}"/>
              </a:ext>
            </a:extLst>
          </xdr:cNvPr>
          <xdr:cNvSpPr txBox="1"/>
        </xdr:nvSpPr>
        <xdr:spPr>
          <a:xfrm>
            <a:off x="15651079" y="27786933"/>
            <a:ext cx="970291" cy="27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Floating</a:t>
            </a:r>
          </a:p>
        </xdr:txBody>
      </xdr:sp>
      <xdr:sp macro="" textlink="">
        <xdr:nvSpPr>
          <xdr:cNvPr id="36" name="Tekstvak 35">
            <a:extLst>
              <a:ext uri="{FF2B5EF4-FFF2-40B4-BE49-F238E27FC236}">
                <a16:creationId xmlns:a16="http://schemas.microsoft.com/office/drawing/2014/main" id="{00000000-0008-0000-0100-000024000000}"/>
              </a:ext>
            </a:extLst>
          </xdr:cNvPr>
          <xdr:cNvSpPr txBox="1"/>
        </xdr:nvSpPr>
        <xdr:spPr>
          <a:xfrm>
            <a:off x="12544925" y="27758860"/>
            <a:ext cx="1401679" cy="2767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nl-NL" sz="1600" b="1" i="1">
                <a:solidFill>
                  <a:sysClr val="windowText" lastClr="000000"/>
                </a:solidFill>
              </a:rPr>
              <a:t>Bottom fixed</a:t>
            </a:r>
          </a:p>
        </xdr:txBody>
      </xdr:sp>
      <xdr:sp macro="" textlink="">
        <xdr:nvSpPr>
          <xdr:cNvPr id="37" name="Rechteraccolade 36">
            <a:extLst>
              <a:ext uri="{FF2B5EF4-FFF2-40B4-BE49-F238E27FC236}">
                <a16:creationId xmlns:a16="http://schemas.microsoft.com/office/drawing/2014/main" id="{00000000-0008-0000-0100-000025000000}"/>
              </a:ext>
            </a:extLst>
          </xdr:cNvPr>
          <xdr:cNvSpPr/>
        </xdr:nvSpPr>
        <xdr:spPr>
          <a:xfrm rot="16200000" flipH="1">
            <a:off x="13002131" y="26228847"/>
            <a:ext cx="266700" cy="2905625"/>
          </a:xfrm>
          <a:prstGeom prst="rightBrac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nl-NL" sz="1100"/>
          </a:p>
        </xdr:txBody>
      </xdr:sp>
    </xdr:grpSp>
    <xdr:clientData/>
  </xdr:twoCellAnchor>
  <mc:AlternateContent xmlns:mc="http://schemas.openxmlformats.org/markup-compatibility/2006">
    <mc:Choice xmlns:a14="http://schemas.microsoft.com/office/drawing/2010/main" Requires="a14">
      <xdr:twoCellAnchor editAs="oneCell">
        <xdr:from>
          <xdr:col>7</xdr:col>
          <xdr:colOff>200025</xdr:colOff>
          <xdr:row>137</xdr:row>
          <xdr:rowOff>180975</xdr:rowOff>
        </xdr:from>
        <xdr:to>
          <xdr:col>10</xdr:col>
          <xdr:colOff>257175</xdr:colOff>
          <xdr:row>140</xdr:row>
          <xdr:rowOff>0</xdr:rowOff>
        </xdr:to>
        <xdr:sp macro="" textlink="">
          <xdr:nvSpPr>
            <xdr:cNvPr id="1030" name="CommandButton3"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10026</xdr:colOff>
      <xdr:row>153</xdr:row>
      <xdr:rowOff>0</xdr:rowOff>
    </xdr:from>
    <xdr:to>
      <xdr:col>8</xdr:col>
      <xdr:colOff>256674</xdr:colOff>
      <xdr:row>172</xdr:row>
      <xdr:rowOff>11282</xdr:rowOff>
    </xdr:to>
    <xdr:graphicFrame macro="">
      <xdr:nvGraphicFramePr>
        <xdr:cNvPr id="41" name="Grafiek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276730</xdr:colOff>
      <xdr:row>152</xdr:row>
      <xdr:rowOff>181728</xdr:rowOff>
    </xdr:from>
    <xdr:to>
      <xdr:col>16</xdr:col>
      <xdr:colOff>346915</xdr:colOff>
      <xdr:row>171</xdr:row>
      <xdr:rowOff>180473</xdr:rowOff>
    </xdr:to>
    <xdr:graphicFrame macro="">
      <xdr:nvGraphicFramePr>
        <xdr:cNvPr id="43" name="Grafiek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356934</xdr:colOff>
      <xdr:row>153</xdr:row>
      <xdr:rowOff>1256</xdr:rowOff>
    </xdr:from>
    <xdr:to>
      <xdr:col>23</xdr:col>
      <xdr:colOff>316831</xdr:colOff>
      <xdr:row>172</xdr:row>
      <xdr:rowOff>0</xdr:rowOff>
    </xdr:to>
    <xdr:graphicFrame macro="">
      <xdr:nvGraphicFramePr>
        <xdr:cNvPr id="44" name="Grafiek 43">
          <a:extLst>
            <a:ext uri="{FF2B5EF4-FFF2-40B4-BE49-F238E27FC236}">
              <a16:creationId xmlns:a16="http://schemas.microsoft.com/office/drawing/2014/main" id="{00000000-0008-0000-0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23</xdr:col>
      <xdr:colOff>316836</xdr:colOff>
      <xdr:row>153</xdr:row>
      <xdr:rowOff>1256</xdr:rowOff>
    </xdr:from>
    <xdr:to>
      <xdr:col>32</xdr:col>
      <xdr:colOff>156416</xdr:colOff>
      <xdr:row>172</xdr:row>
      <xdr:rowOff>0</xdr:rowOff>
    </xdr:to>
    <xdr:graphicFrame macro="">
      <xdr:nvGraphicFramePr>
        <xdr:cNvPr id="45" name="Grafiek 44">
          <a:extLst>
            <a:ext uri="{FF2B5EF4-FFF2-40B4-BE49-F238E27FC236}">
              <a16:creationId xmlns:a16="http://schemas.microsoft.com/office/drawing/2014/main" id="{00000000-0008-0000-0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32</xdr:col>
      <xdr:colOff>166439</xdr:colOff>
      <xdr:row>153</xdr:row>
      <xdr:rowOff>1256</xdr:rowOff>
    </xdr:from>
    <xdr:to>
      <xdr:col>40</xdr:col>
      <xdr:colOff>346913</xdr:colOff>
      <xdr:row>171</xdr:row>
      <xdr:rowOff>180474</xdr:rowOff>
    </xdr:to>
    <xdr:graphicFrame macro="">
      <xdr:nvGraphicFramePr>
        <xdr:cNvPr id="46" name="Grafiek 45">
          <a:extLst>
            <a:ext uri="{FF2B5EF4-FFF2-40B4-BE49-F238E27FC236}">
              <a16:creationId xmlns:a16="http://schemas.microsoft.com/office/drawing/2014/main" id="{00000000-0008-0000-01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50132</xdr:colOff>
      <xdr:row>155</xdr:row>
      <xdr:rowOff>120317</xdr:rowOff>
    </xdr:from>
    <xdr:to>
      <xdr:col>19</xdr:col>
      <xdr:colOff>57150</xdr:colOff>
      <xdr:row>166</xdr:row>
      <xdr:rowOff>66675</xdr:rowOff>
    </xdr:to>
    <xdr:cxnSp macro="">
      <xdr:nvCxnSpPr>
        <xdr:cNvPr id="47" name="Rechte verbindingslijn 46">
          <a:extLst>
            <a:ext uri="{FF2B5EF4-FFF2-40B4-BE49-F238E27FC236}">
              <a16:creationId xmlns:a16="http://schemas.microsoft.com/office/drawing/2014/main" id="{00000000-0008-0000-0100-00002F000000}"/>
            </a:ext>
          </a:extLst>
        </xdr:cNvPr>
        <xdr:cNvCxnSpPr/>
      </xdr:nvCxnSpPr>
      <xdr:spPr>
        <a:xfrm>
          <a:off x="15147257" y="30781292"/>
          <a:ext cx="7018" cy="2041858"/>
        </a:xfrm>
        <a:prstGeom prst="line">
          <a:avLst/>
        </a:prstGeom>
        <a:ln>
          <a:prstDash val="sysDash"/>
        </a:ln>
      </xdr:spPr>
      <xdr:style>
        <a:lnRef idx="3">
          <a:schemeClr val="accent6"/>
        </a:lnRef>
        <a:fillRef idx="0">
          <a:schemeClr val="accent6"/>
        </a:fillRef>
        <a:effectRef idx="2">
          <a:schemeClr val="accent6"/>
        </a:effectRef>
        <a:fontRef idx="minor">
          <a:schemeClr val="tx1"/>
        </a:fontRef>
      </xdr:style>
    </xdr:cxnSp>
    <xdr:clientData/>
  </xdr:twoCellAnchor>
  <xdr:twoCellAnchor>
    <xdr:from>
      <xdr:col>2</xdr:col>
      <xdr:colOff>20053</xdr:colOff>
      <xdr:row>152</xdr:row>
      <xdr:rowOff>180474</xdr:rowOff>
    </xdr:from>
    <xdr:to>
      <xdr:col>8</xdr:col>
      <xdr:colOff>266701</xdr:colOff>
      <xdr:row>172</xdr:row>
      <xdr:rowOff>1256</xdr:rowOff>
    </xdr:to>
    <xdr:graphicFrame macro="">
      <xdr:nvGraphicFramePr>
        <xdr:cNvPr id="48" name="Grafiek 47">
          <a:extLst>
            <a:ext uri="{FF2B5EF4-FFF2-40B4-BE49-F238E27FC236}">
              <a16:creationId xmlns:a16="http://schemas.microsoft.com/office/drawing/2014/main" id="{00000000-0008-0000-01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256677</xdr:colOff>
      <xdr:row>175</xdr:row>
      <xdr:rowOff>1254</xdr:rowOff>
    </xdr:from>
    <xdr:to>
      <xdr:col>16</xdr:col>
      <xdr:colOff>326862</xdr:colOff>
      <xdr:row>193</xdr:row>
      <xdr:rowOff>190499</xdr:rowOff>
    </xdr:to>
    <xdr:graphicFrame macro="">
      <xdr:nvGraphicFramePr>
        <xdr:cNvPr id="50" name="Grafiek 49">
          <a:extLst>
            <a:ext uri="{FF2B5EF4-FFF2-40B4-BE49-F238E27FC236}">
              <a16:creationId xmlns:a16="http://schemas.microsoft.com/office/drawing/2014/main" id="{00000000-0008-0000-0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336881</xdr:colOff>
      <xdr:row>175</xdr:row>
      <xdr:rowOff>11282</xdr:rowOff>
    </xdr:from>
    <xdr:to>
      <xdr:col>23</xdr:col>
      <xdr:colOff>296778</xdr:colOff>
      <xdr:row>194</xdr:row>
      <xdr:rowOff>10026</xdr:rowOff>
    </xdr:to>
    <xdr:graphicFrame macro="">
      <xdr:nvGraphicFramePr>
        <xdr:cNvPr id="51" name="Grafiek 50">
          <a:extLst>
            <a:ext uri="{FF2B5EF4-FFF2-40B4-BE49-F238E27FC236}">
              <a16:creationId xmlns:a16="http://schemas.microsoft.com/office/drawing/2014/main" id="{00000000-0008-0000-01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23</xdr:col>
      <xdr:colOff>296783</xdr:colOff>
      <xdr:row>175</xdr:row>
      <xdr:rowOff>11282</xdr:rowOff>
    </xdr:from>
    <xdr:to>
      <xdr:col>32</xdr:col>
      <xdr:colOff>136363</xdr:colOff>
      <xdr:row>194</xdr:row>
      <xdr:rowOff>10026</xdr:rowOff>
    </xdr:to>
    <xdr:graphicFrame macro="">
      <xdr:nvGraphicFramePr>
        <xdr:cNvPr id="52" name="Grafiek 51">
          <a:extLst>
            <a:ext uri="{FF2B5EF4-FFF2-40B4-BE49-F238E27FC236}">
              <a16:creationId xmlns:a16="http://schemas.microsoft.com/office/drawing/2014/main" id="{00000000-0008-0000-01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32</xdr:col>
      <xdr:colOff>146386</xdr:colOff>
      <xdr:row>175</xdr:row>
      <xdr:rowOff>11282</xdr:rowOff>
    </xdr:from>
    <xdr:to>
      <xdr:col>40</xdr:col>
      <xdr:colOff>326860</xdr:colOff>
      <xdr:row>194</xdr:row>
      <xdr:rowOff>0</xdr:rowOff>
    </xdr:to>
    <xdr:graphicFrame macro="">
      <xdr:nvGraphicFramePr>
        <xdr:cNvPr id="53" name="Grafiek 52">
          <a:extLst>
            <a:ext uri="{FF2B5EF4-FFF2-40B4-BE49-F238E27FC236}">
              <a16:creationId xmlns:a16="http://schemas.microsoft.com/office/drawing/2014/main" id="{00000000-0008-0000-01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0</xdr:colOff>
      <xdr:row>175</xdr:row>
      <xdr:rowOff>0</xdr:rowOff>
    </xdr:from>
    <xdr:to>
      <xdr:col>8</xdr:col>
      <xdr:colOff>246648</xdr:colOff>
      <xdr:row>194</xdr:row>
      <xdr:rowOff>11282</xdr:rowOff>
    </xdr:to>
    <xdr:graphicFrame macro="">
      <xdr:nvGraphicFramePr>
        <xdr:cNvPr id="54" name="Grafiek 53">
          <a:extLst>
            <a:ext uri="{FF2B5EF4-FFF2-40B4-BE49-F238E27FC236}">
              <a16:creationId xmlns:a16="http://schemas.microsoft.com/office/drawing/2014/main" id="{00000000-0008-0000-01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0.16507</cdr:x>
      <cdr:y>0.74701</cdr:y>
    </cdr:from>
    <cdr:to>
      <cdr:x>0.94481</cdr:x>
      <cdr:y>0.83966</cdr:y>
    </cdr:to>
    <cdr:grpSp>
      <cdr:nvGrpSpPr>
        <cdr:cNvPr id="7" name="Groep 6">
          <a:extLst xmlns:a="http://schemas.openxmlformats.org/drawingml/2006/main">
            <a:ext uri="{FF2B5EF4-FFF2-40B4-BE49-F238E27FC236}">
              <a16:creationId xmlns:a16="http://schemas.microsoft.com/office/drawing/2014/main" id="{702A9B94-F308-4574-952E-ED1FD68DB1C8}"/>
            </a:ext>
          </a:extLst>
        </cdr:cNvPr>
        <cdr:cNvGrpSpPr/>
      </cdr:nvGrpSpPr>
      <cdr:grpSpPr>
        <a:xfrm xmlns:a="http://schemas.openxmlformats.org/drawingml/2006/main">
          <a:off x="1359784" y="4688962"/>
          <a:ext cx="6423204" cy="581562"/>
          <a:chOff x="1143635" y="4723041"/>
          <a:chExt cx="5402183" cy="585788"/>
        </a:xfrm>
      </cdr:grpSpPr>
      <cdr:sp macro="" textlink="">
        <cdr:nvSpPr>
          <cdr:cNvPr id="2" name="Tekstvak 40">
            <a:extLst xmlns:a="http://schemas.openxmlformats.org/drawingml/2006/main">
              <a:ext uri="{FF2B5EF4-FFF2-40B4-BE49-F238E27FC236}">
                <a16:creationId xmlns:a16="http://schemas.microsoft.com/office/drawing/2014/main" id="{690F0300-E1E0-4C0C-BEB1-41E34399476A}"/>
              </a:ext>
            </a:extLst>
          </cdr:cNvPr>
          <cdr:cNvSpPr txBox="1"/>
        </cdr:nvSpPr>
        <cdr:spPr>
          <a:xfrm xmlns:a="http://schemas.openxmlformats.org/drawingml/2006/main">
            <a:off x="5795912" y="4723041"/>
            <a:ext cx="749906" cy="5357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20 MW</a:t>
            </a:r>
          </a:p>
          <a:p xmlns:a="http://schemas.openxmlformats.org/drawingml/2006/main">
            <a:pPr algn="ctr"/>
            <a:r>
              <a:rPr lang="nl-NL" sz="1400" b="1" i="1">
                <a:solidFill>
                  <a:sysClr val="windowText" lastClr="000000"/>
                </a:solidFill>
              </a:rPr>
              <a:t>2050</a:t>
            </a:r>
          </a:p>
        </cdr:txBody>
      </cdr:sp>
      <cdr:sp macro="" textlink="">
        <cdr:nvSpPr>
          <cdr:cNvPr id="3" name="Tekstvak 40">
            <a:extLst xmlns:a="http://schemas.openxmlformats.org/drawingml/2006/main">
              <a:ext uri="{FF2B5EF4-FFF2-40B4-BE49-F238E27FC236}">
                <a16:creationId xmlns:a16="http://schemas.microsoft.com/office/drawing/2014/main" id="{2675CE6B-F840-4715-A7D5-7FC868F2E87F}"/>
              </a:ext>
            </a:extLst>
          </cdr:cNvPr>
          <cdr:cNvSpPr txBox="1"/>
        </cdr:nvSpPr>
        <cdr:spPr>
          <a:xfrm xmlns:a="http://schemas.openxmlformats.org/drawingml/2006/main">
            <a:off x="3479819" y="4763189"/>
            <a:ext cx="749977" cy="5356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20 MW</a:t>
            </a:r>
          </a:p>
          <a:p xmlns:a="http://schemas.openxmlformats.org/drawingml/2006/main">
            <a:pPr algn="ctr"/>
            <a:r>
              <a:rPr lang="nl-NL" sz="1400" b="1" i="1">
                <a:solidFill>
                  <a:sysClr val="windowText" lastClr="000000"/>
                </a:solidFill>
              </a:rPr>
              <a:t>2050</a:t>
            </a:r>
          </a:p>
        </cdr:txBody>
      </cdr:sp>
      <cdr:sp macro="" textlink="">
        <cdr:nvSpPr>
          <cdr:cNvPr id="4" name="Tekstvak 40">
            <a:extLst xmlns:a="http://schemas.openxmlformats.org/drawingml/2006/main">
              <a:ext uri="{FF2B5EF4-FFF2-40B4-BE49-F238E27FC236}">
                <a16:creationId xmlns:a16="http://schemas.microsoft.com/office/drawing/2014/main" id="{213BA1B0-B050-450A-9DF7-7B6428A5DEE3}"/>
              </a:ext>
            </a:extLst>
          </cdr:cNvPr>
          <cdr:cNvSpPr txBox="1"/>
        </cdr:nvSpPr>
        <cdr:spPr>
          <a:xfrm xmlns:a="http://schemas.openxmlformats.org/drawingml/2006/main">
            <a:off x="4662876" y="4753136"/>
            <a:ext cx="749976" cy="53565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2050</a:t>
            </a:r>
          </a:p>
        </cdr:txBody>
      </cdr:sp>
      <cdr:sp macro="" textlink="">
        <cdr:nvSpPr>
          <cdr:cNvPr id="5" name="Tekstvak 40">
            <a:extLst xmlns:a="http://schemas.openxmlformats.org/drawingml/2006/main">
              <a:ext uri="{FF2B5EF4-FFF2-40B4-BE49-F238E27FC236}">
                <a16:creationId xmlns:a16="http://schemas.microsoft.com/office/drawing/2014/main" id="{36683EF3-86AC-4609-A2B4-38A06FAFD83D}"/>
              </a:ext>
            </a:extLst>
          </cdr:cNvPr>
          <cdr:cNvSpPr txBox="1"/>
        </cdr:nvSpPr>
        <cdr:spPr>
          <a:xfrm xmlns:a="http://schemas.openxmlformats.org/drawingml/2006/main">
            <a:off x="2306739" y="4773179"/>
            <a:ext cx="749976" cy="5356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2050</a:t>
            </a:r>
          </a:p>
        </cdr:txBody>
      </cdr:sp>
      <cdr:sp macro="" textlink="">
        <cdr:nvSpPr>
          <cdr:cNvPr id="6" name="Tekstvak 40">
            <a:extLst xmlns:a="http://schemas.openxmlformats.org/drawingml/2006/main">
              <a:ext uri="{FF2B5EF4-FFF2-40B4-BE49-F238E27FC236}">
                <a16:creationId xmlns:a16="http://schemas.microsoft.com/office/drawing/2014/main" id="{A8442A0D-0BBE-4DF5-BE8C-82D3B1E1FE53}"/>
              </a:ext>
            </a:extLst>
          </cdr:cNvPr>
          <cdr:cNvSpPr txBox="1"/>
        </cdr:nvSpPr>
        <cdr:spPr>
          <a:xfrm xmlns:a="http://schemas.openxmlformats.org/drawingml/2006/main">
            <a:off x="1143635" y="4773179"/>
            <a:ext cx="749977" cy="5356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nl-NL" sz="1400" b="1" i="1">
                <a:solidFill>
                  <a:sysClr val="windowText" lastClr="000000"/>
                </a:solidFill>
              </a:rPr>
              <a:t>10 MW</a:t>
            </a:r>
          </a:p>
          <a:p xmlns:a="http://schemas.openxmlformats.org/drawingml/2006/main">
            <a:pPr algn="ctr"/>
            <a:r>
              <a:rPr lang="nl-NL" sz="1400" b="1" i="1">
                <a:solidFill>
                  <a:sysClr val="windowText" lastClr="000000"/>
                </a:solidFill>
              </a:rPr>
              <a:t>2023</a:t>
            </a:r>
          </a:p>
        </cdr:txBody>
      </cdr:sp>
    </cdr:grpSp>
  </cdr:relSizeAnchor>
</c:userShapes>
</file>

<file path=xl/drawings/drawing4.xml><?xml version="1.0" encoding="utf-8"?>
<c:userShapes xmlns:c="http://schemas.openxmlformats.org/drawingml/2006/chart">
  <cdr:relSizeAnchor xmlns:cdr="http://schemas.openxmlformats.org/drawingml/2006/chartDrawing">
    <cdr:from>
      <cdr:x>0.49773</cdr:x>
      <cdr:y>0.13402</cdr:y>
    </cdr:from>
    <cdr:to>
      <cdr:x>0.49957</cdr:x>
      <cdr:y>0.71305</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07774" y="491958"/>
          <a:ext cx="10028" cy="212558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0.49827</cdr:x>
      <cdr:y>0.13675</cdr:y>
    </cdr:from>
    <cdr:to>
      <cdr:x>0.50012</cdr:x>
      <cdr:y>0.71578</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97747" y="501984"/>
          <a:ext cx="10028" cy="212558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0.49086</cdr:x>
      <cdr:y>0.13128</cdr:y>
    </cdr:from>
    <cdr:to>
      <cdr:x>0.49146</cdr:x>
      <cdr:y>0.66304</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1714" y="475003"/>
          <a:ext cx="3250" cy="192404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7.xml><?xml version="1.0" encoding="utf-8"?>
<c:userShapes xmlns:c="http://schemas.openxmlformats.org/drawingml/2006/chart">
  <cdr:relSizeAnchor xmlns:cdr="http://schemas.openxmlformats.org/drawingml/2006/chartDrawing">
    <cdr:from>
      <cdr:x>0.49839</cdr:x>
      <cdr:y>0.13128</cdr:y>
    </cdr:from>
    <cdr:to>
      <cdr:x>0.50358</cdr:x>
      <cdr:y>0.64601</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3430" y="480598"/>
          <a:ext cx="27607" cy="1884356"/>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8.xml><?xml version="1.0" encoding="utf-8"?>
<c:userShapes xmlns:c="http://schemas.openxmlformats.org/drawingml/2006/chart">
  <cdr:relSizeAnchor xmlns:cdr="http://schemas.openxmlformats.org/drawingml/2006/chartDrawing">
    <cdr:from>
      <cdr:x>0.49773</cdr:x>
      <cdr:y>0.13402</cdr:y>
    </cdr:from>
    <cdr:to>
      <cdr:x>0.50166</cdr:x>
      <cdr:y>0.65337</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11284" y="486597"/>
          <a:ext cx="21388" cy="1885629"/>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9.xml><?xml version="1.0" encoding="utf-8"?>
<c:userShapes xmlns:c="http://schemas.openxmlformats.org/drawingml/2006/chart">
  <cdr:relSizeAnchor xmlns:cdr="http://schemas.openxmlformats.org/drawingml/2006/chartDrawing">
    <cdr:from>
      <cdr:x>0.49827</cdr:x>
      <cdr:y>0.13675</cdr:y>
    </cdr:from>
    <cdr:to>
      <cdr:x>0.50065</cdr:x>
      <cdr:y>0.71043</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702235" y="494795"/>
          <a:ext cx="12888" cy="2075701"/>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0.xml><?xml version="1.0" encoding="utf-8"?>
<c:userShapes xmlns:c="http://schemas.openxmlformats.org/drawingml/2006/chart">
  <cdr:relSizeAnchor xmlns:cdr="http://schemas.openxmlformats.org/drawingml/2006/chartDrawing">
    <cdr:from>
      <cdr:x>0.49827</cdr:x>
      <cdr:y>0.12488</cdr:y>
    </cdr:from>
    <cdr:to>
      <cdr:x>0.50012</cdr:x>
      <cdr:y>0.70391</cdr:y>
    </cdr:to>
    <cdr:cxnSp macro="">
      <cdr:nvCxnSpPr>
        <cdr:cNvPr id="2" name="Rechte verbindingslijn 1">
          <a:extLst xmlns:a="http://schemas.openxmlformats.org/drawingml/2006/main">
            <a:ext uri="{FF2B5EF4-FFF2-40B4-BE49-F238E27FC236}">
              <a16:creationId xmlns:a16="http://schemas.microsoft.com/office/drawing/2014/main" id="{B3A9B3DC-3E7C-432B-8628-E4333530C148}"/>
            </a:ext>
          </a:extLst>
        </cdr:cNvPr>
        <cdr:cNvCxnSpPr/>
      </cdr:nvCxnSpPr>
      <cdr:spPr>
        <a:xfrm xmlns:a="http://schemas.openxmlformats.org/drawingml/2006/main">
          <a:off x="2697748" y="451853"/>
          <a:ext cx="10017" cy="2095072"/>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1.xml><?xml version="1.0" encoding="utf-8"?>
<c:userShapes xmlns:c="http://schemas.openxmlformats.org/drawingml/2006/chart">
  <cdr:relSizeAnchor xmlns:cdr="http://schemas.openxmlformats.org/drawingml/2006/chartDrawing">
    <cdr:from>
      <cdr:x>0.49086</cdr:x>
      <cdr:y>0.13128</cdr:y>
    </cdr:from>
    <cdr:to>
      <cdr:x>0.49333</cdr:x>
      <cdr:y>0.64808</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7620" y="475003"/>
          <a:ext cx="13387" cy="1869899"/>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2.xml><?xml version="1.0" encoding="utf-8"?>
<c:userShapes xmlns:c="http://schemas.openxmlformats.org/drawingml/2006/chart">
  <cdr:relSizeAnchor xmlns:cdr="http://schemas.openxmlformats.org/drawingml/2006/chartDrawing">
    <cdr:from>
      <cdr:x>0.49839</cdr:x>
      <cdr:y>0.13128</cdr:y>
    </cdr:from>
    <cdr:to>
      <cdr:x>0.50358</cdr:x>
      <cdr:y>0.64601</cdr:y>
    </cdr:to>
    <cdr:cxnSp macro="">
      <cdr:nvCxnSpPr>
        <cdr:cNvPr id="2" name="Rechte verbindingslijn 1">
          <a:extLst xmlns:a="http://schemas.openxmlformats.org/drawingml/2006/main">
            <a:ext uri="{FF2B5EF4-FFF2-40B4-BE49-F238E27FC236}">
              <a16:creationId xmlns:a16="http://schemas.microsoft.com/office/drawing/2014/main" id="{062D384A-115E-4E40-A6D6-C3A61EAB6D8C}"/>
            </a:ext>
          </a:extLst>
        </cdr:cNvPr>
        <cdr:cNvCxnSpPr/>
      </cdr:nvCxnSpPr>
      <cdr:spPr>
        <a:xfrm xmlns:a="http://schemas.openxmlformats.org/drawingml/2006/main">
          <a:off x="2653430" y="480598"/>
          <a:ext cx="27607" cy="1884356"/>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3.xml><?xml version="1.0" encoding="utf-8"?>
<c:userShapes xmlns:c="http://schemas.openxmlformats.org/drawingml/2006/chart">
  <cdr:relSizeAnchor xmlns:cdr="http://schemas.openxmlformats.org/drawingml/2006/chartDrawing">
    <cdr:from>
      <cdr:x>0.49773</cdr:x>
      <cdr:y>0.13402</cdr:y>
    </cdr:from>
    <cdr:to>
      <cdr:x>0.49834</cdr:x>
      <cdr:y>0.64273</cdr:y>
    </cdr:to>
    <cdr:cxnSp macro="">
      <cdr:nvCxnSpPr>
        <cdr:cNvPr id="2" name="Rechte verbindingslijn 1">
          <a:extLst xmlns:a="http://schemas.openxmlformats.org/drawingml/2006/main">
            <a:ext uri="{FF2B5EF4-FFF2-40B4-BE49-F238E27FC236}">
              <a16:creationId xmlns:a16="http://schemas.microsoft.com/office/drawing/2014/main" id="{9FAA8277-BC1D-4CB3-A698-98E88A643EB9}"/>
            </a:ext>
          </a:extLst>
        </cdr:cNvPr>
        <cdr:cNvCxnSpPr/>
      </cdr:nvCxnSpPr>
      <cdr:spPr>
        <a:xfrm xmlns:a="http://schemas.openxmlformats.org/drawingml/2006/main">
          <a:off x="2711284" y="486597"/>
          <a:ext cx="3341" cy="1847028"/>
        </a:xfrm>
        <a:prstGeom xmlns:a="http://schemas.openxmlformats.org/drawingml/2006/main" prst="line">
          <a:avLst/>
        </a:prstGeom>
        <a:ln xmlns:a="http://schemas.openxmlformats.org/drawingml/2006/main">
          <a:prstDash val="sysDash"/>
        </a:ln>
      </cdr:spPr>
      <cdr:style>
        <a:lnRef xmlns:a="http://schemas.openxmlformats.org/drawingml/2006/main" idx="3">
          <a:schemeClr val="accent6"/>
        </a:lnRef>
        <a:fillRef xmlns:a="http://schemas.openxmlformats.org/drawingml/2006/main" idx="0">
          <a:schemeClr val="accent6"/>
        </a:fillRef>
        <a:effectRef xmlns:a="http://schemas.openxmlformats.org/drawingml/2006/main" idx="2">
          <a:schemeClr val="accent6"/>
        </a:effectRef>
        <a:fontRef xmlns:a="http://schemas.openxmlformats.org/drawingml/2006/main" idx="minor">
          <a:schemeClr val="tx1"/>
        </a:fontRef>
      </cdr:style>
    </cdr:cxnSp>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23</xdr:row>
          <xdr:rowOff>28575</xdr:rowOff>
        </xdr:from>
        <xdr:to>
          <xdr:col>13</xdr:col>
          <xdr:colOff>352425</xdr:colOff>
          <xdr:row>24</xdr:row>
          <xdr:rowOff>9525</xdr:rowOff>
        </xdr:to>
        <xdr:sp macro="" textlink="">
          <xdr:nvSpPr>
            <xdr:cNvPr id="22548" name="Drop Down 20" hidden="1">
              <a:extLst>
                <a:ext uri="{63B3BB69-23CF-44E3-9099-C40C66FF867C}">
                  <a14:compatExt spid="_x0000_s22548"/>
                </a:ext>
                <a:ext uri="{FF2B5EF4-FFF2-40B4-BE49-F238E27FC236}">
                  <a16:creationId xmlns:a16="http://schemas.microsoft.com/office/drawing/2014/main" id="{00000000-0008-0000-02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24</xdr:row>
          <xdr:rowOff>28575</xdr:rowOff>
        </xdr:from>
        <xdr:to>
          <xdr:col>13</xdr:col>
          <xdr:colOff>352425</xdr:colOff>
          <xdr:row>25</xdr:row>
          <xdr:rowOff>9525</xdr:rowOff>
        </xdr:to>
        <xdr:sp macro="" textlink="">
          <xdr:nvSpPr>
            <xdr:cNvPr id="22549" name="Drop Down 21" hidden="1">
              <a:extLst>
                <a:ext uri="{63B3BB69-23CF-44E3-9099-C40C66FF867C}">
                  <a14:compatExt spid="_x0000_s22549"/>
                </a:ext>
                <a:ext uri="{FF2B5EF4-FFF2-40B4-BE49-F238E27FC236}">
                  <a16:creationId xmlns:a16="http://schemas.microsoft.com/office/drawing/2014/main" id="{00000000-0008-0000-0200-00001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26</xdr:row>
          <xdr:rowOff>19050</xdr:rowOff>
        </xdr:from>
        <xdr:to>
          <xdr:col>13</xdr:col>
          <xdr:colOff>361950</xdr:colOff>
          <xdr:row>27</xdr:row>
          <xdr:rowOff>0</xdr:rowOff>
        </xdr:to>
        <xdr:sp macro="" textlink="">
          <xdr:nvSpPr>
            <xdr:cNvPr id="22553" name="Drop Down 25" hidden="1">
              <a:extLst>
                <a:ext uri="{63B3BB69-23CF-44E3-9099-C40C66FF867C}">
                  <a14:compatExt spid="_x0000_s22553"/>
                </a:ext>
                <a:ext uri="{FF2B5EF4-FFF2-40B4-BE49-F238E27FC236}">
                  <a16:creationId xmlns:a16="http://schemas.microsoft.com/office/drawing/2014/main" id="{00000000-0008-0000-02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30</xdr:row>
          <xdr:rowOff>19050</xdr:rowOff>
        </xdr:from>
        <xdr:to>
          <xdr:col>13</xdr:col>
          <xdr:colOff>361950</xdr:colOff>
          <xdr:row>31</xdr:row>
          <xdr:rowOff>0</xdr:rowOff>
        </xdr:to>
        <xdr:sp macro="" textlink="">
          <xdr:nvSpPr>
            <xdr:cNvPr id="22554" name="Drop Down 26" hidden="1">
              <a:extLst>
                <a:ext uri="{63B3BB69-23CF-44E3-9099-C40C66FF867C}">
                  <a14:compatExt spid="_x0000_s22554"/>
                </a:ext>
                <a:ext uri="{FF2B5EF4-FFF2-40B4-BE49-F238E27FC236}">
                  <a16:creationId xmlns:a16="http://schemas.microsoft.com/office/drawing/2014/main" id="{00000000-0008-0000-02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31</xdr:row>
          <xdr:rowOff>19050</xdr:rowOff>
        </xdr:from>
        <xdr:to>
          <xdr:col>13</xdr:col>
          <xdr:colOff>361950</xdr:colOff>
          <xdr:row>32</xdr:row>
          <xdr:rowOff>0</xdr:rowOff>
        </xdr:to>
        <xdr:sp macro="" textlink="">
          <xdr:nvSpPr>
            <xdr:cNvPr id="22555" name="Drop Down 27" hidden="1">
              <a:extLst>
                <a:ext uri="{63B3BB69-23CF-44E3-9099-C40C66FF867C}">
                  <a14:compatExt spid="_x0000_s22555"/>
                </a:ext>
                <a:ext uri="{FF2B5EF4-FFF2-40B4-BE49-F238E27FC236}">
                  <a16:creationId xmlns:a16="http://schemas.microsoft.com/office/drawing/2014/main" id="{00000000-0008-0000-02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11</xdr:row>
          <xdr:rowOff>9525</xdr:rowOff>
        </xdr:from>
        <xdr:to>
          <xdr:col>13</xdr:col>
          <xdr:colOff>352425</xdr:colOff>
          <xdr:row>11</xdr:row>
          <xdr:rowOff>190500</xdr:rowOff>
        </xdr:to>
        <xdr:sp macro="" textlink="">
          <xdr:nvSpPr>
            <xdr:cNvPr id="22596" name="Drop Down 68" hidden="1">
              <a:extLst>
                <a:ext uri="{63B3BB69-23CF-44E3-9099-C40C66FF867C}">
                  <a14:compatExt spid="_x0000_s22596"/>
                </a:ext>
                <a:ext uri="{FF2B5EF4-FFF2-40B4-BE49-F238E27FC236}">
                  <a16:creationId xmlns:a16="http://schemas.microsoft.com/office/drawing/2014/main" id="{00000000-0008-0000-0200-00004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xdr:row>
          <xdr:rowOff>19050</xdr:rowOff>
        </xdr:from>
        <xdr:to>
          <xdr:col>13</xdr:col>
          <xdr:colOff>342900</xdr:colOff>
          <xdr:row>14</xdr:row>
          <xdr:rowOff>0</xdr:rowOff>
        </xdr:to>
        <xdr:sp macro="" textlink="">
          <xdr:nvSpPr>
            <xdr:cNvPr id="22597" name="Drop Down 69" hidden="1">
              <a:extLst>
                <a:ext uri="{63B3BB69-23CF-44E3-9099-C40C66FF867C}">
                  <a14:compatExt spid="_x0000_s22597"/>
                </a:ext>
                <a:ext uri="{FF2B5EF4-FFF2-40B4-BE49-F238E27FC236}">
                  <a16:creationId xmlns:a16="http://schemas.microsoft.com/office/drawing/2014/main" id="{00000000-0008-0000-0200-00004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25</xdr:row>
          <xdr:rowOff>19050</xdr:rowOff>
        </xdr:from>
        <xdr:to>
          <xdr:col>13</xdr:col>
          <xdr:colOff>361950</xdr:colOff>
          <xdr:row>26</xdr:row>
          <xdr:rowOff>0</xdr:rowOff>
        </xdr:to>
        <xdr:sp macro="" textlink="">
          <xdr:nvSpPr>
            <xdr:cNvPr id="22598" name="Drop Down 70" hidden="1">
              <a:extLst>
                <a:ext uri="{63B3BB69-23CF-44E3-9099-C40C66FF867C}">
                  <a14:compatExt spid="_x0000_s22598"/>
                </a:ext>
                <a:ext uri="{FF2B5EF4-FFF2-40B4-BE49-F238E27FC236}">
                  <a16:creationId xmlns:a16="http://schemas.microsoft.com/office/drawing/2014/main" id="{00000000-0008-0000-0200-00004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27</xdr:row>
          <xdr:rowOff>19050</xdr:rowOff>
        </xdr:from>
        <xdr:to>
          <xdr:col>13</xdr:col>
          <xdr:colOff>361950</xdr:colOff>
          <xdr:row>28</xdr:row>
          <xdr:rowOff>0</xdr:rowOff>
        </xdr:to>
        <xdr:sp macro="" textlink="">
          <xdr:nvSpPr>
            <xdr:cNvPr id="22599" name="Drop Down 71" hidden="1">
              <a:extLst>
                <a:ext uri="{63B3BB69-23CF-44E3-9099-C40C66FF867C}">
                  <a14:compatExt spid="_x0000_s22599"/>
                </a:ext>
                <a:ext uri="{FF2B5EF4-FFF2-40B4-BE49-F238E27FC236}">
                  <a16:creationId xmlns:a16="http://schemas.microsoft.com/office/drawing/2014/main" id="{00000000-0008-0000-0200-00004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28</xdr:row>
          <xdr:rowOff>9525</xdr:rowOff>
        </xdr:from>
        <xdr:to>
          <xdr:col>13</xdr:col>
          <xdr:colOff>361950</xdr:colOff>
          <xdr:row>28</xdr:row>
          <xdr:rowOff>190500</xdr:rowOff>
        </xdr:to>
        <xdr:sp macro="" textlink="">
          <xdr:nvSpPr>
            <xdr:cNvPr id="22600" name="Drop Down 72" hidden="1">
              <a:extLst>
                <a:ext uri="{63B3BB69-23CF-44E3-9099-C40C66FF867C}">
                  <a14:compatExt spid="_x0000_s22600"/>
                </a:ext>
                <a:ext uri="{FF2B5EF4-FFF2-40B4-BE49-F238E27FC236}">
                  <a16:creationId xmlns:a16="http://schemas.microsoft.com/office/drawing/2014/main" id="{00000000-0008-0000-0200-00004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37</xdr:row>
          <xdr:rowOff>19050</xdr:rowOff>
        </xdr:from>
        <xdr:to>
          <xdr:col>13</xdr:col>
          <xdr:colOff>361950</xdr:colOff>
          <xdr:row>38</xdr:row>
          <xdr:rowOff>0</xdr:rowOff>
        </xdr:to>
        <xdr:sp macro="" textlink="">
          <xdr:nvSpPr>
            <xdr:cNvPr id="22602" name="Drop Down 74" hidden="1">
              <a:extLst>
                <a:ext uri="{63B3BB69-23CF-44E3-9099-C40C66FF867C}">
                  <a14:compatExt spid="_x0000_s22602"/>
                </a:ext>
                <a:ext uri="{FF2B5EF4-FFF2-40B4-BE49-F238E27FC236}">
                  <a16:creationId xmlns:a16="http://schemas.microsoft.com/office/drawing/2014/main" id="{00000000-0008-0000-0200-00004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46</xdr:row>
          <xdr:rowOff>9525</xdr:rowOff>
        </xdr:from>
        <xdr:to>
          <xdr:col>13</xdr:col>
          <xdr:colOff>352425</xdr:colOff>
          <xdr:row>46</xdr:row>
          <xdr:rowOff>190500</xdr:rowOff>
        </xdr:to>
        <xdr:sp macro="" textlink="">
          <xdr:nvSpPr>
            <xdr:cNvPr id="22603" name="Drop Down 75" hidden="1">
              <a:extLst>
                <a:ext uri="{63B3BB69-23CF-44E3-9099-C40C66FF867C}">
                  <a14:compatExt spid="_x0000_s22603"/>
                </a:ext>
                <a:ext uri="{FF2B5EF4-FFF2-40B4-BE49-F238E27FC236}">
                  <a16:creationId xmlns:a16="http://schemas.microsoft.com/office/drawing/2014/main" id="{00000000-0008-0000-0200-00004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47</xdr:row>
          <xdr:rowOff>9525</xdr:rowOff>
        </xdr:from>
        <xdr:to>
          <xdr:col>13</xdr:col>
          <xdr:colOff>352425</xdr:colOff>
          <xdr:row>47</xdr:row>
          <xdr:rowOff>190500</xdr:rowOff>
        </xdr:to>
        <xdr:sp macro="" textlink="">
          <xdr:nvSpPr>
            <xdr:cNvPr id="22604" name="Drop Down 76" hidden="1">
              <a:extLst>
                <a:ext uri="{63B3BB69-23CF-44E3-9099-C40C66FF867C}">
                  <a14:compatExt spid="_x0000_s22604"/>
                </a:ext>
                <a:ext uri="{FF2B5EF4-FFF2-40B4-BE49-F238E27FC236}">
                  <a16:creationId xmlns:a16="http://schemas.microsoft.com/office/drawing/2014/main" id="{00000000-0008-0000-0200-00004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38</xdr:row>
          <xdr:rowOff>19050</xdr:rowOff>
        </xdr:from>
        <xdr:to>
          <xdr:col>13</xdr:col>
          <xdr:colOff>361950</xdr:colOff>
          <xdr:row>39</xdr:row>
          <xdr:rowOff>0</xdr:rowOff>
        </xdr:to>
        <xdr:sp macro="" textlink="">
          <xdr:nvSpPr>
            <xdr:cNvPr id="22605" name="Drop Down 77" hidden="1">
              <a:extLst>
                <a:ext uri="{63B3BB69-23CF-44E3-9099-C40C66FF867C}">
                  <a14:compatExt spid="_x0000_s22605"/>
                </a:ext>
                <a:ext uri="{FF2B5EF4-FFF2-40B4-BE49-F238E27FC236}">
                  <a16:creationId xmlns:a16="http://schemas.microsoft.com/office/drawing/2014/main" id="{00000000-0008-0000-0200-00004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45</xdr:row>
          <xdr:rowOff>9525</xdr:rowOff>
        </xdr:from>
        <xdr:to>
          <xdr:col>13</xdr:col>
          <xdr:colOff>352425</xdr:colOff>
          <xdr:row>45</xdr:row>
          <xdr:rowOff>190500</xdr:rowOff>
        </xdr:to>
        <xdr:sp macro="" textlink="">
          <xdr:nvSpPr>
            <xdr:cNvPr id="22606" name="Drop Down 78" hidden="1">
              <a:extLst>
                <a:ext uri="{63B3BB69-23CF-44E3-9099-C40C66FF867C}">
                  <a14:compatExt spid="_x0000_s22606"/>
                </a:ext>
                <a:ext uri="{FF2B5EF4-FFF2-40B4-BE49-F238E27FC236}">
                  <a16:creationId xmlns:a16="http://schemas.microsoft.com/office/drawing/2014/main" id="{00000000-0008-0000-0200-00004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59</xdr:row>
          <xdr:rowOff>0</xdr:rowOff>
        </xdr:from>
        <xdr:to>
          <xdr:col>13</xdr:col>
          <xdr:colOff>352425</xdr:colOff>
          <xdr:row>59</xdr:row>
          <xdr:rowOff>180975</xdr:rowOff>
        </xdr:to>
        <xdr:sp macro="" textlink="">
          <xdr:nvSpPr>
            <xdr:cNvPr id="22611" name="Drop Down 83" hidden="1">
              <a:extLst>
                <a:ext uri="{63B3BB69-23CF-44E3-9099-C40C66FF867C}">
                  <a14:compatExt spid="_x0000_s22611"/>
                </a:ext>
                <a:ext uri="{FF2B5EF4-FFF2-40B4-BE49-F238E27FC236}">
                  <a16:creationId xmlns:a16="http://schemas.microsoft.com/office/drawing/2014/main" id="{00000000-0008-0000-0200-00005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60</xdr:row>
          <xdr:rowOff>0</xdr:rowOff>
        </xdr:from>
        <xdr:to>
          <xdr:col>13</xdr:col>
          <xdr:colOff>352425</xdr:colOff>
          <xdr:row>60</xdr:row>
          <xdr:rowOff>180975</xdr:rowOff>
        </xdr:to>
        <xdr:sp macro="" textlink="">
          <xdr:nvSpPr>
            <xdr:cNvPr id="22612" name="Drop Down 84" hidden="1">
              <a:extLst>
                <a:ext uri="{63B3BB69-23CF-44E3-9099-C40C66FF867C}">
                  <a14:compatExt spid="_x0000_s22612"/>
                </a:ext>
                <a:ext uri="{FF2B5EF4-FFF2-40B4-BE49-F238E27FC236}">
                  <a16:creationId xmlns:a16="http://schemas.microsoft.com/office/drawing/2014/main" id="{00000000-0008-0000-0200-00005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61</xdr:row>
          <xdr:rowOff>0</xdr:rowOff>
        </xdr:from>
        <xdr:to>
          <xdr:col>13</xdr:col>
          <xdr:colOff>352425</xdr:colOff>
          <xdr:row>61</xdr:row>
          <xdr:rowOff>180975</xdr:rowOff>
        </xdr:to>
        <xdr:sp macro="" textlink="">
          <xdr:nvSpPr>
            <xdr:cNvPr id="22613" name="Drop Down 85" hidden="1">
              <a:extLst>
                <a:ext uri="{63B3BB69-23CF-44E3-9099-C40C66FF867C}">
                  <a14:compatExt spid="_x0000_s22613"/>
                </a:ext>
                <a:ext uri="{FF2B5EF4-FFF2-40B4-BE49-F238E27FC236}">
                  <a16:creationId xmlns:a16="http://schemas.microsoft.com/office/drawing/2014/main" id="{00000000-0008-0000-0200-00005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62</xdr:row>
          <xdr:rowOff>0</xdr:rowOff>
        </xdr:from>
        <xdr:to>
          <xdr:col>13</xdr:col>
          <xdr:colOff>352425</xdr:colOff>
          <xdr:row>62</xdr:row>
          <xdr:rowOff>180975</xdr:rowOff>
        </xdr:to>
        <xdr:sp macro="" textlink="">
          <xdr:nvSpPr>
            <xdr:cNvPr id="22614" name="Drop Down 86" hidden="1">
              <a:extLst>
                <a:ext uri="{63B3BB69-23CF-44E3-9099-C40C66FF867C}">
                  <a14:compatExt spid="_x0000_s22614"/>
                </a:ext>
                <a:ext uri="{FF2B5EF4-FFF2-40B4-BE49-F238E27FC236}">
                  <a16:creationId xmlns:a16="http://schemas.microsoft.com/office/drawing/2014/main" id="{00000000-0008-0000-0200-00005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63</xdr:row>
          <xdr:rowOff>0</xdr:rowOff>
        </xdr:from>
        <xdr:to>
          <xdr:col>13</xdr:col>
          <xdr:colOff>352425</xdr:colOff>
          <xdr:row>63</xdr:row>
          <xdr:rowOff>180975</xdr:rowOff>
        </xdr:to>
        <xdr:sp macro="" textlink="">
          <xdr:nvSpPr>
            <xdr:cNvPr id="22615" name="Drop Down 87" hidden="1">
              <a:extLst>
                <a:ext uri="{63B3BB69-23CF-44E3-9099-C40C66FF867C}">
                  <a14:compatExt spid="_x0000_s22615"/>
                </a:ext>
                <a:ext uri="{FF2B5EF4-FFF2-40B4-BE49-F238E27FC236}">
                  <a16:creationId xmlns:a16="http://schemas.microsoft.com/office/drawing/2014/main" id="{00000000-0008-0000-0200-00005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64</xdr:row>
          <xdr:rowOff>0</xdr:rowOff>
        </xdr:from>
        <xdr:to>
          <xdr:col>13</xdr:col>
          <xdr:colOff>352425</xdr:colOff>
          <xdr:row>64</xdr:row>
          <xdr:rowOff>180975</xdr:rowOff>
        </xdr:to>
        <xdr:sp macro="" textlink="">
          <xdr:nvSpPr>
            <xdr:cNvPr id="22616" name="Drop Down 88" hidden="1">
              <a:extLst>
                <a:ext uri="{63B3BB69-23CF-44E3-9099-C40C66FF867C}">
                  <a14:compatExt spid="_x0000_s22616"/>
                </a:ext>
                <a:ext uri="{FF2B5EF4-FFF2-40B4-BE49-F238E27FC236}">
                  <a16:creationId xmlns:a16="http://schemas.microsoft.com/office/drawing/2014/main" id="{00000000-0008-0000-0200-00005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65</xdr:row>
          <xdr:rowOff>28575</xdr:rowOff>
        </xdr:from>
        <xdr:to>
          <xdr:col>13</xdr:col>
          <xdr:colOff>342900</xdr:colOff>
          <xdr:row>66</xdr:row>
          <xdr:rowOff>9525</xdr:rowOff>
        </xdr:to>
        <xdr:sp macro="" textlink="">
          <xdr:nvSpPr>
            <xdr:cNvPr id="22617" name="Drop Down 89" hidden="1">
              <a:extLst>
                <a:ext uri="{63B3BB69-23CF-44E3-9099-C40C66FF867C}">
                  <a14:compatExt spid="_x0000_s22617"/>
                </a:ext>
                <a:ext uri="{FF2B5EF4-FFF2-40B4-BE49-F238E27FC236}">
                  <a16:creationId xmlns:a16="http://schemas.microsoft.com/office/drawing/2014/main" id="{00000000-0008-0000-0200-00005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66</xdr:row>
          <xdr:rowOff>28575</xdr:rowOff>
        </xdr:from>
        <xdr:to>
          <xdr:col>13</xdr:col>
          <xdr:colOff>342900</xdr:colOff>
          <xdr:row>67</xdr:row>
          <xdr:rowOff>9525</xdr:rowOff>
        </xdr:to>
        <xdr:sp macro="" textlink="">
          <xdr:nvSpPr>
            <xdr:cNvPr id="22618" name="Drop Down 90" hidden="1">
              <a:extLst>
                <a:ext uri="{63B3BB69-23CF-44E3-9099-C40C66FF867C}">
                  <a14:compatExt spid="_x0000_s22618"/>
                </a:ext>
                <a:ext uri="{FF2B5EF4-FFF2-40B4-BE49-F238E27FC236}">
                  <a16:creationId xmlns:a16="http://schemas.microsoft.com/office/drawing/2014/main" id="{00000000-0008-0000-0200-00005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68</xdr:row>
          <xdr:rowOff>0</xdr:rowOff>
        </xdr:from>
        <xdr:to>
          <xdr:col>13</xdr:col>
          <xdr:colOff>352425</xdr:colOff>
          <xdr:row>68</xdr:row>
          <xdr:rowOff>180975</xdr:rowOff>
        </xdr:to>
        <xdr:sp macro="" textlink="">
          <xdr:nvSpPr>
            <xdr:cNvPr id="22619" name="Drop Down 91" hidden="1">
              <a:extLst>
                <a:ext uri="{63B3BB69-23CF-44E3-9099-C40C66FF867C}">
                  <a14:compatExt spid="_x0000_s22619"/>
                </a:ext>
                <a:ext uri="{FF2B5EF4-FFF2-40B4-BE49-F238E27FC236}">
                  <a16:creationId xmlns:a16="http://schemas.microsoft.com/office/drawing/2014/main" id="{00000000-0008-0000-0200-00005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68</xdr:row>
          <xdr:rowOff>190500</xdr:rowOff>
        </xdr:from>
        <xdr:to>
          <xdr:col>13</xdr:col>
          <xdr:colOff>352425</xdr:colOff>
          <xdr:row>69</xdr:row>
          <xdr:rowOff>171450</xdr:rowOff>
        </xdr:to>
        <xdr:sp macro="" textlink="">
          <xdr:nvSpPr>
            <xdr:cNvPr id="22620" name="Drop Down 92" hidden="1">
              <a:extLst>
                <a:ext uri="{63B3BB69-23CF-44E3-9099-C40C66FF867C}">
                  <a14:compatExt spid="_x0000_s22620"/>
                </a:ext>
                <a:ext uri="{FF2B5EF4-FFF2-40B4-BE49-F238E27FC236}">
                  <a16:creationId xmlns:a16="http://schemas.microsoft.com/office/drawing/2014/main" id="{00000000-0008-0000-0200-00005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83</xdr:row>
          <xdr:rowOff>19050</xdr:rowOff>
        </xdr:from>
        <xdr:to>
          <xdr:col>13</xdr:col>
          <xdr:colOff>352425</xdr:colOff>
          <xdr:row>84</xdr:row>
          <xdr:rowOff>0</xdr:rowOff>
        </xdr:to>
        <xdr:sp macro="" textlink="">
          <xdr:nvSpPr>
            <xdr:cNvPr id="22621" name="Drop Down 93" hidden="1">
              <a:extLst>
                <a:ext uri="{63B3BB69-23CF-44E3-9099-C40C66FF867C}">
                  <a14:compatExt spid="_x0000_s22621"/>
                </a:ext>
                <a:ext uri="{FF2B5EF4-FFF2-40B4-BE49-F238E27FC236}">
                  <a16:creationId xmlns:a16="http://schemas.microsoft.com/office/drawing/2014/main" id="{00000000-0008-0000-0200-00005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85</xdr:row>
          <xdr:rowOff>0</xdr:rowOff>
        </xdr:from>
        <xdr:to>
          <xdr:col>13</xdr:col>
          <xdr:colOff>352425</xdr:colOff>
          <xdr:row>85</xdr:row>
          <xdr:rowOff>180975</xdr:rowOff>
        </xdr:to>
        <xdr:sp macro="" textlink="">
          <xdr:nvSpPr>
            <xdr:cNvPr id="22622" name="Drop Down 94" hidden="1">
              <a:extLst>
                <a:ext uri="{63B3BB69-23CF-44E3-9099-C40C66FF867C}">
                  <a14:compatExt spid="_x0000_s22622"/>
                </a:ext>
                <a:ext uri="{FF2B5EF4-FFF2-40B4-BE49-F238E27FC236}">
                  <a16:creationId xmlns:a16="http://schemas.microsoft.com/office/drawing/2014/main" id="{00000000-0008-0000-0200-00005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88</xdr:row>
          <xdr:rowOff>0</xdr:rowOff>
        </xdr:from>
        <xdr:to>
          <xdr:col>13</xdr:col>
          <xdr:colOff>352425</xdr:colOff>
          <xdr:row>88</xdr:row>
          <xdr:rowOff>180975</xdr:rowOff>
        </xdr:to>
        <xdr:sp macro="" textlink="">
          <xdr:nvSpPr>
            <xdr:cNvPr id="22623" name="Drop Down 95" hidden="1">
              <a:extLst>
                <a:ext uri="{63B3BB69-23CF-44E3-9099-C40C66FF867C}">
                  <a14:compatExt spid="_x0000_s22623"/>
                </a:ext>
                <a:ext uri="{FF2B5EF4-FFF2-40B4-BE49-F238E27FC236}">
                  <a16:creationId xmlns:a16="http://schemas.microsoft.com/office/drawing/2014/main" id="{00000000-0008-0000-0200-00005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93</xdr:row>
          <xdr:rowOff>0</xdr:rowOff>
        </xdr:from>
        <xdr:to>
          <xdr:col>13</xdr:col>
          <xdr:colOff>352425</xdr:colOff>
          <xdr:row>93</xdr:row>
          <xdr:rowOff>180975</xdr:rowOff>
        </xdr:to>
        <xdr:sp macro="" textlink="">
          <xdr:nvSpPr>
            <xdr:cNvPr id="22624" name="Drop Down 96" hidden="1">
              <a:extLst>
                <a:ext uri="{63B3BB69-23CF-44E3-9099-C40C66FF867C}">
                  <a14:compatExt spid="_x0000_s22624"/>
                </a:ext>
                <a:ext uri="{FF2B5EF4-FFF2-40B4-BE49-F238E27FC236}">
                  <a16:creationId xmlns:a16="http://schemas.microsoft.com/office/drawing/2014/main" id="{00000000-0008-0000-0200-00006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94</xdr:row>
          <xdr:rowOff>0</xdr:rowOff>
        </xdr:from>
        <xdr:to>
          <xdr:col>13</xdr:col>
          <xdr:colOff>352425</xdr:colOff>
          <xdr:row>94</xdr:row>
          <xdr:rowOff>180975</xdr:rowOff>
        </xdr:to>
        <xdr:sp macro="" textlink="">
          <xdr:nvSpPr>
            <xdr:cNvPr id="22625" name="Drop Down 97" hidden="1">
              <a:extLst>
                <a:ext uri="{63B3BB69-23CF-44E3-9099-C40C66FF867C}">
                  <a14:compatExt spid="_x0000_s22625"/>
                </a:ext>
                <a:ext uri="{FF2B5EF4-FFF2-40B4-BE49-F238E27FC236}">
                  <a16:creationId xmlns:a16="http://schemas.microsoft.com/office/drawing/2014/main" id="{00000000-0008-0000-0200-00006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99</xdr:row>
          <xdr:rowOff>9525</xdr:rowOff>
        </xdr:from>
        <xdr:to>
          <xdr:col>13</xdr:col>
          <xdr:colOff>352425</xdr:colOff>
          <xdr:row>99</xdr:row>
          <xdr:rowOff>190500</xdr:rowOff>
        </xdr:to>
        <xdr:sp macro="" textlink="">
          <xdr:nvSpPr>
            <xdr:cNvPr id="22626" name="Drop Down 98" hidden="1">
              <a:extLst>
                <a:ext uri="{63B3BB69-23CF-44E3-9099-C40C66FF867C}">
                  <a14:compatExt spid="_x0000_s22626"/>
                </a:ext>
                <a:ext uri="{FF2B5EF4-FFF2-40B4-BE49-F238E27FC236}">
                  <a16:creationId xmlns:a16="http://schemas.microsoft.com/office/drawing/2014/main" id="{00000000-0008-0000-0200-00006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103</xdr:row>
          <xdr:rowOff>0</xdr:rowOff>
        </xdr:from>
        <xdr:to>
          <xdr:col>13</xdr:col>
          <xdr:colOff>352425</xdr:colOff>
          <xdr:row>103</xdr:row>
          <xdr:rowOff>180975</xdr:rowOff>
        </xdr:to>
        <xdr:sp macro="" textlink="">
          <xdr:nvSpPr>
            <xdr:cNvPr id="22627" name="Drop Down 99" hidden="1">
              <a:extLst>
                <a:ext uri="{63B3BB69-23CF-44E3-9099-C40C66FF867C}">
                  <a14:compatExt spid="_x0000_s22627"/>
                </a:ext>
                <a:ext uri="{FF2B5EF4-FFF2-40B4-BE49-F238E27FC236}">
                  <a16:creationId xmlns:a16="http://schemas.microsoft.com/office/drawing/2014/main" id="{00000000-0008-0000-0200-00006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29</xdr:row>
          <xdr:rowOff>19050</xdr:rowOff>
        </xdr:from>
        <xdr:to>
          <xdr:col>13</xdr:col>
          <xdr:colOff>361950</xdr:colOff>
          <xdr:row>30</xdr:row>
          <xdr:rowOff>0</xdr:rowOff>
        </xdr:to>
        <xdr:sp macro="" textlink="">
          <xdr:nvSpPr>
            <xdr:cNvPr id="22631" name="Drop Down 103" hidden="1">
              <a:extLst>
                <a:ext uri="{63B3BB69-23CF-44E3-9099-C40C66FF867C}">
                  <a14:compatExt spid="_x0000_s22631"/>
                </a:ext>
                <a:ext uri="{FF2B5EF4-FFF2-40B4-BE49-F238E27FC236}">
                  <a16:creationId xmlns:a16="http://schemas.microsoft.com/office/drawing/2014/main" id="{00000000-0008-0000-0200-00006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50</xdr:row>
          <xdr:rowOff>9525</xdr:rowOff>
        </xdr:from>
        <xdr:to>
          <xdr:col>13</xdr:col>
          <xdr:colOff>342900</xdr:colOff>
          <xdr:row>50</xdr:row>
          <xdr:rowOff>190500</xdr:rowOff>
        </xdr:to>
        <xdr:sp macro="" textlink="">
          <xdr:nvSpPr>
            <xdr:cNvPr id="22640" name="Drop Down 112" hidden="1">
              <a:extLst>
                <a:ext uri="{63B3BB69-23CF-44E3-9099-C40C66FF867C}">
                  <a14:compatExt spid="_x0000_s22640"/>
                </a:ext>
                <a:ext uri="{FF2B5EF4-FFF2-40B4-BE49-F238E27FC236}">
                  <a16:creationId xmlns:a16="http://schemas.microsoft.com/office/drawing/2014/main" id="{00000000-0008-0000-0200-00007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xdr:row>
          <xdr:rowOff>190500</xdr:rowOff>
        </xdr:from>
        <xdr:to>
          <xdr:col>2</xdr:col>
          <xdr:colOff>857250</xdr:colOff>
          <xdr:row>3</xdr:row>
          <xdr:rowOff>219075</xdr:rowOff>
        </xdr:to>
        <xdr:sp macro="" textlink="">
          <xdr:nvSpPr>
            <xdr:cNvPr id="22649" name="CommandButton1" hidden="1">
              <a:extLst>
                <a:ext uri="{63B3BB69-23CF-44E3-9099-C40C66FF867C}">
                  <a14:compatExt spid="_x0000_s22649"/>
                </a:ext>
                <a:ext uri="{FF2B5EF4-FFF2-40B4-BE49-F238E27FC236}">
                  <a16:creationId xmlns:a16="http://schemas.microsoft.com/office/drawing/2014/main" id="{00000000-0008-0000-0200-0000795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51</xdr:row>
          <xdr:rowOff>0</xdr:rowOff>
        </xdr:from>
        <xdr:to>
          <xdr:col>13</xdr:col>
          <xdr:colOff>342900</xdr:colOff>
          <xdr:row>51</xdr:row>
          <xdr:rowOff>180975</xdr:rowOff>
        </xdr:to>
        <xdr:sp macro="" textlink="">
          <xdr:nvSpPr>
            <xdr:cNvPr id="22718" name="Drop Down 190" hidden="1">
              <a:extLst>
                <a:ext uri="{63B3BB69-23CF-44E3-9099-C40C66FF867C}">
                  <a14:compatExt spid="_x0000_s22718"/>
                </a:ext>
                <a:ext uri="{FF2B5EF4-FFF2-40B4-BE49-F238E27FC236}">
                  <a16:creationId xmlns:a16="http://schemas.microsoft.com/office/drawing/2014/main" id="{00000000-0008-0000-0200-0000B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52</xdr:row>
          <xdr:rowOff>0</xdr:rowOff>
        </xdr:from>
        <xdr:to>
          <xdr:col>13</xdr:col>
          <xdr:colOff>342900</xdr:colOff>
          <xdr:row>52</xdr:row>
          <xdr:rowOff>180975</xdr:rowOff>
        </xdr:to>
        <xdr:sp macro="" textlink="">
          <xdr:nvSpPr>
            <xdr:cNvPr id="22734" name="Drop Down 206" hidden="1">
              <a:extLst>
                <a:ext uri="{63B3BB69-23CF-44E3-9099-C40C66FF867C}">
                  <a14:compatExt spid="_x0000_s22734"/>
                </a:ext>
                <a:ext uri="{FF2B5EF4-FFF2-40B4-BE49-F238E27FC236}">
                  <a16:creationId xmlns:a16="http://schemas.microsoft.com/office/drawing/2014/main" id="{00000000-0008-0000-0200-0000C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52</xdr:row>
          <xdr:rowOff>190500</xdr:rowOff>
        </xdr:from>
        <xdr:to>
          <xdr:col>13</xdr:col>
          <xdr:colOff>342900</xdr:colOff>
          <xdr:row>53</xdr:row>
          <xdr:rowOff>171450</xdr:rowOff>
        </xdr:to>
        <xdr:sp macro="" textlink="">
          <xdr:nvSpPr>
            <xdr:cNvPr id="22751" name="Drop Down 223" hidden="1">
              <a:extLst>
                <a:ext uri="{63B3BB69-23CF-44E3-9099-C40C66FF867C}">
                  <a14:compatExt spid="_x0000_s22751"/>
                </a:ext>
                <a:ext uri="{FF2B5EF4-FFF2-40B4-BE49-F238E27FC236}">
                  <a16:creationId xmlns:a16="http://schemas.microsoft.com/office/drawing/2014/main" id="{00000000-0008-0000-0200-0000D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54</xdr:row>
          <xdr:rowOff>190500</xdr:rowOff>
        </xdr:from>
        <xdr:to>
          <xdr:col>13</xdr:col>
          <xdr:colOff>342900</xdr:colOff>
          <xdr:row>55</xdr:row>
          <xdr:rowOff>171450</xdr:rowOff>
        </xdr:to>
        <xdr:sp macro="" textlink="">
          <xdr:nvSpPr>
            <xdr:cNvPr id="22769" name="Drop Down 241" hidden="1">
              <a:extLst>
                <a:ext uri="{63B3BB69-23CF-44E3-9099-C40C66FF867C}">
                  <a14:compatExt spid="_x0000_s22769"/>
                </a:ext>
                <a:ext uri="{FF2B5EF4-FFF2-40B4-BE49-F238E27FC236}">
                  <a16:creationId xmlns:a16="http://schemas.microsoft.com/office/drawing/2014/main" id="{00000000-0008-0000-0200-0000F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55</xdr:row>
          <xdr:rowOff>190500</xdr:rowOff>
        </xdr:from>
        <xdr:to>
          <xdr:col>13</xdr:col>
          <xdr:colOff>342900</xdr:colOff>
          <xdr:row>56</xdr:row>
          <xdr:rowOff>171450</xdr:rowOff>
        </xdr:to>
        <xdr:sp macro="" textlink="">
          <xdr:nvSpPr>
            <xdr:cNvPr id="22788" name="Drop Down 260" hidden="1">
              <a:extLst>
                <a:ext uri="{63B3BB69-23CF-44E3-9099-C40C66FF867C}">
                  <a14:compatExt spid="_x0000_s22788"/>
                </a:ext>
                <a:ext uri="{FF2B5EF4-FFF2-40B4-BE49-F238E27FC236}">
                  <a16:creationId xmlns:a16="http://schemas.microsoft.com/office/drawing/2014/main" id="{00000000-0008-0000-0200-000004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5</xdr:row>
          <xdr:rowOff>85725</xdr:rowOff>
        </xdr:from>
        <xdr:to>
          <xdr:col>14</xdr:col>
          <xdr:colOff>428625</xdr:colOff>
          <xdr:row>6</xdr:row>
          <xdr:rowOff>142875</xdr:rowOff>
        </xdr:to>
        <xdr:sp macro="" textlink="">
          <xdr:nvSpPr>
            <xdr:cNvPr id="22791" name="ComboBox1" hidden="1">
              <a:extLst>
                <a:ext uri="{63B3BB69-23CF-44E3-9099-C40C66FF867C}">
                  <a14:compatExt spid="_x0000_s22791"/>
                </a:ext>
                <a:ext uri="{FF2B5EF4-FFF2-40B4-BE49-F238E27FC236}">
                  <a16:creationId xmlns:a16="http://schemas.microsoft.com/office/drawing/2014/main" id="{00000000-0008-0000-0200-000007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200025</xdr:rowOff>
        </xdr:from>
        <xdr:to>
          <xdr:col>13</xdr:col>
          <xdr:colOff>0</xdr:colOff>
          <xdr:row>6</xdr:row>
          <xdr:rowOff>171450</xdr:rowOff>
        </xdr:to>
        <xdr:sp macro="" textlink="">
          <xdr:nvSpPr>
            <xdr:cNvPr id="22792" name="CommandButton2" descr="Busy...." hidden="1">
              <a:extLst>
                <a:ext uri="{63B3BB69-23CF-44E3-9099-C40C66FF867C}">
                  <a14:compatExt spid="_x0000_s22792"/>
                </a:ext>
                <a:ext uri="{FF2B5EF4-FFF2-40B4-BE49-F238E27FC236}">
                  <a16:creationId xmlns:a16="http://schemas.microsoft.com/office/drawing/2014/main" id="{00000000-0008-0000-0200-00000859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106</xdr:row>
          <xdr:rowOff>0</xdr:rowOff>
        </xdr:from>
        <xdr:to>
          <xdr:col>13</xdr:col>
          <xdr:colOff>352425</xdr:colOff>
          <xdr:row>106</xdr:row>
          <xdr:rowOff>180975</xdr:rowOff>
        </xdr:to>
        <xdr:sp macro="" textlink="">
          <xdr:nvSpPr>
            <xdr:cNvPr id="22818" name="Drop Down 290" hidden="1">
              <a:extLst>
                <a:ext uri="{63B3BB69-23CF-44E3-9099-C40C66FF867C}">
                  <a14:compatExt spid="_x0000_s22818"/>
                </a:ext>
                <a:ext uri="{FF2B5EF4-FFF2-40B4-BE49-F238E27FC236}">
                  <a16:creationId xmlns:a16="http://schemas.microsoft.com/office/drawing/2014/main" id="{00000000-0008-0000-0200-00002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9525</xdr:rowOff>
        </xdr:from>
        <xdr:to>
          <xdr:col>2</xdr:col>
          <xdr:colOff>895350</xdr:colOff>
          <xdr:row>5</xdr:row>
          <xdr:rowOff>0</xdr:rowOff>
        </xdr:to>
        <xdr:sp macro="" textlink="">
          <xdr:nvSpPr>
            <xdr:cNvPr id="22820" name="Drop Down 292" hidden="1">
              <a:extLst>
                <a:ext uri="{63B3BB69-23CF-44E3-9099-C40C66FF867C}">
                  <a14:compatExt spid="_x0000_s22820"/>
                </a:ext>
                <a:ext uri="{FF2B5EF4-FFF2-40B4-BE49-F238E27FC236}">
                  <a16:creationId xmlns:a16="http://schemas.microsoft.com/office/drawing/2014/main" id="{00000000-0008-0000-0200-000024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xdr:row>
          <xdr:rowOff>19050</xdr:rowOff>
        </xdr:from>
        <xdr:to>
          <xdr:col>2</xdr:col>
          <xdr:colOff>361950</xdr:colOff>
          <xdr:row>3</xdr:row>
          <xdr:rowOff>252413</xdr:rowOff>
        </xdr:to>
        <xdr:sp macro="" textlink="">
          <xdr:nvSpPr>
            <xdr:cNvPr id="26679" name="CommandButton1" hidden="1">
              <a:extLst>
                <a:ext uri="{63B3BB69-23CF-44E3-9099-C40C66FF867C}">
                  <a14:compatExt spid="_x0000_s26679"/>
                </a:ext>
                <a:ext uri="{FF2B5EF4-FFF2-40B4-BE49-F238E27FC236}">
                  <a16:creationId xmlns:a16="http://schemas.microsoft.com/office/drawing/2014/main" id="{00000000-0008-0000-0300-0000376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xdr:col>
      <xdr:colOff>95250</xdr:colOff>
      <xdr:row>23</xdr:row>
      <xdr:rowOff>19049</xdr:rowOff>
    </xdr:from>
    <xdr:to>
      <xdr:col>8</xdr:col>
      <xdr:colOff>541421</xdr:colOff>
      <xdr:row>43</xdr:row>
      <xdr:rowOff>100262</xdr:rowOff>
    </xdr:to>
    <xdr:graphicFrame macro="">
      <xdr:nvGraphicFramePr>
        <xdr:cNvPr id="4" name="Grafiek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44</xdr:row>
      <xdr:rowOff>138112</xdr:rowOff>
    </xdr:from>
    <xdr:to>
      <xdr:col>7</xdr:col>
      <xdr:colOff>381000</xdr:colOff>
      <xdr:row>60</xdr:row>
      <xdr:rowOff>180474</xdr:rowOff>
    </xdr:to>
    <xdr:graphicFrame macro="">
      <xdr:nvGraphicFramePr>
        <xdr:cNvPr id="5" name="Grafiek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23811</xdr:colOff>
      <xdr:row>23</xdr:row>
      <xdr:rowOff>4761</xdr:rowOff>
    </xdr:from>
    <xdr:to>
      <xdr:col>17</xdr:col>
      <xdr:colOff>381000</xdr:colOff>
      <xdr:row>43</xdr:row>
      <xdr:rowOff>152400</xdr:rowOff>
    </xdr:to>
    <xdr:graphicFrame macro="">
      <xdr:nvGraphicFramePr>
        <xdr:cNvPr id="6" name="Grafiek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330868</xdr:colOff>
      <xdr:row>44</xdr:row>
      <xdr:rowOff>123825</xdr:rowOff>
    </xdr:from>
    <xdr:to>
      <xdr:col>16</xdr:col>
      <xdr:colOff>511342</xdr:colOff>
      <xdr:row>61</xdr:row>
      <xdr:rowOff>10026</xdr:rowOff>
    </xdr:to>
    <xdr:graphicFrame macro="">
      <xdr:nvGraphicFramePr>
        <xdr:cNvPr id="8" name="Grafiek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778542</xdr:colOff>
      <xdr:row>23</xdr:row>
      <xdr:rowOff>0</xdr:rowOff>
    </xdr:from>
    <xdr:to>
      <xdr:col>26</xdr:col>
      <xdr:colOff>190500</xdr:colOff>
      <xdr:row>42</xdr:row>
      <xdr:rowOff>120316</xdr:rowOff>
    </xdr:to>
    <xdr:graphicFrame macro="">
      <xdr:nvGraphicFramePr>
        <xdr:cNvPr id="11" name="Grafiek 10">
          <a:extLst>
            <a:ext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300785</xdr:colOff>
      <xdr:row>44</xdr:row>
      <xdr:rowOff>65171</xdr:rowOff>
    </xdr:from>
    <xdr:to>
      <xdr:col>25</xdr:col>
      <xdr:colOff>340895</xdr:colOff>
      <xdr:row>60</xdr:row>
      <xdr:rowOff>180474</xdr:rowOff>
    </xdr:to>
    <xdr:graphicFrame macro="">
      <xdr:nvGraphicFramePr>
        <xdr:cNvPr id="9" name="Grafiek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100263</xdr:colOff>
      <xdr:row>0</xdr:row>
      <xdr:rowOff>122321</xdr:rowOff>
    </xdr:from>
    <xdr:to>
      <xdr:col>14</xdr:col>
      <xdr:colOff>621632</xdr:colOff>
      <xdr:row>21</xdr:row>
      <xdr:rowOff>190499</xdr:rowOff>
    </xdr:to>
    <xdr:graphicFrame macro="">
      <xdr:nvGraphicFramePr>
        <xdr:cNvPr id="7" name="Grafiek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591552</xdr:colOff>
      <xdr:row>137</xdr:row>
      <xdr:rowOff>10027</xdr:rowOff>
    </xdr:from>
    <xdr:to>
      <xdr:col>7</xdr:col>
      <xdr:colOff>561473</xdr:colOff>
      <xdr:row>153</xdr:row>
      <xdr:rowOff>45119</xdr:rowOff>
    </xdr:to>
    <xdr:pic>
      <xdr:nvPicPr>
        <xdr:cNvPr id="12" name="Afbeelding 11">
          <a:extLst>
            <a:ext uri="{FF2B5EF4-FFF2-40B4-BE49-F238E27FC236}">
              <a16:creationId xmlns:a16="http://schemas.microsoft.com/office/drawing/2014/main" id="{00000000-0008-0000-0400-00000C000000}"/>
            </a:ext>
          </a:extLst>
        </xdr:cNvPr>
        <xdr:cNvPicPr/>
      </xdr:nvPicPr>
      <xdr:blipFill rotWithShape="1">
        <a:blip xmlns:r="http://schemas.openxmlformats.org/officeDocument/2006/relationships" r:embed="rId8"/>
        <a:srcRect l="42446" t="31052" r="20645" b="41040"/>
        <a:stretch/>
      </xdr:blipFill>
      <xdr:spPr>
        <a:xfrm>
          <a:off x="591552" y="25908001"/>
          <a:ext cx="6186237" cy="3083092"/>
        </a:xfrm>
        <a:prstGeom prst="rect">
          <a:avLst/>
        </a:prstGeom>
      </xdr:spPr>
    </xdr:pic>
    <xdr:clientData/>
  </xdr:twoCellAnchor>
  <xdr:twoCellAnchor>
    <xdr:from>
      <xdr:col>15</xdr:col>
      <xdr:colOff>30078</xdr:colOff>
      <xdr:row>0</xdr:row>
      <xdr:rowOff>110289</xdr:rowOff>
    </xdr:from>
    <xdr:to>
      <xdr:col>24</xdr:col>
      <xdr:colOff>10025</xdr:colOff>
      <xdr:row>22</xdr:row>
      <xdr:rowOff>0</xdr:rowOff>
    </xdr:to>
    <xdr:graphicFrame macro="">
      <xdr:nvGraphicFramePr>
        <xdr:cNvPr id="15" name="Grafiek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19050</xdr:colOff>
          <xdr:row>2</xdr:row>
          <xdr:rowOff>142875</xdr:rowOff>
        </xdr:from>
        <xdr:to>
          <xdr:col>5</xdr:col>
          <xdr:colOff>438150</xdr:colOff>
          <xdr:row>4</xdr:row>
          <xdr:rowOff>0</xdr:rowOff>
        </xdr:to>
        <xdr:sp macro="" textlink="">
          <xdr:nvSpPr>
            <xdr:cNvPr id="24581" name="Spinner 5" hidden="1">
              <a:extLst>
                <a:ext uri="{63B3BB69-23CF-44E3-9099-C40C66FF867C}">
                  <a14:compatExt spid="_x0000_s24581"/>
                </a:ext>
                <a:ext uri="{FF2B5EF4-FFF2-40B4-BE49-F238E27FC236}">
                  <a16:creationId xmlns:a16="http://schemas.microsoft.com/office/drawing/2014/main" id="{00000000-0008-0000-0500-000005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276225</xdr:colOff>
          <xdr:row>52</xdr:row>
          <xdr:rowOff>171450</xdr:rowOff>
        </xdr:from>
        <xdr:to>
          <xdr:col>14</xdr:col>
          <xdr:colOff>509588</xdr:colOff>
          <xdr:row>55</xdr:row>
          <xdr:rowOff>38100</xdr:rowOff>
        </xdr:to>
        <xdr:sp macro="" textlink="">
          <xdr:nvSpPr>
            <xdr:cNvPr id="24582" name="CommandButton3" hidden="1">
              <a:extLst>
                <a:ext uri="{63B3BB69-23CF-44E3-9099-C40C66FF867C}">
                  <a14:compatExt spid="_x0000_s24582"/>
                </a:ext>
                <a:ext uri="{FF2B5EF4-FFF2-40B4-BE49-F238E27FC236}">
                  <a16:creationId xmlns:a16="http://schemas.microsoft.com/office/drawing/2014/main" id="{00000000-0008-0000-0500-0000066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142875</xdr:rowOff>
        </xdr:from>
        <xdr:to>
          <xdr:col>5</xdr:col>
          <xdr:colOff>438150</xdr:colOff>
          <xdr:row>4</xdr:row>
          <xdr:rowOff>0</xdr:rowOff>
        </xdr:to>
        <xdr:sp macro="" textlink="">
          <xdr:nvSpPr>
            <xdr:cNvPr id="24583" name="Spinner 7" hidden="1">
              <a:extLst>
                <a:ext uri="{63B3BB69-23CF-44E3-9099-C40C66FF867C}">
                  <a14:compatExt spid="_x0000_s24583"/>
                </a:ext>
                <a:ext uri="{FF2B5EF4-FFF2-40B4-BE49-F238E27FC236}">
                  <a16:creationId xmlns:a16="http://schemas.microsoft.com/office/drawing/2014/main" id="{00000000-0008-0000-0500-000007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C.Hellinga@TUDelft.n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5.emf"/></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3" Type="http://schemas.openxmlformats.org/officeDocument/2006/relationships/vmlDrawing" Target="../drawings/vmlDrawing3.v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7" Type="http://schemas.openxmlformats.org/officeDocument/2006/relationships/image" Target="../media/image8.emf"/><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 Type="http://schemas.openxmlformats.org/officeDocument/2006/relationships/drawing" Target="../drawings/drawing14.xml"/><Relationship Id="rId16" Type="http://schemas.openxmlformats.org/officeDocument/2006/relationships/ctrlProp" Target="../ctrlProps/ctrlProp7.xml"/><Relationship Id="rId20" Type="http://schemas.openxmlformats.org/officeDocument/2006/relationships/ctrlProp" Target="../ctrlProps/ctrlProp11.xml"/><Relationship Id="rId29" Type="http://schemas.openxmlformats.org/officeDocument/2006/relationships/ctrlProp" Target="../ctrlProps/ctrlProp20.xml"/><Relationship Id="rId41" Type="http://schemas.openxmlformats.org/officeDocument/2006/relationships/ctrlProp" Target="../ctrlProps/ctrlProp32.xml"/><Relationship Id="rId1" Type="http://schemas.openxmlformats.org/officeDocument/2006/relationships/printerSettings" Target="../printerSettings/printerSettings3.bin"/><Relationship Id="rId6" Type="http://schemas.openxmlformats.org/officeDocument/2006/relationships/control" Target="../activeX/activeX6.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 Type="http://schemas.openxmlformats.org/officeDocument/2006/relationships/image" Target="../media/image7.emf"/><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4" Type="http://schemas.openxmlformats.org/officeDocument/2006/relationships/control" Target="../activeX/activeX5.xml"/><Relationship Id="rId9" Type="http://schemas.openxmlformats.org/officeDocument/2006/relationships/image" Target="../media/image9.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8" Type="http://schemas.openxmlformats.org/officeDocument/2006/relationships/control" Target="../activeX/activeX7.xml"/><Relationship Id="rId51"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5.xml"/><Relationship Id="rId7" Type="http://schemas.openxmlformats.org/officeDocument/2006/relationships/comments" Target="../comments3.xml"/><Relationship Id="rId2" Type="http://schemas.openxmlformats.org/officeDocument/2006/relationships/printerSettings" Target="../printerSettings/printerSettings4.bin"/><Relationship Id="rId1" Type="http://schemas.openxmlformats.org/officeDocument/2006/relationships/hyperlink" Target="https://urldefense.proofpoint.com/v2/url?u=https-3A__docs.google.com_spreadsheets_d_1fEHhIudqpqXpNEl6jy9pdoFYd33rbDb0cALiPGyNKCQ_edit-23gid-3D1344368619&amp;d=DwMFaQ&amp;c=XYzUhXBD2cD-CornpT4QE19xOJBbRy-TBPLK0X9U2o8&amp;r=E2FVMz8ZZg_RkW0Ez399JpPTN_lKeaNMR4tomxPRHQw&amp;m=39GC34x5a6g2JnZ7Pt5v1zox7ZmTIgG6b1jDpa22nks&amp;s=eyD3cmpBUASAWX8verca2Cmtez0vu_unsF7SwwnlMz0&amp;e=" TargetMode="External"/><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43.xml"/><Relationship Id="rId2" Type="http://schemas.openxmlformats.org/officeDocument/2006/relationships/drawing" Target="../drawings/drawing17.xml"/><Relationship Id="rId1" Type="http://schemas.openxmlformats.org/officeDocument/2006/relationships/printerSettings" Target="../printerSettings/printerSettings6.bin"/><Relationship Id="rId6" Type="http://schemas.openxmlformats.org/officeDocument/2006/relationships/ctrlProp" Target="../ctrlProps/ctrlProp42.xml"/><Relationship Id="rId5" Type="http://schemas.openxmlformats.org/officeDocument/2006/relationships/image" Target="../media/image12.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A5656-4247-466E-8365-615BA2267F07}">
  <sheetPr codeName="Blad6"/>
  <dimension ref="B1:J61"/>
  <sheetViews>
    <sheetView workbookViewId="0">
      <selection activeCell="R32" sqref="R32"/>
    </sheetView>
  </sheetViews>
  <sheetFormatPr defaultRowHeight="14.25" x14ac:dyDescent="0.45"/>
  <cols>
    <col min="1" max="1" width="26" customWidth="1"/>
    <col min="2" max="2" width="13.1328125" customWidth="1"/>
    <col min="3" max="3" width="12.73046875" customWidth="1"/>
    <col min="5" max="5" width="13.265625" customWidth="1"/>
    <col min="6" max="6" width="10.3984375" bestFit="1" customWidth="1"/>
  </cols>
  <sheetData>
    <row r="1" spans="2:10" ht="18" x14ac:dyDescent="0.55000000000000004">
      <c r="B1" s="675" t="s">
        <v>350</v>
      </c>
    </row>
    <row r="2" spans="2:10" x14ac:dyDescent="0.45">
      <c r="B2" t="s">
        <v>346</v>
      </c>
      <c r="C2" t="s">
        <v>494</v>
      </c>
      <c r="J2" s="993" t="s">
        <v>430</v>
      </c>
    </row>
    <row r="3" spans="2:10" x14ac:dyDescent="0.45">
      <c r="B3" t="s">
        <v>417</v>
      </c>
      <c r="C3" s="627">
        <v>44533</v>
      </c>
      <c r="J3" t="s">
        <v>431</v>
      </c>
    </row>
    <row r="4" spans="2:10" x14ac:dyDescent="0.45">
      <c r="B4" t="s">
        <v>345</v>
      </c>
      <c r="C4" t="s">
        <v>347</v>
      </c>
    </row>
    <row r="5" spans="2:10" x14ac:dyDescent="0.45">
      <c r="B5" t="s">
        <v>348</v>
      </c>
      <c r="C5" s="342" t="s">
        <v>349</v>
      </c>
    </row>
    <row r="7" spans="2:10" x14ac:dyDescent="0.45">
      <c r="B7" s="5" t="s">
        <v>378</v>
      </c>
    </row>
    <row r="8" spans="2:10" x14ac:dyDescent="0.45">
      <c r="B8" s="5"/>
    </row>
    <row r="9" spans="2:10" x14ac:dyDescent="0.45">
      <c r="B9" t="s">
        <v>380</v>
      </c>
    </row>
    <row r="10" spans="2:10" x14ac:dyDescent="0.45">
      <c r="B10" t="s">
        <v>478</v>
      </c>
    </row>
    <row r="11" spans="2:10" x14ac:dyDescent="0.45">
      <c r="B11" t="s">
        <v>366</v>
      </c>
    </row>
    <row r="12" spans="2:10" x14ac:dyDescent="0.45">
      <c r="B12" t="s">
        <v>381</v>
      </c>
    </row>
    <row r="13" spans="2:10" x14ac:dyDescent="0.45">
      <c r="B13" t="s">
        <v>368</v>
      </c>
    </row>
    <row r="14" spans="2:10" x14ac:dyDescent="0.45">
      <c r="B14" t="s">
        <v>367</v>
      </c>
    </row>
    <row r="16" spans="2:10" x14ac:dyDescent="0.45">
      <c r="B16" t="s">
        <v>379</v>
      </c>
    </row>
    <row r="18" spans="2:2" x14ac:dyDescent="0.45">
      <c r="B18" t="s">
        <v>369</v>
      </c>
    </row>
    <row r="19" spans="2:2" x14ac:dyDescent="0.45">
      <c r="B19" t="s">
        <v>479</v>
      </c>
    </row>
    <row r="20" spans="2:2" s="992" customFormat="1" x14ac:dyDescent="0.45"/>
    <row r="21" spans="2:2" x14ac:dyDescent="0.45">
      <c r="B21" s="5" t="s">
        <v>351</v>
      </c>
    </row>
    <row r="22" spans="2:2" x14ac:dyDescent="0.45">
      <c r="B22" t="s">
        <v>372</v>
      </c>
    </row>
    <row r="23" spans="2:2" x14ac:dyDescent="0.45">
      <c r="B23" t="s">
        <v>370</v>
      </c>
    </row>
    <row r="25" spans="2:2" x14ac:dyDescent="0.45">
      <c r="B25" s="5" t="s">
        <v>352</v>
      </c>
    </row>
    <row r="26" spans="2:2" x14ac:dyDescent="0.45">
      <c r="B26" t="s">
        <v>484</v>
      </c>
    </row>
    <row r="27" spans="2:2" s="992" customFormat="1" x14ac:dyDescent="0.45">
      <c r="B27" s="992" t="s">
        <v>488</v>
      </c>
    </row>
    <row r="28" spans="2:2" x14ac:dyDescent="0.45">
      <c r="B28" s="992" t="s">
        <v>467</v>
      </c>
    </row>
    <row r="29" spans="2:2" s="992" customFormat="1" x14ac:dyDescent="0.45"/>
    <row r="30" spans="2:2" x14ac:dyDescent="0.45">
      <c r="B30" s="5" t="s">
        <v>353</v>
      </c>
    </row>
    <row r="31" spans="2:2" x14ac:dyDescent="0.45">
      <c r="B31" t="s">
        <v>371</v>
      </c>
    </row>
    <row r="32" spans="2:2" x14ac:dyDescent="0.45">
      <c r="B32" t="s">
        <v>480</v>
      </c>
    </row>
    <row r="33" spans="2:4" x14ac:dyDescent="0.45">
      <c r="C33" t="s">
        <v>355</v>
      </c>
      <c r="D33" t="s">
        <v>382</v>
      </c>
    </row>
    <row r="34" spans="2:4" x14ac:dyDescent="0.45">
      <c r="D34" t="s">
        <v>357</v>
      </c>
    </row>
    <row r="35" spans="2:4" x14ac:dyDescent="0.45">
      <c r="C35" t="s">
        <v>356</v>
      </c>
      <c r="D35" t="s">
        <v>481</v>
      </c>
    </row>
    <row r="36" spans="2:4" x14ac:dyDescent="0.45">
      <c r="B36" t="s">
        <v>470</v>
      </c>
    </row>
    <row r="37" spans="2:4" s="992" customFormat="1" x14ac:dyDescent="0.45">
      <c r="B37" s="992" t="s">
        <v>468</v>
      </c>
    </row>
    <row r="38" spans="2:4" s="992" customFormat="1" x14ac:dyDescent="0.45">
      <c r="B38" s="992" t="s">
        <v>469</v>
      </c>
    </row>
    <row r="39" spans="2:4" x14ac:dyDescent="0.45">
      <c r="B39" t="s">
        <v>421</v>
      </c>
    </row>
    <row r="40" spans="2:4" x14ac:dyDescent="0.45">
      <c r="B40" t="s">
        <v>471</v>
      </c>
    </row>
    <row r="41" spans="2:4" x14ac:dyDescent="0.45">
      <c r="B41" s="378"/>
    </row>
    <row r="42" spans="2:4" x14ac:dyDescent="0.45">
      <c r="B42" t="s">
        <v>485</v>
      </c>
    </row>
    <row r="44" spans="2:4" x14ac:dyDescent="0.45">
      <c r="B44" s="5" t="s">
        <v>354</v>
      </c>
    </row>
    <row r="45" spans="2:4" s="992" customFormat="1" x14ac:dyDescent="0.45">
      <c r="B45" s="992" t="s">
        <v>473</v>
      </c>
    </row>
    <row r="46" spans="2:4" s="992" customFormat="1" x14ac:dyDescent="0.45">
      <c r="B46" s="992" t="s">
        <v>472</v>
      </c>
    </row>
    <row r="47" spans="2:4" s="992" customFormat="1" x14ac:dyDescent="0.45">
      <c r="B47" s="992" t="s">
        <v>483</v>
      </c>
    </row>
    <row r="48" spans="2:4" s="992" customFormat="1" x14ac:dyDescent="0.45">
      <c r="B48" s="992" t="s">
        <v>482</v>
      </c>
    </row>
    <row r="49" spans="2:3" x14ac:dyDescent="0.45">
      <c r="B49" t="s">
        <v>475</v>
      </c>
    </row>
    <row r="50" spans="2:3" x14ac:dyDescent="0.45">
      <c r="B50" t="s">
        <v>486</v>
      </c>
    </row>
    <row r="51" spans="2:3" s="992" customFormat="1" x14ac:dyDescent="0.45">
      <c r="B51" s="992" t="s">
        <v>489</v>
      </c>
    </row>
    <row r="52" spans="2:3" s="992" customFormat="1" x14ac:dyDescent="0.45">
      <c r="B52" s="992" t="s">
        <v>474</v>
      </c>
    </row>
    <row r="53" spans="2:3" s="992" customFormat="1" x14ac:dyDescent="0.45">
      <c r="B53" s="992" t="s">
        <v>487</v>
      </c>
    </row>
    <row r="54" spans="2:3" s="992" customFormat="1" x14ac:dyDescent="0.45">
      <c r="B54" s="992" t="s">
        <v>477</v>
      </c>
    </row>
    <row r="56" spans="2:3" x14ac:dyDescent="0.45">
      <c r="B56" s="378" t="s">
        <v>411</v>
      </c>
    </row>
    <row r="57" spans="2:3" x14ac:dyDescent="0.45">
      <c r="B57" s="992" t="s">
        <v>476</v>
      </c>
    </row>
    <row r="59" spans="2:3" x14ac:dyDescent="0.45">
      <c r="B59" s="993" t="s">
        <v>554</v>
      </c>
    </row>
    <row r="60" spans="2:3" x14ac:dyDescent="0.45">
      <c r="B60" t="s">
        <v>555</v>
      </c>
      <c r="C60" t="s">
        <v>556</v>
      </c>
    </row>
    <row r="61" spans="2:3" x14ac:dyDescent="0.45">
      <c r="B61" t="s">
        <v>494</v>
      </c>
      <c r="C61" t="s">
        <v>557</v>
      </c>
    </row>
  </sheetData>
  <sheetProtection algorithmName="SHA-512" hashValue="04rnZ/DVQ4Lb2pQKHsu+9Jb5h6PQbMr3UzMS8uIEQVPnr+5ip8iSixrnms/DCr9HsGtzMb69UjceWpzXfwOIdQ==" saltValue="6Id9TU3m6PtDc7x3sHe5MQ==" spinCount="100000" scenarios="1"/>
  <hyperlinks>
    <hyperlink ref="C5" r:id="rId1" xr:uid="{D64369F7-D4A9-45DF-AFAC-6B4964B9DEC4}"/>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073" r:id="rId5" name="CommandButton1">
          <controlPr defaultSize="0" autoLine="0" autoPict="0" r:id="rId6">
            <anchor moveWithCells="1">
              <from>
                <xdr:col>6</xdr:col>
                <xdr:colOff>600075</xdr:colOff>
                <xdr:row>0</xdr:row>
                <xdr:rowOff>228600</xdr:rowOff>
              </from>
              <to>
                <xdr:col>8</xdr:col>
                <xdr:colOff>219075</xdr:colOff>
                <xdr:row>2</xdr:row>
                <xdr:rowOff>190500</xdr:rowOff>
              </to>
            </anchor>
          </controlPr>
        </control>
      </mc:Choice>
      <mc:Fallback>
        <control shapeId="3073" r:id="rId5"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21159-ADF4-48A2-92F9-B382871DA005}">
  <sheetPr codeName="Blad2"/>
  <dimension ref="A1:BC261"/>
  <sheetViews>
    <sheetView zoomScaleNormal="100" workbookViewId="0">
      <selection activeCell="M22" sqref="M22"/>
    </sheetView>
  </sheetViews>
  <sheetFormatPr defaultRowHeight="14.25" x14ac:dyDescent="0.45"/>
  <cols>
    <col min="2" max="2" width="14" customWidth="1"/>
    <col min="3" max="3" width="28.265625" customWidth="1"/>
    <col min="4" max="4" width="10.265625" customWidth="1"/>
    <col min="5" max="5" width="8.265625" customWidth="1"/>
    <col min="6" max="7" width="10.59765625" customWidth="1"/>
    <col min="8" max="8" width="10" customWidth="1"/>
    <col min="9" max="9" width="8.59765625" customWidth="1"/>
    <col min="10" max="10" width="13" customWidth="1"/>
    <col min="11" max="11" width="10.1328125" customWidth="1"/>
    <col min="12" max="12" width="10.265625" customWidth="1"/>
    <col min="13" max="13" width="9.1328125" customWidth="1"/>
    <col min="14" max="14" width="10.86328125" customWidth="1"/>
    <col min="18" max="18" width="26.73046875" customWidth="1"/>
    <col min="20" max="20" width="10.3984375" customWidth="1"/>
    <col min="25" max="25" width="10.265625" customWidth="1"/>
    <col min="33" max="33" width="12.86328125" customWidth="1"/>
  </cols>
  <sheetData>
    <row r="1" spans="2:55" ht="14.65" thickBot="1" x14ac:dyDescent="0.5"/>
    <row r="2" spans="2:55" ht="14.65" thickBot="1" x14ac:dyDescent="0.5">
      <c r="C2" s="44" t="s">
        <v>161</v>
      </c>
    </row>
    <row r="3" spans="2:55" ht="14.65" thickBot="1" x14ac:dyDescent="0.5">
      <c r="C3" s="22" t="s">
        <v>26</v>
      </c>
      <c r="D3" s="953">
        <v>85</v>
      </c>
      <c r="E3" s="120" t="s">
        <v>25</v>
      </c>
      <c r="Y3" s="25"/>
      <c r="Z3" s="25"/>
      <c r="AA3" s="25"/>
      <c r="AB3" s="25"/>
      <c r="AC3" s="25"/>
      <c r="AD3" s="25"/>
      <c r="AE3" s="25"/>
      <c r="AF3" s="25"/>
    </row>
    <row r="4" spans="2:55" ht="14.65" thickBot="1" x14ac:dyDescent="0.5">
      <c r="C4" s="22" t="s">
        <v>151</v>
      </c>
      <c r="D4" s="953">
        <v>574</v>
      </c>
      <c r="E4" s="120" t="s">
        <v>36</v>
      </c>
      <c r="Y4" s="25"/>
      <c r="Z4" s="25"/>
      <c r="AA4" s="25"/>
      <c r="AB4" s="25"/>
      <c r="AC4" s="25"/>
      <c r="AD4" s="25"/>
      <c r="AE4" s="25"/>
      <c r="AF4" s="25"/>
    </row>
    <row r="5" spans="2:55" ht="14.65" thickBot="1" x14ac:dyDescent="0.5">
      <c r="C5" s="20" t="s">
        <v>20</v>
      </c>
      <c r="D5" s="954">
        <v>0.06</v>
      </c>
      <c r="E5" s="21"/>
      <c r="Y5" s="25"/>
      <c r="Z5" s="25"/>
      <c r="AA5" s="25"/>
      <c r="AB5" s="25"/>
      <c r="AC5" s="25"/>
      <c r="AD5" s="25"/>
      <c r="AE5" s="25"/>
      <c r="AF5" s="25"/>
    </row>
    <row r="7" spans="2:55" ht="14.65" thickBot="1" x14ac:dyDescent="0.5">
      <c r="C7" s="25"/>
      <c r="D7" s="339"/>
      <c r="E7" s="25"/>
      <c r="F7" s="25"/>
      <c r="L7" s="1"/>
      <c r="M7" s="1"/>
      <c r="N7" s="321"/>
      <c r="O7" s="1"/>
      <c r="P7" s="1"/>
      <c r="Q7" s="1"/>
    </row>
    <row r="8" spans="2:55" ht="14.65" thickBot="1" x14ac:dyDescent="0.5">
      <c r="C8" s="1041" t="s">
        <v>436</v>
      </c>
      <c r="D8" s="1203" t="s">
        <v>22</v>
      </c>
      <c r="E8" s="1204"/>
      <c r="F8" s="1204"/>
      <c r="G8" s="1204"/>
      <c r="H8" s="1205"/>
      <c r="I8" s="1203" t="s">
        <v>82</v>
      </c>
      <c r="J8" s="1204"/>
      <c r="K8" s="1204"/>
      <c r="L8" s="1204"/>
      <c r="M8" s="1205"/>
      <c r="N8" s="1202"/>
      <c r="O8" s="1202"/>
      <c r="AM8" s="1"/>
      <c r="AN8" s="1"/>
      <c r="AO8" s="1"/>
      <c r="AP8" s="1"/>
      <c r="AQ8" s="1"/>
      <c r="AR8" s="1"/>
      <c r="AS8" s="1"/>
      <c r="AT8" s="1"/>
    </row>
    <row r="9" spans="2:55" ht="14.65" thickBot="1" x14ac:dyDescent="0.5">
      <c r="C9" s="146"/>
      <c r="D9" s="1193" t="s">
        <v>7</v>
      </c>
      <c r="E9" s="1194"/>
      <c r="F9" s="1195"/>
      <c r="G9" s="1193" t="s">
        <v>31</v>
      </c>
      <c r="H9" s="1195"/>
      <c r="I9" s="1193" t="s">
        <v>7</v>
      </c>
      <c r="J9" s="1194"/>
      <c r="K9" s="1195"/>
      <c r="L9" s="1194" t="s">
        <v>31</v>
      </c>
      <c r="M9" s="1195"/>
      <c r="AM9" s="1"/>
      <c r="AN9" s="323"/>
      <c r="AO9" s="328"/>
      <c r="AS9" s="328"/>
      <c r="AT9" s="328"/>
    </row>
    <row r="10" spans="2:55" ht="14.65" thickBot="1" x14ac:dyDescent="0.5">
      <c r="D10" s="453">
        <v>2023</v>
      </c>
      <c r="E10" s="454">
        <v>2035</v>
      </c>
      <c r="F10" s="454">
        <v>2050</v>
      </c>
      <c r="G10" s="617">
        <v>2035</v>
      </c>
      <c r="H10" s="618">
        <v>2050</v>
      </c>
      <c r="I10" s="454">
        <v>2023</v>
      </c>
      <c r="J10" s="454">
        <v>2035</v>
      </c>
      <c r="K10" s="454">
        <v>2050</v>
      </c>
      <c r="L10" s="617">
        <v>2035</v>
      </c>
      <c r="M10" s="618">
        <v>2050</v>
      </c>
      <c r="N10" s="619"/>
      <c r="O10" s="619"/>
      <c r="AM10" s="1"/>
      <c r="AN10" s="324"/>
      <c r="AO10" s="329"/>
      <c r="AP10" s="1185"/>
      <c r="AQ10" s="1185"/>
      <c r="AR10" s="1185"/>
      <c r="AS10" s="1183"/>
      <c r="AT10" s="1183"/>
      <c r="AU10" s="1183"/>
      <c r="AV10" s="1184"/>
      <c r="AW10" s="1184"/>
      <c r="AX10" s="1184"/>
      <c r="AY10" s="25"/>
      <c r="AZ10" s="25"/>
      <c r="BA10" s="25"/>
      <c r="BB10" s="25"/>
      <c r="BC10" s="25"/>
    </row>
    <row r="11" spans="2:55" ht="14.65" thickBot="1" x14ac:dyDescent="0.5">
      <c r="D11" s="1196" t="s">
        <v>33</v>
      </c>
      <c r="E11" s="1197"/>
      <c r="F11" s="1197"/>
      <c r="G11" s="1197"/>
      <c r="H11" s="1198"/>
      <c r="I11" s="1187" t="s">
        <v>40</v>
      </c>
      <c r="J11" s="1188"/>
      <c r="K11" s="1188"/>
      <c r="L11" s="1188"/>
      <c r="M11" s="1189"/>
      <c r="N11" s="1186"/>
      <c r="O11" s="1186"/>
      <c r="AM11" s="1"/>
      <c r="AN11" s="25"/>
      <c r="AO11" s="25"/>
      <c r="AP11" s="983"/>
      <c r="AQ11" s="984"/>
      <c r="AR11" s="983"/>
      <c r="AS11" s="985"/>
      <c r="AT11" s="985"/>
      <c r="AU11" s="123"/>
      <c r="AV11" s="123"/>
      <c r="AW11" s="123"/>
      <c r="AX11" s="123"/>
      <c r="AY11" s="25"/>
      <c r="AZ11" s="25"/>
      <c r="BA11" s="25"/>
      <c r="BB11" s="25"/>
      <c r="BC11" s="25"/>
    </row>
    <row r="12" spans="2:55" ht="15" customHeight="1" x14ac:dyDescent="0.45">
      <c r="B12" s="1190" t="s">
        <v>87</v>
      </c>
      <c r="C12" s="148" t="s">
        <v>85</v>
      </c>
      <c r="D12" s="158">
        <f>Calculations!F190</f>
        <v>74.522789789092883</v>
      </c>
      <c r="E12" s="158">
        <f ca="1">Calculations!G190</f>
        <v>50.995659750565274</v>
      </c>
      <c r="F12" s="158">
        <f ca="1">Calculations!H190</f>
        <v>47.697592081285372</v>
      </c>
      <c r="G12" s="158">
        <f ca="1">Calculations!I190</f>
        <v>35.20835376277293</v>
      </c>
      <c r="H12" s="173">
        <f ca="1">Calculations!J190</f>
        <v>31.414466742222089</v>
      </c>
      <c r="I12" s="25"/>
      <c r="J12" s="25"/>
      <c r="K12" s="25"/>
      <c r="L12" s="151"/>
      <c r="M12" s="152"/>
      <c r="N12" s="25"/>
      <c r="O12" s="25"/>
      <c r="AM12" s="244"/>
      <c r="AN12" s="324"/>
      <c r="AO12" s="325"/>
      <c r="AP12" s="159"/>
      <c r="AQ12" s="159"/>
      <c r="AR12" s="159"/>
      <c r="AS12" s="159"/>
      <c r="AT12" s="159"/>
      <c r="AU12" s="159"/>
      <c r="AV12" s="159"/>
      <c r="AW12" s="159"/>
      <c r="AX12" s="159"/>
      <c r="AY12" s="25"/>
      <c r="AZ12" s="25"/>
      <c r="BA12" s="25"/>
      <c r="BB12" s="25"/>
      <c r="BC12" s="25"/>
    </row>
    <row r="13" spans="2:55" ht="14.65" thickBot="1" x14ac:dyDescent="0.5">
      <c r="B13" s="1191"/>
      <c r="C13" s="150" t="s">
        <v>88</v>
      </c>
      <c r="D13" s="160">
        <f>Calculations!F191</f>
        <v>139.76915862163736</v>
      </c>
      <c r="E13" s="160">
        <f ca="1">Calculations!G191</f>
        <v>91.392821234077061</v>
      </c>
      <c r="F13" s="160">
        <f ca="1">Calculations!H191</f>
        <v>85.629157979281672</v>
      </c>
      <c r="G13" s="156">
        <f ca="1">Calculations!I191</f>
        <v>68.650256948515647</v>
      </c>
      <c r="H13" s="291">
        <f ca="1">Calculations!J191</f>
        <v>62.795419826552902</v>
      </c>
      <c r="I13" s="25"/>
      <c r="J13" s="25"/>
      <c r="K13" s="25"/>
      <c r="L13" s="151"/>
      <c r="M13" s="152"/>
      <c r="N13" s="25"/>
      <c r="O13" s="25"/>
      <c r="AM13" s="330"/>
      <c r="AN13" s="324"/>
      <c r="AO13" s="325"/>
      <c r="AP13" s="159"/>
      <c r="AQ13" s="159"/>
      <c r="AR13" s="159"/>
      <c r="AS13" s="159"/>
      <c r="AT13" s="159"/>
      <c r="AU13" s="159"/>
      <c r="AV13" s="159"/>
      <c r="AW13" s="159"/>
      <c r="AX13" s="159"/>
      <c r="AY13" s="25"/>
      <c r="AZ13" s="25"/>
      <c r="BA13" s="25"/>
      <c r="BB13" s="25"/>
      <c r="BC13" s="25"/>
    </row>
    <row r="14" spans="2:55" x14ac:dyDescent="0.45">
      <c r="B14" s="1191"/>
      <c r="C14" s="209" t="s">
        <v>90</v>
      </c>
      <c r="D14" s="37"/>
      <c r="E14" s="25"/>
      <c r="F14" s="25"/>
      <c r="G14" s="159"/>
      <c r="H14" s="159"/>
      <c r="I14" s="436">
        <f>Calculations!F192</f>
        <v>9.2302677919281191</v>
      </c>
      <c r="J14" s="957">
        <f ca="1">Calculations!G192</f>
        <v>5.1144407908786738</v>
      </c>
      <c r="K14" s="978">
        <f ca="1">Calculations!H192</f>
        <v>4.1657489084955781</v>
      </c>
      <c r="L14" s="957">
        <f ca="1">Calculations!I192</f>
        <v>3.8857988430650607</v>
      </c>
      <c r="M14" s="437">
        <f ca="1">Calculations!J192</f>
        <v>3.0796347732865033</v>
      </c>
      <c r="N14" s="159"/>
      <c r="O14" s="159"/>
      <c r="AM14" s="327"/>
      <c r="AN14" s="324"/>
      <c r="AO14" s="325"/>
      <c r="AP14" s="325"/>
      <c r="AQ14" s="325"/>
      <c r="AR14" s="325"/>
      <c r="AS14" s="325"/>
      <c r="AT14" s="325"/>
      <c r="AU14" s="25"/>
      <c r="AV14" s="25"/>
      <c r="AW14" s="25"/>
      <c r="AX14" s="25"/>
      <c r="AY14" s="25"/>
      <c r="AZ14" s="25"/>
      <c r="BA14" s="25"/>
      <c r="BB14" s="25"/>
      <c r="BC14" s="25"/>
    </row>
    <row r="15" spans="2:55" x14ac:dyDescent="0.45">
      <c r="B15" s="1191"/>
      <c r="C15" s="26" t="s">
        <v>89</v>
      </c>
      <c r="D15" s="37"/>
      <c r="E15" s="25"/>
      <c r="F15" s="25"/>
      <c r="G15" s="159"/>
      <c r="H15" s="159"/>
      <c r="I15" s="155">
        <f>Calculations!F193</f>
        <v>5.642927728923075</v>
      </c>
      <c r="J15" s="958">
        <f ca="1">Calculations!G193</f>
        <v>3.0536387394783651</v>
      </c>
      <c r="K15" s="161">
        <f ca="1">Calculations!H193</f>
        <v>2.3785550680426213</v>
      </c>
      <c r="L15" s="958">
        <f ca="1">Calculations!I193</f>
        <v>2.1841579836602807</v>
      </c>
      <c r="M15" s="166">
        <f ca="1">Calculations!J193</f>
        <v>1.6060336020757031</v>
      </c>
      <c r="N15" s="159"/>
      <c r="O15" s="159"/>
      <c r="AM15" s="333"/>
      <c r="AN15" s="1"/>
      <c r="AO15" s="325"/>
      <c r="AP15" s="1176"/>
      <c r="AQ15" s="1176"/>
      <c r="AR15" s="1176"/>
      <c r="AS15" s="325"/>
      <c r="AT15" s="325"/>
      <c r="AU15" s="25"/>
      <c r="AV15" s="25"/>
      <c r="AW15" s="25"/>
      <c r="AX15" s="25"/>
      <c r="AY15" s="25"/>
      <c r="AZ15" s="25"/>
      <c r="BA15" s="25"/>
      <c r="BB15" s="25"/>
      <c r="BC15" s="25"/>
    </row>
    <row r="16" spans="2:55" ht="14.65" thickBot="1" x14ac:dyDescent="0.5">
      <c r="B16" s="1192"/>
      <c r="C16" s="211" t="s">
        <v>525</v>
      </c>
      <c r="D16" s="20"/>
      <c r="E16" s="50"/>
      <c r="F16" s="50"/>
      <c r="G16" s="172"/>
      <c r="H16" s="172"/>
      <c r="I16" s="156">
        <f>Calculations!F194</f>
        <v>6.2783328159015106</v>
      </c>
      <c r="J16" s="291">
        <f ca="1">Calculations!G194</f>
        <v>3.4026673371921135</v>
      </c>
      <c r="K16" s="979">
        <f ca="1">Calculations!H194</f>
        <v>2.6026662256137953</v>
      </c>
      <c r="L16" s="291">
        <f ca="1">Calculations!I194</f>
        <v>2.4482776267693063</v>
      </c>
      <c r="M16" s="167">
        <f ca="1">Calculations!J194</f>
        <v>1.7777559741505393</v>
      </c>
      <c r="N16" s="159"/>
      <c r="O16" s="159"/>
      <c r="AM16" s="1"/>
      <c r="AN16" s="324"/>
      <c r="AO16" s="325"/>
      <c r="AP16" s="986"/>
      <c r="AQ16" s="986"/>
      <c r="AR16" s="986"/>
      <c r="AS16" s="325"/>
      <c r="AT16" s="325"/>
      <c r="AU16" s="25"/>
      <c r="AV16" s="25"/>
      <c r="AW16" s="25"/>
      <c r="AX16" s="25"/>
      <c r="AY16" s="25"/>
      <c r="AZ16" s="25"/>
      <c r="BA16" s="25"/>
      <c r="BB16" s="25"/>
      <c r="BC16" s="25"/>
    </row>
    <row r="17" spans="1:55" ht="15.75" customHeight="1" thickBot="1" x14ac:dyDescent="0.5">
      <c r="B17" s="157"/>
      <c r="C17" s="149"/>
      <c r="D17" s="48"/>
      <c r="E17" s="48"/>
      <c r="F17" s="48"/>
      <c r="G17" s="619"/>
      <c r="H17" s="620"/>
      <c r="I17" s="48"/>
      <c r="J17" s="48"/>
      <c r="K17" s="48"/>
      <c r="L17" s="619"/>
      <c r="M17" s="620"/>
      <c r="N17" s="619"/>
      <c r="O17" s="620"/>
      <c r="AM17" s="966"/>
      <c r="AN17" s="324"/>
      <c r="AO17" s="3"/>
      <c r="AP17" s="161"/>
      <c r="AQ17" s="161"/>
      <c r="AR17" s="159"/>
      <c r="AS17" s="3"/>
      <c r="AT17" s="191"/>
      <c r="AU17" s="25"/>
      <c r="AV17" s="25"/>
      <c r="AW17" s="25"/>
      <c r="AX17" s="25"/>
      <c r="AY17" s="25"/>
      <c r="AZ17" s="25"/>
      <c r="BA17" s="25"/>
      <c r="BB17" s="25"/>
      <c r="BC17" s="25"/>
    </row>
    <row r="18" spans="1:55" ht="15" customHeight="1" x14ac:dyDescent="0.45">
      <c r="B18" s="1190" t="s">
        <v>80</v>
      </c>
      <c r="C18" s="209" t="s">
        <v>85</v>
      </c>
      <c r="D18" s="230"/>
      <c r="E18" s="975">
        <f ca="1">Calculations!G199</f>
        <v>67.678470653748533</v>
      </c>
      <c r="F18" s="975">
        <f ca="1">Calculations!H199</f>
        <v>40.04273139238537</v>
      </c>
      <c r="G18" s="975">
        <f ca="1">Calculations!I199</f>
        <v>47.160321947134342</v>
      </c>
      <c r="H18" s="980">
        <f ca="1">Calculations!J199</f>
        <v>28.720601506999181</v>
      </c>
      <c r="I18" s="12"/>
      <c r="J18" s="13"/>
      <c r="K18" s="13"/>
      <c r="L18" s="154"/>
      <c r="M18" s="153"/>
      <c r="N18" s="339"/>
      <c r="O18" s="339"/>
      <c r="AM18" s="6"/>
      <c r="AN18" s="324"/>
      <c r="AO18" s="325"/>
      <c r="AP18" s="325"/>
      <c r="AQ18" s="3"/>
      <c r="AR18" s="3"/>
      <c r="AS18" s="321"/>
      <c r="AT18" s="321"/>
    </row>
    <row r="19" spans="1:55" ht="14.65" thickBot="1" x14ac:dyDescent="0.5">
      <c r="B19" s="1191"/>
      <c r="C19" s="211" t="s">
        <v>88</v>
      </c>
      <c r="D19" s="790"/>
      <c r="E19" s="976">
        <f ca="1">Calculations!G200</f>
        <v>108.30790758077777</v>
      </c>
      <c r="F19" s="976">
        <f ca="1">Calculations!H200</f>
        <v>77.867718358815708</v>
      </c>
      <c r="G19" s="976">
        <f ca="1">Calculations!I200</f>
        <v>80.762127168664534</v>
      </c>
      <c r="H19" s="981">
        <f ca="1">Calculations!J200</f>
        <v>60.065514122630212</v>
      </c>
      <c r="I19" s="37"/>
      <c r="J19" s="25"/>
      <c r="K19" s="25"/>
      <c r="L19" s="292"/>
      <c r="M19" s="152"/>
      <c r="N19" s="339"/>
      <c r="O19" s="339"/>
      <c r="AN19" s="324"/>
      <c r="AO19" s="325"/>
      <c r="AP19" s="325"/>
      <c r="AQ19" s="3"/>
      <c r="AR19" s="3"/>
      <c r="AS19" s="321"/>
      <c r="AT19" s="321"/>
    </row>
    <row r="20" spans="1:55" x14ac:dyDescent="0.45">
      <c r="B20" s="1191"/>
      <c r="C20" s="209" t="s">
        <v>90</v>
      </c>
      <c r="D20" s="37"/>
      <c r="E20" s="25"/>
      <c r="F20" s="25"/>
      <c r="G20" s="292"/>
      <c r="H20" s="292"/>
      <c r="I20" s="957"/>
      <c r="J20" s="436">
        <f ca="1">Calculations!G201</f>
        <v>5.958606969551159</v>
      </c>
      <c r="K20" s="957">
        <f ca="1">Calculations!H201</f>
        <v>3.8111607635746036</v>
      </c>
      <c r="L20" s="978">
        <f ca="1">Calculations!I201</f>
        <v>4.4902551840351688</v>
      </c>
      <c r="M20" s="957">
        <f ca="1">Calculations!J201</f>
        <v>2.9549166479517841</v>
      </c>
      <c r="N20" s="159"/>
      <c r="O20" s="159"/>
      <c r="P20" s="325"/>
      <c r="Q20" s="325"/>
      <c r="R20" s="325"/>
      <c r="S20" s="325"/>
    </row>
    <row r="21" spans="1:55" x14ac:dyDescent="0.45">
      <c r="B21" s="1191"/>
      <c r="C21" s="26" t="s">
        <v>89</v>
      </c>
      <c r="D21" s="37"/>
      <c r="E21" s="25"/>
      <c r="F21" s="25"/>
      <c r="G21" s="292"/>
      <c r="H21" s="292"/>
      <c r="I21" s="958"/>
      <c r="J21" s="155">
        <f ca="1">Calculations!G202</f>
        <v>3.8757695144328923</v>
      </c>
      <c r="K21" s="958">
        <f ca="1">Calculations!H202</f>
        <v>2.0336280174465897</v>
      </c>
      <c r="L21" s="161">
        <f ca="1">Calculations!I202</f>
        <v>2.7731523037820751</v>
      </c>
      <c r="M21" s="958">
        <f ca="1">Calculations!J202</f>
        <v>1.4846483766546836</v>
      </c>
      <c r="N21" s="159"/>
      <c r="O21" s="159"/>
      <c r="P21" s="325"/>
      <c r="Q21" s="325"/>
      <c r="R21" s="325"/>
      <c r="S21" s="325"/>
    </row>
    <row r="22" spans="1:55" ht="14.65" thickBot="1" x14ac:dyDescent="0.5">
      <c r="B22" s="1192"/>
      <c r="C22" s="211" t="s">
        <v>525</v>
      </c>
      <c r="D22" s="20"/>
      <c r="E22" s="50"/>
      <c r="F22" s="50"/>
      <c r="G22" s="558"/>
      <c r="H22" s="558"/>
      <c r="I22" s="291"/>
      <c r="J22" s="156">
        <f ca="1">Calculations!G203</f>
        <v>4.2367096391315133</v>
      </c>
      <c r="K22" s="291">
        <f ca="1">Calculations!H203</f>
        <v>2.2522736044858891</v>
      </c>
      <c r="L22" s="979">
        <f ca="1">Calculations!I203</f>
        <v>3.0458056521747352</v>
      </c>
      <c r="M22" s="291">
        <f ca="1">Calculations!J203</f>
        <v>1.6544473289515711</v>
      </c>
      <c r="N22" s="159"/>
      <c r="O22" s="159"/>
      <c r="P22" s="325"/>
      <c r="Q22" s="325"/>
      <c r="R22" s="325"/>
      <c r="S22" s="325"/>
    </row>
    <row r="23" spans="1:55" ht="14.65" thickBot="1" x14ac:dyDescent="0.5">
      <c r="B23" s="523"/>
      <c r="C23" s="165"/>
      <c r="D23" s="25"/>
      <c r="E23" s="25"/>
      <c r="F23" s="25"/>
      <c r="G23" s="292"/>
      <c r="H23" s="292"/>
      <c r="I23" s="161"/>
      <c r="J23" s="161"/>
      <c r="K23" s="161"/>
      <c r="L23" s="161"/>
      <c r="M23" s="161"/>
      <c r="N23" s="159"/>
      <c r="O23" s="159"/>
      <c r="P23" s="325"/>
      <c r="Q23" s="325"/>
      <c r="R23" s="325"/>
      <c r="S23" s="325"/>
    </row>
    <row r="24" spans="1:55" ht="14.65" thickBot="1" x14ac:dyDescent="0.5">
      <c r="A24" s="4"/>
      <c r="C24" s="17"/>
      <c r="D24" s="1199" t="s">
        <v>122</v>
      </c>
      <c r="E24" s="1200"/>
      <c r="F24" s="1200"/>
      <c r="G24" s="1200"/>
      <c r="H24" s="1200"/>
      <c r="I24" s="1201"/>
      <c r="J24" s="1177" t="s">
        <v>22</v>
      </c>
      <c r="K24" s="1182"/>
      <c r="L24" s="1182"/>
      <c r="M24" s="1182"/>
      <c r="N24" s="1182"/>
      <c r="O24" s="1178"/>
      <c r="R24" s="44" t="s">
        <v>80</v>
      </c>
      <c r="S24" s="1177" t="s">
        <v>122</v>
      </c>
      <c r="T24" s="1182"/>
      <c r="U24" s="1182"/>
      <c r="V24" s="1182"/>
      <c r="W24" s="1178"/>
      <c r="X24" s="1177" t="s">
        <v>22</v>
      </c>
      <c r="Y24" s="1182"/>
      <c r="Z24" s="1182"/>
      <c r="AA24" s="1182"/>
      <c r="AB24" s="1178"/>
    </row>
    <row r="25" spans="1:55" ht="14.65" thickBot="1" x14ac:dyDescent="0.5">
      <c r="C25" s="322" t="s">
        <v>139</v>
      </c>
      <c r="D25" s="1177" t="s">
        <v>7</v>
      </c>
      <c r="E25" s="1182"/>
      <c r="F25" s="1182"/>
      <c r="G25" s="1178"/>
      <c r="H25" s="1177" t="s">
        <v>31</v>
      </c>
      <c r="I25" s="1178"/>
      <c r="J25" s="1177" t="s">
        <v>7</v>
      </c>
      <c r="K25" s="1182"/>
      <c r="L25" s="1182"/>
      <c r="M25" s="1178"/>
      <c r="N25" s="1177" t="s">
        <v>31</v>
      </c>
      <c r="O25" s="1178"/>
      <c r="R25" s="29" t="s">
        <v>121</v>
      </c>
      <c r="S25" s="1179" t="s">
        <v>7</v>
      </c>
      <c r="T25" s="1180"/>
      <c r="U25" s="1181"/>
      <c r="V25" s="1177" t="s">
        <v>31</v>
      </c>
      <c r="W25" s="1178"/>
      <c r="X25" s="1179" t="s">
        <v>7</v>
      </c>
      <c r="Y25" s="1180"/>
      <c r="Z25" s="1181"/>
      <c r="AA25" s="1177" t="s">
        <v>31</v>
      </c>
      <c r="AB25" s="1178"/>
    </row>
    <row r="26" spans="1:55" ht="43.15" thickBot="1" x14ac:dyDescent="0.5">
      <c r="C26" s="231"/>
      <c r="D26" s="487" t="s">
        <v>130</v>
      </c>
      <c r="E26" s="139" t="s">
        <v>66</v>
      </c>
      <c r="F26" s="438">
        <v>2035</v>
      </c>
      <c r="G26" s="139">
        <v>2050</v>
      </c>
      <c r="H26" s="251">
        <v>2035</v>
      </c>
      <c r="I26" s="251">
        <v>2050</v>
      </c>
      <c r="J26" s="487" t="s">
        <v>130</v>
      </c>
      <c r="K26" s="139" t="s">
        <v>66</v>
      </c>
      <c r="L26" s="438">
        <v>2035</v>
      </c>
      <c r="M26" s="139">
        <v>2050</v>
      </c>
      <c r="N26" s="251">
        <v>2035</v>
      </c>
      <c r="O26" s="251">
        <v>2050</v>
      </c>
      <c r="R26" s="29"/>
      <c r="S26" s="962" t="s">
        <v>418</v>
      </c>
      <c r="T26" s="921">
        <v>2035</v>
      </c>
      <c r="U26" s="922">
        <v>2050</v>
      </c>
      <c r="V26" s="923">
        <v>2035</v>
      </c>
      <c r="W26" s="922">
        <v>2050</v>
      </c>
      <c r="X26" s="962" t="s">
        <v>418</v>
      </c>
      <c r="Y26" s="921">
        <v>2035</v>
      </c>
      <c r="Z26" s="922">
        <v>2050</v>
      </c>
      <c r="AA26" s="923">
        <v>2035</v>
      </c>
      <c r="AB26" s="922">
        <v>2050</v>
      </c>
    </row>
    <row r="27" spans="1:55" ht="14.65" thickBot="1" x14ac:dyDescent="0.5">
      <c r="C27" s="233" t="s">
        <v>123</v>
      </c>
      <c r="D27" s="241">
        <f>Calculations!F9</f>
        <v>27</v>
      </c>
      <c r="E27" s="241">
        <f>Calculations!G9</f>
        <v>27</v>
      </c>
      <c r="F27" s="241">
        <f>Calculations!H9</f>
        <v>30</v>
      </c>
      <c r="G27" s="241">
        <f>Calculations!I9</f>
        <v>30</v>
      </c>
      <c r="H27" s="241">
        <f>Calculations!J9</f>
        <v>30</v>
      </c>
      <c r="I27" s="241">
        <f>Calculations!K9</f>
        <v>30</v>
      </c>
      <c r="J27" s="934">
        <f>D27</f>
        <v>27</v>
      </c>
      <c r="K27" s="934">
        <f t="shared" ref="K27:O27" si="0">E27</f>
        <v>27</v>
      </c>
      <c r="L27" s="934">
        <f t="shared" si="0"/>
        <v>30</v>
      </c>
      <c r="M27" s="934">
        <f t="shared" si="0"/>
        <v>30</v>
      </c>
      <c r="N27" s="241">
        <f t="shared" si="0"/>
        <v>30</v>
      </c>
      <c r="O27" s="277">
        <f t="shared" si="0"/>
        <v>30</v>
      </c>
      <c r="R27" s="22" t="s">
        <v>123</v>
      </c>
      <c r="S27" s="968">
        <f>T27</f>
        <v>30</v>
      </c>
      <c r="T27" s="968">
        <f t="shared" ref="T27:W27" si="1">F27</f>
        <v>30</v>
      </c>
      <c r="U27" s="968">
        <f t="shared" si="1"/>
        <v>30</v>
      </c>
      <c r="V27" s="968">
        <f t="shared" si="1"/>
        <v>30</v>
      </c>
      <c r="W27" s="968">
        <f t="shared" si="1"/>
        <v>30</v>
      </c>
      <c r="X27" s="33">
        <f>S27</f>
        <v>30</v>
      </c>
      <c r="Y27" s="33">
        <f>T27</f>
        <v>30</v>
      </c>
      <c r="Z27" s="33">
        <f>U27</f>
        <v>30</v>
      </c>
      <c r="AA27" s="33">
        <f>V27</f>
        <v>30</v>
      </c>
      <c r="AB27" s="33">
        <f>W27</f>
        <v>30</v>
      </c>
    </row>
    <row r="28" spans="1:55" ht="14.65" thickBot="1" x14ac:dyDescent="0.5">
      <c r="C28" s="233" t="s">
        <v>69</v>
      </c>
      <c r="D28" s="242">
        <f>Calculations!F11</f>
        <v>0.51</v>
      </c>
      <c r="E28" s="242">
        <f>Calculations!G11</f>
        <v>0.51</v>
      </c>
      <c r="F28" s="242">
        <f>Calculations!H11</f>
        <v>0.54</v>
      </c>
      <c r="G28" s="242">
        <f>Calculations!I11</f>
        <v>0.54</v>
      </c>
      <c r="H28" s="242">
        <f>Calculations!J11</f>
        <v>0.65</v>
      </c>
      <c r="I28" s="242">
        <f>Calculations!K11</f>
        <v>0.65</v>
      </c>
      <c r="J28" s="242">
        <f>D28</f>
        <v>0.51</v>
      </c>
      <c r="K28" s="242">
        <f t="shared" ref="K28:O29" si="2">E28</f>
        <v>0.51</v>
      </c>
      <c r="L28" s="242">
        <f t="shared" si="2"/>
        <v>0.54</v>
      </c>
      <c r="M28" s="242">
        <f t="shared" si="2"/>
        <v>0.54</v>
      </c>
      <c r="N28" s="242">
        <f t="shared" si="2"/>
        <v>0.65</v>
      </c>
      <c r="O28" s="935">
        <f t="shared" si="2"/>
        <v>0.65</v>
      </c>
      <c r="R28" s="22" t="s">
        <v>48</v>
      </c>
      <c r="S28" s="970">
        <f>T28</f>
        <v>0.54</v>
      </c>
      <c r="T28" s="970">
        <f t="shared" ref="T28:W29" si="3">F28</f>
        <v>0.54</v>
      </c>
      <c r="U28" s="970">
        <f t="shared" si="3"/>
        <v>0.54</v>
      </c>
      <c r="V28" s="970">
        <f t="shared" si="3"/>
        <v>0.65</v>
      </c>
      <c r="W28" s="970">
        <f t="shared" si="3"/>
        <v>0.65</v>
      </c>
      <c r="X28" s="41">
        <f>S28</f>
        <v>0.54</v>
      </c>
      <c r="Y28" s="41">
        <f t="shared" ref="Y28:AB28" si="4">T28</f>
        <v>0.54</v>
      </c>
      <c r="Z28" s="41">
        <f t="shared" si="4"/>
        <v>0.54</v>
      </c>
      <c r="AA28" s="41">
        <f t="shared" si="4"/>
        <v>0.65</v>
      </c>
      <c r="AB28" s="41">
        <f t="shared" si="4"/>
        <v>0.65</v>
      </c>
    </row>
    <row r="29" spans="1:55" ht="14.65" thickBot="1" x14ac:dyDescent="0.5">
      <c r="C29" s="95" t="s">
        <v>126</v>
      </c>
      <c r="D29" s="241">
        <f>Calculations!F18</f>
        <v>4467600</v>
      </c>
      <c r="E29" s="241">
        <f>Calculations!G18</f>
        <v>4467600</v>
      </c>
      <c r="F29" s="241">
        <f>Calculations!H18</f>
        <v>4730400.0000000009</v>
      </c>
      <c r="G29" s="241">
        <f>Calculations!I18</f>
        <v>4730400.0000000009</v>
      </c>
      <c r="H29" s="241">
        <f>Calculations!J18</f>
        <v>5694000</v>
      </c>
      <c r="I29" s="241">
        <f>Calculations!K18</f>
        <v>5694000</v>
      </c>
      <c r="J29" s="229">
        <f>D29</f>
        <v>4467600</v>
      </c>
      <c r="K29" s="229">
        <f t="shared" si="2"/>
        <v>4467600</v>
      </c>
      <c r="L29" s="229">
        <f t="shared" si="2"/>
        <v>4730400.0000000009</v>
      </c>
      <c r="M29" s="229">
        <f t="shared" si="2"/>
        <v>4730400.0000000009</v>
      </c>
      <c r="N29" s="241">
        <f t="shared" si="2"/>
        <v>5694000</v>
      </c>
      <c r="O29" s="277">
        <f t="shared" si="2"/>
        <v>5694000</v>
      </c>
      <c r="R29" s="20" t="s">
        <v>126</v>
      </c>
      <c r="S29" s="32">
        <f>T29</f>
        <v>4730400.0000000009</v>
      </c>
      <c r="T29" s="32">
        <f t="shared" si="3"/>
        <v>4730400.0000000009</v>
      </c>
      <c r="U29" s="32">
        <f t="shared" si="3"/>
        <v>4730400.0000000009</v>
      </c>
      <c r="V29" s="32">
        <f t="shared" si="3"/>
        <v>5694000</v>
      </c>
      <c r="W29" s="32">
        <f t="shared" si="3"/>
        <v>5694000</v>
      </c>
      <c r="X29" s="32">
        <f>S29</f>
        <v>4730400.0000000009</v>
      </c>
      <c r="Y29" s="43">
        <f t="shared" ref="Y29:AB29" si="5">T29</f>
        <v>4730400.0000000009</v>
      </c>
      <c r="Z29" s="32">
        <f t="shared" si="5"/>
        <v>4730400.0000000009</v>
      </c>
      <c r="AA29" s="32">
        <f t="shared" si="5"/>
        <v>5694000</v>
      </c>
      <c r="AB29" s="32">
        <f t="shared" si="5"/>
        <v>5694000</v>
      </c>
    </row>
    <row r="30" spans="1:55" ht="14.65" thickBot="1" x14ac:dyDescent="0.5">
      <c r="C30" s="235"/>
      <c r="D30" s="919"/>
      <c r="E30" s="282"/>
      <c r="F30" s="919"/>
      <c r="G30" s="920"/>
      <c r="H30" s="37"/>
      <c r="I30" s="38"/>
      <c r="J30" s="230"/>
      <c r="K30" s="110"/>
      <c r="L30" s="230"/>
      <c r="M30" s="111"/>
      <c r="N30" s="22"/>
      <c r="O30" s="120"/>
      <c r="R30" s="35"/>
      <c r="S30" s="35"/>
      <c r="T30" s="13"/>
      <c r="U30" s="13"/>
      <c r="X30" s="35"/>
      <c r="Y30" s="12"/>
      <c r="Z30" s="14"/>
      <c r="AA30" s="22"/>
      <c r="AB30" s="120"/>
    </row>
    <row r="31" spans="1:55" ht="14.65" thickBot="1" x14ac:dyDescent="0.5">
      <c r="C31" s="233"/>
      <c r="D31" s="936" t="s">
        <v>419</v>
      </c>
      <c r="E31" s="946" t="s">
        <v>419</v>
      </c>
      <c r="F31" s="936" t="s">
        <v>419</v>
      </c>
      <c r="G31" s="938" t="s">
        <v>419</v>
      </c>
      <c r="H31" s="936" t="s">
        <v>419</v>
      </c>
      <c r="I31" s="938" t="s">
        <v>419</v>
      </c>
      <c r="J31" s="939" t="s">
        <v>33</v>
      </c>
      <c r="K31" s="940" t="s">
        <v>33</v>
      </c>
      <c r="L31" s="939" t="s">
        <v>33</v>
      </c>
      <c r="M31" s="941" t="s">
        <v>33</v>
      </c>
      <c r="N31" s="939" t="s">
        <v>33</v>
      </c>
      <c r="O31" s="941" t="s">
        <v>33</v>
      </c>
      <c r="P31" s="964"/>
      <c r="R31" s="26"/>
      <c r="S31" s="23" t="s">
        <v>13</v>
      </c>
      <c r="T31" s="23" t="s">
        <v>13</v>
      </c>
      <c r="U31" s="712" t="s">
        <v>13</v>
      </c>
      <c r="V31" s="23" t="s">
        <v>13</v>
      </c>
      <c r="W31" s="713" t="s">
        <v>13</v>
      </c>
      <c r="X31" s="52" t="s">
        <v>33</v>
      </c>
      <c r="Y31" s="52" t="s">
        <v>33</v>
      </c>
      <c r="Z31" s="217" t="s">
        <v>33</v>
      </c>
      <c r="AA31" s="217" t="s">
        <v>33</v>
      </c>
      <c r="AB31" s="217" t="s">
        <v>33</v>
      </c>
    </row>
    <row r="32" spans="1:55" ht="14.65" thickBot="1" x14ac:dyDescent="0.5">
      <c r="C32" s="269" t="s">
        <v>6</v>
      </c>
      <c r="D32" s="942">
        <f>SUM(D33:D35)</f>
        <v>1218</v>
      </c>
      <c r="E32" s="925">
        <f t="shared" ref="E32:I32" si="6">SUM(E33:E35)</f>
        <v>1113</v>
      </c>
      <c r="F32" s="977">
        <f t="shared" ca="1" si="6"/>
        <v>777.23953042129779</v>
      </c>
      <c r="G32" s="924">
        <f ca="1">SUM(G33:G35)</f>
        <v>695.11665444537152</v>
      </c>
      <c r="H32" s="924">
        <f t="shared" ca="1" si="6"/>
        <v>777.23953042129779</v>
      </c>
      <c r="I32" s="924">
        <f t="shared" ca="1" si="6"/>
        <v>695.11665444537152</v>
      </c>
      <c r="J32" s="961">
        <f>D32*Calculations!F10/Calculations!F18*1000000</f>
        <v>21.875525450947162</v>
      </c>
      <c r="K32" s="961">
        <f>E32*Calculations!G10/Calculations!G18*1000000</f>
        <v>19.989704291382751</v>
      </c>
      <c r="L32" s="961">
        <f ca="1">F32*Calculations!H10/Calculations!H18*1000000</f>
        <v>12.652955818381376</v>
      </c>
      <c r="M32" s="961">
        <f ca="1">G32*Calculations!I10/Calculations!I18*1000000</f>
        <v>11.31604862216791</v>
      </c>
      <c r="N32" s="961">
        <f ca="1">H32*Calculations!J10/Calculations!J18*1000000</f>
        <v>10.511686372193761</v>
      </c>
      <c r="O32" s="961">
        <f ca="1">I32*Calculations!K10/Calculations!K18*1000000</f>
        <v>9.4010250091856484</v>
      </c>
      <c r="R32" s="269" t="s">
        <v>6</v>
      </c>
      <c r="S32" s="278">
        <v>1160</v>
      </c>
      <c r="T32" s="278">
        <f ca="1">SUM(T33:T35)</f>
        <v>777.65268914955561</v>
      </c>
      <c r="U32" s="271">
        <f ca="1">SUM(U33:U35)</f>
        <v>576.63883344557394</v>
      </c>
      <c r="V32" s="278">
        <f ca="1">SUM(V33:V35)</f>
        <v>777.65268914955561</v>
      </c>
      <c r="W32" s="271">
        <f ca="1">SUM(W33:W35)</f>
        <v>576.63883344557394</v>
      </c>
      <c r="X32" s="279">
        <f>S32*Calculations!H$10/X$29*1000000</f>
        <v>18.884048192153308</v>
      </c>
      <c r="Y32" s="279">
        <f ca="1">T32*Calculations!H$10/Y$29*1000000</f>
        <v>12.659681774705023</v>
      </c>
      <c r="Z32" s="279">
        <f ca="1">U32*Calculations!I$10/Z$29*1000000</f>
        <v>9.3873064829769692</v>
      </c>
      <c r="AA32" s="279">
        <f ca="1">V32*Calculations!J$10/AA$29*1000000</f>
        <v>10.517274089754943</v>
      </c>
      <c r="AB32" s="279">
        <f ca="1">W32*Calculations!K$10/AB$29*1000000</f>
        <v>7.7986853858577909</v>
      </c>
    </row>
    <row r="33" spans="3:30" x14ac:dyDescent="0.45">
      <c r="C33" s="232" t="s">
        <v>120</v>
      </c>
      <c r="D33" s="34">
        <f>Calculations!F24</f>
        <v>766</v>
      </c>
      <c r="E33" s="18">
        <f>Calculations!G24</f>
        <v>661</v>
      </c>
      <c r="F33" s="750">
        <f ca="1">Calculations!H24</f>
        <v>462.34239106756741</v>
      </c>
      <c r="G33" s="18">
        <f ca="1">Calculations!I24</f>
        <v>412.39073038313978</v>
      </c>
      <c r="H33" s="950">
        <f ca="1">Calculations!J24</f>
        <v>462.34239106756741</v>
      </c>
      <c r="I33" s="950">
        <f ca="1">Calculations!K24</f>
        <v>412.39073038313978</v>
      </c>
      <c r="J33" s="932"/>
      <c r="K33" s="398"/>
      <c r="L33" s="950"/>
      <c r="M33" s="932"/>
      <c r="O33" s="26"/>
      <c r="R33" s="232" t="s">
        <v>120</v>
      </c>
      <c r="S33" s="34"/>
      <c r="T33" s="34">
        <f ca="1">F33</f>
        <v>462.34239106756741</v>
      </c>
      <c r="U33" s="34">
        <f t="shared" ref="U33:W33" ca="1" si="7">G33</f>
        <v>412.39073038313978</v>
      </c>
      <c r="V33" s="34">
        <f t="shared" ca="1" si="7"/>
        <v>462.34239106756741</v>
      </c>
      <c r="W33" s="34">
        <f t="shared" ca="1" si="7"/>
        <v>412.39073038313978</v>
      </c>
      <c r="X33" s="34"/>
      <c r="Y33" s="49"/>
      <c r="Z33" s="34"/>
      <c r="AA33" s="26"/>
      <c r="AB33" s="26"/>
    </row>
    <row r="34" spans="3:30" x14ac:dyDescent="0.45">
      <c r="C34" s="232" t="s">
        <v>61</v>
      </c>
      <c r="D34" s="34">
        <f>Calculations!F25</f>
        <v>394</v>
      </c>
      <c r="E34" s="18">
        <f>Calculations!G25</f>
        <v>394</v>
      </c>
      <c r="F34" s="34">
        <f ca="1">Calculations!H25</f>
        <v>275.58684127174217</v>
      </c>
      <c r="G34" s="18">
        <f ca="1">Calculations!I25</f>
        <v>245.81232643109996</v>
      </c>
      <c r="H34" s="84">
        <f ca="1">Calculations!J25</f>
        <v>275.58684127174217</v>
      </c>
      <c r="I34" s="84">
        <f ca="1">Calculations!K25</f>
        <v>245.81232643109996</v>
      </c>
      <c r="J34" s="932"/>
      <c r="K34" s="398"/>
      <c r="L34" s="84"/>
      <c r="M34" s="932"/>
      <c r="O34" s="26"/>
      <c r="R34" s="232" t="s">
        <v>61</v>
      </c>
      <c r="S34" s="34"/>
      <c r="T34" s="1000">
        <f>Calculations!R26*100</f>
        <v>276</v>
      </c>
      <c r="U34" s="1000">
        <f ca="1">Calculations!S26*100</f>
        <v>127.33450543130232</v>
      </c>
      <c r="V34" s="1000">
        <f ca="1">Calculations!T26*50</f>
        <v>276</v>
      </c>
      <c r="W34" s="34">
        <f ca="1">Calculations!U26*50</f>
        <v>127.33450543130232</v>
      </c>
      <c r="X34" s="27"/>
      <c r="Y34" s="714"/>
      <c r="Z34" s="27"/>
      <c r="AA34" s="26"/>
      <c r="AB34" s="26"/>
    </row>
    <row r="35" spans="3:30" ht="14.65" thickBot="1" x14ac:dyDescent="0.5">
      <c r="C35" s="232" t="s">
        <v>12</v>
      </c>
      <c r="D35" s="34">
        <f>Calculations!F27</f>
        <v>58</v>
      </c>
      <c r="E35" s="18">
        <f>Calculations!G27</f>
        <v>58</v>
      </c>
      <c r="F35" s="34">
        <f ca="1">Calculations!H27</f>
        <v>39.310298081988229</v>
      </c>
      <c r="G35" s="18">
        <f ca="1">Calculations!I27</f>
        <v>36.913597631131744</v>
      </c>
      <c r="H35" s="43">
        <f ca="1">Calculations!J27</f>
        <v>39.310298081988229</v>
      </c>
      <c r="I35" s="43">
        <f ca="1">Calculations!K27</f>
        <v>36.913597631131744</v>
      </c>
      <c r="J35" s="932"/>
      <c r="K35" s="398"/>
      <c r="L35" s="84"/>
      <c r="M35" s="932"/>
      <c r="O35" s="26"/>
      <c r="R35" s="232" t="s">
        <v>12</v>
      </c>
      <c r="S35" s="34"/>
      <c r="T35" s="1000">
        <f ca="1">Calculations!R28*100</f>
        <v>39.310298081988229</v>
      </c>
      <c r="U35" s="1000">
        <f ca="1">Calculations!S28*100</f>
        <v>36.913597631131744</v>
      </c>
      <c r="V35" s="1000">
        <f ca="1">Calculations!T28*50</f>
        <v>39.310298081988229</v>
      </c>
      <c r="W35" s="34">
        <f ca="1">Calculations!U28*50</f>
        <v>36.913597631131744</v>
      </c>
      <c r="X35" s="27"/>
      <c r="Y35" s="967"/>
      <c r="Z35" s="28"/>
      <c r="AA35" s="26"/>
      <c r="AB35" s="26"/>
    </row>
    <row r="36" spans="3:30" ht="14.65" thickBot="1" x14ac:dyDescent="0.5">
      <c r="C36" s="269" t="s">
        <v>10</v>
      </c>
      <c r="D36" s="942">
        <f t="shared" ref="D36:I36" si="8">SUM(D37:D38)</f>
        <v>792.60444937043792</v>
      </c>
      <c r="E36" s="925">
        <f t="shared" si="8"/>
        <v>792.60444937043792</v>
      </c>
      <c r="F36" s="982">
        <f t="shared" ca="1" si="8"/>
        <v>755.22504553441433</v>
      </c>
      <c r="G36" s="965">
        <f t="shared" ca="1" si="8"/>
        <v>750.43164463270136</v>
      </c>
      <c r="H36" s="942">
        <f t="shared" ca="1" si="8"/>
        <v>398.57868440090414</v>
      </c>
      <c r="I36" s="925">
        <f t="shared" ca="1" si="8"/>
        <v>396.18198395004765</v>
      </c>
      <c r="J36" s="961">
        <f>D36*Calculations!F10/Calculations!F18*1000000</f>
        <v>14.235335636073051</v>
      </c>
      <c r="K36" s="961">
        <f>E36*Calculations!G10/Calculations!G18*1000000</f>
        <v>14.235335636073051</v>
      </c>
      <c r="L36" s="961">
        <f ca="1">F36*Calculations!H10/Calculations!H18*1000000</f>
        <v>12.294574272235394</v>
      </c>
      <c r="M36" s="961">
        <f ca="1">G36*Calculations!I10/Calculations!I18*1000000</f>
        <v>12.216540812207587</v>
      </c>
      <c r="N36" s="961">
        <f ca="1">H36*Calculations!J10/Calculations!J18*1000000</f>
        <v>5.3905314398932882</v>
      </c>
      <c r="O36" s="961">
        <f ca="1">I36*Calculations!K10/Calculations!K18*1000000</f>
        <v>5.3581175411125068</v>
      </c>
      <c r="R36" s="269" t="s">
        <v>131</v>
      </c>
      <c r="S36" s="278">
        <f>SUM(S37:S39)</f>
        <v>1806.8073408</v>
      </c>
      <c r="T36" s="278">
        <f>SUM(T37:T39)</f>
        <v>1806.8073408</v>
      </c>
      <c r="U36" s="278">
        <f ca="1">SUM(U37:U39)</f>
        <v>846.05004639372544</v>
      </c>
      <c r="V36" s="278">
        <f ca="1">SUM(V37:V39)</f>
        <v>1355.1055056</v>
      </c>
      <c r="W36" s="278">
        <f ca="1">SUM(W37:W39)</f>
        <v>634.53753479529416</v>
      </c>
      <c r="X36" s="279">
        <f>S36*Calculations!H$10/X$29*1000000</f>
        <v>29.413652497934113</v>
      </c>
      <c r="Y36" s="279">
        <f>T36*Calculations!H$10/Y$29*1000000</f>
        <v>29.413652497934113</v>
      </c>
      <c r="Z36" s="279">
        <f ca="1">U36*Calculations!I$10/Z$29*1000000</f>
        <v>13.773146421614356</v>
      </c>
      <c r="AA36" s="279">
        <f ca="1">V36*Calculations!J$10/AA$29*1000000</f>
        <v>18.32696809486664</v>
      </c>
      <c r="AB36" s="279">
        <f ca="1">W36*Calculations!K$10/AB$29*1000000</f>
        <v>8.5817296934674108</v>
      </c>
      <c r="AD36" s="992"/>
    </row>
    <row r="37" spans="3:30" x14ac:dyDescent="0.45">
      <c r="C37" s="232" t="s">
        <v>52</v>
      </c>
      <c r="D37" s="34">
        <f>SUM(Calculations!P38:P39)*100</f>
        <v>676.60444937043792</v>
      </c>
      <c r="E37" s="18">
        <f>SUM(Calculations!Q38:Q39)*100</f>
        <v>676.60444937043792</v>
      </c>
      <c r="F37" s="34">
        <f ca="1">SUM(Calculations!R38:R39)*100</f>
        <v>676.60444937043792</v>
      </c>
      <c r="G37" s="18">
        <f ca="1">SUM(Calculations!S38:S39)*100</f>
        <v>676.60444937043792</v>
      </c>
      <c r="H37" s="84">
        <f ca="1">SUM(Calculations!T38:T39)*50</f>
        <v>359.26838631891593</v>
      </c>
      <c r="I37" s="398">
        <f ca="1">SUM(Calculations!U38:U39)*50</f>
        <v>359.26838631891593</v>
      </c>
      <c r="J37" s="408"/>
      <c r="K37" s="321"/>
      <c r="L37" s="408"/>
      <c r="M37" s="83"/>
      <c r="O37" s="26"/>
      <c r="R37" s="26" t="s">
        <v>11</v>
      </c>
      <c r="S37" s="34">
        <f>T37</f>
        <v>1037.4013440000001</v>
      </c>
      <c r="T37" s="34">
        <f>SUM(Calculations!R51)*100</f>
        <v>1037.4013440000001</v>
      </c>
      <c r="U37" s="34">
        <f ca="1">SUM(Calculations!S51)*100</f>
        <v>478.61227200003009</v>
      </c>
      <c r="V37" s="34">
        <f ca="1">SUM(Calculations!T51)*50</f>
        <v>778.05100800000002</v>
      </c>
      <c r="W37" s="18">
        <f ca="1">Calculations!U51*50</f>
        <v>358.95920400002257</v>
      </c>
      <c r="X37" s="40"/>
      <c r="Y37" s="97"/>
      <c r="Z37" s="40"/>
      <c r="AA37" s="26"/>
      <c r="AB37" s="26"/>
    </row>
    <row r="38" spans="3:30" ht="14.65" thickBot="1" x14ac:dyDescent="0.5">
      <c r="C38" s="214" t="s">
        <v>12</v>
      </c>
      <c r="D38" s="34">
        <f>Calculations!P47*100</f>
        <v>115.99999999999999</v>
      </c>
      <c r="E38" s="18">
        <f>Calculations!Q47*100</f>
        <v>115.99999999999999</v>
      </c>
      <c r="F38" s="34">
        <f ca="1">Calculations!R47*100</f>
        <v>78.620596163976458</v>
      </c>
      <c r="G38" s="18">
        <f ca="1">Calculations!S47*100</f>
        <v>73.827195262263487</v>
      </c>
      <c r="H38" s="84">
        <f ca="1">Calculations!T47*50</f>
        <v>39.310298081988229</v>
      </c>
      <c r="I38" s="398">
        <f ca="1">Calculations!U47*50</f>
        <v>36.913597631131744</v>
      </c>
      <c r="J38" s="959"/>
      <c r="K38" s="81"/>
      <c r="L38" s="959"/>
      <c r="M38" s="51"/>
      <c r="O38" s="26"/>
      <c r="R38" s="26" t="s">
        <v>0</v>
      </c>
      <c r="S38" s="34">
        <f>T38</f>
        <v>677.192544</v>
      </c>
      <c r="T38" s="34">
        <f>SUM(Calculations!R52)*100</f>
        <v>677.192544</v>
      </c>
      <c r="U38" s="34">
        <f ca="1">SUM(Calculations!S52)*100</f>
        <v>312.42745533335301</v>
      </c>
      <c r="V38" s="34">
        <f ca="1">SUM(Calculations!T52)*50</f>
        <v>507.89440800000006</v>
      </c>
      <c r="W38" s="18">
        <f ca="1">Calculations!U52*50</f>
        <v>234.32059150001479</v>
      </c>
      <c r="X38" s="40"/>
      <c r="Y38" s="97"/>
      <c r="Z38" s="40"/>
      <c r="AA38" s="26"/>
      <c r="AB38" s="26"/>
    </row>
    <row r="39" spans="3:30" ht="14.65" thickBot="1" x14ac:dyDescent="0.5">
      <c r="C39" s="234" t="s">
        <v>56</v>
      </c>
      <c r="D39" s="293">
        <f t="shared" ref="D39:I39" si="9">D36+D32</f>
        <v>2010.604449370438</v>
      </c>
      <c r="E39" s="236">
        <f t="shared" si="9"/>
        <v>1905.604449370438</v>
      </c>
      <c r="F39" s="943">
        <f t="shared" ca="1" si="9"/>
        <v>1532.464575955712</v>
      </c>
      <c r="G39" s="267">
        <f t="shared" ca="1" si="9"/>
        <v>1445.5482990780729</v>
      </c>
      <c r="H39" s="943">
        <f t="shared" ca="1" si="9"/>
        <v>1175.818214822202</v>
      </c>
      <c r="I39" s="267">
        <f t="shared" ca="1" si="9"/>
        <v>1091.2986383954192</v>
      </c>
      <c r="J39" s="280">
        <f>SUM(J32:J36)</f>
        <v>36.110861087020211</v>
      </c>
      <c r="K39" s="239">
        <f t="shared" ref="K39:O39" si="10">SUM(K32:K36)</f>
        <v>34.225039927455803</v>
      </c>
      <c r="L39" s="280">
        <f t="shared" ca="1" si="10"/>
        <v>24.94753009061677</v>
      </c>
      <c r="M39" s="239">
        <f t="shared" ca="1" si="10"/>
        <v>23.532589434375495</v>
      </c>
      <c r="N39" s="238">
        <f t="shared" ca="1" si="10"/>
        <v>15.902217812087049</v>
      </c>
      <c r="O39" s="280">
        <f t="shared" ca="1" si="10"/>
        <v>14.759142550298154</v>
      </c>
      <c r="R39" s="31" t="s">
        <v>68</v>
      </c>
      <c r="S39" s="34">
        <f>T39</f>
        <v>92.213452799999985</v>
      </c>
      <c r="T39" s="34">
        <f>SUM(Calculations!R56)*100</f>
        <v>92.213452799999985</v>
      </c>
      <c r="U39" s="34">
        <f ca="1">SUM(Calculations!S56)*100</f>
        <v>55.01031906034234</v>
      </c>
      <c r="V39" s="34">
        <f ca="1">SUM(Calculations!T56)*50</f>
        <v>69.160089599999992</v>
      </c>
      <c r="W39" s="18">
        <f ca="1">SUM(Calculations!U56)*50</f>
        <v>41.257739295256748</v>
      </c>
      <c r="X39" s="40"/>
      <c r="Y39" s="97"/>
      <c r="Z39" s="40"/>
      <c r="AA39" s="26"/>
      <c r="AB39" s="26"/>
    </row>
    <row r="40" spans="3:30" ht="14.65" thickBot="1" x14ac:dyDescent="0.5">
      <c r="C40" s="235"/>
      <c r="D40" s="62"/>
      <c r="E40" s="926"/>
      <c r="F40" s="927"/>
      <c r="G40" s="928"/>
      <c r="H40" s="37"/>
      <c r="I40" s="38"/>
      <c r="J40" s="78"/>
      <c r="K40" s="82"/>
      <c r="L40" s="78"/>
      <c r="M40" s="79"/>
      <c r="O40" s="26"/>
      <c r="R40" s="281" t="s">
        <v>56</v>
      </c>
      <c r="S40" s="293">
        <f>SUM(S37:S39,S32)</f>
        <v>2966.8073408</v>
      </c>
      <c r="T40" s="293">
        <f ca="1">SUM(T37:T39,T32)</f>
        <v>2584.4600299495555</v>
      </c>
      <c r="U40" s="236">
        <f ca="1">SUM(U37:U39,U32)</f>
        <v>1422.6888798392993</v>
      </c>
      <c r="V40" s="293">
        <f ca="1">SUM(V37:V39,V32)</f>
        <v>2132.7581947495555</v>
      </c>
      <c r="W40" s="236">
        <f ca="1">SUM(W37:W39,W32)</f>
        <v>1211.1763682408682</v>
      </c>
      <c r="X40" s="280">
        <f>SUM(X32:X39)</f>
        <v>48.297700690087424</v>
      </c>
      <c r="Y40" s="280">
        <f ca="1">SUM(Y32:Y39)</f>
        <v>42.073334272639137</v>
      </c>
      <c r="Z40" s="280">
        <f ca="1">SUM(Z32:Z39)</f>
        <v>23.160452904591324</v>
      </c>
      <c r="AA40" s="280">
        <f ca="1">SUM(AA32:AA39)</f>
        <v>28.844242184621585</v>
      </c>
      <c r="AB40" s="280">
        <f ca="1">SUM(AB32:AB39)</f>
        <v>16.380415079325203</v>
      </c>
      <c r="AD40" s="992"/>
    </row>
    <row r="41" spans="3:30" ht="14.65" thickBot="1" x14ac:dyDescent="0.5">
      <c r="C41" s="269" t="s">
        <v>127</v>
      </c>
      <c r="D41" s="270">
        <f>SUM(Calculations!P60,Calculations!P62)*100</f>
        <v>225.9812</v>
      </c>
      <c r="E41" s="270">
        <f>SUM(Calculations!Q60,Calculations!Q62)*100</f>
        <v>225.9812</v>
      </c>
      <c r="F41" s="270">
        <f ca="1">SUM(Calculations!R60,Calculations!R62)*100</f>
        <v>153.16186780905858</v>
      </c>
      <c r="G41" s="270">
        <f ca="1">SUM(Calculations!S60,Calculations!S62)*100</f>
        <v>143.82377739655703</v>
      </c>
      <c r="H41" s="270">
        <f ca="1">SUM(Calculations!T60,Calculations!T62)*50</f>
        <v>153.16186780905858</v>
      </c>
      <c r="I41" s="270">
        <f ca="1">SUM(Calculations!U60,Calculations!U62)*50</f>
        <v>143.82377739655703</v>
      </c>
      <c r="J41" s="272">
        <f>D41*Calculations!F10/Calculations!F18*1000000</f>
        <v>4.058667891654828</v>
      </c>
      <c r="K41" s="272">
        <f>E41*Calculations!G10/Calculations!G18*1000000</f>
        <v>4.058667891654828</v>
      </c>
      <c r="L41" s="272">
        <f ca="1">F41*Calculations!H10/Calculations!H18*1000000</f>
        <v>2.4933759421607555</v>
      </c>
      <c r="M41" s="272">
        <f ca="1">G41*Calculations!I10/Calculations!I18*1000000</f>
        <v>2.341357882356994</v>
      </c>
      <c r="N41" s="272">
        <f ca="1">H41*Calculations!J10/Calculations!J18*1000000</f>
        <v>2.0714200134873972</v>
      </c>
      <c r="O41" s="279">
        <f ca="1">I41*Calculations!K10/Calculations!K18*1000000</f>
        <v>1.9451280868811953</v>
      </c>
      <c r="R41" s="24"/>
      <c r="S41" s="26"/>
      <c r="X41" s="24"/>
      <c r="Y41" s="71"/>
      <c r="Z41" s="120"/>
      <c r="AA41" s="22"/>
      <c r="AB41" s="120"/>
    </row>
    <row r="42" spans="3:30" ht="14.65" thickBot="1" x14ac:dyDescent="0.5">
      <c r="C42" s="234" t="s">
        <v>56</v>
      </c>
      <c r="D42" s="240">
        <f>D41+D39</f>
        <v>2236.5856493704382</v>
      </c>
      <c r="E42" s="237">
        <f>SUM(E39:E41)</f>
        <v>2131.5856493704382</v>
      </c>
      <c r="F42" s="290">
        <f ca="1">SUM(F41,F39)</f>
        <v>1685.6264437647706</v>
      </c>
      <c r="G42" s="943">
        <f ca="1">SUM(G39:G41)</f>
        <v>1589.3720764746299</v>
      </c>
      <c r="H42" s="290">
        <f ca="1">SUM(H41,H39)</f>
        <v>1328.9800826312605</v>
      </c>
      <c r="I42" s="943">
        <f ca="1">SUM(I39:I41)</f>
        <v>1235.1224157919762</v>
      </c>
      <c r="J42" s="238">
        <f>SUM(J39:J41)</f>
        <v>40.169528978675039</v>
      </c>
      <c r="K42" s="238">
        <f t="shared" ref="K42:O42" si="11">SUM(K39:K41)</f>
        <v>38.283707819110631</v>
      </c>
      <c r="L42" s="238">
        <f t="shared" ca="1" si="11"/>
        <v>27.440906032777526</v>
      </c>
      <c r="M42" s="238">
        <f t="shared" ca="1" si="11"/>
        <v>25.87394731673249</v>
      </c>
      <c r="N42" s="238">
        <f t="shared" ca="1" si="11"/>
        <v>17.973637825574446</v>
      </c>
      <c r="O42" s="280">
        <f t="shared" ca="1" si="11"/>
        <v>16.704270637179349</v>
      </c>
      <c r="R42" s="274" t="s">
        <v>132</v>
      </c>
      <c r="S42" s="270">
        <f ca="1">Calculations!H12+Calculations!H14*Results!S40</f>
        <v>447.54796344319999</v>
      </c>
      <c r="T42" s="270">
        <f ca="1">Calculations!H12+Calculations!H14*Results!T40</f>
        <v>407.78384311475378</v>
      </c>
      <c r="U42" s="270">
        <f ca="1">Calculations!I12+Calculations!I14*Results!U40</f>
        <v>286.95964350328711</v>
      </c>
      <c r="V42" s="270">
        <f ca="1">Calculations!J12+Calculations!J14*Results!V40</f>
        <v>360.80685225395376</v>
      </c>
      <c r="W42" s="270">
        <f ca="1">Calculations!K12+Calculations!K14*Results!W40</f>
        <v>264.96234229705027</v>
      </c>
      <c r="X42" s="279">
        <f ca="1">S42*Calculations!H$10/X$29*1000000</f>
        <v>7.2857907844495307</v>
      </c>
      <c r="Y42" s="279">
        <f ca="1">T42*Calculations!H$10/Y$29*1000000</f>
        <v>6.6384566770349096</v>
      </c>
      <c r="Z42" s="279">
        <f ca="1">U42*Calculations!I$10/Z$29*1000000</f>
        <v>4.6715170147579368</v>
      </c>
      <c r="AA42" s="279">
        <f ca="1">V42*Calculations!J$10/AA$29*1000000</f>
        <v>4.8796906531197797</v>
      </c>
      <c r="AB42" s="279">
        <f ca="1">W42*Calculations!K$10/AB$29*1000000</f>
        <v>3.5834526341689559</v>
      </c>
      <c r="AD42" s="992"/>
    </row>
    <row r="43" spans="3:30" ht="14.65" thickBot="1" x14ac:dyDescent="0.5">
      <c r="C43" s="233"/>
      <c r="D43" s="62"/>
      <c r="E43" s="926"/>
      <c r="F43" s="927"/>
      <c r="G43" s="928"/>
      <c r="H43" s="37"/>
      <c r="I43" s="38"/>
      <c r="J43" s="80"/>
      <c r="K43" s="321"/>
      <c r="L43" s="80"/>
      <c r="M43" s="83"/>
      <c r="O43" s="26"/>
      <c r="R43" s="281" t="s">
        <v>56</v>
      </c>
      <c r="S43" s="293">
        <f t="shared" ref="S43" ca="1" si="12">SUM(S40:S42)</f>
        <v>3414.3553042432</v>
      </c>
      <c r="T43" s="293">
        <f t="shared" ref="T43:AB43" ca="1" si="13">SUM(T40:T42)</f>
        <v>2992.2438730643094</v>
      </c>
      <c r="U43" s="293">
        <f t="shared" ca="1" si="13"/>
        <v>1709.6485233425865</v>
      </c>
      <c r="V43" s="293">
        <f t="shared" ca="1" si="13"/>
        <v>2493.5650470035093</v>
      </c>
      <c r="W43" s="293">
        <f t="shared" ca="1" si="13"/>
        <v>1476.1387105379185</v>
      </c>
      <c r="X43" s="293">
        <f t="shared" ca="1" si="13"/>
        <v>55.583491474536956</v>
      </c>
      <c r="Y43" s="239">
        <f t="shared" ca="1" si="13"/>
        <v>48.711790949674047</v>
      </c>
      <c r="Z43" s="280">
        <f t="shared" ca="1" si="13"/>
        <v>27.831969919349262</v>
      </c>
      <c r="AA43" s="280">
        <f t="shared" ca="1" si="13"/>
        <v>33.723932837741366</v>
      </c>
      <c r="AB43" s="280">
        <f t="shared" ca="1" si="13"/>
        <v>19.96386771349416</v>
      </c>
      <c r="AD43" s="992"/>
    </row>
    <row r="44" spans="3:30" ht="14.65" thickBot="1" x14ac:dyDescent="0.5">
      <c r="C44" s="269" t="s">
        <v>128</v>
      </c>
      <c r="D44" s="270">
        <f>SUM(Calculations!P61,Calculations!P63,Calculations!P64,Calculations!P65,Calculations!P66,Calculations!P67)*100</f>
        <v>2539.7199999999993</v>
      </c>
      <c r="E44" s="270">
        <f>SUM(Calculations!Q61,Calculations!Q63,Calculations!Q64,Calculations!Q65,Calculations!Q66,Calculations!Q67)*100</f>
        <v>2539.7199999999993</v>
      </c>
      <c r="F44" s="270">
        <f ca="1">SUM(Calculations!R61,Calculations!R63,Calculations!R64,Calculations!R65,Calculations!R66,Calculations!R67)*100</f>
        <v>1721.3301766342606</v>
      </c>
      <c r="G44" s="270">
        <f ca="1">SUM(Calculations!S61,Calculations!S63,Calculations!S64,Calculations!S65,Calculations!S66,Calculations!S67)*100</f>
        <v>1616.3827961334121</v>
      </c>
      <c r="H44" s="270">
        <f ca="1">SUM(Calculations!T61,Calculations!T63,Calculations!T64,Calculations!T65,Calculations!T66,Calculations!T67)*50</f>
        <v>1721.3301766342606</v>
      </c>
      <c r="I44" s="270">
        <f ca="1">SUM(Calculations!U61,Calculations!U63,Calculations!U64,Calculations!U65,Calculations!U66,Calculations!U67)*50</f>
        <v>1616.3827961334121</v>
      </c>
      <c r="J44" s="279">
        <f>D44*Calculations!F10/Calculations!F18*1000000</f>
        <v>45.613883003513557</v>
      </c>
      <c r="K44" s="279">
        <f>E44*Calculations!G10/Calculations!G18*1000000</f>
        <v>45.613883003513557</v>
      </c>
      <c r="L44" s="279">
        <f ca="1">F44*Calculations!H10/Calculations!H18*1000000</f>
        <v>28.022139663938923</v>
      </c>
      <c r="M44" s="279">
        <f ca="1">G44*Calculations!I10/Calculations!I18*1000000</f>
        <v>26.313664326854202</v>
      </c>
      <c r="N44" s="279">
        <f ca="1">H44*Calculations!J10/Calculations!J18*1000000</f>
        <v>23.279931413118494</v>
      </c>
      <c r="O44" s="279">
        <f ca="1">I44*Calculations!K10/Calculations!K18*1000000</f>
        <v>21.860582671540417</v>
      </c>
      <c r="R44" s="25"/>
      <c r="S44" s="25"/>
      <c r="T44" s="25"/>
      <c r="U44" s="25"/>
      <c r="X44" s="25"/>
      <c r="Y44" s="25"/>
      <c r="Z44" s="38"/>
      <c r="AA44" s="22"/>
      <c r="AB44" s="120"/>
    </row>
    <row r="45" spans="3:30" ht="14.65" thickBot="1" x14ac:dyDescent="0.5">
      <c r="C45" s="268" t="s">
        <v>56</v>
      </c>
      <c r="D45" s="264">
        <f>SUM(D42:D44)</f>
        <v>4776.3056493704371</v>
      </c>
      <c r="E45" s="263">
        <f>E32+E36+E41+E44</f>
        <v>4671.3056493704371</v>
      </c>
      <c r="F45" s="264">
        <f ca="1">SUM(F44,F42)</f>
        <v>3406.9566203990312</v>
      </c>
      <c r="G45" s="943">
        <f ca="1">G32+G36+G41+G44</f>
        <v>3205.7548726080422</v>
      </c>
      <c r="H45" s="264">
        <f ca="1">SUM(H44,H42)</f>
        <v>3050.3102592655214</v>
      </c>
      <c r="I45" s="943">
        <f ca="1">I32+I36+I41+I44</f>
        <v>2851.5052119253883</v>
      </c>
      <c r="J45" s="280">
        <f>SUM(J42:J44)</f>
        <v>85.783411982188596</v>
      </c>
      <c r="K45" s="280">
        <f t="shared" ref="K45:O45" si="14">SUM(K42:K44)</f>
        <v>83.897590822624181</v>
      </c>
      <c r="L45" s="280">
        <f t="shared" ca="1" si="14"/>
        <v>55.463045696716449</v>
      </c>
      <c r="M45" s="280">
        <f t="shared" ca="1" si="14"/>
        <v>52.187611643586692</v>
      </c>
      <c r="N45" s="280">
        <f t="shared" ca="1" si="14"/>
        <v>41.25356923869294</v>
      </c>
      <c r="O45" s="280">
        <f t="shared" ca="1" si="14"/>
        <v>38.564853308719762</v>
      </c>
      <c r="R45" s="35"/>
      <c r="S45" s="295" t="s">
        <v>34</v>
      </c>
      <c r="T45" s="296" t="s">
        <v>34</v>
      </c>
      <c r="U45" s="295" t="s">
        <v>34</v>
      </c>
      <c r="V45" s="296" t="s">
        <v>34</v>
      </c>
      <c r="W45" s="295" t="s">
        <v>34</v>
      </c>
      <c r="X45" s="52" t="s">
        <v>33</v>
      </c>
      <c r="Y45" s="52" t="s">
        <v>33</v>
      </c>
      <c r="Z45" s="217" t="s">
        <v>33</v>
      </c>
      <c r="AA45" s="217" t="s">
        <v>33</v>
      </c>
      <c r="AB45" s="217" t="s">
        <v>33</v>
      </c>
    </row>
    <row r="46" spans="3:30" ht="14.65" thickBot="1" x14ac:dyDescent="0.5">
      <c r="C46" s="233"/>
      <c r="D46" s="929"/>
      <c r="E46" s="930"/>
      <c r="F46" s="929"/>
      <c r="G46" s="931"/>
      <c r="H46" s="37"/>
      <c r="I46" s="38"/>
      <c r="J46" s="287"/>
      <c r="K46" s="86"/>
      <c r="L46" s="287"/>
      <c r="M46" s="288"/>
      <c r="N46" s="37"/>
      <c r="O46" s="26"/>
      <c r="R46" s="276" t="s">
        <v>54</v>
      </c>
      <c r="S46" s="279">
        <f ca="1">T46</f>
        <v>89.719981672153963</v>
      </c>
      <c r="T46" s="1003">
        <f ca="1">Calculations!AP199*100</f>
        <v>89.719981672153963</v>
      </c>
      <c r="U46" s="1003">
        <f ca="1">Calculations!AQ199*100</f>
        <v>57.76178607205</v>
      </c>
      <c r="V46" s="1003">
        <f ca="1">Calculations!AR199*50</f>
        <v>76.506799588883567</v>
      </c>
      <c r="W46" s="279">
        <f ca="1">Calculations!AS199*50</f>
        <v>51.574622082772692</v>
      </c>
      <c r="X46" s="279">
        <f ca="1">S46/X29*1000000</f>
        <v>18.966679704074487</v>
      </c>
      <c r="Y46" s="279">
        <f ca="1">T46/Y29*1000000</f>
        <v>18.966679704074487</v>
      </c>
      <c r="Z46" s="279">
        <f ca="1">U46/Z29*1000000</f>
        <v>12.210761473036104</v>
      </c>
      <c r="AA46" s="279">
        <f ca="1">V46/AA29*1000000</f>
        <v>13.436389109392969</v>
      </c>
      <c r="AB46" s="279">
        <f ca="1">W46/AB29*1000000</f>
        <v>9.0577137482916577</v>
      </c>
      <c r="AD46" s="992"/>
    </row>
    <row r="47" spans="3:30" ht="14.65" thickBot="1" x14ac:dyDescent="0.5">
      <c r="C47" s="269" t="s">
        <v>113</v>
      </c>
      <c r="D47" s="270">
        <f>Calculations!F12+Calculations!F14*Results!D45</f>
        <v>635.73578753452546</v>
      </c>
      <c r="E47" s="270">
        <f>Calculations!G12+Calculations!G14*Results!E45</f>
        <v>624.8157875345255</v>
      </c>
      <c r="F47" s="270">
        <f ca="1">Calculations!H12+Calculations!H14*Results!F45</f>
        <v>493.3234885214992</v>
      </c>
      <c r="G47" s="270">
        <f ca="1">Calculations!I12+Calculations!I14*Results!G45</f>
        <v>472.39850675123637</v>
      </c>
      <c r="H47" s="270">
        <f ca="1">Calculations!J12+Calculations!J14*Results!H45</f>
        <v>456.23226696361422</v>
      </c>
      <c r="I47" s="270">
        <f ca="1">Calculations!K12+Calculations!K14*Results!I45</f>
        <v>435.55654204024034</v>
      </c>
      <c r="J47" s="279">
        <f>D47*Calculations!F10/Calculations!F18*1000000</f>
        <v>11.417942857380499</v>
      </c>
      <c r="K47" s="279">
        <f>E47*Calculations!G10/Calculations!G18*1000000</f>
        <v>11.221817456785802</v>
      </c>
      <c r="L47" s="279">
        <f ca="1">F47*Calculations!H10/Calculations!H18*1000000</f>
        <v>8.0309866651389488</v>
      </c>
      <c r="M47" s="279">
        <f ca="1">G47*Calculations!I10/Calculations!I18*1000000</f>
        <v>7.6903415236134558</v>
      </c>
      <c r="N47" s="279">
        <f ca="1">H47*Calculations!J10/Calculations!J18*1000000</f>
        <v>6.170260666743201</v>
      </c>
      <c r="O47" s="279">
        <f ca="1">I47*Calculations!K10/Calculations!K18*1000000</f>
        <v>5.8906342100259899</v>
      </c>
      <c r="R47" s="268" t="s">
        <v>124</v>
      </c>
      <c r="S47" s="294"/>
      <c r="T47" s="262"/>
      <c r="U47" s="294"/>
      <c r="V47" s="969"/>
      <c r="W47" s="969"/>
      <c r="X47" s="960">
        <f ca="1">X43+X46</f>
        <v>74.550171178611436</v>
      </c>
      <c r="Y47" s="266">
        <f ca="1">SUM(Y46,Y43)</f>
        <v>67.678470653748533</v>
      </c>
      <c r="Z47" s="960">
        <f ca="1">SUM(Z46,Z43)</f>
        <v>40.042731392385363</v>
      </c>
      <c r="AA47" s="960">
        <f ca="1">SUM(AA46,AA43)</f>
        <v>47.160321947134335</v>
      </c>
      <c r="AB47" s="960">
        <f ca="1">SUM(AB46,AB43)</f>
        <v>29.021581461785818</v>
      </c>
    </row>
    <row r="48" spans="3:30" ht="14.65" thickBot="1" x14ac:dyDescent="0.5">
      <c r="C48" s="268" t="s">
        <v>125</v>
      </c>
      <c r="D48" s="264">
        <f>SUM(D45:D47)</f>
        <v>5412.0414369049622</v>
      </c>
      <c r="E48" s="264">
        <f t="shared" ref="E48:I48" si="15">SUM(E45:E47)</f>
        <v>5296.121436904963</v>
      </c>
      <c r="F48" s="264">
        <f t="shared" ca="1" si="15"/>
        <v>3900.2801089205304</v>
      </c>
      <c r="G48" s="264">
        <f t="shared" ca="1" si="15"/>
        <v>3678.1533793592785</v>
      </c>
      <c r="H48" s="264">
        <f t="shared" ca="1" si="15"/>
        <v>3506.5425262291355</v>
      </c>
      <c r="I48" s="264">
        <f t="shared" ca="1" si="15"/>
        <v>3287.0617539656287</v>
      </c>
      <c r="J48" s="960">
        <f t="shared" ref="J48:O48" si="16">SUM(J45:J47)</f>
        <v>97.201354839569092</v>
      </c>
      <c r="K48" s="960">
        <f t="shared" si="16"/>
        <v>95.119408279409981</v>
      </c>
      <c r="L48" s="960">
        <f t="shared" ca="1" si="16"/>
        <v>63.494032361855396</v>
      </c>
      <c r="M48" s="960">
        <f t="shared" ca="1" si="16"/>
        <v>59.877953167200147</v>
      </c>
      <c r="N48" s="960">
        <f t="shared" ca="1" si="16"/>
        <v>47.423829905436143</v>
      </c>
      <c r="O48" s="960">
        <f t="shared" ca="1" si="16"/>
        <v>44.455487518745755</v>
      </c>
      <c r="Z48" s="161"/>
    </row>
    <row r="49" spans="2:27" ht="14.65" thickBot="1" x14ac:dyDescent="0.5">
      <c r="C49" s="26"/>
      <c r="D49" s="49"/>
      <c r="E49" s="18"/>
      <c r="F49" s="49"/>
      <c r="G49" s="101"/>
      <c r="H49" s="797"/>
      <c r="I49" s="933"/>
      <c r="J49" s="714"/>
      <c r="K49" s="715"/>
      <c r="L49" s="714"/>
      <c r="M49" s="83"/>
      <c r="N49" s="37"/>
      <c r="O49" s="26"/>
      <c r="Z49" s="161"/>
      <c r="AA49" s="161"/>
    </row>
    <row r="50" spans="2:27" ht="14.65" thickBot="1" x14ac:dyDescent="0.5">
      <c r="C50" s="232"/>
      <c r="D50" s="946" t="s">
        <v>420</v>
      </c>
      <c r="E50" s="937" t="s">
        <v>420</v>
      </c>
      <c r="F50" s="946" t="s">
        <v>420</v>
      </c>
      <c r="G50" s="938" t="s">
        <v>420</v>
      </c>
      <c r="H50" s="946" t="s">
        <v>420</v>
      </c>
      <c r="I50" s="938" t="s">
        <v>420</v>
      </c>
      <c r="J50" s="936" t="s">
        <v>422</v>
      </c>
      <c r="K50" s="946" t="s">
        <v>422</v>
      </c>
      <c r="L50" s="937" t="s">
        <v>422</v>
      </c>
      <c r="M50" s="946" t="s">
        <v>422</v>
      </c>
      <c r="N50" s="937" t="s">
        <v>422</v>
      </c>
      <c r="O50" s="946" t="s">
        <v>422</v>
      </c>
      <c r="Z50" s="161"/>
    </row>
    <row r="51" spans="2:27" ht="14.65" thickBot="1" x14ac:dyDescent="0.5">
      <c r="C51" s="274" t="s">
        <v>54</v>
      </c>
      <c r="D51" s="945">
        <f>Calculations!BB191*100</f>
        <v>137.86519961250295</v>
      </c>
      <c r="E51" s="945">
        <f>Calculations!BC191*100</f>
        <v>137.73569717856324</v>
      </c>
      <c r="F51" s="945">
        <f ca="1">Calculations!BD191*100</f>
        <v>90.690772147153439</v>
      </c>
      <c r="G51" s="945">
        <f ca="1">Calculations!BE191*100</f>
        <v>84.749348275086646</v>
      </c>
      <c r="H51" s="945">
        <f ca="1">Calculations!BF191*50</f>
        <v>79.581616849290953</v>
      </c>
      <c r="I51" s="945">
        <f ca="1">Calculations!BG191*50</f>
        <v>73.638504739095453</v>
      </c>
      <c r="J51" s="279">
        <f t="shared" ref="J51:O51" si="17">D51/J29*1000000</f>
        <v>30.858895069501063</v>
      </c>
      <c r="K51" s="279">
        <f t="shared" si="17"/>
        <v>30.829908044266102</v>
      </c>
      <c r="L51" s="279">
        <f t="shared" ca="1" si="17"/>
        <v>19.171903464221508</v>
      </c>
      <c r="M51" s="279">
        <f t="shared" ca="1" si="17"/>
        <v>17.915894697084099</v>
      </c>
      <c r="N51" s="279">
        <f t="shared" ca="1" si="17"/>
        <v>13.976399165664025</v>
      </c>
      <c r="O51" s="279">
        <f t="shared" ca="1" si="17"/>
        <v>12.93264923412284</v>
      </c>
      <c r="Z51" s="161"/>
      <c r="AA51" s="161"/>
    </row>
    <row r="52" spans="2:27" ht="14.65" thickBot="1" x14ac:dyDescent="0.5">
      <c r="C52" s="268" t="s">
        <v>124</v>
      </c>
      <c r="D52" s="947"/>
      <c r="E52" s="19"/>
      <c r="F52" s="947"/>
      <c r="G52" s="273"/>
      <c r="H52" s="948"/>
      <c r="I52" s="944"/>
      <c r="J52" s="265">
        <f t="shared" ref="J52:O52" si="18">SUM(J48:J51)</f>
        <v>128.06024990907017</v>
      </c>
      <c r="K52" s="960">
        <f t="shared" si="18"/>
        <v>125.94931632367609</v>
      </c>
      <c r="L52" s="265">
        <f t="shared" ca="1" si="18"/>
        <v>82.665935826076904</v>
      </c>
      <c r="M52" s="960">
        <f t="shared" ca="1" si="18"/>
        <v>77.793847864284245</v>
      </c>
      <c r="N52" s="960">
        <f t="shared" ca="1" si="18"/>
        <v>61.400229071100171</v>
      </c>
      <c r="O52" s="960">
        <f t="shared" ca="1" si="18"/>
        <v>57.388136752868597</v>
      </c>
      <c r="Z52" s="161"/>
      <c r="AA52" s="161"/>
    </row>
    <row r="53" spans="2:27" x14ac:dyDescent="0.45">
      <c r="B53" s="523"/>
      <c r="C53" s="165"/>
      <c r="D53" s="25"/>
      <c r="E53" s="25"/>
      <c r="F53" s="25"/>
      <c r="G53" s="292"/>
      <c r="H53" s="292"/>
      <c r="I53" s="161"/>
      <c r="J53" s="161"/>
      <c r="K53" s="161"/>
      <c r="L53" s="161"/>
      <c r="M53" s="161"/>
      <c r="N53" s="159"/>
      <c r="O53" s="159"/>
      <c r="P53" s="325"/>
      <c r="Q53" s="325"/>
      <c r="R53" s="325"/>
      <c r="S53" s="325"/>
    </row>
    <row r="54" spans="2:27" ht="14.65" thickBot="1" x14ac:dyDescent="0.5">
      <c r="I54" s="11"/>
    </row>
    <row r="55" spans="2:27" ht="14.65" thickBot="1" x14ac:dyDescent="0.5">
      <c r="C55" s="343" t="s">
        <v>158</v>
      </c>
    </row>
    <row r="56" spans="2:27" x14ac:dyDescent="0.45">
      <c r="C56" s="35" t="s">
        <v>154</v>
      </c>
      <c r="D56" s="951">
        <v>0</v>
      </c>
      <c r="E56" s="35" t="s">
        <v>36</v>
      </c>
    </row>
    <row r="57" spans="2:27" ht="14.65" thickBot="1" x14ac:dyDescent="0.5">
      <c r="C57" s="31" t="s">
        <v>153</v>
      </c>
      <c r="D57" s="952">
        <v>300</v>
      </c>
      <c r="E57" s="31" t="s">
        <v>36</v>
      </c>
    </row>
    <row r="59" spans="2:27" ht="14.65" thickBot="1" x14ac:dyDescent="0.5">
      <c r="L59" s="25"/>
      <c r="M59" s="25"/>
      <c r="N59" s="25"/>
      <c r="O59" s="25"/>
      <c r="P59" s="25"/>
    </row>
    <row r="60" spans="2:27" ht="21.4" thickBot="1" x14ac:dyDescent="0.7">
      <c r="B60" s="401" t="s">
        <v>26</v>
      </c>
      <c r="C60" s="71"/>
      <c r="D60" s="401">
        <v>60</v>
      </c>
      <c r="E60" s="402" t="s">
        <v>25</v>
      </c>
      <c r="G60" s="1080" t="s">
        <v>20</v>
      </c>
      <c r="H60" s="1083">
        <v>0.06</v>
      </c>
      <c r="J60" s="401" t="s">
        <v>459</v>
      </c>
      <c r="K60" s="120"/>
      <c r="L60" s="1081"/>
      <c r="M60" s="25"/>
      <c r="N60" s="1081"/>
      <c r="O60" s="1081"/>
      <c r="P60" s="25"/>
    </row>
    <row r="106" spans="2:14" ht="14.65" thickBot="1" x14ac:dyDescent="0.5"/>
    <row r="107" spans="2:14" ht="14.65" thickBot="1" x14ac:dyDescent="0.5">
      <c r="C107" s="343" t="s">
        <v>159</v>
      </c>
    </row>
    <row r="108" spans="2:14" x14ac:dyDescent="0.45">
      <c r="C108" s="35" t="s">
        <v>155</v>
      </c>
      <c r="D108" s="955">
        <v>0</v>
      </c>
      <c r="E108" s="35" t="s">
        <v>25</v>
      </c>
    </row>
    <row r="109" spans="2:14" ht="14.65" thickBot="1" x14ac:dyDescent="0.5">
      <c r="C109" s="31" t="s">
        <v>156</v>
      </c>
      <c r="D109" s="956">
        <v>200</v>
      </c>
      <c r="E109" s="31" t="s">
        <v>25</v>
      </c>
    </row>
    <row r="111" spans="2:14" ht="14.65" thickBot="1" x14ac:dyDescent="0.5"/>
    <row r="112" spans="2:14" ht="21.4" thickBot="1" x14ac:dyDescent="0.7">
      <c r="B112" s="401" t="s">
        <v>151</v>
      </c>
      <c r="C112" s="71"/>
      <c r="D112" s="401">
        <v>60</v>
      </c>
      <c r="E112" s="402" t="s">
        <v>36</v>
      </c>
      <c r="G112" s="1080" t="s">
        <v>20</v>
      </c>
      <c r="H112" s="1082">
        <v>0.06</v>
      </c>
      <c r="J112" s="401" t="s">
        <v>459</v>
      </c>
      <c r="K112" s="120"/>
      <c r="L112" s="25"/>
      <c r="M112" s="1081"/>
      <c r="N112" s="1081"/>
    </row>
    <row r="120" spans="6:7" x14ac:dyDescent="0.45">
      <c r="F120">
        <v>0</v>
      </c>
      <c r="G120">
        <v>0</v>
      </c>
    </row>
    <row r="138" spans="3:7" s="992" customFormat="1" ht="14.65" thickBot="1" x14ac:dyDescent="0.5"/>
    <row r="139" spans="3:7" s="992" customFormat="1" ht="14.65" thickBot="1" x14ac:dyDescent="0.5">
      <c r="C139" s="44" t="s">
        <v>211</v>
      </c>
      <c r="D139" s="54"/>
      <c r="E139" s="1177" t="s">
        <v>424</v>
      </c>
      <c r="F139" s="1182"/>
      <c r="G139" s="1178"/>
    </row>
    <row r="140" spans="3:7" s="992" customFormat="1" ht="14.65" thickBot="1" x14ac:dyDescent="0.5">
      <c r="C140" s="108"/>
      <c r="D140" s="1060"/>
      <c r="E140" s="923" t="s">
        <v>446</v>
      </c>
      <c r="F140" s="874" t="s">
        <v>445</v>
      </c>
      <c r="G140" s="922" t="s">
        <v>447</v>
      </c>
    </row>
    <row r="141" spans="3:7" s="992" customFormat="1" x14ac:dyDescent="0.45">
      <c r="C141" s="995" t="s">
        <v>20</v>
      </c>
      <c r="D141" s="35" t="s">
        <v>24</v>
      </c>
      <c r="E141" s="1076">
        <f t="shared" ref="E141:E147" si="19">F141/2</f>
        <v>0.03</v>
      </c>
      <c r="F141" s="987">
        <f>D5</f>
        <v>0.06</v>
      </c>
      <c r="G141" s="1071">
        <f t="shared" ref="G141:G149" si="20">F141+(F141-E141)</f>
        <v>0.09</v>
      </c>
    </row>
    <row r="142" spans="3:7" s="992" customFormat="1" x14ac:dyDescent="0.45">
      <c r="C142" s="1001" t="s">
        <v>453</v>
      </c>
      <c r="D142" s="26" t="s">
        <v>24</v>
      </c>
      <c r="E142" s="1077">
        <f t="shared" ca="1" si="19"/>
        <v>1.4704486183188082E-2</v>
      </c>
      <c r="F142" s="988">
        <f ca="1">Calculations!BG191/Calculations!Q191</f>
        <v>2.9408972366376164E-2</v>
      </c>
      <c r="G142" s="1072">
        <f ca="1">F142+(F142-E142)</f>
        <v>4.411345854956425E-2</v>
      </c>
    </row>
    <row r="143" spans="3:7" s="992" customFormat="1" x14ac:dyDescent="0.45">
      <c r="C143" s="1001" t="s">
        <v>454</v>
      </c>
      <c r="D143" s="26" t="s">
        <v>24</v>
      </c>
      <c r="E143" s="1077">
        <f t="shared" ca="1" si="19"/>
        <v>1.4183267252655805E-2</v>
      </c>
      <c r="F143" s="989">
        <f ca="1">Calculations!AS200/Calculations!Q200</f>
        <v>2.8366534505311611E-2</v>
      </c>
      <c r="G143" s="1072">
        <f ca="1">F143+(F143-E143)</f>
        <v>4.2549801757967416E-2</v>
      </c>
    </row>
    <row r="144" spans="3:7" s="992" customFormat="1" x14ac:dyDescent="0.45">
      <c r="C144" s="1001" t="s">
        <v>455</v>
      </c>
      <c r="D144" s="1075" t="s">
        <v>24</v>
      </c>
      <c r="E144" s="1077">
        <f t="shared" ca="1" si="19"/>
        <v>2.5160990411973318E-2</v>
      </c>
      <c r="F144" s="988">
        <f ca="1">Calculations!AS194/Calculations!Q194</f>
        <v>5.0321980823946635E-2</v>
      </c>
      <c r="G144" s="1072">
        <f ca="1">F144+(F144-E144)</f>
        <v>7.548297123591996E-2</v>
      </c>
    </row>
    <row r="145" spans="3:13" s="992" customFormat="1" x14ac:dyDescent="0.45">
      <c r="C145" s="1001" t="s">
        <v>456</v>
      </c>
      <c r="D145" s="1075" t="s">
        <v>24</v>
      </c>
      <c r="E145" s="1077">
        <f t="shared" ca="1" si="19"/>
        <v>2.3015433851092969E-2</v>
      </c>
      <c r="F145" s="989">
        <f ca="1">Calculations!AS203/Calculations!Q203</f>
        <v>4.6030867702185937E-2</v>
      </c>
      <c r="G145" s="1072">
        <f ca="1">F145+(F145-E145)</f>
        <v>6.9046301553278899E-2</v>
      </c>
    </row>
    <row r="146" spans="3:13" s="992" customFormat="1" x14ac:dyDescent="0.45">
      <c r="C146" s="1001" t="s">
        <v>425</v>
      </c>
      <c r="D146" s="26" t="s">
        <v>13</v>
      </c>
      <c r="E146" s="1078">
        <f t="shared" ca="1" si="19"/>
        <v>3.9618198395004769</v>
      </c>
      <c r="F146" s="990">
        <f ca="1">CalcCAPEXMonopile</f>
        <v>7.9236396790009538</v>
      </c>
      <c r="G146" s="1073">
        <f t="shared" ca="1" si="20"/>
        <v>11.885459518501431</v>
      </c>
    </row>
    <row r="147" spans="3:13" s="992" customFormat="1" x14ac:dyDescent="0.45">
      <c r="C147" s="1001" t="s">
        <v>452</v>
      </c>
      <c r="D147" s="26" t="s">
        <v>13</v>
      </c>
      <c r="E147" s="1078">
        <f t="shared" ca="1" si="19"/>
        <v>6.3453753479529409</v>
      </c>
      <c r="F147" s="991">
        <f ca="1">CalcCAPEXfloating</f>
        <v>12.690750695905882</v>
      </c>
      <c r="G147" s="1073">
        <f t="shared" ref="G147" ca="1" si="21">F147+(F147-E147)</f>
        <v>19.036126043858822</v>
      </c>
    </row>
    <row r="148" spans="3:13" s="992" customFormat="1" x14ac:dyDescent="0.45">
      <c r="C148" s="1057" t="s">
        <v>243</v>
      </c>
      <c r="D148" s="232" t="s">
        <v>24</v>
      </c>
      <c r="E148" s="275">
        <v>0.5</v>
      </c>
      <c r="F148" s="202">
        <f>Calculations!K11</f>
        <v>0.65</v>
      </c>
      <c r="G148" s="1074">
        <f t="shared" si="20"/>
        <v>0.8</v>
      </c>
    </row>
    <row r="149" spans="3:13" s="992" customFormat="1" x14ac:dyDescent="0.45">
      <c r="C149" s="1001" t="s">
        <v>450</v>
      </c>
      <c r="D149" s="26" t="s">
        <v>13</v>
      </c>
      <c r="E149" s="725">
        <f ca="1">F149/2</f>
        <v>11.310800293493328</v>
      </c>
      <c r="F149" s="40">
        <f ca="1">CalcCAPEXturbineBF</f>
        <v>22.621600586986656</v>
      </c>
      <c r="G149" s="1079">
        <f t="shared" ca="1" si="20"/>
        <v>33.932400880479982</v>
      </c>
    </row>
    <row r="150" spans="3:13" s="992" customFormat="1" ht="14.65" thickBot="1" x14ac:dyDescent="0.5">
      <c r="C150" s="790" t="s">
        <v>451</v>
      </c>
      <c r="D150" s="214" t="s">
        <v>13</v>
      </c>
      <c r="E150" s="1069">
        <f ca="1">F150/2</f>
        <v>5.7663883344557387</v>
      </c>
      <c r="F150" s="1046">
        <f ca="1">CalcCAPEXturbineFL</f>
        <v>11.532776668911477</v>
      </c>
      <c r="G150" s="1070">
        <f t="shared" ref="G150" ca="1" si="22">F150+(F150-E150)</f>
        <v>17.299165003367214</v>
      </c>
    </row>
    <row r="151" spans="3:13" s="992" customFormat="1" ht="14.65" thickBot="1" x14ac:dyDescent="0.5"/>
    <row r="152" spans="3:13" s="992" customFormat="1" ht="18.399999999999999" thickBot="1" x14ac:dyDescent="0.6">
      <c r="C152" s="1037" t="s">
        <v>448</v>
      </c>
      <c r="D152" s="45"/>
      <c r="E152" s="45"/>
      <c r="F152" s="1038" t="s">
        <v>151</v>
      </c>
      <c r="G152" s="1038"/>
      <c r="H152" s="1038">
        <v>60</v>
      </c>
      <c r="I152" s="1038" t="s">
        <v>36</v>
      </c>
      <c r="J152" s="1038" t="s">
        <v>26</v>
      </c>
      <c r="K152" s="1038"/>
      <c r="L152" s="1038">
        <v>60</v>
      </c>
      <c r="M152" s="1039" t="s">
        <v>25</v>
      </c>
    </row>
    <row r="153" spans="3:13" s="992" customFormat="1" x14ac:dyDescent="0.45"/>
    <row r="154" spans="3:13" s="992" customFormat="1" x14ac:dyDescent="0.45"/>
    <row r="155" spans="3:13" s="992" customFormat="1" x14ac:dyDescent="0.45"/>
    <row r="156" spans="3:13" s="992" customFormat="1" x14ac:dyDescent="0.45"/>
    <row r="157" spans="3:13" s="992" customFormat="1" x14ac:dyDescent="0.45"/>
    <row r="158" spans="3:13" s="992" customFormat="1" x14ac:dyDescent="0.45"/>
    <row r="159" spans="3:13" s="992" customFormat="1" x14ac:dyDescent="0.45"/>
    <row r="160" spans="3:13" s="992" customFormat="1" x14ac:dyDescent="0.45"/>
    <row r="161" spans="3:13" s="992" customFormat="1" x14ac:dyDescent="0.45"/>
    <row r="162" spans="3:13" s="992" customFormat="1" x14ac:dyDescent="0.45"/>
    <row r="163" spans="3:13" s="992" customFormat="1" x14ac:dyDescent="0.45"/>
    <row r="164" spans="3:13" s="992" customFormat="1" x14ac:dyDescent="0.45"/>
    <row r="165" spans="3:13" s="992" customFormat="1" x14ac:dyDescent="0.45"/>
    <row r="166" spans="3:13" s="992" customFormat="1" x14ac:dyDescent="0.45"/>
    <row r="167" spans="3:13" s="992" customFormat="1" x14ac:dyDescent="0.45"/>
    <row r="168" spans="3:13" s="992" customFormat="1" x14ac:dyDescent="0.45"/>
    <row r="169" spans="3:13" s="992" customFormat="1" x14ac:dyDescent="0.45"/>
    <row r="170" spans="3:13" s="992" customFormat="1" x14ac:dyDescent="0.45">
      <c r="H170" s="992">
        <v>80</v>
      </c>
      <c r="L170" s="992">
        <v>40</v>
      </c>
    </row>
    <row r="171" spans="3:13" s="992" customFormat="1" x14ac:dyDescent="0.45"/>
    <row r="172" spans="3:13" s="992" customFormat="1" x14ac:dyDescent="0.45"/>
    <row r="173" spans="3:13" s="992" customFormat="1" ht="14.65" thickBot="1" x14ac:dyDescent="0.5"/>
    <row r="174" spans="3:13" s="992" customFormat="1" ht="18.399999999999999" thickBot="1" x14ac:dyDescent="0.6">
      <c r="C174" s="1037" t="s">
        <v>449</v>
      </c>
      <c r="D174" s="45"/>
      <c r="E174" s="45"/>
      <c r="F174" s="1038" t="s">
        <v>151</v>
      </c>
      <c r="G174" s="1038"/>
      <c r="H174" s="1038">
        <v>60</v>
      </c>
      <c r="I174" s="1038" t="s">
        <v>36</v>
      </c>
      <c r="J174" s="1038" t="s">
        <v>26</v>
      </c>
      <c r="K174" s="1038"/>
      <c r="L174" s="1038">
        <v>60</v>
      </c>
      <c r="M174" s="1039" t="s">
        <v>25</v>
      </c>
    </row>
    <row r="175" spans="3:13" s="992" customFormat="1" x14ac:dyDescent="0.45"/>
    <row r="176" spans="3:13" s="992" customFormat="1" x14ac:dyDescent="0.45"/>
    <row r="177" s="992" customFormat="1" x14ac:dyDescent="0.45"/>
    <row r="178" s="992" customFormat="1" x14ac:dyDescent="0.45"/>
    <row r="179" s="992" customFormat="1" x14ac:dyDescent="0.45"/>
    <row r="180" s="992" customFormat="1" x14ac:dyDescent="0.45"/>
    <row r="181" s="992" customFormat="1" x14ac:dyDescent="0.45"/>
    <row r="183" s="992" customFormat="1" x14ac:dyDescent="0.45"/>
    <row r="184" s="992" customFormat="1" x14ac:dyDescent="0.45"/>
    <row r="185" s="992" customFormat="1" x14ac:dyDescent="0.45"/>
    <row r="186" s="992" customFormat="1" x14ac:dyDescent="0.45"/>
    <row r="187" s="992" customFormat="1" x14ac:dyDescent="0.45"/>
    <row r="188" s="992" customFormat="1" x14ac:dyDescent="0.45"/>
    <row r="189" s="992" customFormat="1" x14ac:dyDescent="0.45"/>
    <row r="190" s="992" customFormat="1" x14ac:dyDescent="0.45"/>
    <row r="191" s="992" customFormat="1" x14ac:dyDescent="0.45"/>
    <row r="192" s="992" customFormat="1" x14ac:dyDescent="0.45"/>
    <row r="193" spans="3:21" s="992" customFormat="1" x14ac:dyDescent="0.45"/>
    <row r="194" spans="3:21" s="992" customFormat="1" x14ac:dyDescent="0.45"/>
    <row r="195" spans="3:21" s="992" customFormat="1" x14ac:dyDescent="0.45"/>
    <row r="196" spans="3:21" s="992" customFormat="1" ht="14.65" thickBot="1" x14ac:dyDescent="0.5"/>
    <row r="197" spans="3:21" s="992" customFormat="1" ht="14.65" thickBot="1" x14ac:dyDescent="0.5">
      <c r="C197" s="44" t="s">
        <v>116</v>
      </c>
    </row>
    <row r="198" spans="3:21" ht="23.65" thickBot="1" x14ac:dyDescent="0.75">
      <c r="J198" s="224" t="s">
        <v>151</v>
      </c>
      <c r="K198" s="22"/>
      <c r="L198" s="71"/>
      <c r="M198" s="225">
        <f>D4</f>
        <v>574</v>
      </c>
      <c r="N198" s="226" t="s">
        <v>36</v>
      </c>
      <c r="O198" s="224" t="s">
        <v>26</v>
      </c>
      <c r="P198" s="71"/>
      <c r="Q198" s="71"/>
      <c r="R198" s="225">
        <f>D3</f>
        <v>85</v>
      </c>
      <c r="S198" s="226" t="s">
        <v>25</v>
      </c>
      <c r="T198" s="224" t="s">
        <v>20</v>
      </c>
      <c r="U198" s="1125">
        <f>ResWACC</f>
        <v>0.06</v>
      </c>
    </row>
    <row r="209" spans="2:4" x14ac:dyDescent="0.45">
      <c r="B209" s="56"/>
      <c r="C209" s="56"/>
      <c r="D209" s="25"/>
    </row>
    <row r="210" spans="2:4" x14ac:dyDescent="0.45">
      <c r="B210" s="195"/>
      <c r="C210" s="56"/>
      <c r="D210" s="25"/>
    </row>
    <row r="211" spans="2:4" x14ac:dyDescent="0.45">
      <c r="B211" s="56"/>
      <c r="C211" s="56"/>
      <c r="D211" s="25"/>
    </row>
    <row r="212" spans="2:4" x14ac:dyDescent="0.45">
      <c r="B212" s="56"/>
      <c r="C212" s="56"/>
      <c r="D212" s="25"/>
    </row>
    <row r="213" spans="2:4" x14ac:dyDescent="0.45">
      <c r="B213" s="56"/>
      <c r="C213" s="56"/>
      <c r="D213" s="25"/>
    </row>
    <row r="214" spans="2:4" x14ac:dyDescent="0.45">
      <c r="B214" s="162"/>
      <c r="C214" s="162"/>
      <c r="D214" s="25"/>
    </row>
    <row r="216" spans="2:4" x14ac:dyDescent="0.45">
      <c r="B216" s="10"/>
      <c r="C216" s="115"/>
    </row>
    <row r="217" spans="2:4" x14ac:dyDescent="0.45">
      <c r="B217" s="10"/>
      <c r="C217" s="115"/>
    </row>
    <row r="218" spans="2:4" x14ac:dyDescent="0.45">
      <c r="B218" s="10"/>
      <c r="C218" s="115"/>
    </row>
    <row r="219" spans="2:4" x14ac:dyDescent="0.45">
      <c r="B219" s="10"/>
      <c r="C219" s="115"/>
    </row>
    <row r="229" spans="2:24" x14ac:dyDescent="0.45">
      <c r="B229" s="25"/>
      <c r="C229" s="25"/>
      <c r="D229" s="25"/>
      <c r="E229" s="25"/>
      <c r="F229" s="25"/>
      <c r="G229" s="25"/>
      <c r="H229" s="25"/>
      <c r="I229" s="25"/>
    </row>
    <row r="230" spans="2:24" ht="23.25" x14ac:dyDescent="0.7">
      <c r="B230" s="785"/>
      <c r="C230" s="25"/>
      <c r="D230" s="785"/>
      <c r="E230" s="785"/>
      <c r="F230" s="785"/>
      <c r="G230" s="785"/>
      <c r="H230" s="785"/>
      <c r="I230" s="25"/>
    </row>
    <row r="231" spans="2:24" x14ac:dyDescent="0.45">
      <c r="B231" s="25"/>
      <c r="C231" s="25"/>
      <c r="D231" s="25"/>
      <c r="E231" s="25"/>
      <c r="F231" s="25"/>
      <c r="G231" s="25"/>
      <c r="H231" s="25"/>
      <c r="I231" s="25"/>
    </row>
    <row r="232" spans="2:24" ht="14.65" thickBot="1" x14ac:dyDescent="0.5"/>
    <row r="233" spans="2:24" ht="14.65" thickBot="1" x14ac:dyDescent="0.5">
      <c r="F233" s="12"/>
      <c r="G233" s="14"/>
      <c r="H233" s="1173" t="s">
        <v>384</v>
      </c>
      <c r="I233" s="1174"/>
      <c r="J233" s="1175"/>
      <c r="K233" s="35"/>
      <c r="L233" s="1171" t="s">
        <v>80</v>
      </c>
      <c r="M233" s="1172"/>
      <c r="Q233" s="12"/>
      <c r="R233" s="14"/>
      <c r="S233" s="1173" t="s">
        <v>384</v>
      </c>
      <c r="T233" s="1174"/>
      <c r="U233" s="1175"/>
      <c r="V233" s="35"/>
      <c r="W233" s="1171" t="s">
        <v>80</v>
      </c>
      <c r="X233" s="1172"/>
    </row>
    <row r="234" spans="2:24" ht="14.65" thickBot="1" x14ac:dyDescent="0.5">
      <c r="F234" s="37"/>
      <c r="G234" s="38"/>
      <c r="H234" s="47">
        <v>2023</v>
      </c>
      <c r="I234" s="778">
        <v>2050</v>
      </c>
      <c r="J234" s="47">
        <v>2050</v>
      </c>
      <c r="K234" s="26"/>
      <c r="L234" s="47">
        <v>2050</v>
      </c>
      <c r="M234" s="47">
        <v>2050</v>
      </c>
      <c r="Q234" s="37"/>
      <c r="R234" s="38"/>
      <c r="S234" s="47">
        <v>2023</v>
      </c>
      <c r="T234" s="778">
        <v>2050</v>
      </c>
      <c r="U234" s="47">
        <v>2050</v>
      </c>
      <c r="V234" s="26"/>
      <c r="W234" s="47">
        <v>2050</v>
      </c>
      <c r="X234" s="47">
        <v>2050</v>
      </c>
    </row>
    <row r="235" spans="2:24" ht="14.65" thickBot="1" x14ac:dyDescent="0.5">
      <c r="F235" s="20"/>
      <c r="G235" s="21"/>
      <c r="H235" s="47" t="s">
        <v>7</v>
      </c>
      <c r="I235" s="778" t="s">
        <v>7</v>
      </c>
      <c r="J235" s="47" t="s">
        <v>31</v>
      </c>
      <c r="K235" s="89"/>
      <c r="L235" s="47" t="s">
        <v>7</v>
      </c>
      <c r="M235" s="47" t="s">
        <v>31</v>
      </c>
      <c r="Q235" s="20"/>
      <c r="R235" s="21"/>
      <c r="S235" s="47" t="s">
        <v>7</v>
      </c>
      <c r="T235" s="778" t="s">
        <v>7</v>
      </c>
      <c r="U235" s="47" t="s">
        <v>31</v>
      </c>
      <c r="V235" s="89"/>
      <c r="W235" s="47" t="s">
        <v>7</v>
      </c>
      <c r="X235" s="47" t="s">
        <v>31</v>
      </c>
    </row>
    <row r="236" spans="2:24" ht="14.65" thickBot="1" x14ac:dyDescent="0.5">
      <c r="F236" s="516" t="s">
        <v>118</v>
      </c>
      <c r="G236" s="120"/>
      <c r="H236" s="221">
        <f>D13</f>
        <v>139.76915862163736</v>
      </c>
      <c r="I236" s="786">
        <f ca="1">F13</f>
        <v>85.629157979281672</v>
      </c>
      <c r="J236" s="221">
        <f ca="1">H13</f>
        <v>62.795419826552902</v>
      </c>
      <c r="K236" s="221"/>
      <c r="L236" s="221">
        <f ca="1">F19</f>
        <v>77.867718358815708</v>
      </c>
      <c r="M236" s="221">
        <f ca="1">H19</f>
        <v>60.065514122630212</v>
      </c>
      <c r="Q236" s="516" t="s">
        <v>385</v>
      </c>
      <c r="R236" s="120"/>
      <c r="S236" s="222">
        <f>I16</f>
        <v>6.2783328159015106</v>
      </c>
      <c r="T236" s="223">
        <f ca="1">K16</f>
        <v>2.6026662256137953</v>
      </c>
      <c r="U236" s="222">
        <f ca="1">M16</f>
        <v>1.7777559741505393</v>
      </c>
      <c r="V236" s="221"/>
      <c r="W236" s="222">
        <f ca="1">K22</f>
        <v>2.2522736044858891</v>
      </c>
      <c r="X236" s="222">
        <f ca="1">M22</f>
        <v>1.6544473289515711</v>
      </c>
    </row>
    <row r="255" spans="1:10" x14ac:dyDescent="0.45">
      <c r="A255" s="25"/>
      <c r="B255" s="25"/>
      <c r="C255" s="25"/>
      <c r="D255" s="25"/>
      <c r="E255" s="25"/>
      <c r="F255" s="25"/>
      <c r="G255" s="25"/>
      <c r="H255" s="25"/>
      <c r="I255" s="25"/>
      <c r="J255" s="25"/>
    </row>
    <row r="256" spans="1:10" x14ac:dyDescent="0.45">
      <c r="A256" s="25"/>
      <c r="B256" s="25"/>
      <c r="C256" s="25"/>
      <c r="D256" s="25"/>
      <c r="E256" s="25"/>
      <c r="F256" s="25"/>
      <c r="G256" s="25"/>
      <c r="H256" s="25"/>
      <c r="I256" s="25"/>
      <c r="J256" s="25"/>
    </row>
    <row r="257" spans="1:10" x14ac:dyDescent="0.45">
      <c r="A257" s="25"/>
      <c r="B257" s="25"/>
      <c r="C257" s="1184"/>
      <c r="D257" s="1184"/>
      <c r="E257" s="25"/>
      <c r="F257" s="1184"/>
      <c r="G257" s="1184"/>
      <c r="H257" s="25"/>
      <c r="I257" s="25"/>
      <c r="J257" s="25"/>
    </row>
    <row r="258" spans="1:10" x14ac:dyDescent="0.45">
      <c r="A258" s="25"/>
      <c r="B258" s="25"/>
      <c r="C258" s="784"/>
      <c r="D258" s="784"/>
      <c r="E258" s="88"/>
      <c r="F258" s="784"/>
      <c r="G258" s="784"/>
      <c r="H258" s="25"/>
      <c r="I258" s="25"/>
      <c r="J258" s="25"/>
    </row>
    <row r="259" spans="1:10" x14ac:dyDescent="0.45">
      <c r="A259" s="25"/>
      <c r="B259" s="88"/>
      <c r="C259" s="787"/>
      <c r="D259" s="787"/>
      <c r="E259" s="787"/>
      <c r="F259" s="787"/>
      <c r="G259" s="787"/>
      <c r="H259" s="25"/>
      <c r="I259" s="25"/>
      <c r="J259" s="25"/>
    </row>
    <row r="260" spans="1:10" x14ac:dyDescent="0.45">
      <c r="A260" s="25"/>
      <c r="B260" s="25"/>
      <c r="C260" s="25"/>
      <c r="D260" s="25"/>
      <c r="E260" s="25"/>
      <c r="F260" s="25"/>
      <c r="G260" s="25"/>
      <c r="H260" s="25"/>
      <c r="I260" s="25"/>
      <c r="J260" s="25"/>
    </row>
    <row r="261" spans="1:10" x14ac:dyDescent="0.45">
      <c r="A261" s="25"/>
      <c r="B261" s="25"/>
      <c r="C261" s="25"/>
      <c r="D261" s="25"/>
      <c r="E261" s="25"/>
      <c r="F261" s="25"/>
      <c r="G261" s="25"/>
      <c r="H261" s="25"/>
      <c r="I261" s="25"/>
      <c r="J261" s="25"/>
    </row>
  </sheetData>
  <sheetProtection algorithmName="SHA-512" hashValue="cZLVeeG+4hc2zCwUqlpHHyo1LdS0+lMWxEfvaHaZAjoj28D5Ek848N4ah1BK35orcrrv2Fo7azBL5+VFB1kzQw==" saltValue="OTQ4xeOMrixpsQKZtwj8oQ==" spinCount="100000" scenarios="1"/>
  <dataConsolidate/>
  <mergeCells count="35">
    <mergeCell ref="N8:O8"/>
    <mergeCell ref="L9:M9"/>
    <mergeCell ref="D8:H8"/>
    <mergeCell ref="I8:M8"/>
    <mergeCell ref="B12:B16"/>
    <mergeCell ref="B18:B22"/>
    <mergeCell ref="D9:F9"/>
    <mergeCell ref="G9:H9"/>
    <mergeCell ref="I9:K9"/>
    <mergeCell ref="C257:D257"/>
    <mergeCell ref="F257:G257"/>
    <mergeCell ref="D11:H11"/>
    <mergeCell ref="E139:G139"/>
    <mergeCell ref="H233:J233"/>
    <mergeCell ref="D25:G25"/>
    <mergeCell ref="H25:I25"/>
    <mergeCell ref="J25:M25"/>
    <mergeCell ref="J24:O24"/>
    <mergeCell ref="D24:I24"/>
    <mergeCell ref="L233:M233"/>
    <mergeCell ref="AS10:AU10"/>
    <mergeCell ref="AV10:AX10"/>
    <mergeCell ref="AP10:AR10"/>
    <mergeCell ref="N11:O11"/>
    <mergeCell ref="I11:M11"/>
    <mergeCell ref="W233:X233"/>
    <mergeCell ref="S233:U233"/>
    <mergeCell ref="AP15:AR15"/>
    <mergeCell ref="N25:O25"/>
    <mergeCell ref="S25:U25"/>
    <mergeCell ref="V25:W25"/>
    <mergeCell ref="S24:W24"/>
    <mergeCell ref="X25:Z25"/>
    <mergeCell ref="AA25:AB25"/>
    <mergeCell ref="X24:AB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Fill="0" autoLine="0" autoPict="0" r:id="rId5">
            <anchor moveWithCells="1">
              <from>
                <xdr:col>6</xdr:col>
                <xdr:colOff>9525</xdr:colOff>
                <xdr:row>55</xdr:row>
                <xdr:rowOff>0</xdr:rowOff>
              </from>
              <to>
                <xdr:col>8</xdr:col>
                <xdr:colOff>533400</xdr:colOff>
                <xdr:row>57</xdr:row>
                <xdr:rowOff>19050</xdr:rowOff>
              </to>
            </anchor>
          </controlPr>
        </control>
      </mc:Choice>
      <mc:Fallback>
        <control shapeId="1025" r:id="rId4" name="CommandButton1"/>
      </mc:Fallback>
    </mc:AlternateContent>
    <mc:AlternateContent xmlns:mc="http://schemas.openxmlformats.org/markup-compatibility/2006">
      <mc:Choice Requires="x14">
        <control shapeId="1027" r:id="rId6" name="CommandButton2">
          <controlPr defaultSize="0" autoFill="0" autoLine="0" autoPict="0" r:id="rId7">
            <anchor moveWithCells="1">
              <from>
                <xdr:col>5</xdr:col>
                <xdr:colOff>1228725</xdr:colOff>
                <xdr:row>107</xdr:row>
                <xdr:rowOff>9525</xdr:rowOff>
              </from>
              <to>
                <xdr:col>8</xdr:col>
                <xdr:colOff>371475</xdr:colOff>
                <xdr:row>109</xdr:row>
                <xdr:rowOff>38100</xdr:rowOff>
              </to>
            </anchor>
          </controlPr>
        </control>
      </mc:Choice>
      <mc:Fallback>
        <control shapeId="1027" r:id="rId6" name="CommandButton2"/>
      </mc:Fallback>
    </mc:AlternateContent>
    <mc:AlternateContent xmlns:mc="http://schemas.openxmlformats.org/markup-compatibility/2006">
      <mc:Choice Requires="x14">
        <control shapeId="1030" r:id="rId8" name="CommandButton3">
          <controlPr defaultSize="0" autoLine="0" autoPict="0" r:id="rId9">
            <anchor moveWithCells="1">
              <from>
                <xdr:col>7</xdr:col>
                <xdr:colOff>200025</xdr:colOff>
                <xdr:row>137</xdr:row>
                <xdr:rowOff>180975</xdr:rowOff>
              </from>
              <to>
                <xdr:col>10</xdr:col>
                <xdr:colOff>257175</xdr:colOff>
                <xdr:row>140</xdr:row>
                <xdr:rowOff>0</xdr:rowOff>
              </to>
            </anchor>
          </controlPr>
        </control>
      </mc:Choice>
      <mc:Fallback>
        <control shapeId="1030" r:id="rId8" name="CommandButton3"/>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A9F1C-20AC-4809-8932-3B31957470F6}">
  <sheetPr codeName="Blad3"/>
  <dimension ref="A1:BU593"/>
  <sheetViews>
    <sheetView zoomScaleNormal="100" workbookViewId="0">
      <selection activeCell="K74" sqref="K74"/>
    </sheetView>
  </sheetViews>
  <sheetFormatPr defaultRowHeight="14.25" x14ac:dyDescent="0.45"/>
  <cols>
    <col min="1" max="1" width="3" customWidth="1"/>
    <col min="2" max="2" width="5.1328125" customWidth="1"/>
    <col min="3" max="3" width="14.73046875" customWidth="1"/>
    <col min="4" max="4" width="39.73046875" customWidth="1"/>
    <col min="5" max="5" width="13.86328125" customWidth="1"/>
    <col min="6" max="6" width="11.1328125" customWidth="1"/>
    <col min="7" max="7" width="10.265625" customWidth="1"/>
    <col min="8" max="8" width="10.59765625" customWidth="1"/>
    <col min="9" max="9" width="9.3984375" customWidth="1"/>
    <col min="10" max="10" width="9.73046875" customWidth="1"/>
    <col min="11" max="11" width="9.86328125" customWidth="1"/>
    <col min="12" max="12" width="9.59765625" customWidth="1"/>
    <col min="13" max="13" width="12.1328125" customWidth="1"/>
    <col min="14" max="14" width="10.59765625" style="340" customWidth="1"/>
    <col min="15" max="15" width="10.265625" customWidth="1"/>
    <col min="16" max="16" width="10.86328125" customWidth="1"/>
    <col min="17" max="17" width="9.265625" customWidth="1"/>
    <col min="18" max="18" width="11" customWidth="1"/>
    <col min="19" max="19" width="9.265625" customWidth="1"/>
    <col min="20" max="20" width="9.86328125" customWidth="1"/>
    <col min="21" max="21" width="9.265625" customWidth="1"/>
    <col min="22" max="22" width="11.3984375" customWidth="1"/>
    <col min="23" max="23" width="7.3984375" customWidth="1"/>
    <col min="24" max="24" width="28.1328125" customWidth="1"/>
    <col min="25" max="25" width="8.86328125" customWidth="1"/>
    <col min="26" max="26" width="9" customWidth="1"/>
    <col min="27" max="27" width="7" customWidth="1"/>
    <col min="28" max="28" width="7.265625" customWidth="1"/>
    <col min="29" max="29" width="8.73046875" customWidth="1"/>
    <col min="30" max="30" width="7.73046875" customWidth="1"/>
    <col min="31" max="31" width="12.1328125" customWidth="1"/>
    <col min="32" max="32" width="7" customWidth="1"/>
    <col min="33" max="33" width="12.265625" customWidth="1"/>
    <col min="34" max="34" width="10" customWidth="1"/>
    <col min="35" max="35" width="8.3984375" customWidth="1"/>
    <col min="39" max="39" width="17.1328125" bestFit="1" customWidth="1"/>
  </cols>
  <sheetData>
    <row r="1" spans="2:41" ht="14.65" thickBot="1" x14ac:dyDescent="0.5"/>
    <row r="2" spans="2:41" ht="14.65" thickBot="1" x14ac:dyDescent="0.5">
      <c r="F2" s="819"/>
      <c r="G2" s="819"/>
      <c r="H2" s="819"/>
      <c r="I2" s="819"/>
      <c r="J2" s="819"/>
      <c r="K2" s="819"/>
      <c r="P2" s="1177" t="s">
        <v>530</v>
      </c>
      <c r="Q2" s="1182"/>
      <c r="R2" s="1182"/>
      <c r="S2" s="1182"/>
      <c r="T2" s="1182"/>
      <c r="U2" s="1178"/>
      <c r="V2" s="514"/>
      <c r="W2" s="514"/>
      <c r="X2" s="571"/>
      <c r="Y2" s="421" t="s">
        <v>331</v>
      </c>
      <c r="Z2" s="421"/>
      <c r="AA2" s="421"/>
      <c r="AB2" s="421"/>
      <c r="AC2" s="421"/>
      <c r="AD2" s="422"/>
      <c r="AG2" s="17"/>
      <c r="AH2" s="17"/>
      <c r="AI2" s="1"/>
      <c r="AJ2" s="1"/>
      <c r="AK2" s="1"/>
      <c r="AL2" s="1"/>
      <c r="AM2" s="1"/>
      <c r="AN2" s="1"/>
      <c r="AO2" s="1"/>
    </row>
    <row r="3" spans="2:41" ht="14.65" thickBot="1" x14ac:dyDescent="0.5">
      <c r="C3" s="17"/>
      <c r="D3" s="44" t="s">
        <v>160</v>
      </c>
      <c r="E3" s="452"/>
      <c r="F3" s="1177" t="s">
        <v>7</v>
      </c>
      <c r="G3" s="1182"/>
      <c r="H3" s="1182"/>
      <c r="I3" s="1178"/>
      <c r="J3" s="1177" t="s">
        <v>31</v>
      </c>
      <c r="K3" s="1178"/>
      <c r="L3" s="399"/>
      <c r="M3" s="1177" t="s">
        <v>215</v>
      </c>
      <c r="N3" s="1178"/>
      <c r="P3" s="1177" t="s">
        <v>7</v>
      </c>
      <c r="Q3" s="1182"/>
      <c r="R3" s="1182"/>
      <c r="S3" s="1178"/>
      <c r="T3" s="1182" t="s">
        <v>31</v>
      </c>
      <c r="U3" s="1178"/>
      <c r="V3" s="514"/>
      <c r="W3" s="514"/>
      <c r="X3" s="569"/>
      <c r="Y3" s="1251" t="s">
        <v>7</v>
      </c>
      <c r="Z3" s="1252"/>
      <c r="AA3" s="1252"/>
      <c r="AB3" s="1253"/>
      <c r="AC3" s="1252" t="s">
        <v>31</v>
      </c>
      <c r="AD3" s="1253"/>
      <c r="AI3" s="2"/>
      <c r="AJ3" s="323"/>
      <c r="AK3" s="328"/>
      <c r="AL3" s="328"/>
      <c r="AM3" s="328"/>
      <c r="AN3" s="328"/>
      <c r="AO3" s="1"/>
    </row>
    <row r="4" spans="2:41" ht="30" customHeight="1" thickBot="1" x14ac:dyDescent="0.5">
      <c r="C4" s="17"/>
      <c r="D4" s="92"/>
      <c r="E4" s="92"/>
      <c r="F4" s="487" t="s">
        <v>130</v>
      </c>
      <c r="G4" s="139" t="s">
        <v>66</v>
      </c>
      <c r="H4" s="438">
        <v>2035</v>
      </c>
      <c r="I4" s="139">
        <v>2050</v>
      </c>
      <c r="J4" s="251">
        <v>2035</v>
      </c>
      <c r="K4" s="251">
        <v>2050</v>
      </c>
      <c r="L4" s="470"/>
      <c r="P4" s="487" t="s">
        <v>130</v>
      </c>
      <c r="Q4" s="139" t="s">
        <v>66</v>
      </c>
      <c r="R4" s="438">
        <v>2035</v>
      </c>
      <c r="S4" s="139">
        <v>2050</v>
      </c>
      <c r="T4" s="251">
        <v>2035</v>
      </c>
      <c r="U4" s="251">
        <v>2050</v>
      </c>
      <c r="V4" s="470"/>
      <c r="W4" s="470"/>
      <c r="X4" s="570"/>
      <c r="Y4" s="487" t="s">
        <v>130</v>
      </c>
      <c r="Z4" s="139" t="s">
        <v>66</v>
      </c>
      <c r="AA4" s="438">
        <v>2035</v>
      </c>
      <c r="AB4" s="139">
        <v>2050</v>
      </c>
      <c r="AC4" s="251">
        <v>2035</v>
      </c>
      <c r="AD4" s="251">
        <v>2050</v>
      </c>
      <c r="AM4" s="329"/>
      <c r="AN4" s="329"/>
      <c r="AO4" s="1"/>
    </row>
    <row r="5" spans="2:41" ht="15.75" customHeight="1" thickBot="1" x14ac:dyDescent="0.5">
      <c r="B5" s="1065">
        <v>1</v>
      </c>
      <c r="C5" s="17"/>
      <c r="D5" s="428" t="s">
        <v>241</v>
      </c>
      <c r="E5" s="105"/>
      <c r="F5" s="459"/>
      <c r="G5" s="459"/>
      <c r="H5" s="459"/>
      <c r="I5" s="459"/>
      <c r="J5" s="470"/>
      <c r="K5" s="470"/>
      <c r="L5" s="470"/>
      <c r="M5" s="11"/>
      <c r="AM5" s="3"/>
      <c r="AN5" s="3"/>
      <c r="AO5" s="1"/>
    </row>
    <row r="6" spans="2:41" ht="15.75" customHeight="1" thickBot="1" x14ac:dyDescent="0.5">
      <c r="C6" s="17"/>
      <c r="D6" s="145" t="s">
        <v>26</v>
      </c>
      <c r="E6" s="92" t="s">
        <v>25</v>
      </c>
      <c r="F6" s="877">
        <f>G6</f>
        <v>85</v>
      </c>
      <c r="G6" s="876">
        <f>Results!$D$3</f>
        <v>85</v>
      </c>
      <c r="H6" s="878">
        <f>G6</f>
        <v>85</v>
      </c>
      <c r="I6" s="878">
        <f>G6</f>
        <v>85</v>
      </c>
      <c r="J6" s="878">
        <f>G6</f>
        <v>85</v>
      </c>
      <c r="K6" s="878">
        <f>G6</f>
        <v>85</v>
      </c>
      <c r="L6" s="471"/>
      <c r="M6" s="17"/>
      <c r="N6" s="844"/>
      <c r="O6" s="17"/>
      <c r="AM6" s="3"/>
      <c r="AN6" s="3"/>
      <c r="AO6" s="1"/>
    </row>
    <row r="7" spans="2:41" ht="15.75" customHeight="1" thickBot="1" x14ac:dyDescent="0.5">
      <c r="C7" s="17"/>
      <c r="D7" s="145" t="s">
        <v>151</v>
      </c>
      <c r="E7" s="93" t="s">
        <v>36</v>
      </c>
      <c r="F7" s="879">
        <f>G7</f>
        <v>574</v>
      </c>
      <c r="G7" s="875">
        <f>Results!$D$4</f>
        <v>574</v>
      </c>
      <c r="H7" s="880">
        <f>G7</f>
        <v>574</v>
      </c>
      <c r="I7" s="880">
        <f>G7</f>
        <v>574</v>
      </c>
      <c r="J7" s="880">
        <f>G7</f>
        <v>574</v>
      </c>
      <c r="K7" s="880">
        <f>G7</f>
        <v>574</v>
      </c>
      <c r="L7" s="471"/>
      <c r="M7" s="527"/>
      <c r="AM7" s="3"/>
      <c r="AN7" s="3"/>
      <c r="AO7" s="1"/>
    </row>
    <row r="8" spans="2:41" ht="15.75" customHeight="1" thickBot="1" x14ac:dyDescent="0.5">
      <c r="C8" s="17"/>
      <c r="D8" s="396" t="s">
        <v>20</v>
      </c>
      <c r="E8" s="93" t="s">
        <v>24</v>
      </c>
      <c r="F8" s="486">
        <f>G8</f>
        <v>0.06</v>
      </c>
      <c r="G8" s="439">
        <f>Results!$D$5</f>
        <v>0.06</v>
      </c>
      <c r="H8" s="486">
        <f>G8</f>
        <v>0.06</v>
      </c>
      <c r="I8" s="486">
        <f>G8</f>
        <v>0.06</v>
      </c>
      <c r="J8" s="486">
        <f>G8</f>
        <v>0.06</v>
      </c>
      <c r="K8" s="486">
        <f>G8</f>
        <v>0.06</v>
      </c>
      <c r="L8" s="471"/>
      <c r="M8" s="552"/>
      <c r="P8" s="1214" t="s">
        <v>529</v>
      </c>
      <c r="Q8" s="1215"/>
      <c r="R8" s="1215"/>
      <c r="S8" s="1215"/>
      <c r="T8" s="1215"/>
      <c r="U8" s="1216"/>
      <c r="AM8" s="3"/>
      <c r="AN8" s="3"/>
      <c r="AO8" s="1"/>
    </row>
    <row r="9" spans="2:41" ht="15.75" customHeight="1" thickBot="1" x14ac:dyDescent="0.5">
      <c r="C9" s="17"/>
      <c r="D9" s="93" t="s">
        <v>242</v>
      </c>
      <c r="E9" s="93" t="s">
        <v>19</v>
      </c>
      <c r="F9" s="177">
        <v>27</v>
      </c>
      <c r="G9" s="647">
        <v>27</v>
      </c>
      <c r="H9" s="648">
        <v>30</v>
      </c>
      <c r="I9" s="649">
        <v>30</v>
      </c>
      <c r="J9" s="648">
        <v>30</v>
      </c>
      <c r="K9" s="649">
        <v>30</v>
      </c>
      <c r="L9" s="480"/>
      <c r="M9" s="552"/>
      <c r="P9" s="1126">
        <f t="shared" ref="P9:U9" si="0">F136</f>
        <v>2.5419999999999998</v>
      </c>
      <c r="Q9" s="1132">
        <f t="shared" si="0"/>
        <v>2.5419999999999998</v>
      </c>
      <c r="R9" s="1127">
        <f t="shared" ca="1" si="0"/>
        <v>2.5419999999999998</v>
      </c>
      <c r="S9" s="1132">
        <f t="shared" ca="1" si="0"/>
        <v>2.5419999999999998</v>
      </c>
      <c r="T9" s="1127">
        <f t="shared" ca="1" si="0"/>
        <v>2.5419999999999998</v>
      </c>
      <c r="U9" s="1132">
        <f t="shared" ca="1" si="0"/>
        <v>2.5419999999999998</v>
      </c>
      <c r="AM9" s="3"/>
      <c r="AN9" s="3"/>
      <c r="AO9" s="1"/>
    </row>
    <row r="10" spans="2:41" ht="15.75" customHeight="1" thickBot="1" x14ac:dyDescent="0.5">
      <c r="C10" s="17"/>
      <c r="D10" s="93" t="s">
        <v>310</v>
      </c>
      <c r="E10" s="93" t="s">
        <v>24</v>
      </c>
      <c r="F10" s="630">
        <f t="shared" ref="F10:K10" si="1">E308</f>
        <v>8.0238996309237712E-2</v>
      </c>
      <c r="G10" s="630">
        <f t="shared" si="1"/>
        <v>8.0238996309237712E-2</v>
      </c>
      <c r="H10" s="630">
        <f t="shared" si="1"/>
        <v>7.7007846179450029E-2</v>
      </c>
      <c r="I10" s="630">
        <f t="shared" si="1"/>
        <v>7.7007846179450029E-2</v>
      </c>
      <c r="J10" s="630">
        <f t="shared" si="1"/>
        <v>7.7007846179450029E-2</v>
      </c>
      <c r="K10" s="630">
        <f t="shared" si="1"/>
        <v>7.7007846179450029E-2</v>
      </c>
      <c r="L10" s="480"/>
      <c r="M10" s="1120"/>
      <c r="P10" s="1217" t="s">
        <v>491</v>
      </c>
      <c r="Q10" s="1218"/>
      <c r="R10" s="1218"/>
      <c r="S10" s="1218"/>
      <c r="T10" s="1218"/>
      <c r="U10" s="1219"/>
      <c r="AM10" s="3"/>
      <c r="AN10" s="3"/>
      <c r="AO10" s="1"/>
    </row>
    <row r="11" spans="2:41" ht="15.75" customHeight="1" thickBot="1" x14ac:dyDescent="0.5">
      <c r="C11" s="17"/>
      <c r="D11" s="93" t="s">
        <v>243</v>
      </c>
      <c r="E11" s="92" t="s">
        <v>24</v>
      </c>
      <c r="F11" s="440">
        <v>0.51</v>
      </c>
      <c r="G11" s="650">
        <v>0.51</v>
      </c>
      <c r="H11" s="651">
        <v>0.54</v>
      </c>
      <c r="I11" s="650">
        <v>0.54</v>
      </c>
      <c r="J11" s="651">
        <v>0.65</v>
      </c>
      <c r="K11" s="650">
        <v>0.65</v>
      </c>
      <c r="L11" s="472"/>
      <c r="P11" s="1126"/>
      <c r="Q11" s="1127"/>
      <c r="R11" s="1132">
        <f>H139</f>
        <v>1.4112</v>
      </c>
      <c r="S11" s="1132">
        <f ca="1">I139</f>
        <v>1.4112</v>
      </c>
      <c r="T11" s="1127">
        <f ca="1">J139</f>
        <v>1.4112</v>
      </c>
      <c r="U11" s="1132">
        <f ca="1">K139</f>
        <v>1.4112</v>
      </c>
      <c r="AM11" s="397"/>
      <c r="AN11" s="397"/>
      <c r="AO11" s="1"/>
    </row>
    <row r="12" spans="2:41" ht="15.75" customHeight="1" thickBot="1" x14ac:dyDescent="0.5">
      <c r="C12" s="17"/>
      <c r="D12" s="431" t="s">
        <v>64</v>
      </c>
      <c r="E12" s="92" t="s">
        <v>135</v>
      </c>
      <c r="F12" s="129">
        <v>139</v>
      </c>
      <c r="G12" s="652">
        <v>139</v>
      </c>
      <c r="H12" s="548">
        <f ca="1">INDIRECT("'learning rates'!"&amp;ADDRESS(3+$M12,4))*(IF($M12&lt;6,G12,H12))</f>
        <v>139</v>
      </c>
      <c r="I12" s="548">
        <f ca="1">INDIRECT("'learning rates'!"&amp;ADDRESS(3+$M12,5))*(IF($M12&lt;6,G12,H12))</f>
        <v>139</v>
      </c>
      <c r="J12" s="548">
        <f ca="1">INDIRECT("'learning rates'!"&amp;ADDRESS(3+$M12,4))*(IF($M12&lt;6,G12,H12))</f>
        <v>139</v>
      </c>
      <c r="K12" s="548">
        <f ca="1">INDIRECT("'learning rates'!"&amp;ADDRESS(3+$M12,5))*(IF($M12&lt;6,G12,H12))</f>
        <v>139</v>
      </c>
      <c r="L12" s="472"/>
      <c r="M12" s="1065">
        <f>N12</f>
        <v>3</v>
      </c>
      <c r="N12" s="1066">
        <v>3</v>
      </c>
      <c r="P12" s="1245" t="s">
        <v>493</v>
      </c>
      <c r="Q12" s="1246"/>
      <c r="R12" s="1246"/>
      <c r="S12" s="1246"/>
      <c r="T12" s="1246"/>
      <c r="U12" s="1247"/>
      <c r="AM12" s="397"/>
      <c r="AN12" s="397"/>
      <c r="AO12" s="1"/>
    </row>
    <row r="13" spans="2:41" ht="15.75" customHeight="1" thickBot="1" x14ac:dyDescent="0.5">
      <c r="C13" s="17"/>
      <c r="D13" s="1243" t="s">
        <v>43</v>
      </c>
      <c r="E13" s="92" t="s">
        <v>135</v>
      </c>
      <c r="F13" s="131">
        <v>246</v>
      </c>
      <c r="G13" s="1091">
        <v>250</v>
      </c>
      <c r="H13" s="1146"/>
      <c r="I13" s="1147"/>
      <c r="J13" s="1146"/>
      <c r="K13" s="1147"/>
      <c r="L13" s="472"/>
      <c r="P13" s="1129"/>
      <c r="Q13" s="1131"/>
      <c r="R13" s="1129">
        <f>H157</f>
        <v>1.0209999999999999</v>
      </c>
      <c r="S13" s="1133">
        <f ca="1">I157</f>
        <v>1.0209999999999999</v>
      </c>
      <c r="T13" s="1130">
        <f ca="1">J157</f>
        <v>1.0209999999999999</v>
      </c>
      <c r="U13" s="1133">
        <f ca="1">K157</f>
        <v>1.0209999999999999</v>
      </c>
      <c r="AM13" s="397"/>
      <c r="AN13" s="397"/>
      <c r="AO13" s="1"/>
    </row>
    <row r="14" spans="2:41" ht="15.75" customHeight="1" thickBot="1" x14ac:dyDescent="0.5">
      <c r="C14" s="17"/>
      <c r="D14" s="1244"/>
      <c r="E14" s="92" t="s">
        <v>129</v>
      </c>
      <c r="F14" s="443">
        <v>0.104</v>
      </c>
      <c r="G14" s="653">
        <v>0.104</v>
      </c>
      <c r="H14" s="520">
        <f ca="1">INDIRECT("'learning rates'!"&amp;ADDRESS(3+$M14,4))*(IF($M14&lt;6,G14,H14))</f>
        <v>0.104</v>
      </c>
      <c r="I14" s="520">
        <f ca="1">INDIRECT("'learning rates'!"&amp;ADDRESS(3+$M14,5))*(IF($M14&lt;6,G14,H14))</f>
        <v>0.104</v>
      </c>
      <c r="J14" s="520">
        <f ca="1">INDIRECT("'learning rates'!"&amp;ADDRESS(3+$M14,4))*(IF($M14&lt;6,G14,H14))</f>
        <v>0.104</v>
      </c>
      <c r="K14" s="520">
        <f ca="1">INDIRECT("'learning rates'!"&amp;ADDRESS(3+$M14,5))*(IF($M14&lt;6,G14,H14))</f>
        <v>0.104</v>
      </c>
      <c r="L14" s="473"/>
      <c r="M14" s="1065">
        <f>N14</f>
        <v>3</v>
      </c>
      <c r="N14" s="1066">
        <v>3</v>
      </c>
      <c r="P14" s="1248" t="s">
        <v>528</v>
      </c>
      <c r="Q14" s="1249"/>
      <c r="R14" s="1249"/>
      <c r="S14" s="1249"/>
      <c r="T14" s="1249"/>
      <c r="U14" s="1250"/>
      <c r="Y14" s="1217" t="s">
        <v>492</v>
      </c>
      <c r="Z14" s="1218"/>
      <c r="AA14" s="1218"/>
      <c r="AB14" s="1218"/>
      <c r="AC14" s="1218"/>
      <c r="AD14" s="1219"/>
      <c r="AI14" s="523"/>
      <c r="AJ14" s="324"/>
      <c r="AK14" s="3"/>
      <c r="AL14" s="191"/>
      <c r="AM14" s="397"/>
      <c r="AN14" s="397"/>
      <c r="AO14" s="1"/>
    </row>
    <row r="15" spans="2:41" ht="15.75" customHeight="1" thickBot="1" x14ac:dyDescent="0.5">
      <c r="C15" s="17"/>
      <c r="D15" s="448" t="s">
        <v>282</v>
      </c>
      <c r="E15" s="93" t="s">
        <v>95</v>
      </c>
      <c r="F15" s="466">
        <v>7.85</v>
      </c>
      <c r="G15" s="654">
        <v>7.85</v>
      </c>
      <c r="H15" s="467">
        <v>7.85</v>
      </c>
      <c r="I15" s="467">
        <v>7.85</v>
      </c>
      <c r="J15" s="467">
        <v>7.85</v>
      </c>
      <c r="K15" s="467">
        <v>7.85</v>
      </c>
      <c r="L15" s="474"/>
      <c r="P15" s="816">
        <f>F152</f>
        <v>3511.460352645985</v>
      </c>
      <c r="Q15" s="33">
        <f t="shared" ref="Q15:U15" si="2">G152</f>
        <v>3511.460352645985</v>
      </c>
      <c r="R15" s="131">
        <f t="shared" si="2"/>
        <v>3511.460352645985</v>
      </c>
      <c r="S15" s="33">
        <f t="shared" si="2"/>
        <v>3511.460352645985</v>
      </c>
      <c r="T15" s="131">
        <f t="shared" si="2"/>
        <v>3810.9769474130849</v>
      </c>
      <c r="U15" s="33">
        <f t="shared" si="2"/>
        <v>3810.9769474130849</v>
      </c>
      <c r="Y15" s="1132">
        <f t="shared" ref="Y15:AD15" si="3">F141</f>
        <v>1.4626000000000001</v>
      </c>
      <c r="Z15" s="1127">
        <f t="shared" si="3"/>
        <v>1.4626000000000001</v>
      </c>
      <c r="AA15" s="1132">
        <f t="shared" ca="1" si="3"/>
        <v>1.4626000000000001</v>
      </c>
      <c r="AB15" s="1127">
        <f t="shared" ca="1" si="3"/>
        <v>1.4626000000000001</v>
      </c>
      <c r="AC15" s="1132">
        <f t="shared" ca="1" si="3"/>
        <v>1.4626000000000001</v>
      </c>
      <c r="AD15" s="1128">
        <f t="shared" ca="1" si="3"/>
        <v>1.4626000000000001</v>
      </c>
      <c r="AI15" s="523"/>
      <c r="AJ15" s="324"/>
      <c r="AK15" s="3"/>
      <c r="AL15" s="191"/>
      <c r="AM15" s="397"/>
      <c r="AN15" s="397"/>
      <c r="AO15" s="1"/>
    </row>
    <row r="16" spans="2:41" ht="15.75" customHeight="1" thickBot="1" x14ac:dyDescent="0.5">
      <c r="C16" s="17"/>
      <c r="H16" s="992"/>
      <c r="I16" s="992"/>
      <c r="J16" s="992"/>
      <c r="K16" s="992"/>
      <c r="L16" s="473"/>
      <c r="M16" s="547"/>
      <c r="AA16" s="528"/>
      <c r="AI16" s="523"/>
      <c r="AJ16" s="324"/>
      <c r="AK16" s="3"/>
      <c r="AL16" s="191"/>
      <c r="AM16" s="397"/>
      <c r="AN16" s="397"/>
      <c r="AO16" s="1"/>
    </row>
    <row r="17" spans="3:41" ht="15.75" customHeight="1" thickBot="1" x14ac:dyDescent="0.5">
      <c r="C17" s="17"/>
      <c r="D17" s="534" t="s">
        <v>292</v>
      </c>
      <c r="E17" s="105"/>
      <c r="F17" s="121"/>
      <c r="G17" s="449"/>
      <c r="H17" s="472"/>
      <c r="I17" s="472"/>
      <c r="J17" s="472"/>
      <c r="K17" s="472"/>
      <c r="L17" s="472"/>
      <c r="AI17" s="531"/>
      <c r="AJ17" s="324"/>
      <c r="AK17" s="325"/>
      <c r="AL17" s="325"/>
      <c r="AM17" s="397"/>
      <c r="AN17" s="397"/>
      <c r="AO17" s="1"/>
    </row>
    <row r="18" spans="3:41" ht="15.75" customHeight="1" thickBot="1" x14ac:dyDescent="0.5">
      <c r="C18" s="17"/>
      <c r="D18" s="478" t="s">
        <v>5</v>
      </c>
      <c r="E18" s="92" t="s">
        <v>44</v>
      </c>
      <c r="F18" s="481">
        <f t="shared" ref="F18:K18" si="4">F11*8760*1000</f>
        <v>4467600</v>
      </c>
      <c r="G18" s="481">
        <f t="shared" si="4"/>
        <v>4467600</v>
      </c>
      <c r="H18" s="481">
        <f t="shared" si="4"/>
        <v>4730400.0000000009</v>
      </c>
      <c r="I18" s="481">
        <f t="shared" si="4"/>
        <v>4730400.0000000009</v>
      </c>
      <c r="J18" s="481">
        <f t="shared" si="4"/>
        <v>5694000</v>
      </c>
      <c r="K18" s="481">
        <f t="shared" si="4"/>
        <v>5694000</v>
      </c>
      <c r="L18" s="472"/>
      <c r="P18" s="711">
        <f t="shared" ref="P18:S19" si="5">F18/100</f>
        <v>44676</v>
      </c>
      <c r="Q18" s="712">
        <f t="shared" si="5"/>
        <v>44676</v>
      </c>
      <c r="R18" s="712">
        <f t="shared" si="5"/>
        <v>47304.000000000007</v>
      </c>
      <c r="S18" s="712">
        <f t="shared" si="5"/>
        <v>47304.000000000007</v>
      </c>
      <c r="T18" s="712">
        <f>J18/50</f>
        <v>113880</v>
      </c>
      <c r="U18" s="713">
        <f>K18/50</f>
        <v>113880</v>
      </c>
      <c r="V18" s="24" t="s">
        <v>44</v>
      </c>
      <c r="AA18" s="10"/>
      <c r="AI18" s="531"/>
      <c r="AJ18" s="324"/>
      <c r="AK18" s="325"/>
      <c r="AL18" s="325"/>
      <c r="AM18" s="397"/>
      <c r="AN18" s="397"/>
      <c r="AO18" s="1"/>
    </row>
    <row r="19" spans="3:41" ht="15.75" customHeight="1" thickBot="1" x14ac:dyDescent="0.5">
      <c r="C19" s="17"/>
      <c r="D19" s="478" t="s">
        <v>42</v>
      </c>
      <c r="E19" s="92" t="s">
        <v>84</v>
      </c>
      <c r="F19" s="624"/>
      <c r="G19" s="625">
        <f>G18*3.6/141.8*G75</f>
        <v>85067.136812411831</v>
      </c>
      <c r="H19" s="625">
        <f>H18*3.6/141.8*H75</f>
        <v>96075.825105782817</v>
      </c>
      <c r="I19" s="625">
        <f>I18*3.6/141.8*I75</f>
        <v>105082.93370944995</v>
      </c>
      <c r="J19" s="625">
        <f>J18*3.6/141.8*J75</f>
        <v>115646.82651622003</v>
      </c>
      <c r="K19" s="625">
        <f>K18*3.6/141.8*K75</f>
        <v>126488.71650211565</v>
      </c>
      <c r="L19" s="472"/>
      <c r="M19" s="824"/>
      <c r="P19" s="446">
        <f t="shared" si="5"/>
        <v>0</v>
      </c>
      <c r="Q19" s="1144">
        <f t="shared" si="5"/>
        <v>850.67136812411832</v>
      </c>
      <c r="R19" s="1144">
        <f t="shared" si="5"/>
        <v>960.75825105782815</v>
      </c>
      <c r="S19" s="1144">
        <f t="shared" si="5"/>
        <v>1050.8293370944996</v>
      </c>
      <c r="T19" s="1144">
        <f>J19/50</f>
        <v>2312.9365303244003</v>
      </c>
      <c r="U19" s="1145">
        <f>K19/50</f>
        <v>2529.7743300423131</v>
      </c>
      <c r="V19" s="31" t="s">
        <v>84</v>
      </c>
      <c r="W19" s="11"/>
      <c r="AI19" s="531"/>
      <c r="AJ19" s="324"/>
      <c r="AK19" s="325"/>
      <c r="AL19" s="325"/>
      <c r="AM19" s="397"/>
      <c r="AN19" s="397"/>
      <c r="AO19" s="1"/>
    </row>
    <row r="20" spans="3:41" ht="15.75" customHeight="1" thickBot="1" x14ac:dyDescent="0.5">
      <c r="C20" s="17"/>
      <c r="D20" s="478"/>
      <c r="E20" s="105"/>
      <c r="F20" s="404"/>
      <c r="G20" s="539"/>
      <c r="H20" s="536"/>
      <c r="I20" s="539"/>
      <c r="J20" s="539"/>
      <c r="K20" s="539"/>
      <c r="L20" s="472"/>
      <c r="AA20" s="4"/>
      <c r="AI20" s="531"/>
      <c r="AJ20" s="324"/>
      <c r="AK20" s="325"/>
      <c r="AL20" s="325"/>
      <c r="AM20" s="397"/>
      <c r="AN20" s="397"/>
      <c r="AO20" s="1"/>
    </row>
    <row r="21" spans="3:41" ht="15.75" customHeight="1" thickBot="1" x14ac:dyDescent="0.5">
      <c r="C21" s="17"/>
      <c r="D21" s="428" t="s">
        <v>6</v>
      </c>
      <c r="E21" s="105"/>
      <c r="F21" s="459"/>
      <c r="G21" s="459"/>
      <c r="H21" s="459"/>
      <c r="I21" s="459"/>
      <c r="J21" s="470"/>
      <c r="K21" s="470"/>
      <c r="L21" s="470"/>
      <c r="M21" s="11"/>
      <c r="P21" s="1209" t="s">
        <v>6</v>
      </c>
      <c r="Q21" s="1210"/>
      <c r="X21" s="428" t="s">
        <v>6</v>
      </c>
      <c r="AI21" s="531"/>
      <c r="AJ21" s="324"/>
      <c r="AK21" s="325"/>
      <c r="AL21" s="325"/>
      <c r="AM21" s="397"/>
      <c r="AN21" s="397"/>
      <c r="AO21" s="1"/>
    </row>
    <row r="22" spans="3:41" ht="15.75" customHeight="1" thickBot="1" x14ac:dyDescent="0.5">
      <c r="C22" s="17"/>
      <c r="D22" s="145" t="s">
        <v>255</v>
      </c>
      <c r="E22" s="92" t="s">
        <v>25</v>
      </c>
      <c r="F22" s="442">
        <v>164</v>
      </c>
      <c r="G22" s="655">
        <v>164</v>
      </c>
      <c r="H22" s="23">
        <v>164</v>
      </c>
      <c r="I22" s="23">
        <v>164</v>
      </c>
      <c r="J22" s="658">
        <v>252</v>
      </c>
      <c r="K22" s="1123">
        <v>252</v>
      </c>
      <c r="L22" s="470"/>
      <c r="X22" s="406"/>
      <c r="AI22" s="531"/>
      <c r="AJ22" s="324"/>
      <c r="AK22" s="325"/>
      <c r="AL22" s="325"/>
      <c r="AM22" s="397"/>
      <c r="AN22" s="397"/>
      <c r="AO22" s="1"/>
    </row>
    <row r="23" spans="3:41" ht="15.75" customHeight="1" thickBot="1" x14ac:dyDescent="0.5">
      <c r="C23" s="17"/>
      <c r="D23" s="145" t="s">
        <v>268</v>
      </c>
      <c r="E23" s="540" t="s">
        <v>162</v>
      </c>
      <c r="F23" s="697">
        <v>7</v>
      </c>
      <c r="G23" s="698">
        <v>7</v>
      </c>
      <c r="H23" s="482">
        <v>7</v>
      </c>
      <c r="I23" s="482">
        <v>7</v>
      </c>
      <c r="J23" s="699">
        <v>7</v>
      </c>
      <c r="K23" s="1124">
        <v>7</v>
      </c>
      <c r="L23" s="470"/>
      <c r="X23" s="406"/>
      <c r="AI23" s="531"/>
      <c r="AJ23" s="324"/>
      <c r="AK23" s="325"/>
      <c r="AL23" s="325"/>
      <c r="AM23" s="397"/>
      <c r="AN23" s="397"/>
      <c r="AO23" s="1"/>
    </row>
    <row r="24" spans="3:41" ht="15.75" customHeight="1" thickBot="1" x14ac:dyDescent="0.5">
      <c r="C24" s="17"/>
      <c r="D24" s="93" t="s">
        <v>38</v>
      </c>
      <c r="E24" s="93" t="s">
        <v>135</v>
      </c>
      <c r="F24" s="177">
        <v>766</v>
      </c>
      <c r="G24" s="647">
        <v>661</v>
      </c>
      <c r="H24" s="481">
        <f ca="1">INDIRECT("'learning rates'!"&amp;ADDRESS(3+$M24,4))*(IF($M24&lt;7,$G24,$H24))</f>
        <v>462.34239106756741</v>
      </c>
      <c r="I24" s="481">
        <f t="shared" ref="I24:I32" ca="1" si="6">INDIRECT("'learning rates'!"&amp;ADDRESS(3+$M24,5))*(IF($M24&lt;7,$G24,$H24))</f>
        <v>412.39073038313978</v>
      </c>
      <c r="J24" s="481">
        <f t="shared" ref="J24:J32" ca="1" si="7">INDIRECT("'learning rates'!"&amp;ADDRESS(3+$M24,4))*(IF($M24&lt;7,$G24,$H24))</f>
        <v>462.34239106756741</v>
      </c>
      <c r="K24" s="481">
        <f t="shared" ref="K24:K32" ca="1" si="8">INDIRECT("'learning rates'!"&amp;ADDRESS(3+$M24,5))*(IF($M24&lt;7,$G24,$H24))</f>
        <v>412.39073038313978</v>
      </c>
      <c r="L24" s="404"/>
      <c r="M24" s="1067">
        <f>N24+3</f>
        <v>4</v>
      </c>
      <c r="N24" s="1068">
        <v>1</v>
      </c>
      <c r="P24" s="8">
        <f>F24/100</f>
        <v>7.66</v>
      </c>
      <c r="Q24" s="8">
        <f>G24/100</f>
        <v>6.61</v>
      </c>
      <c r="R24" s="1062">
        <f ca="1">H24/100</f>
        <v>4.6234239106756743</v>
      </c>
      <c r="S24" s="8">
        <f ca="1">I24/100</f>
        <v>4.1239073038313983</v>
      </c>
      <c r="T24" s="1062">
        <f ca="1">J24/50</f>
        <v>9.2468478213513485</v>
      </c>
      <c r="U24" s="8">
        <f ca="1">K24/50</f>
        <v>8.2478146076627965</v>
      </c>
      <c r="V24" s="560" t="s">
        <v>8</v>
      </c>
      <c r="W24" s="559"/>
      <c r="X24" s="35" t="s">
        <v>142</v>
      </c>
      <c r="Y24" s="8">
        <f t="shared" ref="Y24:Z24" si="9">SUM(P24,P25,P27)</f>
        <v>19.149840000000001</v>
      </c>
      <c r="Z24" s="8">
        <f t="shared" si="9"/>
        <v>18.09984</v>
      </c>
      <c r="AA24" s="8">
        <f ca="1">SUM(R24,R25,R27)</f>
        <v>12.6281091930475</v>
      </c>
      <c r="AB24" s="8">
        <f ca="1">SUM(S24,S25,S27)</f>
        <v>11.310800293493328</v>
      </c>
      <c r="AC24" s="8">
        <f ca="1">SUM(T24,T25,T27)</f>
        <v>25.256218386095</v>
      </c>
      <c r="AD24" s="8">
        <f ca="1">SUM(U24,U25,U27)</f>
        <v>22.621600586986656</v>
      </c>
      <c r="AE24" s="572" t="s">
        <v>8</v>
      </c>
      <c r="AI24" s="531"/>
      <c r="AJ24" s="324"/>
      <c r="AK24" s="3"/>
      <c r="AL24" s="3"/>
      <c r="AM24" s="397"/>
      <c r="AN24" s="397"/>
      <c r="AO24" s="1"/>
    </row>
    <row r="25" spans="3:41" ht="15.75" customHeight="1" thickBot="1" x14ac:dyDescent="0.5">
      <c r="C25" s="17"/>
      <c r="D25" s="93" t="s">
        <v>286</v>
      </c>
      <c r="E25" s="93" t="s">
        <v>135</v>
      </c>
      <c r="F25" s="177">
        <v>394</v>
      </c>
      <c r="G25" s="647">
        <v>394</v>
      </c>
      <c r="H25" s="481">
        <f ca="1">INDIRECT("'learning rates'!"&amp;ADDRESS(3+$M25,4))*(IF($M25&lt;7,$G25,$H25))</f>
        <v>275.58684127174217</v>
      </c>
      <c r="I25" s="481">
        <f t="shared" ca="1" si="6"/>
        <v>245.81232643109996</v>
      </c>
      <c r="J25" s="481">
        <f t="shared" ca="1" si="7"/>
        <v>275.58684127174217</v>
      </c>
      <c r="K25" s="481">
        <f t="shared" ca="1" si="8"/>
        <v>245.81232643109996</v>
      </c>
      <c r="L25" s="480"/>
      <c r="M25" s="1067">
        <f>N25+3</f>
        <v>4</v>
      </c>
      <c r="N25" s="1066">
        <v>1</v>
      </c>
      <c r="P25" s="488">
        <f>F25/100*Dist_Monopile</f>
        <v>10.015479999999998</v>
      </c>
      <c r="Q25" s="488">
        <f>G25/100*Dist_Monopile</f>
        <v>10.015479999999998</v>
      </c>
      <c r="R25" s="488">
        <f ca="1">H25/100*Dist_Monopile</f>
        <v>7.005417505127685</v>
      </c>
      <c r="S25" s="488">
        <f ca="1">I25/100*Dist_Monopile</f>
        <v>6.2485493378785613</v>
      </c>
      <c r="T25" s="488">
        <f ca="1">J25/50*Dist_Monopile</f>
        <v>14.01083501025537</v>
      </c>
      <c r="U25" s="488">
        <f ca="1">K25/50*Dist_Monopile</f>
        <v>12.497098675757123</v>
      </c>
      <c r="V25" s="561" t="s">
        <v>8</v>
      </c>
      <c r="W25" s="559"/>
      <c r="X25" s="26" t="s">
        <v>144</v>
      </c>
      <c r="Y25" s="8">
        <f>Y24*F$10</f>
        <v>1.5365639410824927</v>
      </c>
      <c r="Z25" s="8">
        <f t="shared" ref="Z25" si="10">Z24*G$10</f>
        <v>1.4523129949577931</v>
      </c>
      <c r="AA25" s="8">
        <f ca="1">AA24*H$10</f>
        <v>0.97246349027550072</v>
      </c>
      <c r="AB25" s="8">
        <f ca="1">AB24*I$10</f>
        <v>0.87102036916781245</v>
      </c>
      <c r="AC25" s="8">
        <f ca="1">AC24*J$10</f>
        <v>1.9449269805510014</v>
      </c>
      <c r="AD25" s="8">
        <f ca="1">AD24*K$10</f>
        <v>1.7420407383356249</v>
      </c>
      <c r="AE25" s="572" t="s">
        <v>91</v>
      </c>
      <c r="AI25" s="531"/>
      <c r="AJ25" s="1"/>
      <c r="AK25" s="3"/>
      <c r="AL25" s="3"/>
      <c r="AM25" s="397"/>
      <c r="AN25" s="397"/>
      <c r="AO25" s="1"/>
    </row>
    <row r="26" spans="3:41" ht="15.75" customHeight="1" thickBot="1" x14ac:dyDescent="0.5">
      <c r="C26" s="17"/>
      <c r="D26" s="93" t="s">
        <v>287</v>
      </c>
      <c r="E26" s="93" t="s">
        <v>135</v>
      </c>
      <c r="F26" s="177"/>
      <c r="G26" s="180"/>
      <c r="H26" s="648">
        <v>276</v>
      </c>
      <c r="I26" s="481">
        <f t="shared" ca="1" si="6"/>
        <v>127.33450543130232</v>
      </c>
      <c r="J26" s="481">
        <f t="shared" ca="1" si="7"/>
        <v>276</v>
      </c>
      <c r="K26" s="481">
        <f t="shared" ca="1" si="8"/>
        <v>127.33450543130232</v>
      </c>
      <c r="L26" s="480"/>
      <c r="M26" s="1065">
        <f>N26+6</f>
        <v>7</v>
      </c>
      <c r="N26" s="1066">
        <v>1</v>
      </c>
      <c r="P26" s="8"/>
      <c r="Q26" s="8"/>
      <c r="R26" s="8">
        <f>H26/100</f>
        <v>2.76</v>
      </c>
      <c r="S26" s="8">
        <f ca="1">I26/100</f>
        <v>1.2733450543130231</v>
      </c>
      <c r="T26" s="8">
        <f ca="1">J26/50</f>
        <v>5.52</v>
      </c>
      <c r="U26" s="8">
        <f ca="1">K26/50</f>
        <v>2.5466901086260463</v>
      </c>
      <c r="V26" s="561" t="s">
        <v>8</v>
      </c>
      <c r="W26" s="559"/>
      <c r="X26" s="26" t="s">
        <v>143</v>
      </c>
      <c r="Y26" s="8"/>
      <c r="Z26" s="8"/>
      <c r="AA26" s="8">
        <f ca="1">SUM(R24,R26,R28)</f>
        <v>7.7765268914955561</v>
      </c>
      <c r="AB26" s="8">
        <f ca="1">SUM(S24,S26,S28)</f>
        <v>5.7663883344557387</v>
      </c>
      <c r="AC26" s="8">
        <f ca="1">SUM(T24,T26,T28)</f>
        <v>15.553053782991112</v>
      </c>
      <c r="AD26" s="8">
        <f ca="1">SUM(U24,U26,U28)</f>
        <v>11.532776668911477</v>
      </c>
      <c r="AE26" s="572" t="s">
        <v>8</v>
      </c>
      <c r="AG26" s="992"/>
      <c r="AI26" s="531"/>
      <c r="AJ26" s="1"/>
      <c r="AK26" s="3"/>
      <c r="AL26" s="3"/>
      <c r="AM26" s="397"/>
      <c r="AN26" s="397"/>
      <c r="AO26" s="1"/>
    </row>
    <row r="27" spans="3:41" ht="15.75" customHeight="1" thickBot="1" x14ac:dyDescent="0.5">
      <c r="C27" s="17"/>
      <c r="D27" s="93" t="s">
        <v>288</v>
      </c>
      <c r="E27" s="93" t="s">
        <v>135</v>
      </c>
      <c r="F27" s="461">
        <v>58</v>
      </c>
      <c r="G27" s="659">
        <v>58</v>
      </c>
      <c r="H27" s="703">
        <f ca="1">INDIRECT("'learning rates'!"&amp;ADDRESS(3+$M27,4))*(IF($M27&lt;7,$G27,$H27))</f>
        <v>39.310298081988229</v>
      </c>
      <c r="I27" s="703">
        <f t="shared" ca="1" si="6"/>
        <v>36.913597631131744</v>
      </c>
      <c r="J27" s="703">
        <f t="shared" ca="1" si="7"/>
        <v>39.310298081988229</v>
      </c>
      <c r="K27" s="703">
        <f t="shared" ca="1" si="8"/>
        <v>36.913597631131744</v>
      </c>
      <c r="L27" s="404"/>
      <c r="M27" s="1102">
        <f>N27</f>
        <v>2</v>
      </c>
      <c r="N27" s="1066">
        <v>2</v>
      </c>
      <c r="P27" s="488">
        <f>F27/100*Dist_Monopile</f>
        <v>1.4743599999999999</v>
      </c>
      <c r="Q27" s="488">
        <f>G27/100*Dist_Monopile</f>
        <v>1.4743599999999999</v>
      </c>
      <c r="R27" s="488">
        <f ca="1">H27/100*Dist_Monopile</f>
        <v>0.99926777724414062</v>
      </c>
      <c r="S27" s="488">
        <f ca="1">I27/100*Dist_Monopile</f>
        <v>0.93834365178336887</v>
      </c>
      <c r="T27" s="488">
        <f ca="1">J27/50*Dist_Monopile</f>
        <v>1.9985355544882812</v>
      </c>
      <c r="U27" s="488">
        <f ca="1">K27/50*Dist_Monopile</f>
        <v>1.8766873035667377</v>
      </c>
      <c r="V27" s="561" t="s">
        <v>8</v>
      </c>
      <c r="W27" s="559"/>
      <c r="X27" s="26" t="s">
        <v>145</v>
      </c>
      <c r="Y27" s="8"/>
      <c r="Z27" s="8"/>
      <c r="AA27" s="8">
        <f ca="1">AA26*H$10</f>
        <v>0.59885358667064648</v>
      </c>
      <c r="AB27" s="8">
        <f ca="1">AB26*I$10</f>
        <v>0.44405714587074258</v>
      </c>
      <c r="AC27" s="8">
        <f ca="1">AC26*J$10</f>
        <v>1.197707173341293</v>
      </c>
      <c r="AD27" s="8">
        <f ca="1">AD26*K$10</f>
        <v>0.88811429174148515</v>
      </c>
      <c r="AE27" s="572" t="s">
        <v>91</v>
      </c>
      <c r="AI27" s="531"/>
      <c r="AJ27" s="324"/>
      <c r="AK27" s="3"/>
      <c r="AL27" s="3"/>
      <c r="AM27" s="397"/>
      <c r="AN27" s="397"/>
      <c r="AO27" s="1"/>
    </row>
    <row r="28" spans="3:41" ht="15.75" customHeight="1" thickBot="1" x14ac:dyDescent="0.5">
      <c r="C28" s="17"/>
      <c r="D28" s="93" t="s">
        <v>289</v>
      </c>
      <c r="E28" s="93" t="s">
        <v>135</v>
      </c>
      <c r="F28" s="461">
        <v>58</v>
      </c>
      <c r="G28" s="659">
        <v>58</v>
      </c>
      <c r="H28" s="703">
        <f ca="1">INDIRECT("'learning rates'!"&amp;ADDRESS(3+$M28,4))*(IF($M28&lt;7,$G28,$H28))</f>
        <v>39.310298081988229</v>
      </c>
      <c r="I28" s="703">
        <f t="shared" ca="1" si="6"/>
        <v>36.913597631131744</v>
      </c>
      <c r="J28" s="703">
        <f t="shared" ca="1" si="7"/>
        <v>39.310298081988229</v>
      </c>
      <c r="K28" s="1121">
        <f t="shared" ca="1" si="8"/>
        <v>36.913597631131744</v>
      </c>
      <c r="L28" s="480"/>
      <c r="M28" s="1102">
        <f>N28</f>
        <v>2</v>
      </c>
      <c r="N28" s="1066">
        <v>2</v>
      </c>
      <c r="P28" s="8"/>
      <c r="Q28" s="8"/>
      <c r="R28" s="8">
        <f ca="1">H28/100</f>
        <v>0.39310298081988226</v>
      </c>
      <c r="S28" s="8">
        <f ca="1">I28/100</f>
        <v>0.36913597631131745</v>
      </c>
      <c r="T28" s="8">
        <f ca="1">J28/50</f>
        <v>0.78620596163976453</v>
      </c>
      <c r="U28" s="8">
        <f ca="1">K28/50</f>
        <v>0.7382719526226349</v>
      </c>
      <c r="V28" s="561" t="s">
        <v>8</v>
      </c>
      <c r="W28" s="559"/>
      <c r="X28" s="31" t="s">
        <v>146</v>
      </c>
      <c r="Y28" s="8">
        <f t="shared" ref="Y28:AD28" si="11">P31+P32*Dist_Maintenance</f>
        <v>0.68052220000000008</v>
      </c>
      <c r="Z28" s="8">
        <f t="shared" si="11"/>
        <v>0.68052220000000008</v>
      </c>
      <c r="AA28" s="8">
        <f t="shared" ca="1" si="11"/>
        <v>0.36867253339072359</v>
      </c>
      <c r="AB28" s="8">
        <f t="shared" ca="1" si="11"/>
        <v>0.33013130114940747</v>
      </c>
      <c r="AC28" s="8">
        <f t="shared" ca="1" si="11"/>
        <v>0.73734506678144718</v>
      </c>
      <c r="AD28" s="8">
        <f t="shared" ca="1" si="11"/>
        <v>0.66026260229881495</v>
      </c>
      <c r="AE28" s="572" t="s">
        <v>91</v>
      </c>
      <c r="AI28" s="523"/>
      <c r="AJ28" s="324"/>
      <c r="AK28" s="3"/>
      <c r="AL28" s="3"/>
      <c r="AM28" s="397"/>
      <c r="AN28" s="397"/>
      <c r="AO28" s="1"/>
    </row>
    <row r="29" spans="3:41" ht="15.75" customHeight="1" thickBot="1" x14ac:dyDescent="0.5">
      <c r="C29" s="17"/>
      <c r="D29" s="93" t="s">
        <v>290</v>
      </c>
      <c r="E29" s="136" t="s">
        <v>285</v>
      </c>
      <c r="F29" s="177"/>
      <c r="G29" s="656">
        <v>0.3</v>
      </c>
      <c r="H29" s="949">
        <f ca="1">INDIRECT("'learning rates'!"&amp;ADDRESS(3+$M29,4))*(IF($M29&lt;7,$G29,$H29))</f>
        <v>0.3</v>
      </c>
      <c r="I29" s="949">
        <f t="shared" ca="1" si="6"/>
        <v>0.3</v>
      </c>
      <c r="J29" s="949">
        <f t="shared" ca="1" si="7"/>
        <v>0.3</v>
      </c>
      <c r="K29" s="949">
        <f t="shared" ca="1" si="8"/>
        <v>0.3</v>
      </c>
      <c r="L29" s="404"/>
      <c r="M29" s="1102">
        <f>N29</f>
        <v>3</v>
      </c>
      <c r="N29" s="1066">
        <v>3</v>
      </c>
      <c r="P29" s="8"/>
      <c r="Q29" s="8"/>
      <c r="R29" s="8"/>
      <c r="S29" s="8"/>
      <c r="T29" s="1062"/>
      <c r="U29" s="8"/>
      <c r="V29" s="400"/>
      <c r="W29" s="340"/>
      <c r="AI29" s="523"/>
      <c r="AJ29" s="324"/>
      <c r="AK29" s="3"/>
      <c r="AL29" s="3"/>
      <c r="AM29" s="397"/>
      <c r="AN29" s="397"/>
      <c r="AO29" s="1"/>
    </row>
    <row r="30" spans="3:41" ht="15.75" customHeight="1" thickBot="1" x14ac:dyDescent="0.5">
      <c r="C30" s="17"/>
      <c r="D30" s="93" t="s">
        <v>291</v>
      </c>
      <c r="E30" s="136" t="s">
        <v>285</v>
      </c>
      <c r="F30" s="177"/>
      <c r="G30" s="180"/>
      <c r="H30" s="657">
        <v>0.1</v>
      </c>
      <c r="I30" s="949">
        <f t="shared" ca="1" si="6"/>
        <v>0.1</v>
      </c>
      <c r="J30" s="949">
        <f t="shared" ca="1" si="7"/>
        <v>0.1</v>
      </c>
      <c r="K30" s="949">
        <f t="shared" ca="1" si="8"/>
        <v>0.1</v>
      </c>
      <c r="L30" s="480"/>
      <c r="M30" s="1065">
        <f>N30+6</f>
        <v>9</v>
      </c>
      <c r="N30" s="1066">
        <v>3</v>
      </c>
      <c r="P30" s="8"/>
      <c r="Q30" s="8"/>
      <c r="R30" s="8"/>
      <c r="S30" s="8"/>
      <c r="T30" s="1062"/>
      <c r="U30" s="8"/>
      <c r="V30" s="400"/>
      <c r="W30" s="340"/>
      <c r="AI30" s="523"/>
      <c r="AJ30" s="324"/>
      <c r="AK30" s="3"/>
      <c r="AL30" s="3"/>
      <c r="AM30" s="397"/>
      <c r="AN30" s="397"/>
      <c r="AO30" s="1"/>
    </row>
    <row r="31" spans="3:41" ht="15.75" customHeight="1" thickBot="1" x14ac:dyDescent="0.5">
      <c r="C31" s="17"/>
      <c r="D31" s="93" t="s">
        <v>35</v>
      </c>
      <c r="E31" s="92" t="s">
        <v>136</v>
      </c>
      <c r="F31" s="435">
        <v>17.3</v>
      </c>
      <c r="G31" s="659">
        <v>17.3</v>
      </c>
      <c r="H31" s="703">
        <f ca="1">INDIRECT("'learning rates'!"&amp;ADDRESS(3+$M31,4))*(IF($M31&lt;7,$G31,$H31))</f>
        <v>9.3722656331557097</v>
      </c>
      <c r="I31" s="703">
        <f t="shared" ca="1" si="6"/>
        <v>8.3924837571570006</v>
      </c>
      <c r="J31" s="703">
        <f t="shared" ca="1" si="7"/>
        <v>9.3722656331557097</v>
      </c>
      <c r="K31" s="703">
        <f t="shared" ca="1" si="8"/>
        <v>8.3924837571570006</v>
      </c>
      <c r="L31" s="404"/>
      <c r="M31" s="1102">
        <f>N31</f>
        <v>1</v>
      </c>
      <c r="N31" s="1066">
        <v>1</v>
      </c>
      <c r="P31" s="8">
        <f t="shared" ref="P31:S32" si="12">F31/100</f>
        <v>0.17300000000000001</v>
      </c>
      <c r="Q31" s="8">
        <f t="shared" si="12"/>
        <v>0.17300000000000001</v>
      </c>
      <c r="R31" s="8">
        <f t="shared" ca="1" si="12"/>
        <v>9.3722656331557103E-2</v>
      </c>
      <c r="S31" s="8">
        <f t="shared" ca="1" si="12"/>
        <v>8.3924837571570002E-2</v>
      </c>
      <c r="T31" s="1062">
        <f ca="1">J31/50</f>
        <v>0.18744531266311421</v>
      </c>
      <c r="U31" s="8">
        <f ca="1">K31/50</f>
        <v>0.16784967514314</v>
      </c>
      <c r="V31" s="561" t="s">
        <v>91</v>
      </c>
      <c r="W31" s="559"/>
    </row>
    <row r="32" spans="3:41" ht="15.75" customHeight="1" thickBot="1" x14ac:dyDescent="0.5">
      <c r="C32" s="17"/>
      <c r="D32" s="92" t="s">
        <v>23</v>
      </c>
      <c r="E32" s="93" t="s">
        <v>136</v>
      </c>
      <c r="F32" s="426">
        <v>34.700000000000003</v>
      </c>
      <c r="G32" s="652">
        <v>34.700000000000003</v>
      </c>
      <c r="H32" s="703">
        <f ca="1">INDIRECT("'learning rates'!"&amp;ADDRESS(3+$M32,4))*(IF($M32&lt;7,$G32,$H32))</f>
        <v>18.798706212167811</v>
      </c>
      <c r="I32" s="703">
        <f t="shared" ca="1" si="6"/>
        <v>16.833478981118379</v>
      </c>
      <c r="J32" s="703">
        <f t="shared" ca="1" si="7"/>
        <v>18.798706212167811</v>
      </c>
      <c r="K32" s="703">
        <f t="shared" ca="1" si="8"/>
        <v>16.833478981118379</v>
      </c>
      <c r="L32" s="404"/>
      <c r="M32" s="1102">
        <f>N32</f>
        <v>1</v>
      </c>
      <c r="N32" s="1066">
        <v>1</v>
      </c>
      <c r="P32" s="8">
        <f t="shared" si="12"/>
        <v>0.34700000000000003</v>
      </c>
      <c r="Q32" s="8">
        <f t="shared" si="12"/>
        <v>0.34700000000000003</v>
      </c>
      <c r="R32" s="8">
        <f t="shared" ca="1" si="12"/>
        <v>0.18798706212167812</v>
      </c>
      <c r="S32" s="8">
        <f t="shared" ca="1" si="12"/>
        <v>0.1683347898111838</v>
      </c>
      <c r="T32" s="8">
        <f ca="1">J32/50</f>
        <v>0.37597412424335624</v>
      </c>
      <c r="U32" s="8">
        <f ca="1">K32/50</f>
        <v>0.3366695796223676</v>
      </c>
      <c r="V32" s="562" t="s">
        <v>91</v>
      </c>
      <c r="W32" s="559"/>
    </row>
    <row r="33" spans="3:31" ht="15.75" customHeight="1" thickBot="1" x14ac:dyDescent="0.5">
      <c r="C33" s="17"/>
      <c r="D33" s="105"/>
      <c r="E33" s="105"/>
      <c r="H33" s="404"/>
      <c r="I33" s="404"/>
      <c r="J33" s="427"/>
      <c r="K33" s="404"/>
      <c r="L33" s="404"/>
      <c r="O33" s="553"/>
      <c r="T33" s="17"/>
    </row>
    <row r="34" spans="3:31" ht="15.75" customHeight="1" thickBot="1" x14ac:dyDescent="0.5">
      <c r="C34" s="17"/>
      <c r="D34" s="428" t="s">
        <v>10</v>
      </c>
      <c r="E34" s="105"/>
      <c r="F34" s="286"/>
      <c r="G34" s="286"/>
      <c r="H34" s="404"/>
      <c r="I34" s="404"/>
      <c r="J34" s="427"/>
      <c r="K34" s="404"/>
      <c r="L34" s="404"/>
      <c r="O34" s="553"/>
      <c r="P34" s="1209" t="s">
        <v>10</v>
      </c>
      <c r="Q34" s="1210"/>
      <c r="T34" s="17"/>
      <c r="X34" s="428" t="s">
        <v>10</v>
      </c>
    </row>
    <row r="35" spans="3:31" ht="15.75" customHeight="1" thickBot="1" x14ac:dyDescent="0.5">
      <c r="C35" s="17"/>
      <c r="D35" s="145" t="s">
        <v>278</v>
      </c>
      <c r="E35" s="92" t="s">
        <v>25</v>
      </c>
      <c r="F35" s="479">
        <v>9</v>
      </c>
      <c r="G35" s="660">
        <v>9</v>
      </c>
      <c r="H35" s="541">
        <v>9</v>
      </c>
      <c r="I35" s="457">
        <v>9</v>
      </c>
      <c r="J35" s="662">
        <v>11.7</v>
      </c>
      <c r="K35" s="1122">
        <v>11.7</v>
      </c>
      <c r="L35" s="404"/>
      <c r="O35" s="553"/>
      <c r="T35" s="17"/>
      <c r="Y35" s="406"/>
    </row>
    <row r="36" spans="3:31" ht="15.75" customHeight="1" thickBot="1" x14ac:dyDescent="0.5">
      <c r="C36" s="17"/>
      <c r="D36" s="145" t="s">
        <v>279</v>
      </c>
      <c r="E36" s="93" t="s">
        <v>25</v>
      </c>
      <c r="F36" s="463">
        <v>40</v>
      </c>
      <c r="G36" s="649">
        <v>40</v>
      </c>
      <c r="H36" s="7">
        <v>40</v>
      </c>
      <c r="I36" s="208">
        <v>40</v>
      </c>
      <c r="J36" s="663">
        <v>40</v>
      </c>
      <c r="K36" s="208">
        <v>40</v>
      </c>
      <c r="L36" s="404"/>
      <c r="O36" s="553"/>
      <c r="T36" s="17"/>
      <c r="Y36" s="406"/>
    </row>
    <row r="37" spans="3:31" ht="15.75" customHeight="1" thickBot="1" x14ac:dyDescent="0.5">
      <c r="C37" s="17"/>
      <c r="D37" s="145" t="s">
        <v>296</v>
      </c>
      <c r="E37" s="540" t="s">
        <v>50</v>
      </c>
      <c r="F37" s="461">
        <v>2</v>
      </c>
      <c r="G37" s="659">
        <v>2</v>
      </c>
      <c r="H37" s="462">
        <v>2</v>
      </c>
      <c r="I37" s="460">
        <v>2</v>
      </c>
      <c r="J37" s="664">
        <v>2</v>
      </c>
      <c r="K37" s="460">
        <v>2</v>
      </c>
      <c r="L37" s="404"/>
      <c r="O37" s="553"/>
      <c r="T37" s="17"/>
      <c r="Y37" s="406"/>
    </row>
    <row r="38" spans="3:31" ht="15.75" customHeight="1" thickBot="1" x14ac:dyDescent="0.5">
      <c r="C38" s="17"/>
      <c r="D38" s="93" t="s">
        <v>246</v>
      </c>
      <c r="E38" s="93" t="s">
        <v>51</v>
      </c>
      <c r="F38" s="705">
        <v>1400</v>
      </c>
      <c r="G38" s="706">
        <v>1400</v>
      </c>
      <c r="H38" s="481">
        <f ca="1">INDIRECT("'learning rates'!"&amp;ADDRESS(3+$M38,4))*(IF($M38&lt;7,$G38,$H38))</f>
        <v>1400</v>
      </c>
      <c r="I38" s="481">
        <f ca="1">INDIRECT("'learning rates'!"&amp;ADDRESS(3+$M38,5))*(IF($M38&lt;7,$G38,$H38))</f>
        <v>1400</v>
      </c>
      <c r="J38" s="481">
        <f ca="1">INDIRECT("'learning rates'!"&amp;ADDRESS(3+$M38,4))*(IF($M38&lt;7,$G38,$H38))</f>
        <v>1400</v>
      </c>
      <c r="K38" s="481">
        <f ca="1">INDIRECT("'learning rates'!"&amp;ADDRESS(3+$M38,5))*(IF($M38&lt;7,$G38,$H38))</f>
        <v>1400</v>
      </c>
      <c r="L38" s="404"/>
      <c r="M38" s="1065">
        <f>N38</f>
        <v>3</v>
      </c>
      <c r="N38" s="1066">
        <v>3</v>
      </c>
      <c r="P38" s="8">
        <f t="shared" ref="P38:U38" si="13">F38*Depth_MonopileMass/1000000</f>
        <v>4.916044493704379</v>
      </c>
      <c r="Q38" s="8">
        <f t="shared" si="13"/>
        <v>4.916044493704379</v>
      </c>
      <c r="R38" s="8">
        <f t="shared" ca="1" si="13"/>
        <v>4.916044493704379</v>
      </c>
      <c r="S38" s="8">
        <f t="shared" ca="1" si="13"/>
        <v>4.916044493704379</v>
      </c>
      <c r="T38" s="8">
        <f t="shared" ca="1" si="13"/>
        <v>5.335367726378319</v>
      </c>
      <c r="U38" s="8">
        <f t="shared" ca="1" si="13"/>
        <v>5.335367726378319</v>
      </c>
      <c r="V38" s="572" t="s">
        <v>8</v>
      </c>
      <c r="W38" s="557"/>
      <c r="X38" s="24" t="s">
        <v>38</v>
      </c>
      <c r="Y38" s="568">
        <f t="shared" ref="Y38:Z38" si="14">SUM(P38:P39,P47)</f>
        <v>7.9260444937043797</v>
      </c>
      <c r="Z38" s="568">
        <f t="shared" si="14"/>
        <v>7.9260444937043797</v>
      </c>
      <c r="AA38" s="568">
        <f ca="1">SUM(R38:R39,R47)</f>
        <v>7.5522504553441436</v>
      </c>
      <c r="AB38" s="568">
        <f ca="1">SUM(S38:S39,S47)</f>
        <v>7.5043164463270147</v>
      </c>
      <c r="AC38" s="568">
        <f ca="1">SUM(T38:T39,T47)</f>
        <v>7.9715736880180827</v>
      </c>
      <c r="AD38" s="568">
        <f ca="1">SUM(U38:U39,U47)</f>
        <v>7.9236396790009538</v>
      </c>
      <c r="AE38" s="572" t="s">
        <v>8</v>
      </c>
    </row>
    <row r="39" spans="3:31" ht="15.75" customHeight="1" thickBot="1" x14ac:dyDescent="0.5">
      <c r="C39" s="17"/>
      <c r="D39" s="93" t="s">
        <v>247</v>
      </c>
      <c r="E39" s="93" t="s">
        <v>51</v>
      </c>
      <c r="F39" s="705">
        <v>3700</v>
      </c>
      <c r="G39" s="706">
        <v>3700</v>
      </c>
      <c r="H39" s="481">
        <f ca="1">INDIRECT("'learning rates'!"&amp;ADDRESS(3+$M39,4))*(IF($M39&lt;7,$G39,$H39))</f>
        <v>3700</v>
      </c>
      <c r="I39" s="481">
        <f ca="1">INDIRECT("'learning rates'!"&amp;ADDRESS(3+$M39,5))*(IF($M39&lt;7,$G39,$H39))</f>
        <v>3700</v>
      </c>
      <c r="J39" s="481">
        <f ca="1">INDIRECT("'learning rates'!"&amp;ADDRESS(3+$M39,4))*(IF($M39&lt;7,$G39,$H39))</f>
        <v>3700</v>
      </c>
      <c r="K39" s="481">
        <f ca="1">INDIRECT("'learning rates'!"&amp;ADDRESS(3+$M39,5))*(IF($M39&lt;7,$G39,$H39))</f>
        <v>3700</v>
      </c>
      <c r="L39" s="404"/>
      <c r="M39" s="1065">
        <f>N39</f>
        <v>3</v>
      </c>
      <c r="N39" s="1066">
        <v>3</v>
      </c>
      <c r="P39" s="23">
        <f t="shared" ref="P39:Q39" si="15">F39*F40/1000000</f>
        <v>1.85</v>
      </c>
      <c r="Q39" s="23">
        <f t="shared" si="15"/>
        <v>1.85</v>
      </c>
      <c r="R39" s="23">
        <f ca="1">H39*H40/1000000</f>
        <v>1.85</v>
      </c>
      <c r="S39" s="23">
        <f ca="1">I39*I40/1000000</f>
        <v>1.85</v>
      </c>
      <c r="T39" s="74">
        <f ca="1">J39*J40/1000000</f>
        <v>1.85</v>
      </c>
      <c r="U39" s="23">
        <f ca="1">K39*K40/1000000</f>
        <v>1.85</v>
      </c>
      <c r="V39" s="572" t="s">
        <v>8</v>
      </c>
      <c r="W39" s="25"/>
      <c r="X39" s="24" t="s">
        <v>86</v>
      </c>
      <c r="Y39" s="568">
        <f t="shared" ref="Y39:Z39" si="16">Y38*F$10</f>
        <v>0.6359778548771996</v>
      </c>
      <c r="Z39" s="568">
        <f t="shared" si="16"/>
        <v>0.6359778548771996</v>
      </c>
      <c r="AA39" s="568">
        <f ca="1">AA38*H$10</f>
        <v>0.58158254137382326</v>
      </c>
      <c r="AB39" s="568">
        <f ca="1">AB38*I$10</f>
        <v>0.57789124658066782</v>
      </c>
      <c r="AC39" s="568">
        <f ca="1">AC38*J$10</f>
        <v>0.61387372037504773</v>
      </c>
      <c r="AD39" s="568">
        <f ca="1">AD38*K$10</f>
        <v>0.61018242558189228</v>
      </c>
      <c r="AE39" s="572" t="s">
        <v>91</v>
      </c>
    </row>
    <row r="40" spans="3:31" ht="15.75" customHeight="1" thickBot="1" x14ac:dyDescent="0.5">
      <c r="C40" s="17"/>
      <c r="D40" s="93" t="s">
        <v>248</v>
      </c>
      <c r="E40" s="93" t="s">
        <v>1</v>
      </c>
      <c r="F40" s="177">
        <v>500</v>
      </c>
      <c r="G40" s="647">
        <v>500</v>
      </c>
      <c r="H40" s="7">
        <v>500</v>
      </c>
      <c r="I40" s="208">
        <v>500</v>
      </c>
      <c r="J40" s="7">
        <v>500</v>
      </c>
      <c r="K40" s="208">
        <v>500</v>
      </c>
      <c r="L40" s="404"/>
      <c r="P40" s="24"/>
      <c r="Q40" s="24"/>
      <c r="R40" s="24"/>
      <c r="S40" s="24"/>
      <c r="T40" s="143"/>
      <c r="U40" s="24"/>
      <c r="V40" s="578"/>
      <c r="W40" s="25"/>
      <c r="X40" s="24" t="s">
        <v>92</v>
      </c>
      <c r="Y40" s="568">
        <f t="shared" ref="Y40:AD40" si="17">F48*Y38*Dist_Maintenance</f>
        <v>0.23185265352984055</v>
      </c>
      <c r="Z40" s="568">
        <f t="shared" si="17"/>
        <v>0.23185265352984055</v>
      </c>
      <c r="AA40" s="568">
        <f t="shared" ca="1" si="17"/>
        <v>0.22091843031972691</v>
      </c>
      <c r="AB40" s="568">
        <f t="shared" ca="1" si="17"/>
        <v>0.21951626468795787</v>
      </c>
      <c r="AC40" s="568">
        <f t="shared" ca="1" si="17"/>
        <v>0.23318447352190497</v>
      </c>
      <c r="AD40" s="568">
        <f t="shared" ca="1" si="17"/>
        <v>0.23178230789013593</v>
      </c>
      <c r="AE40" s="572" t="s">
        <v>91</v>
      </c>
    </row>
    <row r="41" spans="3:31" ht="15.75" customHeight="1" thickBot="1" x14ac:dyDescent="0.5">
      <c r="C41" s="17"/>
      <c r="D41" s="136" t="s">
        <v>303</v>
      </c>
      <c r="E41" s="540" t="s">
        <v>50</v>
      </c>
      <c r="F41" s="177">
        <v>128</v>
      </c>
      <c r="G41" s="647">
        <v>128</v>
      </c>
      <c r="H41" s="7">
        <v>128</v>
      </c>
      <c r="I41" s="208">
        <v>128</v>
      </c>
      <c r="J41" s="7"/>
      <c r="K41" s="208"/>
      <c r="L41" s="404"/>
      <c r="P41" s="24"/>
      <c r="Q41" s="24"/>
      <c r="R41" s="24"/>
      <c r="S41" s="24"/>
      <c r="T41" s="143"/>
      <c r="U41" s="24"/>
      <c r="V41" s="578"/>
      <c r="W41" s="25"/>
      <c r="AE41" s="340"/>
    </row>
    <row r="42" spans="3:31" ht="15.75" customHeight="1" thickBot="1" x14ac:dyDescent="0.5">
      <c r="C42" s="17"/>
      <c r="D42" s="136" t="s">
        <v>302</v>
      </c>
      <c r="E42" s="540"/>
      <c r="F42" s="177">
        <v>90</v>
      </c>
      <c r="G42" s="647">
        <v>90</v>
      </c>
      <c r="H42" s="7">
        <v>90</v>
      </c>
      <c r="I42" s="208">
        <v>90</v>
      </c>
      <c r="J42" s="7"/>
      <c r="K42" s="208"/>
      <c r="L42" s="404"/>
      <c r="P42" s="24"/>
      <c r="Q42" s="24"/>
      <c r="R42" s="24"/>
      <c r="S42" s="24"/>
      <c r="T42" s="143"/>
      <c r="U42" s="24"/>
      <c r="V42" s="578"/>
      <c r="W42" s="25"/>
      <c r="AE42" s="340"/>
    </row>
    <row r="43" spans="3:31" ht="15.75" customHeight="1" thickBot="1" x14ac:dyDescent="0.5">
      <c r="C43" s="17"/>
      <c r="D43" s="93" t="s">
        <v>245</v>
      </c>
      <c r="E43" s="540" t="s">
        <v>50</v>
      </c>
      <c r="F43" s="177"/>
      <c r="G43" s="647">
        <v>200</v>
      </c>
      <c r="H43" s="7"/>
      <c r="I43" s="208"/>
      <c r="J43" s="7">
        <v>200</v>
      </c>
      <c r="K43" s="208">
        <v>200</v>
      </c>
      <c r="L43" s="404"/>
      <c r="P43" s="24"/>
      <c r="Q43" s="24"/>
      <c r="R43" s="24"/>
      <c r="S43" s="24"/>
      <c r="T43" s="143"/>
      <c r="U43" s="24"/>
      <c r="V43" s="578"/>
      <c r="W43" s="25"/>
      <c r="AE43" s="340"/>
    </row>
    <row r="44" spans="3:31" ht="15.75" customHeight="1" thickBot="1" x14ac:dyDescent="0.5">
      <c r="C44" s="17"/>
      <c r="D44" s="93" t="s">
        <v>298</v>
      </c>
      <c r="E44" s="540" t="s">
        <v>50</v>
      </c>
      <c r="F44" s="177"/>
      <c r="G44" s="647">
        <v>140</v>
      </c>
      <c r="H44" s="7"/>
      <c r="I44" s="208"/>
      <c r="J44" s="7">
        <v>140</v>
      </c>
      <c r="K44" s="208">
        <v>140</v>
      </c>
      <c r="L44" s="404"/>
      <c r="P44" s="24"/>
      <c r="Q44" s="24"/>
      <c r="R44" s="24"/>
      <c r="S44" s="24"/>
      <c r="T44" s="143"/>
      <c r="U44" s="24"/>
      <c r="V44" s="578"/>
      <c r="W44" s="25"/>
      <c r="AE44" s="340"/>
    </row>
    <row r="45" spans="3:31" ht="15.75" customHeight="1" thickBot="1" x14ac:dyDescent="0.5">
      <c r="C45" s="17"/>
      <c r="D45" s="93" t="s">
        <v>299</v>
      </c>
      <c r="E45" s="540" t="s">
        <v>162</v>
      </c>
      <c r="F45" s="177">
        <v>70</v>
      </c>
      <c r="G45" s="647">
        <v>70</v>
      </c>
      <c r="H45" s="177">
        <v>70</v>
      </c>
      <c r="I45" s="140">
        <v>70</v>
      </c>
      <c r="J45" s="177">
        <v>70</v>
      </c>
      <c r="K45" s="140">
        <v>70</v>
      </c>
      <c r="L45" s="404"/>
      <c r="P45" s="24"/>
      <c r="Q45" s="24"/>
      <c r="R45" s="24"/>
      <c r="S45" s="24"/>
      <c r="T45" s="143"/>
      <c r="U45" s="24"/>
      <c r="V45" s="578"/>
      <c r="W45" s="25"/>
      <c r="AE45" s="340"/>
    </row>
    <row r="46" spans="3:31" ht="15.75" customHeight="1" thickBot="1" x14ac:dyDescent="0.5">
      <c r="C46" s="17"/>
      <c r="D46" s="136" t="s">
        <v>284</v>
      </c>
      <c r="E46" s="540" t="s">
        <v>285</v>
      </c>
      <c r="F46" s="178">
        <v>0.3</v>
      </c>
      <c r="G46" s="656">
        <v>0.3</v>
      </c>
      <c r="H46" s="949">
        <f ca="1">INDIRECT("'learning rates'!"&amp;ADDRESS(3+$M46,4))*(IF($M46&lt;7,$G46,$H46))</f>
        <v>0.3</v>
      </c>
      <c r="I46" s="949">
        <f ca="1">INDIRECT("'learning rates'!"&amp;ADDRESS(3+$M46,5))*(IF($M46&lt;7,$G46,$H46))</f>
        <v>0.3</v>
      </c>
      <c r="J46" s="949">
        <f ca="1">INDIRECT("'learning rates'!"&amp;ADDRESS(3+$M46,4))*(IF($M46&lt;7,$G46,$H46))</f>
        <v>0.3</v>
      </c>
      <c r="K46" s="949">
        <f ca="1">INDIRECT("'learning rates'!"&amp;ADDRESS(3+$M46,5))*(IF($M46&lt;7,$G46,$H46))</f>
        <v>0.3</v>
      </c>
      <c r="L46" s="404"/>
      <c r="M46" s="1102">
        <f>N46</f>
        <v>3</v>
      </c>
      <c r="N46" s="1066">
        <v>3</v>
      </c>
      <c r="P46" s="24"/>
      <c r="Q46" s="24"/>
      <c r="R46" s="24"/>
      <c r="S46" s="24"/>
      <c r="T46" s="143"/>
      <c r="U46" s="24"/>
      <c r="V46" s="578"/>
      <c r="W46" s="25"/>
      <c r="AE46" s="340"/>
    </row>
    <row r="47" spans="3:31" ht="15.75" customHeight="1" thickBot="1" x14ac:dyDescent="0.5">
      <c r="C47" s="17"/>
      <c r="D47" s="93" t="s">
        <v>12</v>
      </c>
      <c r="E47" s="93" t="s">
        <v>317</v>
      </c>
      <c r="F47" s="177">
        <v>1.1599999999999999</v>
      </c>
      <c r="G47" s="647">
        <v>1.1599999999999999</v>
      </c>
      <c r="H47" s="522">
        <f ca="1">INDIRECT("'learning rates'!"&amp;ADDRESS(3+$M47,4))*(IF($M47&lt;7,$G47,$H47))</f>
        <v>0.78620596163976453</v>
      </c>
      <c r="I47" s="522">
        <f ca="1">INDIRECT("'learning rates'!"&amp;ADDRESS(3+$M47,5))*(IF($M47&lt;7,$G47,$H47))</f>
        <v>0.7382719526226349</v>
      </c>
      <c r="J47" s="522">
        <f ca="1">INDIRECT("'learning rates'!"&amp;ADDRESS(3+$M47,4))*(IF($M47&lt;7,$G47,$H47))</f>
        <v>0.78620596163976453</v>
      </c>
      <c r="K47" s="522">
        <f ca="1">INDIRECT("'learning rates'!"&amp;ADDRESS(3+$M47,5))*(IF($M47&lt;7,$G47,$H47))</f>
        <v>0.7382719526226349</v>
      </c>
      <c r="L47" s="404"/>
      <c r="M47" s="1102">
        <f>N47</f>
        <v>2</v>
      </c>
      <c r="N47" s="1066">
        <v>2</v>
      </c>
      <c r="P47" s="8">
        <f t="shared" ref="P47:U47" si="18">F47</f>
        <v>1.1599999999999999</v>
      </c>
      <c r="Q47" s="8">
        <f t="shared" si="18"/>
        <v>1.1599999999999999</v>
      </c>
      <c r="R47" s="8">
        <f t="shared" ca="1" si="18"/>
        <v>0.78620596163976453</v>
      </c>
      <c r="S47" s="8">
        <f t="shared" ca="1" si="18"/>
        <v>0.7382719526226349</v>
      </c>
      <c r="T47" s="8">
        <f t="shared" ca="1" si="18"/>
        <v>0.78620596163976453</v>
      </c>
      <c r="U47" s="8">
        <f t="shared" ca="1" si="18"/>
        <v>0.7382719526226349</v>
      </c>
      <c r="V47" s="572" t="s">
        <v>8</v>
      </c>
      <c r="W47" s="56"/>
      <c r="AE47" s="340"/>
    </row>
    <row r="48" spans="3:31" ht="15.75" customHeight="1" thickBot="1" x14ac:dyDescent="0.5">
      <c r="C48" s="17"/>
      <c r="D48" s="92" t="s">
        <v>23</v>
      </c>
      <c r="E48" s="92" t="s">
        <v>74</v>
      </c>
      <c r="F48" s="485">
        <v>0.02</v>
      </c>
      <c r="G48" s="661">
        <v>0.02</v>
      </c>
      <c r="H48" s="483">
        <f ca="1">INDIRECT("'learning rates'!"&amp;ADDRESS(3+$M48,4))*(IF($M48&lt;7,$G48,$H48))</f>
        <v>0.02</v>
      </c>
      <c r="I48" s="483">
        <f ca="1">INDIRECT("'learning rates'!"&amp;ADDRESS(3+$M48,5))*(IF($M48&lt;7,$G48,$H48))</f>
        <v>0.02</v>
      </c>
      <c r="J48" s="483">
        <f ca="1">INDIRECT("'learning rates'!"&amp;ADDRESS(3+$M48,4))*(IF($M48&lt;7,$G48,$H48))</f>
        <v>0.02</v>
      </c>
      <c r="K48" s="483">
        <f ca="1">INDIRECT("'learning rates'!"&amp;ADDRESS(3+$M48,5))*(IF($M48&lt;7,$G48,$H48))</f>
        <v>0.02</v>
      </c>
      <c r="L48" s="404"/>
      <c r="M48" s="1102">
        <f>N48</f>
        <v>3</v>
      </c>
      <c r="N48" s="1066">
        <v>3</v>
      </c>
      <c r="P48" s="24"/>
      <c r="Q48" s="24"/>
      <c r="R48" s="24"/>
      <c r="S48" s="24"/>
      <c r="T48" s="143"/>
      <c r="U48" s="24"/>
      <c r="V48" s="578"/>
      <c r="W48" s="25"/>
      <c r="AE48" s="340"/>
    </row>
    <row r="49" spans="3:33" ht="15.75" customHeight="1" thickBot="1" x14ac:dyDescent="0.5">
      <c r="C49" s="17"/>
      <c r="D49" s="105"/>
      <c r="E49" s="105"/>
      <c r="F49" s="286"/>
      <c r="G49" s="286"/>
      <c r="H49" s="404"/>
      <c r="I49" s="404"/>
      <c r="J49" s="427"/>
      <c r="K49" s="404"/>
      <c r="L49" s="404"/>
      <c r="O49" s="553"/>
      <c r="T49" s="17"/>
      <c r="AE49" s="340"/>
    </row>
    <row r="50" spans="3:33" ht="15.75" customHeight="1" thickBot="1" x14ac:dyDescent="0.5">
      <c r="C50" s="17"/>
      <c r="D50" s="428" t="s">
        <v>131</v>
      </c>
      <c r="E50" s="105"/>
      <c r="F50" s="286"/>
      <c r="G50" s="286"/>
      <c r="H50" s="1092" t="s">
        <v>423</v>
      </c>
      <c r="I50" s="404"/>
      <c r="J50" s="427"/>
      <c r="K50" s="404"/>
      <c r="L50" s="404"/>
      <c r="O50" s="553"/>
      <c r="P50" s="1209" t="s">
        <v>131</v>
      </c>
      <c r="Q50" s="1210"/>
      <c r="R50" s="25"/>
      <c r="S50" s="25"/>
      <c r="T50" s="1"/>
      <c r="U50" s="25"/>
      <c r="V50" s="25"/>
      <c r="W50" s="25"/>
      <c r="X50" s="428" t="s">
        <v>131</v>
      </c>
      <c r="AE50" s="340"/>
    </row>
    <row r="51" spans="3:33" ht="15.75" customHeight="1" thickBot="1" x14ac:dyDescent="0.5">
      <c r="C51" s="17"/>
      <c r="D51" s="92" t="s">
        <v>228</v>
      </c>
      <c r="E51" s="92" t="s">
        <v>275</v>
      </c>
      <c r="F51" s="140"/>
      <c r="G51" s="140"/>
      <c r="H51" s="665">
        <v>7.2</v>
      </c>
      <c r="I51" s="522">
        <f ca="1">INDIRECT("'learning rates'!"&amp;ADDRESS(3+$M51,5))*(IF($M51&lt;7,$G51,$H51))</f>
        <v>3.3217697069035386</v>
      </c>
      <c r="J51" s="963">
        <f ca="1">INDIRECT("'learning rates'!"&amp;ADDRESS(3+$M51,4))*(IF($M51&lt;7,$G51,$H51))*(1-J55)*2</f>
        <v>10.8</v>
      </c>
      <c r="K51" s="963">
        <f ca="1">INDIRECT("'learning rates'!"&amp;ADDRESS(3+$M51,5))*(IF($M51&lt;7,$G51,$H51))*(1-K55)*2</f>
        <v>4.9826545603553081</v>
      </c>
      <c r="L51" s="480"/>
      <c r="M51" s="1065">
        <f>N51+6</f>
        <v>7</v>
      </c>
      <c r="N51" s="1066">
        <v>1</v>
      </c>
      <c r="O51" s="553"/>
      <c r="P51" s="24"/>
      <c r="Q51" s="24"/>
      <c r="R51" s="114">
        <f t="shared" ref="R51:U52" si="19">H51*Dist_Floating*Depth_Floating</f>
        <v>10.374013440000001</v>
      </c>
      <c r="S51" s="114">
        <f t="shared" ca="1" si="19"/>
        <v>4.7861227200003009</v>
      </c>
      <c r="T51" s="114">
        <f t="shared" ca="1" si="19"/>
        <v>15.56102016</v>
      </c>
      <c r="U51" s="114">
        <f t="shared" ca="1" si="19"/>
        <v>7.1791840800004518</v>
      </c>
      <c r="V51" s="572" t="s">
        <v>8</v>
      </c>
      <c r="W51" s="25"/>
      <c r="X51" s="24" t="s">
        <v>38</v>
      </c>
      <c r="Y51" s="568"/>
      <c r="Z51" s="568"/>
      <c r="AA51" s="568">
        <f>SUM(R51,R52,R56)</f>
        <v>18.068073408</v>
      </c>
      <c r="AB51" s="568">
        <f ca="1">SUM(S51,S52,S56)</f>
        <v>8.4605004639372545</v>
      </c>
      <c r="AC51" s="568">
        <f ca="1">SUM(T51,T52,T56)</f>
        <v>27.102110112000002</v>
      </c>
      <c r="AD51" s="568">
        <f ca="1">SUM(U51,U52,U56)</f>
        <v>12.690750695905882</v>
      </c>
      <c r="AE51" s="572" t="s">
        <v>8</v>
      </c>
    </row>
    <row r="52" spans="3:33" ht="15.75" customHeight="1" thickBot="1" x14ac:dyDescent="0.5">
      <c r="C52" s="17"/>
      <c r="D52" s="92" t="s">
        <v>249</v>
      </c>
      <c r="E52" s="93" t="s">
        <v>275</v>
      </c>
      <c r="F52" s="140"/>
      <c r="G52" s="140"/>
      <c r="H52" s="665">
        <v>4.7</v>
      </c>
      <c r="I52" s="522">
        <f ca="1">INDIRECT("'learning rates'!"&amp;ADDRESS(3+$M52,5))*(IF($M52&lt;7,$G52,$H52))</f>
        <v>2.1683774475620323</v>
      </c>
      <c r="J52" s="522">
        <f ca="1">INDIRECT("'learning rates'!"&amp;ADDRESS(3+$M52,4))*(IF($M52&lt;7,$G52,$H52))*(1-J55)*2</f>
        <v>7.0500000000000007</v>
      </c>
      <c r="K52" s="522">
        <f ca="1">INDIRECT("'learning rates'!"&amp;ADDRESS(3+$M52,5))*(IF($M52&lt;7,$G52,$H52))*(1-K55)*2</f>
        <v>3.2525661713430485</v>
      </c>
      <c r="L52" s="480"/>
      <c r="M52" s="1065">
        <f>N52+6</f>
        <v>7</v>
      </c>
      <c r="N52" s="1066">
        <v>1</v>
      </c>
      <c r="O52" s="553"/>
      <c r="P52" s="24"/>
      <c r="Q52" s="24"/>
      <c r="R52" s="114">
        <f t="shared" si="19"/>
        <v>6.7719254399999995</v>
      </c>
      <c r="S52" s="114">
        <f t="shared" ca="1" si="19"/>
        <v>3.1242745533335299</v>
      </c>
      <c r="T52" s="114">
        <f t="shared" ca="1" si="19"/>
        <v>10.157888160000001</v>
      </c>
      <c r="U52" s="114">
        <f t="shared" ca="1" si="19"/>
        <v>4.6864118300002957</v>
      </c>
      <c r="V52" s="572" t="s">
        <v>8</v>
      </c>
      <c r="W52" s="25"/>
      <c r="X52" s="24" t="s">
        <v>86</v>
      </c>
      <c r="Y52" s="568"/>
      <c r="Z52" s="568"/>
      <c r="AA52" s="568">
        <f>AA51*H$10</f>
        <v>1.3913834177622755</v>
      </c>
      <c r="AB52" s="568">
        <f ca="1">AB51*I$10</f>
        <v>0.65152491832804571</v>
      </c>
      <c r="AC52" s="568">
        <f ca="1">AC51*J$10</f>
        <v>2.0870751266434135</v>
      </c>
      <c r="AD52" s="568">
        <f ca="1">AD51*K$10</f>
        <v>0.97728737749206851</v>
      </c>
      <c r="AE52" s="572" t="s">
        <v>91</v>
      </c>
    </row>
    <row r="53" spans="3:33" ht="15.75" customHeight="1" thickBot="1" x14ac:dyDescent="0.5">
      <c r="C53" s="17"/>
      <c r="D53" s="128" t="s">
        <v>283</v>
      </c>
      <c r="E53" s="92" t="s">
        <v>250</v>
      </c>
      <c r="F53" s="336"/>
      <c r="G53" s="336"/>
      <c r="H53" s="666">
        <v>0.06</v>
      </c>
      <c r="I53" s="483">
        <f ca="1">INDIRECT("'learning rates'!"&amp;ADDRESS(3+$M53,5))*(IF($M53&lt;7,$G53,$H53))</f>
        <v>0.06</v>
      </c>
      <c r="J53" s="483">
        <f ca="1">INDIRECT("'learning rates'!"&amp;ADDRESS(3+$M53,4))*(IF($M53&lt;7,$G53,$H53))</f>
        <v>0.06</v>
      </c>
      <c r="K53" s="483">
        <f ca="1">INDIRECT("'learning rates'!"&amp;ADDRESS(3+$M53,5))*(IF($M53&lt;7,$G53,$H53))</f>
        <v>0.06</v>
      </c>
      <c r="L53" s="480"/>
      <c r="M53" s="1065">
        <f>N53+6</f>
        <v>9</v>
      </c>
      <c r="N53" s="1066">
        <v>3</v>
      </c>
      <c r="O53" s="553"/>
      <c r="P53" s="24"/>
      <c r="Q53" s="24"/>
      <c r="R53" s="24"/>
      <c r="S53" s="24"/>
      <c r="T53" s="143"/>
      <c r="U53" s="24"/>
      <c r="V53" s="24"/>
      <c r="W53" s="25"/>
      <c r="X53" s="24" t="s">
        <v>92</v>
      </c>
      <c r="Y53" s="568"/>
      <c r="Z53" s="568"/>
      <c r="AA53" s="602">
        <f ca="1">H57*AA51*Dist_Maintenance</f>
        <v>0.52852728333081611</v>
      </c>
      <c r="AB53" s="602">
        <f ca="1">I57*AB51*Dist_Maintenance</f>
        <v>0.24748655957109261</v>
      </c>
      <c r="AC53" s="602">
        <f ca="1">J57*AC51*Dist_Maintenance</f>
        <v>0.79279092499622417</v>
      </c>
      <c r="AD53" s="602">
        <f ca="1">K57*AD51*Dist_Maintenance</f>
        <v>0.37122983935663884</v>
      </c>
      <c r="AE53" s="572" t="s">
        <v>91</v>
      </c>
    </row>
    <row r="54" spans="3:33" ht="15.75" customHeight="1" thickBot="1" x14ac:dyDescent="0.5">
      <c r="C54" s="17"/>
      <c r="D54" s="128" t="s">
        <v>306</v>
      </c>
      <c r="E54" s="92" t="s">
        <v>250</v>
      </c>
      <c r="F54" s="140"/>
      <c r="G54" s="140"/>
      <c r="H54" s="666">
        <v>0.08</v>
      </c>
      <c r="I54" s="483">
        <f ca="1">INDIRECT("'learning rates'!"&amp;ADDRESS(3+$M54,5))*(IF($M54&lt;7,$G54,$H54))</f>
        <v>0.08</v>
      </c>
      <c r="J54" s="483">
        <f ca="1">INDIRECT("'learning rates'!"&amp;ADDRESS(3+$M54,4))*(IF($M54&lt;7,$G54,$H54))</f>
        <v>0.08</v>
      </c>
      <c r="K54" s="483">
        <f ca="1">INDIRECT("'learning rates'!"&amp;ADDRESS(3+$M54,5))*(IF($M54&lt;7,$G54,$H54))</f>
        <v>0.08</v>
      </c>
      <c r="L54" s="480"/>
      <c r="M54" s="1065">
        <f>N54+6</f>
        <v>9</v>
      </c>
      <c r="N54" s="1066">
        <v>3</v>
      </c>
      <c r="O54" s="553"/>
      <c r="P54" s="24"/>
      <c r="Q54" s="24"/>
      <c r="R54" s="24"/>
      <c r="S54" s="24"/>
      <c r="T54" s="143"/>
      <c r="U54" s="24"/>
      <c r="V54" s="24"/>
      <c r="W54" s="25"/>
      <c r="AE54" s="340"/>
    </row>
    <row r="55" spans="3:33" ht="15.75" customHeight="1" thickBot="1" x14ac:dyDescent="0.5">
      <c r="C55" s="17"/>
      <c r="D55" s="92" t="s">
        <v>276</v>
      </c>
      <c r="E55" s="92" t="s">
        <v>277</v>
      </c>
      <c r="F55" s="140"/>
      <c r="G55" s="140"/>
      <c r="H55" s="551"/>
      <c r="I55" s="551"/>
      <c r="J55" s="650">
        <v>0.25</v>
      </c>
      <c r="K55" s="650">
        <v>0.25</v>
      </c>
      <c r="L55" s="480"/>
      <c r="O55" s="553"/>
      <c r="P55" s="24"/>
      <c r="Q55" s="24"/>
      <c r="R55" s="24"/>
      <c r="S55" s="24"/>
      <c r="T55" s="143"/>
      <c r="U55" s="24"/>
      <c r="V55" s="24"/>
      <c r="W55" s="25"/>
      <c r="AE55" s="340"/>
    </row>
    <row r="56" spans="3:33" ht="15.75" customHeight="1" thickBot="1" x14ac:dyDescent="0.5">
      <c r="C56" s="17"/>
      <c r="D56" s="92" t="s">
        <v>12</v>
      </c>
      <c r="E56" s="93" t="s">
        <v>275</v>
      </c>
      <c r="F56" s="140"/>
      <c r="G56" s="140"/>
      <c r="H56" s="665">
        <v>0.64</v>
      </c>
      <c r="I56" s="522">
        <f ca="1">INDIRECT("'learning rates'!"&amp;ADDRESS(3+$M56,5))*(IF($M56&lt;7,$G56,$H56))</f>
        <v>0.38179466368077586</v>
      </c>
      <c r="J56" s="522">
        <f ca="1">INDIRECT("'learning rates'!"&amp;ADDRESS(3+$M56,4))*(IF($M56&lt;7,$G56,$H56))*(1-J55)*2</f>
        <v>0.96</v>
      </c>
      <c r="K56" s="522">
        <f ca="1">INDIRECT("'learning rates'!"&amp;ADDRESS(3+$M56,5))*(IF($M56&lt;7,$G56,$H56))*(1-K55)*2</f>
        <v>0.57269199552116379</v>
      </c>
      <c r="L56" s="480"/>
      <c r="M56" s="1065">
        <f>N56+6</f>
        <v>8</v>
      </c>
      <c r="N56" s="1066">
        <v>2</v>
      </c>
      <c r="O56" s="553"/>
      <c r="P56" s="24"/>
      <c r="Q56" s="24"/>
      <c r="R56" s="114">
        <f>H56*Dist_Floating*Depth_Floating</f>
        <v>0.92213452799999984</v>
      </c>
      <c r="S56" s="114">
        <f ca="1">I56*Dist_Floating*Depth_Floating</f>
        <v>0.55010319060342339</v>
      </c>
      <c r="T56" s="1063">
        <f ca="1">J56*Dist_Floating*Depth_Floating</f>
        <v>1.3832017919999999</v>
      </c>
      <c r="U56" s="114">
        <f ca="1">K56*Dist_Floating*Depth_Floating</f>
        <v>0.82515478590513502</v>
      </c>
      <c r="V56" s="572" t="s">
        <v>8</v>
      </c>
      <c r="W56" s="25"/>
      <c r="AE56" s="340"/>
      <c r="AG56" s="992"/>
    </row>
    <row r="57" spans="3:33" ht="15.75" customHeight="1" thickBot="1" x14ac:dyDescent="0.5">
      <c r="C57" s="17"/>
      <c r="D57" s="92" t="s">
        <v>229</v>
      </c>
      <c r="E57" s="92" t="s">
        <v>74</v>
      </c>
      <c r="F57" s="483"/>
      <c r="G57" s="483"/>
      <c r="H57" s="666">
        <v>0.02</v>
      </c>
      <c r="I57" s="483">
        <f ca="1">INDIRECT("'learning rates'!"&amp;ADDRESS(3+$M57,5))*(IF($M57&lt;7,$G57,$H57))</f>
        <v>0.02</v>
      </c>
      <c r="J57" s="483">
        <f ca="1">INDIRECT("'learning rates'!"&amp;ADDRESS(3+$M57,4))*(IF($M57&lt;7,$G57,$H57))</f>
        <v>0.02</v>
      </c>
      <c r="K57" s="483">
        <f ca="1">INDIRECT("'learning rates'!"&amp;ADDRESS(3+$M57,5))*(IF($M57&lt;7,$G57,$H57))</f>
        <v>0.02</v>
      </c>
      <c r="L57" s="480"/>
      <c r="M57" s="1065">
        <f>N57+6</f>
        <v>9</v>
      </c>
      <c r="N57" s="1066">
        <v>3</v>
      </c>
      <c r="O57" s="553"/>
      <c r="P57" s="24"/>
      <c r="Q57" s="24"/>
      <c r="R57" s="24"/>
      <c r="S57" s="24"/>
      <c r="T57" s="143"/>
      <c r="U57" s="24"/>
      <c r="V57" s="24"/>
      <c r="W57" s="25"/>
      <c r="AE57" s="340"/>
    </row>
    <row r="58" spans="3:33" ht="15.75" customHeight="1" thickBot="1" x14ac:dyDescent="0.5">
      <c r="C58" s="17"/>
      <c r="D58" s="105"/>
      <c r="E58" s="105"/>
      <c r="F58" s="286"/>
      <c r="G58" s="286"/>
      <c r="H58" s="404"/>
      <c r="I58" s="404"/>
      <c r="J58" s="427"/>
      <c r="K58" s="404"/>
      <c r="L58" s="404"/>
      <c r="O58" s="553"/>
      <c r="T58" s="17"/>
      <c r="AE58" s="340"/>
    </row>
    <row r="59" spans="3:33" ht="15.75" customHeight="1" thickBot="1" x14ac:dyDescent="0.5">
      <c r="C59" s="17"/>
      <c r="D59" s="428" t="s">
        <v>214</v>
      </c>
      <c r="E59" s="105"/>
      <c r="F59" s="286"/>
      <c r="G59" s="286"/>
      <c r="H59" s="286"/>
      <c r="I59" s="286"/>
      <c r="J59" s="535"/>
      <c r="K59" s="25"/>
      <c r="L59" s="25"/>
      <c r="O59" s="553"/>
      <c r="P59" s="1209" t="s">
        <v>214</v>
      </c>
      <c r="Q59" s="1241"/>
      <c r="R59" s="1210"/>
      <c r="T59" s="17"/>
      <c r="X59" s="1209" t="s">
        <v>214</v>
      </c>
      <c r="Y59" s="1210"/>
      <c r="AE59" s="340"/>
    </row>
    <row r="60" spans="3:33" ht="15.75" customHeight="1" thickBot="1" x14ac:dyDescent="0.5">
      <c r="C60" s="17"/>
      <c r="D60" s="93" t="s">
        <v>59</v>
      </c>
      <c r="E60" s="92" t="s">
        <v>271</v>
      </c>
      <c r="F60" s="179">
        <v>0.38</v>
      </c>
      <c r="G60" s="652">
        <v>0.38</v>
      </c>
      <c r="H60" s="522">
        <f t="shared" ref="H60:H67" ca="1" si="20">INDIRECT("'learning rates'!"&amp;ADDRESS(3+$M60,4))*(IF($M60&lt;7,$G60,$H60))</f>
        <v>0.25755022881302636</v>
      </c>
      <c r="I60" s="522">
        <f t="shared" ref="I60:I67" ca="1" si="21">INDIRECT("'learning rates'!"&amp;ADDRESS(3+$M60,5))*(IF($M60&lt;7,$G60,$H60))</f>
        <v>0.24184770861775973</v>
      </c>
      <c r="J60" s="522">
        <f t="shared" ref="J60:J67" ca="1" si="22">INDIRECT("'learning rates'!"&amp;ADDRESS(3+$M60,4))*(IF($M60&lt;7,$G60,$H60))</f>
        <v>0.25755022881302636</v>
      </c>
      <c r="K60" s="963">
        <f t="shared" ref="K60:K67" ca="1" si="23">INDIRECT("'learning rates'!"&amp;ADDRESS(3+$M60,5))*(IF($M60&lt;7,$G60,$H60))</f>
        <v>0.24184770861775973</v>
      </c>
      <c r="L60" s="475"/>
      <c r="M60" s="1102">
        <f t="shared" ref="M60:M67" si="24">N60</f>
        <v>2</v>
      </c>
      <c r="N60" s="1066">
        <v>2</v>
      </c>
      <c r="O60" s="553"/>
      <c r="P60" s="8">
        <f>F60*$F$124/100</f>
        <v>0.46417759999999997</v>
      </c>
      <c r="Q60" s="8">
        <f>G60*$F$124/100</f>
        <v>0.46417759999999997</v>
      </c>
      <c r="R60" s="8">
        <f ca="1">H60*$F$124/100</f>
        <v>0.31460275549968791</v>
      </c>
      <c r="S60" s="8">
        <f ca="1">I60*$F$124/100</f>
        <v>0.29542181303076581</v>
      </c>
      <c r="T60" s="1062">
        <f ca="1">J60*$G$124/50</f>
        <v>0.62920551099937583</v>
      </c>
      <c r="U60" s="8">
        <f ca="1">K60*$G$124/50</f>
        <v>0.59084362606153162</v>
      </c>
      <c r="V60" s="560" t="s">
        <v>8</v>
      </c>
      <c r="W60" s="56"/>
      <c r="X60" s="24" t="s">
        <v>38</v>
      </c>
      <c r="Y60" s="568">
        <f t="shared" ref="Y60:Z60" si="25">SUM(P60:P67)</f>
        <v>27.657011999999991</v>
      </c>
      <c r="Z60" s="568">
        <f t="shared" si="25"/>
        <v>27.657011999999991</v>
      </c>
      <c r="AA60" s="568">
        <f ca="1">SUM(R60:R67)</f>
        <v>18.744920444433195</v>
      </c>
      <c r="AB60" s="568">
        <f ca="1">SUM(S60:S67)</f>
        <v>17.602065735299689</v>
      </c>
      <c r="AC60" s="568">
        <f ca="1">SUM(T60:T67)</f>
        <v>37.489840888866389</v>
      </c>
      <c r="AD60" s="568">
        <f ca="1">SUM(U60:U67)</f>
        <v>35.204131470599378</v>
      </c>
      <c r="AE60" s="572" t="s">
        <v>8</v>
      </c>
    </row>
    <row r="61" spans="3:33" ht="15.75" customHeight="1" thickBot="1" x14ac:dyDescent="0.5">
      <c r="C61" s="17"/>
      <c r="D61" s="93" t="s">
        <v>62</v>
      </c>
      <c r="E61" s="93" t="s">
        <v>271</v>
      </c>
      <c r="F61" s="177">
        <v>2.5099999999999998</v>
      </c>
      <c r="G61" s="647">
        <v>2.5099999999999998</v>
      </c>
      <c r="H61" s="522">
        <f t="shared" ca="1" si="20"/>
        <v>1.7011870376860423</v>
      </c>
      <c r="I61" s="522">
        <f t="shared" ca="1" si="21"/>
        <v>1.5974677595541495</v>
      </c>
      <c r="J61" s="522">
        <f t="shared" ca="1" si="22"/>
        <v>1.7011870376860423</v>
      </c>
      <c r="K61" s="963">
        <f t="shared" ca="1" si="23"/>
        <v>1.5974677595541495</v>
      </c>
      <c r="L61" s="475"/>
      <c r="M61" s="1102">
        <f t="shared" si="24"/>
        <v>2</v>
      </c>
      <c r="N61" s="1066">
        <v>2</v>
      </c>
      <c r="O61" s="553"/>
      <c r="P61" s="8">
        <f>$F$125*F61/100</f>
        <v>14.407399999999997</v>
      </c>
      <c r="Q61" s="8">
        <f>$F$125*G61/100</f>
        <v>14.407399999999997</v>
      </c>
      <c r="R61" s="8">
        <f ca="1">$F$125*H61/100</f>
        <v>9.7648135963178824</v>
      </c>
      <c r="S61" s="8">
        <f ca="1">$F$125*I61/100</f>
        <v>9.1694649398408181</v>
      </c>
      <c r="T61" s="1062">
        <f ca="1">$G$125*J61/50</f>
        <v>19.529627192635765</v>
      </c>
      <c r="U61" s="8">
        <f ca="1">$G$125*K61/50</f>
        <v>18.338929879681636</v>
      </c>
      <c r="V61" s="560" t="s">
        <v>8</v>
      </c>
      <c r="W61" s="56"/>
      <c r="X61" s="24" t="s">
        <v>86</v>
      </c>
      <c r="Y61" s="568">
        <f t="shared" ref="Y61:Z61" si="26">Y60*F$10</f>
        <v>2.2191708837925423</v>
      </c>
      <c r="Z61" s="568">
        <f t="shared" si="26"/>
        <v>2.2191708837925423</v>
      </c>
      <c r="AA61" s="568">
        <f ca="1">AA60*H$10</f>
        <v>1.4435059502309395</v>
      </c>
      <c r="AB61" s="568">
        <f ca="1">AB60*I$10</f>
        <v>1.3554971705845265</v>
      </c>
      <c r="AC61" s="568">
        <f ca="1">AC60*J$10</f>
        <v>2.8870119004618791</v>
      </c>
      <c r="AD61" s="568">
        <f ca="1">AD60*K$10</f>
        <v>2.7109943411690529</v>
      </c>
      <c r="AE61" s="572" t="s">
        <v>91</v>
      </c>
    </row>
    <row r="62" spans="3:33" ht="15.75" customHeight="1" thickBot="1" x14ac:dyDescent="0.5">
      <c r="C62" s="17"/>
      <c r="D62" s="93" t="s">
        <v>251</v>
      </c>
      <c r="E62" s="93" t="s">
        <v>271</v>
      </c>
      <c r="F62" s="177">
        <v>1.47</v>
      </c>
      <c r="G62" s="647">
        <v>1.47</v>
      </c>
      <c r="H62" s="522">
        <f t="shared" ca="1" si="20"/>
        <v>0.99631272725039133</v>
      </c>
      <c r="I62" s="522">
        <f t="shared" ca="1" si="21"/>
        <v>0.93556876754764939</v>
      </c>
      <c r="J62" s="522">
        <f t="shared" ca="1" si="22"/>
        <v>0.99631272725039133</v>
      </c>
      <c r="K62" s="522">
        <f t="shared" ca="1" si="23"/>
        <v>0.93556876754764939</v>
      </c>
      <c r="L62" s="475"/>
      <c r="M62" s="1102">
        <f t="shared" si="24"/>
        <v>2</v>
      </c>
      <c r="N62" s="1066">
        <v>2</v>
      </c>
      <c r="O62" s="553"/>
      <c r="P62" s="8">
        <f>$F$124*F62/100</f>
        <v>1.7956344</v>
      </c>
      <c r="Q62" s="8">
        <f>$F$124*G62/100</f>
        <v>1.7956344</v>
      </c>
      <c r="R62" s="8">
        <f ca="1">$F$124*H62/100</f>
        <v>1.2170159225908979</v>
      </c>
      <c r="S62" s="8">
        <f ca="1">$F$124*I62/100</f>
        <v>1.1428159609348045</v>
      </c>
      <c r="T62" s="1062">
        <f ca="1">$G$124*J62/50</f>
        <v>2.4340318451817957</v>
      </c>
      <c r="U62" s="8">
        <f ca="1">$G$124*K62/50</f>
        <v>2.2856319218696091</v>
      </c>
      <c r="V62" s="560" t="s">
        <v>8</v>
      </c>
      <c r="W62" s="56"/>
      <c r="X62" s="24" t="s">
        <v>92</v>
      </c>
      <c r="Y62" s="568">
        <f t="shared" ref="Y62:AD62" si="27">P69+P70*Dist_Maintenance</f>
        <v>0.41862702516000005</v>
      </c>
      <c r="Z62" s="568">
        <f t="shared" si="27"/>
        <v>0.41862702516000005</v>
      </c>
      <c r="AA62" s="568">
        <f t="shared" ca="1" si="27"/>
        <v>0.28373022662440672</v>
      </c>
      <c r="AB62" s="568">
        <f t="shared" ca="1" si="27"/>
        <v>0.26643154421161908</v>
      </c>
      <c r="AC62" s="568">
        <f t="shared" ca="1" si="27"/>
        <v>0.56746045324881345</v>
      </c>
      <c r="AD62" s="568">
        <f t="shared" ca="1" si="27"/>
        <v>0.53286308842323815</v>
      </c>
      <c r="AE62" s="572" t="s">
        <v>91</v>
      </c>
    </row>
    <row r="63" spans="3:33" ht="15.75" customHeight="1" thickBot="1" x14ac:dyDescent="0.5">
      <c r="C63" s="17"/>
      <c r="D63" s="93" t="s">
        <v>252</v>
      </c>
      <c r="E63" s="94" t="s">
        <v>271</v>
      </c>
      <c r="F63" s="177">
        <v>1.47</v>
      </c>
      <c r="G63" s="647">
        <v>1.47</v>
      </c>
      <c r="H63" s="522">
        <f t="shared" ca="1" si="20"/>
        <v>0.99631272725039133</v>
      </c>
      <c r="I63" s="522">
        <f t="shared" ca="1" si="21"/>
        <v>0.93556876754764939</v>
      </c>
      <c r="J63" s="522">
        <f t="shared" ca="1" si="22"/>
        <v>0.99631272725039133</v>
      </c>
      <c r="K63" s="522">
        <f t="shared" ca="1" si="23"/>
        <v>0.93556876754764939</v>
      </c>
      <c r="L63" s="475"/>
      <c r="M63" s="1102">
        <f t="shared" si="24"/>
        <v>2</v>
      </c>
      <c r="N63" s="1066">
        <v>2</v>
      </c>
      <c r="O63" s="553"/>
      <c r="P63" s="8">
        <f>F63*$F$125/100</f>
        <v>8.4377999999999993</v>
      </c>
      <c r="Q63" s="8">
        <f>G63*$F$125/100</f>
        <v>8.4377999999999993</v>
      </c>
      <c r="R63" s="8">
        <f ca="1">H63*$F$125/100</f>
        <v>5.7188350544172462</v>
      </c>
      <c r="S63" s="8">
        <f ca="1">I63*$F$125/100</f>
        <v>5.370164725723507</v>
      </c>
      <c r="T63" s="1062">
        <f ca="1">J63*$G$125/50</f>
        <v>11.437670108834492</v>
      </c>
      <c r="U63" s="8">
        <f ca="1">K63*$G$125/50</f>
        <v>10.740329451447014</v>
      </c>
      <c r="V63" s="560" t="s">
        <v>8</v>
      </c>
      <c r="W63" s="56"/>
      <c r="AE63" s="340"/>
    </row>
    <row r="64" spans="3:33" ht="15.75" customHeight="1" thickBot="1" x14ac:dyDescent="0.5">
      <c r="C64" s="17"/>
      <c r="D64" s="93" t="s">
        <v>15</v>
      </c>
      <c r="E64" s="94" t="s">
        <v>135</v>
      </c>
      <c r="F64" s="177">
        <v>145</v>
      </c>
      <c r="G64" s="647">
        <v>145</v>
      </c>
      <c r="H64" s="481">
        <f t="shared" ca="1" si="20"/>
        <v>98.275745204970576</v>
      </c>
      <c r="I64" s="481">
        <f t="shared" ca="1" si="21"/>
        <v>92.283994077829362</v>
      </c>
      <c r="J64" s="481">
        <f t="shared" ca="1" si="22"/>
        <v>98.275745204970576</v>
      </c>
      <c r="K64" s="481">
        <f t="shared" ca="1" si="23"/>
        <v>92.283994077829362</v>
      </c>
      <c r="L64" s="404"/>
      <c r="M64" s="1102">
        <f t="shared" si="24"/>
        <v>2</v>
      </c>
      <c r="N64" s="1066">
        <v>2</v>
      </c>
      <c r="O64" s="553"/>
      <c r="P64" s="8">
        <f t="shared" ref="P64:Q67" si="28">F64/100</f>
        <v>1.45</v>
      </c>
      <c r="Q64" s="8">
        <f t="shared" si="28"/>
        <v>1.45</v>
      </c>
      <c r="R64" s="8">
        <f t="shared" ref="R64:S67" ca="1" si="29">H64/100</f>
        <v>0.98275745204970577</v>
      </c>
      <c r="S64" s="8">
        <f t="shared" ca="1" si="29"/>
        <v>0.92283994077829368</v>
      </c>
      <c r="T64" s="1062">
        <f t="shared" ref="T64:U67" ca="1" si="30">J64/50</f>
        <v>1.9655149040994115</v>
      </c>
      <c r="U64" s="8">
        <f t="shared" ca="1" si="30"/>
        <v>1.8456798815565874</v>
      </c>
      <c r="V64" s="560" t="s">
        <v>8</v>
      </c>
      <c r="W64" s="56"/>
      <c r="AE64" s="340"/>
    </row>
    <row r="65" spans="3:38" ht="15.75" customHeight="1" thickBot="1" x14ac:dyDescent="0.5">
      <c r="C65" s="17"/>
      <c r="D65" s="128" t="s">
        <v>17</v>
      </c>
      <c r="E65" s="94" t="s">
        <v>135</v>
      </c>
      <c r="F65" s="129">
        <v>40.6</v>
      </c>
      <c r="G65" s="647">
        <v>40.6</v>
      </c>
      <c r="H65" s="703">
        <f t="shared" ca="1" si="20"/>
        <v>27.517208657391762</v>
      </c>
      <c r="I65" s="703">
        <f t="shared" ca="1" si="21"/>
        <v>25.839518341792221</v>
      </c>
      <c r="J65" s="703">
        <f t="shared" ca="1" si="22"/>
        <v>27.517208657391762</v>
      </c>
      <c r="K65" s="703">
        <f t="shared" ca="1" si="23"/>
        <v>25.839518341792221</v>
      </c>
      <c r="L65" s="404"/>
      <c r="M65" s="1102">
        <f t="shared" si="24"/>
        <v>2</v>
      </c>
      <c r="N65" s="1066">
        <v>2</v>
      </c>
      <c r="O65" s="553"/>
      <c r="P65" s="8">
        <f t="shared" si="28"/>
        <v>0.40600000000000003</v>
      </c>
      <c r="Q65" s="8">
        <f t="shared" si="28"/>
        <v>0.40600000000000003</v>
      </c>
      <c r="R65" s="8">
        <f t="shared" ca="1" si="29"/>
        <v>0.27517208657391762</v>
      </c>
      <c r="S65" s="8">
        <f t="shared" ca="1" si="29"/>
        <v>0.25839518341792223</v>
      </c>
      <c r="T65" s="1062">
        <f t="shared" ca="1" si="30"/>
        <v>0.55034417314783524</v>
      </c>
      <c r="U65" s="8">
        <f t="shared" ca="1" si="30"/>
        <v>0.51679036683584445</v>
      </c>
      <c r="V65" s="560" t="s">
        <v>8</v>
      </c>
      <c r="W65" s="56"/>
      <c r="AE65" s="340"/>
    </row>
    <row r="66" spans="3:38" ht="15.75" customHeight="1" thickBot="1" x14ac:dyDescent="0.5">
      <c r="C66" s="17"/>
      <c r="D66" s="128" t="s">
        <v>16</v>
      </c>
      <c r="E66" s="94" t="s">
        <v>135</v>
      </c>
      <c r="F66" s="129">
        <v>34.799999999999997</v>
      </c>
      <c r="G66" s="647">
        <v>34.799999999999997</v>
      </c>
      <c r="H66" s="703">
        <f t="shared" ca="1" si="20"/>
        <v>23.586178849192937</v>
      </c>
      <c r="I66" s="703">
        <f t="shared" ca="1" si="21"/>
        <v>22.148158578679045</v>
      </c>
      <c r="J66" s="703">
        <f t="shared" ca="1" si="22"/>
        <v>23.586178849192937</v>
      </c>
      <c r="K66" s="703">
        <f t="shared" ca="1" si="23"/>
        <v>22.148158578679045</v>
      </c>
      <c r="L66" s="404"/>
      <c r="M66" s="1102">
        <f t="shared" si="24"/>
        <v>2</v>
      </c>
      <c r="N66" s="1066">
        <v>2</v>
      </c>
      <c r="O66" s="553"/>
      <c r="P66" s="8">
        <f t="shared" si="28"/>
        <v>0.34799999999999998</v>
      </c>
      <c r="Q66" s="8">
        <f t="shared" si="28"/>
        <v>0.34799999999999998</v>
      </c>
      <c r="R66" s="8">
        <f t="shared" ca="1" si="29"/>
        <v>0.23586178849192938</v>
      </c>
      <c r="S66" s="8">
        <f t="shared" ca="1" si="29"/>
        <v>0.22148158578679045</v>
      </c>
      <c r="T66" s="1062">
        <f t="shared" ca="1" si="30"/>
        <v>0.47172357698385875</v>
      </c>
      <c r="U66" s="8">
        <f t="shared" ca="1" si="30"/>
        <v>0.44296317157358089</v>
      </c>
      <c r="V66" s="560" t="s">
        <v>8</v>
      </c>
      <c r="W66" s="56"/>
      <c r="AE66" s="340"/>
    </row>
    <row r="67" spans="3:38" ht="15.75" customHeight="1" thickBot="1" x14ac:dyDescent="0.5">
      <c r="C67" s="17"/>
      <c r="D67" s="128" t="s">
        <v>63</v>
      </c>
      <c r="E67" s="94" t="s">
        <v>135</v>
      </c>
      <c r="F67" s="137">
        <v>34.799999999999997</v>
      </c>
      <c r="G67" s="647">
        <v>34.799999999999997</v>
      </c>
      <c r="H67" s="703">
        <f t="shared" ca="1" si="20"/>
        <v>23.586178849192937</v>
      </c>
      <c r="I67" s="703">
        <f t="shared" ca="1" si="21"/>
        <v>22.148158578679045</v>
      </c>
      <c r="J67" s="703">
        <f t="shared" ca="1" si="22"/>
        <v>23.586178849192937</v>
      </c>
      <c r="K67" s="703">
        <f t="shared" ca="1" si="23"/>
        <v>22.148158578679045</v>
      </c>
      <c r="L67" s="404"/>
      <c r="M67" s="1102">
        <f t="shared" si="24"/>
        <v>2</v>
      </c>
      <c r="N67" s="1066">
        <v>2</v>
      </c>
      <c r="O67" s="553"/>
      <c r="P67" s="8">
        <f t="shared" si="28"/>
        <v>0.34799999999999998</v>
      </c>
      <c r="Q67" s="8">
        <f t="shared" si="28"/>
        <v>0.34799999999999998</v>
      </c>
      <c r="R67" s="8">
        <f t="shared" ca="1" si="29"/>
        <v>0.23586178849192938</v>
      </c>
      <c r="S67" s="8">
        <f t="shared" ca="1" si="29"/>
        <v>0.22148158578679045</v>
      </c>
      <c r="T67" s="1062">
        <f t="shared" ca="1" si="30"/>
        <v>0.47172357698385875</v>
      </c>
      <c r="U67" s="8">
        <f t="shared" ca="1" si="30"/>
        <v>0.44296317157358089</v>
      </c>
      <c r="V67" s="572" t="s">
        <v>8</v>
      </c>
      <c r="W67" s="56"/>
      <c r="AE67" s="340"/>
    </row>
    <row r="68" spans="3:38" ht="15.75" customHeight="1" thickBot="1" x14ac:dyDescent="0.5">
      <c r="C68" s="17"/>
      <c r="D68" s="128" t="s">
        <v>294</v>
      </c>
      <c r="E68" s="94" t="s">
        <v>295</v>
      </c>
      <c r="F68" s="633">
        <v>2E-3</v>
      </c>
      <c r="G68" s="667">
        <v>2E-3</v>
      </c>
      <c r="H68" s="633">
        <v>2E-3</v>
      </c>
      <c r="I68" s="833">
        <v>2E-3</v>
      </c>
      <c r="J68" s="633">
        <v>2E-3</v>
      </c>
      <c r="K68" s="833">
        <v>2E-3</v>
      </c>
      <c r="L68" s="404"/>
      <c r="O68" s="553"/>
      <c r="P68" s="8"/>
      <c r="Q68" s="8"/>
      <c r="R68" s="8"/>
      <c r="S68" s="8"/>
      <c r="T68" s="1062"/>
      <c r="U68" s="8"/>
      <c r="V68" s="9"/>
      <c r="W68" s="56"/>
      <c r="AE68" s="340"/>
    </row>
    <row r="69" spans="3:38" ht="15.75" customHeight="1" thickBot="1" x14ac:dyDescent="0.5">
      <c r="C69" s="17"/>
      <c r="D69" s="128" t="s">
        <v>35</v>
      </c>
      <c r="E69" s="94" t="s">
        <v>136</v>
      </c>
      <c r="F69" s="423">
        <v>11.7</v>
      </c>
      <c r="G69" s="668">
        <v>11.7</v>
      </c>
      <c r="H69" s="703">
        <f ca="1">INDIRECT("'learning rates'!"&amp;ADDRESS(3+$M69,4))*(IF($M69&lt;7,$G69,$H69))</f>
        <v>7.929835992401074</v>
      </c>
      <c r="I69" s="703">
        <f ca="1">INDIRECT("'learning rates'!"&amp;ADDRESS(3+$M69,5))*(IF($M69&lt;7,$G69,$H69))</f>
        <v>7.4463636600731276</v>
      </c>
      <c r="J69" s="703">
        <f ca="1">INDIRECT("'learning rates'!"&amp;ADDRESS(3+$M69,4))*(IF($M69&lt;7,$G69,$H69))</f>
        <v>7.929835992401074</v>
      </c>
      <c r="K69" s="703">
        <f ca="1">INDIRECT("'learning rates'!"&amp;ADDRESS(3+$M69,5))*(IF($M69&lt;7,$G69,$H69))</f>
        <v>7.4463636600731276</v>
      </c>
      <c r="L69" s="18"/>
      <c r="M69" s="1102">
        <f>N69</f>
        <v>2</v>
      </c>
      <c r="N69" s="1066">
        <v>2</v>
      </c>
      <c r="O69" s="553"/>
      <c r="P69" s="8">
        <f>F69/100</f>
        <v>0.11699999999999999</v>
      </c>
      <c r="Q69" s="8">
        <f>G69/100</f>
        <v>0.11699999999999999</v>
      </c>
      <c r="R69" s="8">
        <f ca="1">H69/100</f>
        <v>7.9298359924010742E-2</v>
      </c>
      <c r="S69" s="8">
        <f ca="1">I69/100</f>
        <v>7.446363660073127E-2</v>
      </c>
      <c r="T69" s="1062">
        <f ca="1">J69/50</f>
        <v>0.15859671984802148</v>
      </c>
      <c r="U69" s="8">
        <f ca="1">K69/50</f>
        <v>0.14892727320146254</v>
      </c>
      <c r="V69" s="562" t="s">
        <v>91</v>
      </c>
      <c r="W69" s="56"/>
      <c r="AE69" s="340"/>
    </row>
    <row r="70" spans="3:38" ht="15.75" customHeight="1" thickBot="1" x14ac:dyDescent="0.5">
      <c r="C70" s="17"/>
      <c r="D70" s="128" t="s">
        <v>23</v>
      </c>
      <c r="E70" s="94" t="s">
        <v>136</v>
      </c>
      <c r="F70" s="423">
        <v>14.1</v>
      </c>
      <c r="G70" s="668">
        <v>14.1</v>
      </c>
      <c r="H70" s="703">
        <f ca="1">INDIRECT("'learning rates'!"&amp;ADDRESS(3+$M70,4))*(IF($M70&lt;7,$G70,$H70))</f>
        <v>9.5564690164833461</v>
      </c>
      <c r="I70" s="703">
        <f ca="1">INDIRECT("'learning rates'!"&amp;ADDRESS(3+$M70,5))*(IF($M70&lt;7,$G70,$H70))</f>
        <v>8.9738228723958215</v>
      </c>
      <c r="J70" s="703">
        <f ca="1">INDIRECT("'learning rates'!"&amp;ADDRESS(3+$M70,4))*(IF($M70&lt;7,$G70,$H70))</f>
        <v>9.5564690164833461</v>
      </c>
      <c r="K70" s="703">
        <f ca="1">INDIRECT("'learning rates'!"&amp;ADDRESS(3+$M70,5))*(IF($M70&lt;7,$G70,$H70))</f>
        <v>8.9738228723958215</v>
      </c>
      <c r="L70" s="18"/>
      <c r="M70" s="1102">
        <f>N70</f>
        <v>2</v>
      </c>
      <c r="N70" s="1066">
        <v>2</v>
      </c>
      <c r="O70" s="553"/>
      <c r="P70" s="8">
        <f>F70/100*F141</f>
        <v>0.20622660000000001</v>
      </c>
      <c r="Q70" s="8">
        <f>G70/100*G141</f>
        <v>0.20622660000000001</v>
      </c>
      <c r="R70" s="8">
        <f ca="1">H70/100*H141</f>
        <v>0.13977291583508544</v>
      </c>
      <c r="S70" s="8">
        <f ca="1">I70/100*I141</f>
        <v>0.1312511333316613</v>
      </c>
      <c r="T70" s="1062">
        <f ca="1">J70/50*J141</f>
        <v>0.27954583167017089</v>
      </c>
      <c r="U70" s="8">
        <f ca="1">K70/50*K141</f>
        <v>0.2625022666633226</v>
      </c>
      <c r="V70" s="562" t="s">
        <v>91</v>
      </c>
      <c r="W70" s="56"/>
      <c r="AE70" s="340"/>
    </row>
    <row r="71" spans="3:38" ht="15.75" customHeight="1" thickBot="1" x14ac:dyDescent="0.5">
      <c r="C71" s="17"/>
      <c r="O71" s="553"/>
      <c r="Q71" s="25"/>
      <c r="R71" s="25"/>
      <c r="S71" s="25"/>
      <c r="T71" s="1"/>
      <c r="U71" s="25"/>
      <c r="V71" s="25"/>
      <c r="W71" s="25"/>
      <c r="AE71" s="340"/>
    </row>
    <row r="72" spans="3:38" ht="15.75" customHeight="1" thickBot="1" x14ac:dyDescent="0.5">
      <c r="C72" s="17"/>
      <c r="D72" s="428" t="s">
        <v>232</v>
      </c>
      <c r="E72" s="25"/>
      <c r="F72" s="339"/>
      <c r="G72" s="339"/>
      <c r="H72" s="339"/>
      <c r="I72" s="339"/>
      <c r="J72" s="339"/>
      <c r="K72" s="339"/>
      <c r="L72" s="339"/>
      <c r="O72" s="553"/>
      <c r="P72" s="1238" t="s">
        <v>253</v>
      </c>
      <c r="Q72" s="1239"/>
      <c r="R72" s="1240"/>
      <c r="T72" s="17"/>
      <c r="X72" s="428" t="s">
        <v>253</v>
      </c>
      <c r="AE72" s="340"/>
      <c r="AL72" s="64"/>
    </row>
    <row r="73" spans="3:38" ht="15.75" customHeight="1" thickBot="1" x14ac:dyDescent="0.5">
      <c r="C73" s="17"/>
      <c r="D73" s="432" t="s">
        <v>83</v>
      </c>
      <c r="E73" s="430" t="s">
        <v>57</v>
      </c>
      <c r="F73" s="23"/>
      <c r="G73" s="669">
        <v>1000</v>
      </c>
      <c r="H73" s="669">
        <v>400</v>
      </c>
      <c r="I73" s="669">
        <v>200</v>
      </c>
      <c r="J73" s="23">
        <v>400</v>
      </c>
      <c r="K73" s="23">
        <v>200</v>
      </c>
      <c r="L73" s="339"/>
      <c r="O73" s="553"/>
      <c r="P73" s="24"/>
      <c r="Q73" s="575">
        <f>10*G73/1000</f>
        <v>10</v>
      </c>
      <c r="R73" s="575">
        <f>10*H73/1000</f>
        <v>4</v>
      </c>
      <c r="S73" s="575">
        <f>10*I73/1000</f>
        <v>2</v>
      </c>
      <c r="T73" s="1064">
        <f>20*J73/1000</f>
        <v>8</v>
      </c>
      <c r="U73" s="575">
        <f>20*K73/1000</f>
        <v>4</v>
      </c>
      <c r="V73" s="572" t="s">
        <v>8</v>
      </c>
      <c r="W73" s="25"/>
      <c r="X73" s="24" t="s">
        <v>323</v>
      </c>
      <c r="Y73" s="568"/>
      <c r="Z73" s="482">
        <f>SUM(Q73,Q80,Q81)</f>
        <v>10</v>
      </c>
      <c r="AA73" s="482">
        <f>SUM(R73,R80,R81)</f>
        <v>4</v>
      </c>
      <c r="AB73" s="482">
        <f>SUM(S73,S80,S81)</f>
        <v>2</v>
      </c>
      <c r="AC73" s="482">
        <f>SUM(T73,T80,T81)</f>
        <v>8</v>
      </c>
      <c r="AD73" s="482">
        <f>SUM(U73,U80,U81)</f>
        <v>4</v>
      </c>
      <c r="AE73" s="572" t="s">
        <v>8</v>
      </c>
      <c r="AL73" s="64"/>
    </row>
    <row r="74" spans="3:38" ht="15.75" customHeight="1" thickBot="1" x14ac:dyDescent="0.5">
      <c r="C74" s="17"/>
      <c r="D74" s="432" t="s">
        <v>77</v>
      </c>
      <c r="E74" s="24" t="s">
        <v>78</v>
      </c>
      <c r="F74" s="23"/>
      <c r="G74" s="669">
        <v>30</v>
      </c>
      <c r="H74" s="669">
        <v>50</v>
      </c>
      <c r="I74" s="669">
        <v>50</v>
      </c>
      <c r="J74" s="669">
        <v>50</v>
      </c>
      <c r="K74" s="669">
        <v>50</v>
      </c>
      <c r="L74" s="321"/>
      <c r="O74" s="553"/>
      <c r="P74" s="24"/>
      <c r="Q74" s="24"/>
      <c r="R74" s="24"/>
      <c r="S74" s="24"/>
      <c r="T74" s="143"/>
      <c r="U74" s="24"/>
      <c r="V74" s="24"/>
      <c r="W74" s="25"/>
      <c r="X74" s="24" t="s">
        <v>324</v>
      </c>
      <c r="Y74" s="568"/>
      <c r="Z74" s="568">
        <f>Z73*G$78</f>
        <v>1.0914052979263138</v>
      </c>
      <c r="AA74" s="568">
        <f>AA73*H$78</f>
        <v>0.36966252158184998</v>
      </c>
      <c r="AB74" s="568">
        <f>AB73*I$78</f>
        <v>0.16584064261002079</v>
      </c>
      <c r="AC74" s="568">
        <f>AC73*J$78</f>
        <v>0.73932504316369996</v>
      </c>
      <c r="AD74" s="568">
        <f>AD73*K$78</f>
        <v>0.33168128522004159</v>
      </c>
      <c r="AE74" s="572" t="s">
        <v>91</v>
      </c>
      <c r="AL74" s="64"/>
    </row>
    <row r="75" spans="3:38" ht="15.75" customHeight="1" thickBot="1" x14ac:dyDescent="0.5">
      <c r="C75" s="17"/>
      <c r="D75" s="432" t="s">
        <v>233</v>
      </c>
      <c r="E75" s="24" t="s">
        <v>79</v>
      </c>
      <c r="F75" s="23"/>
      <c r="G75" s="670">
        <v>0.75</v>
      </c>
      <c r="H75" s="670">
        <v>0.8</v>
      </c>
      <c r="I75" s="670">
        <v>0.875</v>
      </c>
      <c r="J75" s="465">
        <v>0.8</v>
      </c>
      <c r="K75" s="465">
        <v>0.875</v>
      </c>
      <c r="L75" s="419"/>
      <c r="O75" s="553"/>
      <c r="P75" s="24"/>
      <c r="Q75" s="24"/>
      <c r="R75" s="24"/>
      <c r="S75" s="24"/>
      <c r="T75" s="143"/>
      <c r="U75" s="24"/>
      <c r="V75" s="24"/>
      <c r="W75" s="25"/>
      <c r="X75" s="24" t="s">
        <v>325</v>
      </c>
      <c r="Y75" s="568"/>
      <c r="Z75" s="568">
        <f>G86*Z73</f>
        <v>0.2</v>
      </c>
      <c r="AA75" s="568">
        <f ca="1">H86*AA73</f>
        <v>0.08</v>
      </c>
      <c r="AB75" s="568">
        <f ca="1">I86*AB73</f>
        <v>0.04</v>
      </c>
      <c r="AC75" s="568">
        <f ca="1">J86*AC73</f>
        <v>0.16</v>
      </c>
      <c r="AD75" s="568">
        <f ca="1">K86*AD73</f>
        <v>0.08</v>
      </c>
      <c r="AE75" s="572" t="s">
        <v>91</v>
      </c>
      <c r="AL75" s="64"/>
    </row>
    <row r="76" spans="3:38" ht="15.75" customHeight="1" thickBot="1" x14ac:dyDescent="0.5">
      <c r="C76" s="17"/>
      <c r="D76" s="432" t="s">
        <v>233</v>
      </c>
      <c r="E76" s="24" t="s">
        <v>39</v>
      </c>
      <c r="F76" s="23"/>
      <c r="G76" s="335">
        <f>141.8/(G75*3.6)</f>
        <v>52.518518518518519</v>
      </c>
      <c r="H76" s="335">
        <f>141.8/(H75*3.6)</f>
        <v>49.236111111111107</v>
      </c>
      <c r="I76" s="335">
        <f>141.8/(I75*3.6)</f>
        <v>45.015873015873019</v>
      </c>
      <c r="J76" s="335">
        <f>141.8/(J75*3.6)</f>
        <v>49.236111111111107</v>
      </c>
      <c r="K76" s="335">
        <f>141.8/(K75*3.6)</f>
        <v>45.015873015873019</v>
      </c>
      <c r="L76" s="476"/>
      <c r="O76" s="553"/>
      <c r="P76" s="24"/>
      <c r="Q76" s="24"/>
      <c r="R76" s="24"/>
      <c r="S76" s="24"/>
      <c r="T76" s="143"/>
      <c r="U76" s="24"/>
      <c r="V76" s="24"/>
      <c r="W76" s="25"/>
      <c r="X76" s="24" t="s">
        <v>326</v>
      </c>
      <c r="Y76" s="568"/>
      <c r="Z76" s="568">
        <f>SUM(Q73,Q80,Q81,Q84)</f>
        <v>10.005000000000001</v>
      </c>
      <c r="AA76" s="568">
        <f ca="1">SUM(R73,R80,R81,R84)</f>
        <v>4.0049999999999999</v>
      </c>
      <c r="AB76" s="568">
        <f ca="1">SUM(S73,S80,S81,S84)</f>
        <v>2.0049999999999999</v>
      </c>
      <c r="AC76" s="568">
        <f ca="1">SUM(T73,T80,T81,T84)</f>
        <v>8.01</v>
      </c>
      <c r="AD76" s="568">
        <f ca="1">SUM(U73,U80,U81,U84)</f>
        <v>4.01</v>
      </c>
      <c r="AE76" s="572" t="s">
        <v>8</v>
      </c>
      <c r="AL76" s="64"/>
    </row>
    <row r="77" spans="3:38" ht="15.75" customHeight="1" thickBot="1" x14ac:dyDescent="0.5">
      <c r="C77" s="17"/>
      <c r="D77" s="431" t="s">
        <v>18</v>
      </c>
      <c r="E77" s="24" t="s">
        <v>19</v>
      </c>
      <c r="F77" s="23"/>
      <c r="G77" s="669">
        <v>15</v>
      </c>
      <c r="H77" s="669">
        <v>20</v>
      </c>
      <c r="I77" s="669">
        <v>25</v>
      </c>
      <c r="J77" s="669">
        <v>20</v>
      </c>
      <c r="K77" s="669">
        <v>25</v>
      </c>
      <c r="L77" s="339"/>
      <c r="O77" s="553"/>
      <c r="P77" s="24"/>
      <c r="Q77" s="24"/>
      <c r="R77" s="24"/>
      <c r="S77" s="24"/>
      <c r="T77" s="143"/>
      <c r="U77" s="24"/>
      <c r="V77" s="24"/>
      <c r="W77" s="25"/>
      <c r="X77" s="24" t="s">
        <v>327</v>
      </c>
      <c r="Y77" s="568"/>
      <c r="Z77" s="568">
        <f>Z76*G$78</f>
        <v>1.0919510005752771</v>
      </c>
      <c r="AA77" s="568">
        <f ca="1">AA76*H$78</f>
        <v>0.37012459973382728</v>
      </c>
      <c r="AB77" s="568">
        <f ca="1">AB76*I$78</f>
        <v>0.16625524421654583</v>
      </c>
      <c r="AC77" s="568">
        <f ca="1">AC76*J$78</f>
        <v>0.74024919946765455</v>
      </c>
      <c r="AD77" s="568">
        <f ca="1">AD76*K$78</f>
        <v>0.33251048843309167</v>
      </c>
      <c r="AE77" s="572" t="s">
        <v>91</v>
      </c>
      <c r="AL77" s="64"/>
    </row>
    <row r="78" spans="3:38" ht="15.75" customHeight="1" thickBot="1" x14ac:dyDescent="0.5">
      <c r="C78" s="17"/>
      <c r="D78" s="429" t="s">
        <v>310</v>
      </c>
      <c r="E78" s="92" t="s">
        <v>24</v>
      </c>
      <c r="F78" s="529"/>
      <c r="G78" s="530">
        <f>F311</f>
        <v>0.10914052979263139</v>
      </c>
      <c r="H78" s="530">
        <f>G311</f>
        <v>9.2415630395462495E-2</v>
      </c>
      <c r="I78" s="530">
        <f>H311</f>
        <v>8.2920321305010397E-2</v>
      </c>
      <c r="J78" s="530">
        <f>I311</f>
        <v>9.2415630395462495E-2</v>
      </c>
      <c r="K78" s="530">
        <f>J311</f>
        <v>8.2920321305010397E-2</v>
      </c>
      <c r="L78" s="339"/>
      <c r="O78" s="553"/>
      <c r="P78" s="24"/>
      <c r="Q78" s="24"/>
      <c r="R78" s="24"/>
      <c r="S78" s="24"/>
      <c r="T78" s="143"/>
      <c r="U78" s="24"/>
      <c r="V78" s="24"/>
      <c r="W78" s="25"/>
      <c r="X78" s="24" t="s">
        <v>328</v>
      </c>
      <c r="Y78" s="568"/>
      <c r="Z78" s="568">
        <f>G86*Z76*Dist_Maintenance</f>
        <v>0.29266626000000007</v>
      </c>
      <c r="AA78" s="568">
        <f ca="1">H86*AA76*Dist_Maintenance</f>
        <v>0.11715426000000001</v>
      </c>
      <c r="AB78" s="568">
        <f ca="1">I86*AB76*Dist_Maintenance</f>
        <v>5.8650260000000003E-2</v>
      </c>
      <c r="AC78" s="568">
        <f ca="1">J86*AC76*Dist_Maintenance</f>
        <v>0.23430852000000002</v>
      </c>
      <c r="AD78" s="568">
        <f ca="1">K86*AD76*Dist_Maintenance</f>
        <v>0.11730052000000001</v>
      </c>
      <c r="AE78" s="572" t="s">
        <v>91</v>
      </c>
      <c r="AL78" s="64"/>
    </row>
    <row r="79" spans="3:38" ht="15.75" customHeight="1" thickBot="1" x14ac:dyDescent="0.5">
      <c r="C79" s="17"/>
      <c r="D79" s="1149" t="s">
        <v>234</v>
      </c>
      <c r="E79" s="231" t="s">
        <v>19</v>
      </c>
      <c r="F79" s="23"/>
      <c r="G79" s="669"/>
      <c r="H79" s="669"/>
      <c r="I79" s="669"/>
      <c r="J79" s="669"/>
      <c r="K79" s="669"/>
      <c r="L79" s="339"/>
      <c r="O79" s="553"/>
      <c r="P79" s="24"/>
      <c r="Q79" s="24"/>
      <c r="R79" s="24"/>
      <c r="S79" s="24"/>
      <c r="T79" s="143"/>
      <c r="U79" s="24"/>
      <c r="V79" s="24"/>
      <c r="W79" s="25"/>
      <c r="X79" s="143" t="s">
        <v>329</v>
      </c>
      <c r="Y79" s="71"/>
      <c r="Z79" s="8">
        <f>G83/100</f>
        <v>0</v>
      </c>
      <c r="AA79" s="576">
        <f>H83/100</f>
        <v>0</v>
      </c>
      <c r="AB79" s="8">
        <f>I83/100</f>
        <v>0</v>
      </c>
      <c r="AC79" s="576">
        <f>J83/50</f>
        <v>0</v>
      </c>
      <c r="AD79" s="8">
        <f>K83/50</f>
        <v>0</v>
      </c>
      <c r="AE79" s="572" t="s">
        <v>91</v>
      </c>
      <c r="AL79" s="64"/>
    </row>
    <row r="80" spans="3:38" ht="15.75" customHeight="1" thickBot="1" x14ac:dyDescent="0.5">
      <c r="C80" s="17"/>
      <c r="D80" s="431" t="s">
        <v>235</v>
      </c>
      <c r="E80" s="24" t="s">
        <v>74</v>
      </c>
      <c r="F80" s="23"/>
      <c r="G80" s="669">
        <v>0</v>
      </c>
      <c r="H80" s="669">
        <v>0</v>
      </c>
      <c r="I80" s="669">
        <v>0</v>
      </c>
      <c r="J80" s="669">
        <v>0</v>
      </c>
      <c r="K80" s="669">
        <v>0</v>
      </c>
      <c r="L80" s="339"/>
      <c r="O80" s="553"/>
      <c r="P80" s="24"/>
      <c r="Q80" s="24">
        <v>0</v>
      </c>
      <c r="R80" s="24">
        <v>0</v>
      </c>
      <c r="S80" s="24">
        <v>0</v>
      </c>
      <c r="T80" s="143">
        <v>0</v>
      </c>
      <c r="U80" s="24">
        <v>0</v>
      </c>
      <c r="V80" s="572" t="s">
        <v>8</v>
      </c>
      <c r="W80" s="25"/>
      <c r="X80" s="1"/>
      <c r="Y80" s="25"/>
      <c r="Z80" s="25"/>
      <c r="AA80" s="25"/>
      <c r="AB80" s="25"/>
      <c r="AC80" s="25"/>
      <c r="AD80" s="25"/>
      <c r="AE80" s="559"/>
      <c r="AL80" s="64"/>
    </row>
    <row r="81" spans="3:38" ht="15.75" customHeight="1" thickBot="1" x14ac:dyDescent="0.5">
      <c r="C81" s="17"/>
      <c r="D81" s="431" t="s">
        <v>238</v>
      </c>
      <c r="E81" s="24" t="s">
        <v>72</v>
      </c>
      <c r="F81" s="23"/>
      <c r="G81" s="669">
        <v>0</v>
      </c>
      <c r="H81" s="669">
        <v>0</v>
      </c>
      <c r="I81" s="669">
        <v>0</v>
      </c>
      <c r="J81" s="669">
        <v>0</v>
      </c>
      <c r="K81" s="669">
        <v>0</v>
      </c>
      <c r="L81" s="339"/>
      <c r="O81" s="553"/>
      <c r="P81" s="24"/>
      <c r="Q81" s="24">
        <f>G81*10</f>
        <v>0</v>
      </c>
      <c r="R81" s="24">
        <f>H81*10</f>
        <v>0</v>
      </c>
      <c r="S81" s="24">
        <f>I81*10</f>
        <v>0</v>
      </c>
      <c r="T81" s="143">
        <f>J81*20</f>
        <v>0</v>
      </c>
      <c r="U81" s="24">
        <f>K81*20</f>
        <v>0</v>
      </c>
      <c r="V81" s="572" t="s">
        <v>8</v>
      </c>
      <c r="W81" s="25"/>
      <c r="AE81" s="340"/>
      <c r="AL81" s="64"/>
    </row>
    <row r="82" spans="3:38" ht="15.75" customHeight="1" thickBot="1" x14ac:dyDescent="0.5">
      <c r="C82" s="17"/>
      <c r="D82" s="433" t="s">
        <v>236</v>
      </c>
      <c r="E82" s="174" t="s">
        <v>119</v>
      </c>
      <c r="F82" s="23"/>
      <c r="G82" s="669">
        <v>0.34</v>
      </c>
      <c r="H82" s="23">
        <v>0.34</v>
      </c>
      <c r="I82" s="23">
        <v>0.34</v>
      </c>
      <c r="J82" s="23">
        <v>0.34</v>
      </c>
      <c r="K82" s="23">
        <v>0.34</v>
      </c>
      <c r="L82" s="339"/>
      <c r="O82" s="553"/>
      <c r="P82" s="24"/>
      <c r="Q82" s="24"/>
      <c r="R82" s="24"/>
      <c r="S82" s="24"/>
      <c r="T82" s="143"/>
      <c r="U82" s="24"/>
      <c r="V82" s="24"/>
      <c r="W82" s="25"/>
      <c r="AE82" s="340"/>
      <c r="AL82" s="64"/>
    </row>
    <row r="83" spans="3:38" ht="15.75" customHeight="1" thickBot="1" x14ac:dyDescent="0.5">
      <c r="C83" s="17"/>
      <c r="D83" s="433" t="s">
        <v>236</v>
      </c>
      <c r="E83" s="174" t="s">
        <v>322</v>
      </c>
      <c r="F83" s="23"/>
      <c r="G83" s="669">
        <v>0</v>
      </c>
      <c r="H83" s="574">
        <v>0</v>
      </c>
      <c r="I83" s="28">
        <v>0</v>
      </c>
      <c r="J83" s="574">
        <v>0</v>
      </c>
      <c r="K83" s="28">
        <v>0</v>
      </c>
      <c r="L83" s="339"/>
      <c r="O83" s="553"/>
      <c r="P83" s="24"/>
      <c r="Q83" s="24"/>
      <c r="R83" s="24"/>
      <c r="S83" s="24"/>
      <c r="T83" s="143"/>
      <c r="U83" s="24"/>
      <c r="V83" s="24"/>
      <c r="W83" s="25"/>
      <c r="AE83" s="340"/>
      <c r="AL83" s="64"/>
    </row>
    <row r="84" spans="3:38" ht="15.75" customHeight="1" thickBot="1" x14ac:dyDescent="0.5">
      <c r="C84" s="17"/>
      <c r="D84" s="432" t="s">
        <v>239</v>
      </c>
      <c r="E84" s="24" t="s">
        <v>280</v>
      </c>
      <c r="F84" s="23"/>
      <c r="G84" s="701">
        <v>0.5</v>
      </c>
      <c r="H84" s="522">
        <f ca="1">INDIRECT("'learning rates'!"&amp;ADDRESS(3+$M84,4))*(IF($M84&lt;7,$G84,$H84))</f>
        <v>0.5</v>
      </c>
      <c r="I84" s="522">
        <f ca="1">INDIRECT("'learning rates'!"&amp;ADDRESS(3+$M84,5))*(IF($M84&lt;7,$G84,$H84))</f>
        <v>0.5</v>
      </c>
      <c r="J84" s="522">
        <f ca="1">INDIRECT("'learning rates'!"&amp;ADDRESS(3+$M84,4))*(IF($M84&lt;7,$G84,$H84))</f>
        <v>0.5</v>
      </c>
      <c r="K84" s="522">
        <f ca="1">INDIRECT("'learning rates'!"&amp;ADDRESS(3+$M84,5))*(IF($M84&lt;7,$G84,$H84))</f>
        <v>0.5</v>
      </c>
      <c r="L84" s="339"/>
      <c r="M84" s="1102">
        <f>N84</f>
        <v>3</v>
      </c>
      <c r="N84" s="1066">
        <v>3</v>
      </c>
      <c r="O84" s="553"/>
      <c r="P84" s="24"/>
      <c r="Q84" s="24">
        <f>G84/100</f>
        <v>5.0000000000000001E-3</v>
      </c>
      <c r="R84" s="24">
        <f ca="1">H84/100</f>
        <v>5.0000000000000001E-3</v>
      </c>
      <c r="S84" s="24">
        <f ca="1">I84/100</f>
        <v>5.0000000000000001E-3</v>
      </c>
      <c r="T84" s="143">
        <f ca="1">J84/50</f>
        <v>0.01</v>
      </c>
      <c r="U84" s="24">
        <f ca="1">K84/50</f>
        <v>0.01</v>
      </c>
      <c r="V84" s="572" t="s">
        <v>8</v>
      </c>
      <c r="W84" s="25"/>
      <c r="AE84" s="340"/>
      <c r="AL84" s="64"/>
    </row>
    <row r="85" spans="3:38" ht="15.75" customHeight="1" thickBot="1" x14ac:dyDescent="0.5">
      <c r="C85" s="17"/>
      <c r="D85" s="432" t="s">
        <v>240</v>
      </c>
      <c r="E85" s="24" t="s">
        <v>39</v>
      </c>
      <c r="F85" s="23"/>
      <c r="G85" s="669">
        <v>4.3999999999999997E-2</v>
      </c>
      <c r="H85" s="23">
        <v>4.3999999999999997E-2</v>
      </c>
      <c r="I85" s="23">
        <v>4.3999999999999997E-2</v>
      </c>
      <c r="J85" s="23">
        <v>4.3999999999999997E-2</v>
      </c>
      <c r="K85" s="23">
        <v>4.3999999999999997E-2</v>
      </c>
      <c r="L85" s="339"/>
      <c r="O85" s="553"/>
      <c r="P85" s="24"/>
      <c r="Q85" s="24"/>
      <c r="R85" s="24"/>
      <c r="S85" s="24"/>
      <c r="T85" s="143"/>
      <c r="U85" s="24"/>
      <c r="V85" s="24"/>
      <c r="W85" s="25"/>
      <c r="AE85" s="340"/>
      <c r="AL85" s="64"/>
    </row>
    <row r="86" spans="3:38" ht="15.75" customHeight="1" thickBot="1" x14ac:dyDescent="0.5">
      <c r="C86" s="17"/>
      <c r="D86" s="431" t="s">
        <v>237</v>
      </c>
      <c r="E86" s="24" t="s">
        <v>74</v>
      </c>
      <c r="F86" s="486"/>
      <c r="G86" s="671">
        <v>0.02</v>
      </c>
      <c r="H86" s="483">
        <f ca="1">INDIRECT("'learning rates'!"&amp;ADDRESS(3+$M86,4))*(IF($M86&lt;7,$G86,$H86))</f>
        <v>0.02</v>
      </c>
      <c r="I86" s="483">
        <f ca="1">INDIRECT("'learning rates'!"&amp;ADDRESS(3+$M86,5))*(IF($M86&lt;7,$G86,$H86))</f>
        <v>0.02</v>
      </c>
      <c r="J86" s="483">
        <f ca="1">INDIRECT("'learning rates'!"&amp;ADDRESS(3+$M86,4))*(IF($M86&lt;7,$G86,$H86))</f>
        <v>0.02</v>
      </c>
      <c r="K86" s="483">
        <f ca="1">INDIRECT("'learning rates'!"&amp;ADDRESS(3+$M86,5))*(IF($M86&lt;7,$G86,$H86))</f>
        <v>0.02</v>
      </c>
      <c r="L86" s="339"/>
      <c r="M86" s="1102">
        <f>N86</f>
        <v>3</v>
      </c>
      <c r="N86" s="1066">
        <v>3</v>
      </c>
      <c r="O86" s="553"/>
      <c r="P86" s="24"/>
      <c r="Q86" s="24"/>
      <c r="R86" s="24"/>
      <c r="S86" s="24"/>
      <c r="T86" s="143"/>
      <c r="U86" s="24"/>
      <c r="V86" s="24"/>
      <c r="W86" s="25"/>
      <c r="AE86" s="340"/>
      <c r="AL86" s="64"/>
    </row>
    <row r="87" spans="3:38" ht="15.75" customHeight="1" thickBot="1" x14ac:dyDescent="0.5">
      <c r="C87" s="17"/>
      <c r="F87" s="339"/>
      <c r="G87" s="339"/>
      <c r="H87" s="339"/>
      <c r="I87" s="339"/>
      <c r="J87" s="339"/>
      <c r="K87" s="339"/>
      <c r="L87" s="339"/>
      <c r="O87" s="553"/>
      <c r="T87" s="17"/>
      <c r="AE87" s="340"/>
      <c r="AL87" s="64"/>
    </row>
    <row r="88" spans="3:38" ht="15.75" customHeight="1" thickBot="1" x14ac:dyDescent="0.5">
      <c r="C88" s="17"/>
      <c r="D88" s="428" t="s">
        <v>75</v>
      </c>
      <c r="E88" s="25"/>
      <c r="F88" s="339"/>
      <c r="G88" s="339"/>
      <c r="H88" s="339"/>
      <c r="I88" s="339"/>
      <c r="J88" s="339"/>
      <c r="K88" s="339"/>
      <c r="L88" s="339"/>
      <c r="O88" s="553"/>
      <c r="P88" s="1209" t="s">
        <v>198</v>
      </c>
      <c r="Q88" s="1210"/>
      <c r="T88" s="17"/>
      <c r="X88" s="163" t="s">
        <v>198</v>
      </c>
      <c r="AE88" s="340"/>
      <c r="AL88" s="64"/>
    </row>
    <row r="89" spans="3:38" ht="15.75" customHeight="1" thickBot="1" x14ac:dyDescent="0.5">
      <c r="C89" s="17"/>
      <c r="D89" s="117" t="s">
        <v>330</v>
      </c>
      <c r="E89" s="24" t="s">
        <v>280</v>
      </c>
      <c r="F89" s="23"/>
      <c r="G89" s="672">
        <v>63</v>
      </c>
      <c r="H89" s="522">
        <f ca="1">INDIRECT("'learning rates'!"&amp;ADDRESS(3+$M89,4))*(IF($M89&lt;7,$G89,$H89))</f>
        <v>34.130215889526575</v>
      </c>
      <c r="I89" s="522">
        <f ca="1">INDIRECT("'learning rates'!"&amp;ADDRESS(3+$M89,5))*(IF($M89&lt;7,$G89,$H89))</f>
        <v>30.562224086756707</v>
      </c>
      <c r="J89" s="522">
        <f ca="1">INDIRECT("'learning rates'!"&amp;ADDRESS(3+$M89,4))*(IF($M89&lt;7,$G89,$H89))</f>
        <v>34.130215889526575</v>
      </c>
      <c r="K89" s="522">
        <f ca="1">INDIRECT("'learning rates'!"&amp;ADDRESS(3+$M89,5))*(IF($M89&lt;7,$G89,$H89))</f>
        <v>30.562224086756707</v>
      </c>
      <c r="L89" s="339"/>
      <c r="M89" s="1102">
        <f>N89</f>
        <v>1</v>
      </c>
      <c r="N89" s="1066">
        <v>1</v>
      </c>
      <c r="O89" s="553"/>
      <c r="P89" s="24"/>
      <c r="Q89" s="219">
        <f>G89/100</f>
        <v>0.63</v>
      </c>
      <c r="R89" s="219">
        <f ca="1">H89/100</f>
        <v>0.34130215889526577</v>
      </c>
      <c r="S89" s="219">
        <f ca="1">I89/100</f>
        <v>0.30562224086756706</v>
      </c>
      <c r="T89" s="637">
        <f ca="1">J89/50</f>
        <v>0.68260431779053155</v>
      </c>
      <c r="U89" s="219">
        <f ca="1">K89/50</f>
        <v>0.61124448173513413</v>
      </c>
      <c r="V89" s="572" t="s">
        <v>8</v>
      </c>
      <c r="W89" s="25"/>
      <c r="X89" s="143" t="s">
        <v>38</v>
      </c>
      <c r="Y89" s="999"/>
      <c r="Z89" s="8">
        <f>Q89+Q94</f>
        <v>0.63</v>
      </c>
      <c r="AA89" s="8">
        <f ca="1">R89+R94</f>
        <v>0.34130215889526577</v>
      </c>
      <c r="AB89" s="8">
        <f ca="1">S89+S94</f>
        <v>0.30562224086756706</v>
      </c>
      <c r="AC89" s="8">
        <f ca="1">T89+T94</f>
        <v>0.68260431779053155</v>
      </c>
      <c r="AD89" s="8">
        <f ca="1">U89+U94</f>
        <v>0.61124448173513413</v>
      </c>
      <c r="AE89" s="572" t="s">
        <v>8</v>
      </c>
      <c r="AL89" s="64"/>
    </row>
    <row r="90" spans="3:38" ht="15.75" customHeight="1" thickBot="1" x14ac:dyDescent="0.5">
      <c r="C90" s="17"/>
      <c r="D90" s="434" t="s">
        <v>76</v>
      </c>
      <c r="E90" s="24" t="s">
        <v>39</v>
      </c>
      <c r="F90" s="23"/>
      <c r="G90" s="669">
        <v>1.18</v>
      </c>
      <c r="H90" s="669">
        <v>0.67</v>
      </c>
      <c r="I90" s="669">
        <v>0.67</v>
      </c>
      <c r="J90" s="669">
        <v>0.67</v>
      </c>
      <c r="K90" s="669">
        <v>0.67</v>
      </c>
      <c r="L90" s="339"/>
      <c r="O90" s="553"/>
      <c r="P90" s="24"/>
      <c r="Q90" s="24"/>
      <c r="R90" s="24"/>
      <c r="S90" s="24"/>
      <c r="T90" s="143"/>
      <c r="U90" s="24"/>
      <c r="V90" s="24"/>
      <c r="W90" s="25"/>
      <c r="X90" s="143" t="s">
        <v>93</v>
      </c>
      <c r="Y90" s="999"/>
      <c r="Z90" s="8">
        <f>Z89*G93</f>
        <v>6.8758533769357782E-2</v>
      </c>
      <c r="AA90" s="8">
        <f ca="1">AA89*H93</f>
        <v>3.7249898441198165E-2</v>
      </c>
      <c r="AB90" s="8">
        <f ca="1">AB89*I93</f>
        <v>3.3355773284697472E-2</v>
      </c>
      <c r="AC90" s="8">
        <f ca="1">AC89*J93</f>
        <v>7.449979688239633E-2</v>
      </c>
      <c r="AD90" s="8">
        <f ca="1">AD89*K93</f>
        <v>6.6711546569394944E-2</v>
      </c>
      <c r="AE90" s="572" t="s">
        <v>91</v>
      </c>
      <c r="AL90" s="64"/>
    </row>
    <row r="91" spans="3:38" ht="15.75" customHeight="1" thickBot="1" x14ac:dyDescent="0.5">
      <c r="C91" s="17"/>
      <c r="D91" s="117" t="s">
        <v>293</v>
      </c>
      <c r="E91" s="24" t="s">
        <v>3</v>
      </c>
      <c r="F91" s="23"/>
      <c r="G91" s="460">
        <f>G19*G90*1000*3.6/365/24/3600</f>
        <v>11.458815232722142</v>
      </c>
      <c r="H91" s="460">
        <f>H19*H90*1000*3.6/365/24/3600</f>
        <v>7.3482651622002848</v>
      </c>
      <c r="I91" s="460">
        <f>I19*I90*1000*3.6/365/24/3600</f>
        <v>8.0371650211565608</v>
      </c>
      <c r="J91" s="460">
        <f>J19*J90*1000*3.6/365/24/3600</f>
        <v>8.845133991537379</v>
      </c>
      <c r="K91" s="460">
        <f>K19*K90*1000*3.6/365/24/3600</f>
        <v>9.6743653032440058</v>
      </c>
      <c r="L91" s="339"/>
      <c r="O91" s="553"/>
      <c r="P91" s="24"/>
      <c r="Q91" s="24"/>
      <c r="R91" s="24"/>
      <c r="S91" s="24"/>
      <c r="T91" s="143"/>
      <c r="U91" s="24"/>
      <c r="V91" s="24"/>
      <c r="W91" s="25"/>
      <c r="X91" s="143" t="s">
        <v>92</v>
      </c>
      <c r="Y91" s="999"/>
      <c r="Z91" s="8">
        <f>G95*Z89*Dist_Maintenance</f>
        <v>1.8428760000000002E-2</v>
      </c>
      <c r="AA91" s="8">
        <f ca="1">H95*AA89*Dist_Maintenance</f>
        <v>9.9837707520043159E-3</v>
      </c>
      <c r="AB91" s="8">
        <f ca="1">I95*AB89*Dist_Maintenance</f>
        <v>8.9400617898580722E-3</v>
      </c>
      <c r="AC91" s="8">
        <f ca="1">J95*AC89*Dist_Maintenance</f>
        <v>1.9967541504008632E-2</v>
      </c>
      <c r="AD91" s="8">
        <f ca="1">K95*AD89*Dist_Maintenance</f>
        <v>1.7880123579716144E-2</v>
      </c>
      <c r="AE91" s="572" t="s">
        <v>91</v>
      </c>
      <c r="AL91" s="64"/>
    </row>
    <row r="92" spans="3:38" ht="15.75" customHeight="1" thickBot="1" x14ac:dyDescent="0.5">
      <c r="C92" s="17"/>
      <c r="D92" s="117" t="s">
        <v>18</v>
      </c>
      <c r="E92" s="24" t="s">
        <v>19</v>
      </c>
      <c r="F92" s="23"/>
      <c r="G92" s="669">
        <v>15</v>
      </c>
      <c r="H92" s="669">
        <v>15</v>
      </c>
      <c r="I92" s="669">
        <v>15</v>
      </c>
      <c r="J92" s="669">
        <v>15</v>
      </c>
      <c r="K92" s="669">
        <v>15</v>
      </c>
      <c r="L92" s="339"/>
      <c r="O92" s="553"/>
      <c r="P92" s="24"/>
      <c r="Q92" s="24"/>
      <c r="R92" s="24"/>
      <c r="S92" s="24"/>
      <c r="T92" s="143"/>
      <c r="U92" s="24"/>
      <c r="V92" s="24"/>
      <c r="W92" s="25"/>
      <c r="X92" s="1"/>
      <c r="Y92" s="1"/>
      <c r="Z92" s="73"/>
      <c r="AA92" s="73"/>
      <c r="AB92" s="73"/>
      <c r="AC92" s="73"/>
      <c r="AD92" s="73"/>
      <c r="AE92" s="1150"/>
      <c r="AG92" t="s">
        <v>531</v>
      </c>
      <c r="AL92" s="64"/>
    </row>
    <row r="93" spans="3:38" ht="15.75" customHeight="1" thickBot="1" x14ac:dyDescent="0.5">
      <c r="C93" s="17"/>
      <c r="D93" s="144" t="s">
        <v>310</v>
      </c>
      <c r="E93" s="92" t="s">
        <v>24</v>
      </c>
      <c r="F93" s="529"/>
      <c r="G93" s="530">
        <f>F314</f>
        <v>0.10914052979263139</v>
      </c>
      <c r="H93" s="530">
        <f>G314</f>
        <v>0.10914052979263139</v>
      </c>
      <c r="I93" s="530">
        <f>H314</f>
        <v>0.10914052979263139</v>
      </c>
      <c r="J93" s="530">
        <f>I314</f>
        <v>0.10914052979263139</v>
      </c>
      <c r="K93" s="530">
        <f>J314</f>
        <v>0.10914052979263139</v>
      </c>
      <c r="L93" s="339"/>
      <c r="O93" s="553"/>
      <c r="P93" s="24"/>
      <c r="Q93" s="24"/>
      <c r="R93" s="24"/>
      <c r="S93" s="24"/>
      <c r="T93" s="143"/>
      <c r="U93" s="24"/>
      <c r="V93" s="24"/>
      <c r="W93" s="25"/>
      <c r="X93" s="1"/>
      <c r="Y93" s="1"/>
      <c r="Z93" s="73"/>
      <c r="AA93" s="73"/>
      <c r="AB93" s="73"/>
      <c r="AC93" s="73"/>
      <c r="AD93" s="73"/>
      <c r="AE93" s="1150"/>
      <c r="AL93" s="64"/>
    </row>
    <row r="94" spans="3:38" ht="15.75" customHeight="1" thickBot="1" x14ac:dyDescent="0.5">
      <c r="C94" s="17"/>
      <c r="D94" s="145" t="s">
        <v>244</v>
      </c>
      <c r="E94" s="143" t="s">
        <v>280</v>
      </c>
      <c r="F94" s="23"/>
      <c r="G94" s="701">
        <v>0</v>
      </c>
      <c r="H94" s="522">
        <f ca="1">INDIRECT("'learning rates'!"&amp;ADDRESS(3+$M94,4))*(IF($M94&lt;7,$G94,$H94))</f>
        <v>0</v>
      </c>
      <c r="I94" s="522">
        <f ca="1">INDIRECT("'learning rates'!"&amp;ADDRESS(3+$M94,5))*(IF($M94&lt;7,$G94,$H94))</f>
        <v>0</v>
      </c>
      <c r="J94" s="522">
        <f ca="1">INDIRECT("'learning rates'!"&amp;ADDRESS(3+$M94,4))*(IF($M94&lt;7,$G94,$H94))</f>
        <v>0</v>
      </c>
      <c r="K94" s="522">
        <f ca="1">INDIRECT("'learning rates'!"&amp;ADDRESS(3+$M94,5))*(IF($M94&lt;7,$G94,$H94))</f>
        <v>0</v>
      </c>
      <c r="L94" s="339"/>
      <c r="M94" s="1102">
        <f>N94</f>
        <v>2</v>
      </c>
      <c r="N94" s="1066">
        <v>2</v>
      </c>
      <c r="O94" s="553"/>
      <c r="P94" s="24"/>
      <c r="Q94" s="24">
        <f>G94/100</f>
        <v>0</v>
      </c>
      <c r="R94" s="24">
        <f ca="1">H94/100</f>
        <v>0</v>
      </c>
      <c r="S94" s="24">
        <f ca="1">I94/100</f>
        <v>0</v>
      </c>
      <c r="T94" s="143">
        <f ca="1">J94/50</f>
        <v>0</v>
      </c>
      <c r="U94" s="24">
        <f ca="1">K94/50</f>
        <v>0</v>
      </c>
      <c r="V94" s="572" t="s">
        <v>8</v>
      </c>
      <c r="W94" s="25"/>
      <c r="AL94" s="64"/>
    </row>
    <row r="95" spans="3:38" ht="15.75" customHeight="1" thickBot="1" x14ac:dyDescent="0.5">
      <c r="C95" s="17"/>
      <c r="D95" s="144" t="s">
        <v>274</v>
      </c>
      <c r="E95" s="24" t="s">
        <v>74</v>
      </c>
      <c r="F95" s="486"/>
      <c r="G95" s="671">
        <v>0.02</v>
      </c>
      <c r="H95" s="483">
        <f ca="1">INDIRECT("'learning rates'!"&amp;ADDRESS(3+$M95,4))*(IF($M95&lt;7,$G95,$H95))</f>
        <v>0.02</v>
      </c>
      <c r="I95" s="483">
        <f ca="1">INDIRECT("'learning rates'!"&amp;ADDRESS(3+$M95,5))*(IF($M95&lt;7,$G95,$H95))</f>
        <v>0.02</v>
      </c>
      <c r="J95" s="483">
        <f ca="1">INDIRECT("'learning rates'!"&amp;ADDRESS(3+$M95,4))*(IF($M95&lt;7,$G95,$H95))</f>
        <v>0.02</v>
      </c>
      <c r="K95" s="483">
        <f ca="1">INDIRECT("'learning rates'!"&amp;ADDRESS(3+$M95,5))*(IF($M95&lt;7,$G95,$H95))</f>
        <v>0.02</v>
      </c>
      <c r="L95" s="339"/>
      <c r="M95" s="1102">
        <f>N95</f>
        <v>3</v>
      </c>
      <c r="N95" s="1066">
        <v>3</v>
      </c>
      <c r="O95" s="553"/>
      <c r="P95" s="24"/>
      <c r="Q95" s="24"/>
      <c r="R95" s="24"/>
      <c r="S95" s="24"/>
      <c r="T95" s="143"/>
      <c r="U95" s="24"/>
      <c r="V95" s="24"/>
      <c r="W95" s="25"/>
      <c r="AE95" s="340"/>
      <c r="AL95" s="64"/>
    </row>
    <row r="96" spans="3:38" ht="15.75" customHeight="1" thickBot="1" x14ac:dyDescent="0.5">
      <c r="C96" s="17"/>
      <c r="D96" s="244"/>
      <c r="E96" s="25"/>
      <c r="F96" s="339"/>
      <c r="G96" s="339"/>
      <c r="H96" s="339"/>
      <c r="I96" s="339"/>
      <c r="J96" s="339"/>
      <c r="K96" s="339"/>
      <c r="L96" s="339"/>
      <c r="O96" s="553"/>
      <c r="T96" s="17"/>
      <c r="AE96" s="340"/>
      <c r="AL96" s="64"/>
    </row>
    <row r="97" spans="3:38" ht="15.75" customHeight="1" thickBot="1" x14ac:dyDescent="0.5">
      <c r="C97" s="17"/>
      <c r="D97" s="428" t="s">
        <v>71</v>
      </c>
      <c r="E97" s="25"/>
      <c r="F97" s="339"/>
      <c r="G97" s="339"/>
      <c r="H97" s="339"/>
      <c r="I97" s="339"/>
      <c r="J97" s="339"/>
      <c r="K97" s="339"/>
      <c r="L97" s="339"/>
      <c r="O97" s="553"/>
      <c r="P97" s="1209" t="s">
        <v>254</v>
      </c>
      <c r="Q97" s="1210"/>
      <c r="T97" s="17"/>
      <c r="X97" s="428" t="s">
        <v>254</v>
      </c>
      <c r="AE97" s="340"/>
      <c r="AL97" s="64"/>
    </row>
    <row r="98" spans="3:38" ht="15.75" customHeight="1" thickBot="1" x14ac:dyDescent="0.5">
      <c r="C98" s="17"/>
      <c r="D98" s="145" t="s">
        <v>256</v>
      </c>
      <c r="E98" s="346" t="s">
        <v>50</v>
      </c>
      <c r="F98" s="23"/>
      <c r="G98" s="669">
        <v>10</v>
      </c>
      <c r="H98" s="23">
        <v>10</v>
      </c>
      <c r="I98" s="23">
        <v>10</v>
      </c>
      <c r="J98" s="23">
        <v>10</v>
      </c>
      <c r="K98" s="23">
        <v>10</v>
      </c>
      <c r="L98" s="339"/>
      <c r="O98" s="553"/>
      <c r="P98" s="24"/>
      <c r="Q98" s="24"/>
      <c r="R98" s="24"/>
      <c r="S98" s="24"/>
      <c r="T98" s="143"/>
      <c r="U98" s="24"/>
      <c r="V98" s="24"/>
      <c r="W98" s="25"/>
      <c r="X98" s="24" t="s">
        <v>38</v>
      </c>
      <c r="Y98" s="568"/>
      <c r="Z98" s="568">
        <f>SUM(Q101:Q102)</f>
        <v>3.1440483168000002</v>
      </c>
      <c r="AA98" s="568">
        <f ca="1">SUM(R101:R102)</f>
        <v>2.1309220089238163</v>
      </c>
      <c r="AB98" s="568">
        <f ca="1">SUM(S101:S102)</f>
        <v>1.3562068555299434</v>
      </c>
      <c r="AC98" s="568">
        <f ca="1">SUM(T101:T102)</f>
        <v>3.962708625148843</v>
      </c>
      <c r="AD98" s="568">
        <f ca="1">SUM(U101:U102)</f>
        <v>2.5220315813475809</v>
      </c>
      <c r="AE98" s="572" t="s">
        <v>8</v>
      </c>
      <c r="AL98" s="64"/>
    </row>
    <row r="99" spans="3:38" ht="15.75" customHeight="1" thickBot="1" x14ac:dyDescent="0.5">
      <c r="C99" s="17"/>
      <c r="D99" s="145" t="s">
        <v>140</v>
      </c>
      <c r="E99" s="24" t="s">
        <v>36</v>
      </c>
      <c r="F99" s="23"/>
      <c r="G99" s="669">
        <v>10</v>
      </c>
      <c r="H99" s="23">
        <v>10</v>
      </c>
      <c r="I99" s="23">
        <v>10</v>
      </c>
      <c r="J99" s="23">
        <v>10</v>
      </c>
      <c r="K99" s="23">
        <v>10</v>
      </c>
      <c r="L99" s="339"/>
      <c r="O99" s="553"/>
      <c r="P99" s="24"/>
      <c r="Q99" s="24"/>
      <c r="R99" s="24"/>
      <c r="S99" s="24"/>
      <c r="T99" s="143"/>
      <c r="U99" s="24"/>
      <c r="V99" s="24"/>
      <c r="W99" s="25"/>
      <c r="X99" s="24" t="s">
        <v>86</v>
      </c>
      <c r="Y99" s="568"/>
      <c r="Z99" s="568">
        <f>Z98*F10</f>
        <v>0.25227528128778026</v>
      </c>
      <c r="AA99" s="568">
        <f ca="1">AA98*G10</f>
        <v>0.17098304320931151</v>
      </c>
      <c r="AB99" s="568">
        <f ca="1">AB98*H10</f>
        <v>0.10443856891816548</v>
      </c>
      <c r="AC99" s="568">
        <f ca="1">AC98*I10</f>
        <v>0.30515965625944202</v>
      </c>
      <c r="AD99" s="568">
        <f ca="1">AD98*J10</f>
        <v>0.19421622007612963</v>
      </c>
      <c r="AE99" s="572" t="s">
        <v>91</v>
      </c>
      <c r="AL99" s="64"/>
    </row>
    <row r="100" spans="3:38" ht="15.75" customHeight="1" thickBot="1" x14ac:dyDescent="0.5">
      <c r="C100" s="17"/>
      <c r="D100" s="145" t="s">
        <v>272</v>
      </c>
      <c r="E100" s="24" t="s">
        <v>273</v>
      </c>
      <c r="F100" s="23"/>
      <c r="G100" s="669">
        <v>67.569999999999993</v>
      </c>
      <c r="H100" s="550">
        <f ca="1">INDIRECT("'learning rates'!"&amp;ADDRESS(3+$M100,4))*(IF($M100&lt;7,G100,H100))</f>
        <v>45.796497265516287</v>
      </c>
      <c r="I100" s="550">
        <f ca="1">INDIRECT("'learning rates'!"&amp;ADDRESS(3+$M100,5))*(IF($M100&lt;7,H100,I100))</f>
        <v>29.146784016801611</v>
      </c>
      <c r="J100" s="550">
        <f ca="1">INDIRECT("'learning rates'!"&amp;ADDRESS(3+$M100,4))*(IF($M100&lt;7,G100,H100))</f>
        <v>45.796497265516287</v>
      </c>
      <c r="K100" s="550">
        <f ca="1">INDIRECT("'learning rates'!"&amp;ADDRESS(3+$M100,5))*(IF($M100&lt;7,J100,K100))</f>
        <v>29.146784016801611</v>
      </c>
      <c r="L100" s="339"/>
      <c r="M100" s="1102">
        <f>N100</f>
        <v>2</v>
      </c>
      <c r="N100" s="1066">
        <v>2</v>
      </c>
      <c r="O100" s="553"/>
      <c r="P100" s="24"/>
      <c r="Q100" s="24"/>
      <c r="R100" s="24"/>
      <c r="S100" s="24"/>
      <c r="T100" s="143"/>
      <c r="U100" s="24"/>
      <c r="V100" s="24"/>
      <c r="W100" s="25"/>
      <c r="X100" s="24" t="s">
        <v>92</v>
      </c>
      <c r="Y100" s="568"/>
      <c r="Z100" s="568">
        <f>G104*Z98*Dist_Maintenance</f>
        <v>9.1969701363033604E-2</v>
      </c>
      <c r="AA100" s="568">
        <f ca="1">H104*AA98*Dist_Maintenance</f>
        <v>6.2333730605039481E-2</v>
      </c>
      <c r="AB100" s="568">
        <f ca="1">I104*AB98*Dist_Maintenance</f>
        <v>3.9671762937961902E-2</v>
      </c>
      <c r="AC100" s="568">
        <f ca="1">J104*AC98*Dist_Maintenance</f>
        <v>0.11591715270285398</v>
      </c>
      <c r="AD100" s="568">
        <f ca="1">K104*AD98*Dist_Maintenance</f>
        <v>7.3774467817579445E-2</v>
      </c>
      <c r="AE100" s="572" t="s">
        <v>91</v>
      </c>
      <c r="AL100" s="64"/>
    </row>
    <row r="101" spans="3:38" ht="15.75" customHeight="1" thickBot="1" x14ac:dyDescent="0.5">
      <c r="C101" s="17"/>
      <c r="D101" s="216" t="s">
        <v>134</v>
      </c>
      <c r="E101" s="24" t="s">
        <v>73</v>
      </c>
      <c r="F101" s="219"/>
      <c r="G101" s="451">
        <f>12*G100/1000</f>
        <v>0.81083999999999989</v>
      </c>
      <c r="H101" s="451">
        <f ca="1">12*H100/1000</f>
        <v>0.54955796718619543</v>
      </c>
      <c r="I101" s="451">
        <f ca="1">12*I100/1000</f>
        <v>0.34976140820161938</v>
      </c>
      <c r="J101" s="451">
        <f ca="1">12*J100/1000</f>
        <v>0.54955796718619543</v>
      </c>
      <c r="K101" s="451">
        <f ca="1">12*K100/1000</f>
        <v>0.34976140820161938</v>
      </c>
      <c r="L101" s="339"/>
      <c r="O101" s="553"/>
      <c r="P101" s="24"/>
      <c r="Q101" s="8">
        <f>G101*G124/100</f>
        <v>0.99045727679999973</v>
      </c>
      <c r="R101" s="8">
        <f ca="1">H101*H124/100</f>
        <v>0.67129604807728138</v>
      </c>
      <c r="S101" s="8">
        <f ca="1">I101*I124/100</f>
        <v>0.42724055534644206</v>
      </c>
      <c r="T101" s="1062">
        <f ca="1">J101*J124/50</f>
        <v>1.0434567034557729</v>
      </c>
      <c r="U101" s="8">
        <f ca="1">K101*K124/50</f>
        <v>0.66409898098057862</v>
      </c>
      <c r="V101" s="572" t="s">
        <v>8</v>
      </c>
      <c r="W101" s="25"/>
      <c r="AE101" s="340"/>
      <c r="AL101" s="64"/>
    </row>
    <row r="102" spans="3:38" ht="15.75" customHeight="1" thickBot="1" x14ac:dyDescent="0.5">
      <c r="C102" s="17"/>
      <c r="D102" s="117" t="s">
        <v>141</v>
      </c>
      <c r="E102" s="24" t="s">
        <v>73</v>
      </c>
      <c r="F102" s="8"/>
      <c r="G102" s="289">
        <f>48*G100/1000</f>
        <v>3.2433599999999996</v>
      </c>
      <c r="H102" s="289">
        <f ca="1">48*H100/1000</f>
        <v>2.1982318687447817</v>
      </c>
      <c r="I102" s="289">
        <f ca="1">48*I100/1000</f>
        <v>1.3990456328064775</v>
      </c>
      <c r="J102" s="289">
        <f ca="1">48*J100/1000</f>
        <v>2.1982318687447817</v>
      </c>
      <c r="K102" s="289">
        <f ca="1">48*K100/1000</f>
        <v>1.3990456328064775</v>
      </c>
      <c r="L102" s="339"/>
      <c r="O102" s="553"/>
      <c r="P102" s="24"/>
      <c r="Q102" s="8">
        <f>G102*G126/100</f>
        <v>2.1535910400000002</v>
      </c>
      <c r="R102" s="8">
        <f ca="1">H102*H126/100</f>
        <v>1.4596259608465352</v>
      </c>
      <c r="S102" s="8">
        <f ca="1">I102*I126/100</f>
        <v>0.92896630018350124</v>
      </c>
      <c r="T102" s="1062">
        <f ca="1">J102*J126/50</f>
        <v>2.9192519216930704</v>
      </c>
      <c r="U102" s="8">
        <f ca="1">K102*K126/50</f>
        <v>1.8579326003670025</v>
      </c>
      <c r="V102" s="572" t="s">
        <v>8</v>
      </c>
      <c r="W102" s="25"/>
      <c r="AE102" s="340"/>
      <c r="AL102" s="64"/>
    </row>
    <row r="103" spans="3:38" ht="15.75" customHeight="1" thickBot="1" x14ac:dyDescent="0.5">
      <c r="C103" s="17"/>
      <c r="D103" s="117" t="s">
        <v>362</v>
      </c>
      <c r="E103" s="24" t="s">
        <v>281</v>
      </c>
      <c r="F103" s="441"/>
      <c r="G103" s="1061">
        <v>0.02</v>
      </c>
      <c r="H103" s="637">
        <v>0.02</v>
      </c>
      <c r="I103" s="637">
        <v>0.02</v>
      </c>
      <c r="J103" s="637">
        <v>0.02</v>
      </c>
      <c r="K103" s="637">
        <v>0.02</v>
      </c>
      <c r="L103" s="339"/>
      <c r="O103" s="553"/>
      <c r="P103" s="24"/>
      <c r="Q103" s="24"/>
      <c r="R103" s="24"/>
      <c r="S103" s="24"/>
      <c r="T103" s="143"/>
      <c r="U103" s="24"/>
      <c r="V103" s="24"/>
      <c r="W103" s="25"/>
      <c r="AE103" s="340"/>
      <c r="AL103" s="64"/>
    </row>
    <row r="104" spans="3:38" ht="15.75" customHeight="1" thickBot="1" x14ac:dyDescent="0.5">
      <c r="C104" s="17"/>
      <c r="D104" s="144" t="s">
        <v>274</v>
      </c>
      <c r="E104" s="24" t="s">
        <v>74</v>
      </c>
      <c r="F104" s="483"/>
      <c r="G104" s="666">
        <v>0.02</v>
      </c>
      <c r="H104" s="520">
        <f ca="1">INDIRECT("'learning rates'!"&amp;ADDRESS(3+$M104,4))*(IF($M104&lt;7,G104,H104))</f>
        <v>0.02</v>
      </c>
      <c r="I104" s="520">
        <f ca="1">INDIRECT("'learning rates'!"&amp;ADDRESS(3+$M104,4))*(IF($M104&lt;7,H104,I104))</f>
        <v>0.02</v>
      </c>
      <c r="J104" s="520">
        <f ca="1">INDIRECT("'learning rates'!"&amp;ADDRESS(3+$M104,4))*(IF($M104&lt;7,I104,J104))</f>
        <v>0.02</v>
      </c>
      <c r="K104" s="520">
        <f ca="1">INDIRECT("'learning rates'!"&amp;ADDRESS(3+$M104,4))*(IF($M104&lt;7,J104,K104))</f>
        <v>0.02</v>
      </c>
      <c r="L104" s="339"/>
      <c r="M104" s="1102">
        <f>N104</f>
        <v>3</v>
      </c>
      <c r="N104" s="1066">
        <v>3</v>
      </c>
      <c r="O104" s="553"/>
      <c r="P104" s="24"/>
      <c r="Q104" s="24"/>
      <c r="R104" s="24"/>
      <c r="S104" s="24"/>
      <c r="T104" s="143"/>
      <c r="U104" s="24"/>
      <c r="V104" s="24"/>
      <c r="W104" s="25"/>
      <c r="AE104" s="340"/>
      <c r="AL104" s="64"/>
    </row>
    <row r="105" spans="3:38" ht="15.75" customHeight="1" thickBot="1" x14ac:dyDescent="0.5">
      <c r="C105" s="17"/>
      <c r="D105" s="25"/>
      <c r="E105" s="25"/>
      <c r="F105" s="339"/>
      <c r="G105" s="339"/>
      <c r="H105" s="339"/>
      <c r="I105" s="339"/>
      <c r="J105" s="339"/>
      <c r="K105" s="339"/>
      <c r="L105" s="339"/>
      <c r="T105" s="17"/>
      <c r="AL105" s="64"/>
    </row>
    <row r="106" spans="3:38" ht="14.65" thickBot="1" x14ac:dyDescent="0.5">
      <c r="C106" s="17"/>
      <c r="D106" s="163" t="s">
        <v>23</v>
      </c>
      <c r="E106" s="25"/>
      <c r="F106" s="339"/>
      <c r="G106" s="339"/>
      <c r="H106" s="339"/>
      <c r="I106" s="339"/>
      <c r="J106" s="339"/>
      <c r="K106" s="339"/>
      <c r="L106" s="339"/>
      <c r="T106" s="17"/>
      <c r="AL106" s="64"/>
    </row>
    <row r="107" spans="3:38" ht="14.65" thickBot="1" x14ac:dyDescent="0.5">
      <c r="C107" s="17"/>
      <c r="D107" s="144" t="s">
        <v>307</v>
      </c>
      <c r="E107" s="71"/>
      <c r="F107" s="707">
        <v>0.09</v>
      </c>
      <c r="G107" s="670">
        <v>0.09</v>
      </c>
      <c r="H107" s="483">
        <f ca="1">INDIRECT("'learning rates'!"&amp;ADDRESS(3+$M107,4))*(IF($M107&lt;7,G107,H107))</f>
        <v>0.09</v>
      </c>
      <c r="I107" s="802">
        <f ca="1">INDIRECT("'learning rates'!"&amp;ADDRESS(3+$M107,4))*(IF($M107&lt;7,H107,I107))</f>
        <v>0.09</v>
      </c>
      <c r="J107" s="802">
        <f ca="1">INDIRECT("'learning rates'!"&amp;ADDRESS(3+$M107,4))*(IF($M107&lt;7,I107,J107))</f>
        <v>0.09</v>
      </c>
      <c r="K107" s="802">
        <f ca="1">INDIRECT("'learning rates'!"&amp;ADDRESS(3+$M107,4))*(IF($M107&lt;7,J107,K107))</f>
        <v>0.09</v>
      </c>
      <c r="L107" s="339"/>
      <c r="M107" s="1102">
        <f>N107</f>
        <v>3</v>
      </c>
      <c r="N107" s="1101">
        <v>3</v>
      </c>
      <c r="T107" s="17"/>
      <c r="AL107" s="64"/>
    </row>
    <row r="108" spans="3:38" ht="14.65" thickBot="1" x14ac:dyDescent="0.5">
      <c r="C108" s="17"/>
      <c r="E108" s="25"/>
      <c r="F108" s="339"/>
      <c r="G108" s="339"/>
      <c r="H108" s="339"/>
      <c r="I108" s="339"/>
      <c r="J108" s="339"/>
      <c r="K108" s="339"/>
      <c r="L108" s="339"/>
      <c r="AL108" s="64"/>
    </row>
    <row r="109" spans="3:38" s="992" customFormat="1" ht="14.65" thickBot="1" x14ac:dyDescent="0.5">
      <c r="C109" s="17"/>
      <c r="D109" s="163" t="s">
        <v>533</v>
      </c>
      <c r="E109" s="25"/>
      <c r="F109" s="715"/>
      <c r="G109" s="715"/>
      <c r="H109" s="715"/>
      <c r="I109" s="715"/>
      <c r="J109" s="715"/>
      <c r="K109" s="715"/>
      <c r="L109" s="715"/>
      <c r="N109" s="340"/>
      <c r="AL109" s="64"/>
    </row>
    <row r="110" spans="3:38" s="992" customFormat="1" ht="14.65" thickBot="1" x14ac:dyDescent="0.5">
      <c r="C110" s="1234" t="s">
        <v>534</v>
      </c>
      <c r="D110" s="144" t="s">
        <v>374</v>
      </c>
      <c r="E110" s="430" t="s">
        <v>41</v>
      </c>
      <c r="F110" s="637">
        <v>7.6604736349251981E-2</v>
      </c>
      <c r="G110" s="637">
        <v>7.452278978909288E-2</v>
      </c>
      <c r="H110" s="637">
        <v>5.0995659750565275E-2</v>
      </c>
      <c r="I110" s="637">
        <v>4.7697592081285371E-2</v>
      </c>
      <c r="J110" s="637">
        <v>3.5208353762772933E-2</v>
      </c>
      <c r="K110" s="637">
        <v>3.1414466742222091E-2</v>
      </c>
      <c r="L110" s="715"/>
      <c r="N110" s="340"/>
      <c r="AL110" s="64"/>
    </row>
    <row r="111" spans="3:38" s="992" customFormat="1" ht="14.65" thickBot="1" x14ac:dyDescent="0.5">
      <c r="C111" s="1235"/>
      <c r="D111" s="145" t="s">
        <v>96</v>
      </c>
      <c r="E111" s="430" t="s">
        <v>41</v>
      </c>
      <c r="F111" s="74"/>
      <c r="G111" s="74"/>
      <c r="H111" s="637">
        <v>6.7678470653748532E-2</v>
      </c>
      <c r="I111" s="637">
        <v>4.0042731392385372E-2</v>
      </c>
      <c r="J111" s="637">
        <v>4.7160321947134341E-2</v>
      </c>
      <c r="K111" s="637">
        <v>2.8720601506999181E-2</v>
      </c>
      <c r="L111" s="715"/>
      <c r="N111" s="340"/>
      <c r="AL111" s="64"/>
    </row>
    <row r="112" spans="3:38" s="992" customFormat="1" ht="14.65" thickBot="1" x14ac:dyDescent="0.5">
      <c r="C112" s="1236" t="s">
        <v>535</v>
      </c>
      <c r="D112" s="144" t="s">
        <v>374</v>
      </c>
      <c r="E112" s="430" t="s">
        <v>41</v>
      </c>
      <c r="F112" s="637">
        <v>0.14188009220703146</v>
      </c>
      <c r="G112" s="637">
        <v>0.13976915862163736</v>
      </c>
      <c r="H112" s="637">
        <v>9.1392821234077062E-2</v>
      </c>
      <c r="I112" s="637">
        <v>8.5629157979281667E-2</v>
      </c>
      <c r="J112" s="637">
        <v>6.8650256948515648E-2</v>
      </c>
      <c r="K112" s="637">
        <v>6.2795419826552901E-2</v>
      </c>
      <c r="L112" s="715"/>
      <c r="N112" s="340"/>
      <c r="AL112" s="64"/>
    </row>
    <row r="113" spans="3:38" s="992" customFormat="1" ht="14.65" thickBot="1" x14ac:dyDescent="0.5">
      <c r="C113" s="1237"/>
      <c r="D113" s="145" t="s">
        <v>96</v>
      </c>
      <c r="E113" s="430" t="s">
        <v>41</v>
      </c>
      <c r="F113" s="74"/>
      <c r="G113" s="74"/>
      <c r="H113" s="637">
        <v>0.10830790758077777</v>
      </c>
      <c r="I113" s="637">
        <v>7.7867718358815702E-2</v>
      </c>
      <c r="J113" s="637">
        <v>8.076212716866453E-2</v>
      </c>
      <c r="K113" s="637">
        <v>6.0065514122630212E-2</v>
      </c>
      <c r="L113" s="715"/>
      <c r="N113" s="340"/>
      <c r="AL113" s="64"/>
    </row>
    <row r="114" spans="3:38" s="992" customFormat="1" x14ac:dyDescent="0.45">
      <c r="C114" s="17"/>
      <c r="E114" s="25"/>
      <c r="F114" s="715"/>
      <c r="G114" s="715"/>
      <c r="H114" s="715"/>
      <c r="I114" s="715"/>
      <c r="J114" s="715"/>
      <c r="K114" s="715"/>
      <c r="L114" s="715"/>
      <c r="N114" s="340"/>
      <c r="AL114" s="64"/>
    </row>
    <row r="115" spans="3:38" ht="14.65" thickBot="1" x14ac:dyDescent="0.5">
      <c r="C115" s="17"/>
      <c r="E115" s="25"/>
      <c r="L115" s="339"/>
      <c r="AL115" s="64"/>
    </row>
    <row r="116" spans="3:38" ht="14.65" thickBot="1" x14ac:dyDescent="0.5">
      <c r="C116" s="17"/>
      <c r="E116" s="25"/>
      <c r="F116" s="1177" t="s">
        <v>7</v>
      </c>
      <c r="G116" s="1182"/>
      <c r="H116" s="1182"/>
      <c r="I116" s="1178"/>
      <c r="J116" s="1182" t="s">
        <v>31</v>
      </c>
      <c r="K116" s="1178"/>
      <c r="L116" s="339"/>
      <c r="AL116" s="64"/>
    </row>
    <row r="117" spans="3:38" ht="28.9" thickBot="1" x14ac:dyDescent="0.5">
      <c r="C117" s="17"/>
      <c r="E117" s="25"/>
      <c r="F117" s="490" t="s">
        <v>130</v>
      </c>
      <c r="G117" s="139" t="s">
        <v>66</v>
      </c>
      <c r="H117" s="424">
        <v>2035</v>
      </c>
      <c r="I117" s="403">
        <v>2050</v>
      </c>
      <c r="J117" s="251">
        <v>2035</v>
      </c>
      <c r="K117" s="251">
        <v>2050</v>
      </c>
      <c r="L117" s="339"/>
      <c r="AL117" s="64"/>
    </row>
    <row r="118" spans="3:38" ht="14.65" thickBot="1" x14ac:dyDescent="0.5">
      <c r="C118" s="17"/>
      <c r="D118" s="181" t="s">
        <v>257</v>
      </c>
      <c r="E118" s="1"/>
      <c r="F118" s="399"/>
      <c r="G118" s="399"/>
      <c r="H118" s="321"/>
      <c r="I118" s="339"/>
      <c r="S118" s="25"/>
      <c r="T118" s="25"/>
      <c r="U118" s="25"/>
      <c r="V118" s="25"/>
      <c r="W118" s="25"/>
      <c r="AL118" s="64"/>
    </row>
    <row r="119" spans="3:38" x14ac:dyDescent="0.45">
      <c r="C119" s="17"/>
      <c r="D119" s="246" t="s">
        <v>267</v>
      </c>
      <c r="E119" s="14" t="s">
        <v>36</v>
      </c>
      <c r="F119" s="390">
        <f t="shared" ref="F119:K119" si="31">F23*F22/1000</f>
        <v>1.1479999999999999</v>
      </c>
      <c r="G119" s="390">
        <f t="shared" si="31"/>
        <v>1.1479999999999999</v>
      </c>
      <c r="H119" s="387">
        <f t="shared" si="31"/>
        <v>1.1479999999999999</v>
      </c>
      <c r="I119" s="390">
        <f t="shared" si="31"/>
        <v>1.1479999999999999</v>
      </c>
      <c r="J119" s="390">
        <f t="shared" si="31"/>
        <v>1.764</v>
      </c>
      <c r="K119" s="387">
        <f t="shared" si="31"/>
        <v>1.764</v>
      </c>
      <c r="S119" s="25"/>
      <c r="T119" s="25"/>
      <c r="U119" s="25"/>
      <c r="V119" s="25"/>
      <c r="W119" s="25"/>
      <c r="AL119" s="64"/>
    </row>
    <row r="120" spans="3:38" x14ac:dyDescent="0.45">
      <c r="C120" s="17"/>
      <c r="D120" s="247" t="s">
        <v>270</v>
      </c>
      <c r="E120" s="444" t="s">
        <v>50</v>
      </c>
      <c r="F120" s="80">
        <f>'Matlab Export'!E9</f>
        <v>10</v>
      </c>
      <c r="G120" s="408">
        <f>$F$120</f>
        <v>10</v>
      </c>
      <c r="H120" s="408">
        <f>$F$120</f>
        <v>10</v>
      </c>
      <c r="I120" s="408">
        <f>$F$120</f>
        <v>10</v>
      </c>
      <c r="J120" s="408">
        <f>$F$120</f>
        <v>10</v>
      </c>
      <c r="K120" s="408">
        <f>$F$120</f>
        <v>10</v>
      </c>
      <c r="S120" s="25"/>
      <c r="T120" s="25"/>
      <c r="U120" s="25"/>
      <c r="V120" s="25"/>
      <c r="W120" s="25"/>
      <c r="AL120" s="64"/>
    </row>
    <row r="121" spans="3:38" x14ac:dyDescent="0.45">
      <c r="C121" s="17"/>
      <c r="D121" s="247" t="s">
        <v>269</v>
      </c>
      <c r="E121" s="444" t="s">
        <v>50</v>
      </c>
      <c r="F121" s="80">
        <f>100/F120</f>
        <v>10</v>
      </c>
      <c r="G121" s="80">
        <f>100/G120</f>
        <v>10</v>
      </c>
      <c r="H121" s="408">
        <f>100/H120</f>
        <v>10</v>
      </c>
      <c r="I121" s="80">
        <f>100/I120</f>
        <v>10</v>
      </c>
      <c r="J121" s="408">
        <f>50/J120</f>
        <v>5</v>
      </c>
      <c r="K121" s="408">
        <f>50/K120</f>
        <v>5</v>
      </c>
      <c r="S121" s="25"/>
      <c r="T121" s="25"/>
      <c r="U121" s="25"/>
      <c r="V121" s="25"/>
      <c r="W121" s="25"/>
      <c r="AL121" s="64"/>
    </row>
    <row r="122" spans="3:38" x14ac:dyDescent="0.45">
      <c r="C122" s="17"/>
      <c r="D122" s="26" t="s">
        <v>264</v>
      </c>
      <c r="E122" s="38" t="s">
        <v>36</v>
      </c>
      <c r="F122" s="49">
        <f t="shared" ref="F122:K122" si="32">(F120-1)*F119*F121+(F121-1)*F119</f>
        <v>113.65199999999999</v>
      </c>
      <c r="G122" s="49">
        <f t="shared" si="32"/>
        <v>113.65199999999999</v>
      </c>
      <c r="H122" s="34">
        <f t="shared" si="32"/>
        <v>113.65199999999999</v>
      </c>
      <c r="I122" s="49">
        <f t="shared" si="32"/>
        <v>113.65199999999999</v>
      </c>
      <c r="J122" s="49">
        <f t="shared" si="32"/>
        <v>86.435999999999993</v>
      </c>
      <c r="K122" s="34">
        <f t="shared" si="32"/>
        <v>86.435999999999993</v>
      </c>
      <c r="S122" s="25"/>
      <c r="T122" s="25"/>
      <c r="U122" s="25"/>
      <c r="V122" s="25"/>
      <c r="W122" s="25"/>
      <c r="AL122" s="64"/>
    </row>
    <row r="123" spans="3:38" x14ac:dyDescent="0.45">
      <c r="C123" s="17"/>
      <c r="D123" s="26" t="s">
        <v>265</v>
      </c>
      <c r="E123" s="38" t="s">
        <v>36</v>
      </c>
      <c r="F123" s="15">
        <f t="shared" ref="F123:K123" si="33">100*F6/1000</f>
        <v>8.5</v>
      </c>
      <c r="G123" s="15">
        <f t="shared" si="33"/>
        <v>8.5</v>
      </c>
      <c r="H123" s="27">
        <f t="shared" si="33"/>
        <v>8.5</v>
      </c>
      <c r="I123" s="15">
        <f t="shared" si="33"/>
        <v>8.5</v>
      </c>
      <c r="J123" s="15">
        <f t="shared" si="33"/>
        <v>8.5</v>
      </c>
      <c r="K123" s="27">
        <f t="shared" si="33"/>
        <v>8.5</v>
      </c>
      <c r="S123" s="25"/>
      <c r="T123" s="25"/>
      <c r="U123" s="25"/>
      <c r="V123" s="25"/>
      <c r="W123" s="25"/>
      <c r="AL123" s="64"/>
    </row>
    <row r="124" spans="3:38" x14ac:dyDescent="0.45">
      <c r="C124" s="17"/>
      <c r="D124" s="26" t="s">
        <v>258</v>
      </c>
      <c r="E124" s="38" t="s">
        <v>36</v>
      </c>
      <c r="F124" s="1148">
        <f t="shared" ref="F124:K124" si="34">SUM(F122:F123)</f>
        <v>122.15199999999999</v>
      </c>
      <c r="G124" s="1148">
        <f t="shared" si="34"/>
        <v>122.15199999999999</v>
      </c>
      <c r="H124" s="66">
        <f t="shared" si="34"/>
        <v>122.15199999999999</v>
      </c>
      <c r="I124" s="1148">
        <f t="shared" si="34"/>
        <v>122.15199999999999</v>
      </c>
      <c r="J124" s="1148">
        <f t="shared" si="34"/>
        <v>94.935999999999993</v>
      </c>
      <c r="K124" s="66">
        <f t="shared" si="34"/>
        <v>94.935999999999993</v>
      </c>
      <c r="S124" s="25"/>
      <c r="T124" s="25"/>
      <c r="U124" s="25"/>
      <c r="V124" s="25"/>
      <c r="W124" s="25"/>
      <c r="AL124" s="64"/>
    </row>
    <row r="125" spans="3:38" x14ac:dyDescent="0.45">
      <c r="C125" s="17"/>
      <c r="D125" s="26" t="s">
        <v>259</v>
      </c>
      <c r="E125" s="38" t="s">
        <v>36</v>
      </c>
      <c r="F125" s="15">
        <f t="shared" ref="F125:K125" si="35">F7</f>
        <v>574</v>
      </c>
      <c r="G125" s="15">
        <f t="shared" si="35"/>
        <v>574</v>
      </c>
      <c r="H125" s="27">
        <f t="shared" si="35"/>
        <v>574</v>
      </c>
      <c r="I125" s="15">
        <f t="shared" si="35"/>
        <v>574</v>
      </c>
      <c r="J125" s="15">
        <f t="shared" si="35"/>
        <v>574</v>
      </c>
      <c r="K125" s="27">
        <f t="shared" si="35"/>
        <v>574</v>
      </c>
      <c r="S125" s="25"/>
      <c r="T125" s="25"/>
      <c r="U125" s="25"/>
      <c r="V125" s="25"/>
      <c r="W125" s="25"/>
      <c r="AL125" s="64"/>
    </row>
    <row r="126" spans="3:38" x14ac:dyDescent="0.45">
      <c r="C126" s="17"/>
      <c r="D126" s="26" t="s">
        <v>260</v>
      </c>
      <c r="E126" s="38" t="s">
        <v>36</v>
      </c>
      <c r="F126" s="15"/>
      <c r="G126" s="15">
        <f>(G125+G99*(G98-1))/G98</f>
        <v>66.400000000000006</v>
      </c>
      <c r="H126" s="27">
        <f>(H125+H99*(H98-1))/H98</f>
        <v>66.400000000000006</v>
      </c>
      <c r="I126" s="15">
        <f>(I125+I99*(I98-1))/I98</f>
        <v>66.400000000000006</v>
      </c>
      <c r="J126" s="15">
        <f>(J125+J99*(J98-1))/J98</f>
        <v>66.400000000000006</v>
      </c>
      <c r="K126" s="27">
        <f>(K125+K99*(K98-1))/K98</f>
        <v>66.400000000000006</v>
      </c>
      <c r="S126" s="25"/>
      <c r="T126" s="25"/>
      <c r="U126" s="25"/>
      <c r="V126" s="25"/>
      <c r="W126" s="25"/>
      <c r="Y126" s="4"/>
      <c r="AL126" s="64"/>
    </row>
    <row r="127" spans="3:38" x14ac:dyDescent="0.45">
      <c r="C127" s="17"/>
      <c r="D127" s="26" t="s">
        <v>261</v>
      </c>
      <c r="E127" s="38" t="s">
        <v>36</v>
      </c>
      <c r="F127" s="171">
        <f t="shared" ref="F127:K127" si="36">(F120-1)*F119</f>
        <v>10.331999999999999</v>
      </c>
      <c r="G127" s="171">
        <f t="shared" si="36"/>
        <v>10.331999999999999</v>
      </c>
      <c r="H127" s="40">
        <f t="shared" si="36"/>
        <v>10.331999999999999</v>
      </c>
      <c r="I127" s="171">
        <f t="shared" si="36"/>
        <v>10.331999999999999</v>
      </c>
      <c r="J127" s="171">
        <f t="shared" si="36"/>
        <v>15.875999999999999</v>
      </c>
      <c r="K127" s="40">
        <f t="shared" si="36"/>
        <v>15.875999999999999</v>
      </c>
      <c r="S127" s="25"/>
      <c r="T127" s="25"/>
      <c r="U127" s="25"/>
      <c r="V127" s="25"/>
      <c r="W127" s="25"/>
      <c r="Y127" s="4"/>
      <c r="AL127" s="64"/>
    </row>
    <row r="128" spans="3:38" x14ac:dyDescent="0.45">
      <c r="C128" s="17"/>
      <c r="D128" s="232" t="s">
        <v>262</v>
      </c>
      <c r="E128" s="38" t="s">
        <v>36</v>
      </c>
      <c r="F128" s="171">
        <f t="shared" ref="F128:K128" si="37">(F121-1)*F119</f>
        <v>10.331999999999999</v>
      </c>
      <c r="G128" s="171">
        <f t="shared" si="37"/>
        <v>10.331999999999999</v>
      </c>
      <c r="H128" s="40">
        <f t="shared" si="37"/>
        <v>10.331999999999999</v>
      </c>
      <c r="I128" s="171">
        <f t="shared" si="37"/>
        <v>10.331999999999999</v>
      </c>
      <c r="J128" s="171">
        <f t="shared" si="37"/>
        <v>7.056</v>
      </c>
      <c r="K128" s="40">
        <f t="shared" si="37"/>
        <v>7.056</v>
      </c>
      <c r="S128" s="25"/>
      <c r="T128" s="25"/>
      <c r="U128" s="25"/>
      <c r="V128" s="25"/>
      <c r="W128" s="25"/>
      <c r="X128" s="121"/>
      <c r="Y128" s="121"/>
      <c r="Z128" s="25"/>
      <c r="AL128" s="64"/>
    </row>
    <row r="129" spans="3:38" ht="14.65" thickBot="1" x14ac:dyDescent="0.5">
      <c r="C129" s="17"/>
      <c r="D129" s="214" t="s">
        <v>263</v>
      </c>
      <c r="E129" s="21" t="s">
        <v>266</v>
      </c>
      <c r="F129" s="446">
        <f t="shared" ref="F129:K129" si="38">F127*F128*100</f>
        <v>10675.022399999998</v>
      </c>
      <c r="G129" s="446">
        <f t="shared" si="38"/>
        <v>10675.022399999998</v>
      </c>
      <c r="H129" s="43">
        <f t="shared" si="38"/>
        <v>10675.022399999998</v>
      </c>
      <c r="I129" s="446">
        <f t="shared" si="38"/>
        <v>10675.022399999998</v>
      </c>
      <c r="J129" s="446">
        <f t="shared" si="38"/>
        <v>11202.105600000001</v>
      </c>
      <c r="K129" s="43">
        <f t="shared" si="38"/>
        <v>11202.105600000001</v>
      </c>
      <c r="S129" s="25"/>
      <c r="T129" s="25"/>
      <c r="U129" s="25"/>
      <c r="V129" s="25"/>
      <c r="W129" s="25"/>
      <c r="AL129" s="64"/>
    </row>
    <row r="130" spans="3:38" ht="14.65" thickBot="1" x14ac:dyDescent="0.5">
      <c r="C130" s="17"/>
      <c r="D130" s="1"/>
      <c r="E130" s="25"/>
      <c r="F130" s="339"/>
      <c r="G130" s="339"/>
      <c r="H130" s="339"/>
      <c r="I130" s="339"/>
      <c r="J130" s="339"/>
      <c r="K130" s="339"/>
      <c r="L130" s="339"/>
      <c r="AL130" s="64"/>
    </row>
    <row r="131" spans="3:38" ht="15.75" customHeight="1" thickBot="1" x14ac:dyDescent="0.5">
      <c r="C131" s="17"/>
      <c r="D131" s="108" t="s">
        <v>94</v>
      </c>
      <c r="E131" s="339"/>
      <c r="F131" s="25"/>
      <c r="G131" s="25"/>
      <c r="I131" s="398"/>
      <c r="J131" s="77"/>
      <c r="N131" s="845"/>
      <c r="P131" s="528"/>
      <c r="R131" s="527"/>
      <c r="S131" s="527"/>
      <c r="Y131" s="107"/>
      <c r="AA131" s="243"/>
    </row>
    <row r="132" spans="3:38" ht="15.75" customHeight="1" thickBot="1" x14ac:dyDescent="0.5">
      <c r="C132" s="17"/>
      <c r="D132" s="515"/>
      <c r="E132" s="110"/>
      <c r="F132" s="13"/>
      <c r="G132" s="13"/>
      <c r="H132" s="13"/>
      <c r="I132" s="13"/>
      <c r="J132" s="13"/>
      <c r="K132" s="14"/>
    </row>
    <row r="133" spans="3:38" ht="15.75" customHeight="1" thickBot="1" x14ac:dyDescent="0.5">
      <c r="C133" s="17"/>
      <c r="D133" s="516" t="s">
        <v>304</v>
      </c>
      <c r="E133" s="24" t="s">
        <v>36</v>
      </c>
      <c r="F133" s="447">
        <f t="shared" ref="F133:K133" si="39">F7</f>
        <v>574</v>
      </c>
      <c r="G133" s="447">
        <f t="shared" si="39"/>
        <v>574</v>
      </c>
      <c r="H133" s="447">
        <f t="shared" si="39"/>
        <v>574</v>
      </c>
      <c r="I133" s="447">
        <f t="shared" si="39"/>
        <v>574</v>
      </c>
      <c r="J133" s="447">
        <f t="shared" si="39"/>
        <v>574</v>
      </c>
      <c r="K133" s="23">
        <f t="shared" si="39"/>
        <v>574</v>
      </c>
    </row>
    <row r="134" spans="3:38" ht="15.75" customHeight="1" thickBot="1" x14ac:dyDescent="0.5">
      <c r="C134" s="17"/>
      <c r="D134" s="37"/>
      <c r="E134" s="25"/>
      <c r="F134" s="339"/>
      <c r="G134" s="339"/>
      <c r="H134" s="339"/>
      <c r="I134" s="339"/>
      <c r="J134" s="339"/>
      <c r="K134" s="16"/>
    </row>
    <row r="135" spans="3:38" ht="15.75" customHeight="1" thickBot="1" x14ac:dyDescent="0.5">
      <c r="C135" s="17"/>
      <c r="D135" s="512" t="s">
        <v>10</v>
      </c>
      <c r="E135" s="25"/>
      <c r="F135" s="339"/>
      <c r="G135" s="339"/>
      <c r="H135" s="339"/>
      <c r="I135" s="339"/>
      <c r="J135" s="339"/>
      <c r="K135" s="16"/>
    </row>
    <row r="136" spans="3:38" ht="15.75" customHeight="1" thickBot="1" x14ac:dyDescent="0.5">
      <c r="C136" s="17"/>
      <c r="D136" s="509" t="s">
        <v>365</v>
      </c>
      <c r="E136" s="24" t="s">
        <v>24</v>
      </c>
      <c r="F136" s="443">
        <f t="shared" ref="F136:K136" si="40">1+F46/100*(F133-60)</f>
        <v>2.5419999999999998</v>
      </c>
      <c r="G136" s="443">
        <f t="shared" si="40"/>
        <v>2.5419999999999998</v>
      </c>
      <c r="H136" s="443">
        <f t="shared" ca="1" si="40"/>
        <v>2.5419999999999998</v>
      </c>
      <c r="I136" s="443">
        <f t="shared" ca="1" si="40"/>
        <v>2.5419999999999998</v>
      </c>
      <c r="J136" s="443">
        <f t="shared" ca="1" si="40"/>
        <v>2.5419999999999998</v>
      </c>
      <c r="K136" s="486">
        <f t="shared" ca="1" si="40"/>
        <v>2.5419999999999998</v>
      </c>
    </row>
    <row r="137" spans="3:38" ht="15.75" customHeight="1" thickBot="1" x14ac:dyDescent="0.5">
      <c r="C137" s="17"/>
      <c r="D137" s="113"/>
      <c r="E137" s="25"/>
      <c r="F137" s="339"/>
      <c r="G137" s="339"/>
      <c r="H137" s="339"/>
      <c r="I137" s="339"/>
      <c r="J137" s="339"/>
      <c r="K137" s="16"/>
    </row>
    <row r="138" spans="3:38" ht="15.75" customHeight="1" thickBot="1" x14ac:dyDescent="0.5">
      <c r="C138" s="17"/>
      <c r="D138" s="513" t="s">
        <v>80</v>
      </c>
      <c r="E138" s="25"/>
      <c r="F138" s="399"/>
      <c r="G138" s="399"/>
      <c r="H138" s="275"/>
      <c r="I138" s="321"/>
      <c r="J138" s="321"/>
      <c r="K138" s="83"/>
    </row>
    <row r="139" spans="3:38" ht="15.75" customHeight="1" thickBot="1" x14ac:dyDescent="0.5">
      <c r="C139" s="17"/>
      <c r="D139" s="135" t="s">
        <v>305</v>
      </c>
      <c r="E139" s="24" t="s">
        <v>24</v>
      </c>
      <c r="F139" s="443"/>
      <c r="G139" s="458"/>
      <c r="H139" s="443">
        <f>1+H54/100*(H133-60)</f>
        <v>1.4112</v>
      </c>
      <c r="I139" s="443">
        <f ca="1">1+I54/100*(I133-60)</f>
        <v>1.4112</v>
      </c>
      <c r="J139" s="443">
        <f ca="1">1+J54/100*(J133-60)</f>
        <v>1.4112</v>
      </c>
      <c r="K139" s="486">
        <f ca="1">1+K54/100*(K133-60)</f>
        <v>1.4112</v>
      </c>
    </row>
    <row r="140" spans="3:38" ht="15.75" customHeight="1" thickBot="1" x14ac:dyDescent="0.5">
      <c r="C140" s="17"/>
      <c r="D140" s="37"/>
      <c r="E140" s="1"/>
      <c r="F140" s="339"/>
      <c r="G140" s="339"/>
      <c r="H140" s="339"/>
      <c r="I140" s="339"/>
      <c r="J140" s="339"/>
      <c r="K140" s="16"/>
    </row>
    <row r="141" spans="3:38" ht="15.75" customHeight="1" thickBot="1" x14ac:dyDescent="0.5">
      <c r="C141" s="17"/>
      <c r="D141" s="507" t="s">
        <v>133</v>
      </c>
      <c r="E141" s="135" t="s">
        <v>24</v>
      </c>
      <c r="F141" s="486">
        <f t="shared" ref="F141:G141" si="41">1+F107/100*(F133-60)</f>
        <v>1.4626000000000001</v>
      </c>
      <c r="G141" s="510">
        <f t="shared" si="41"/>
        <v>1.4626000000000001</v>
      </c>
      <c r="H141" s="486">
        <f ca="1">1+H107/100*(H133-60)</f>
        <v>1.4626000000000001</v>
      </c>
      <c r="I141" s="510">
        <f ca="1">1+I107/100*(I133-60)</f>
        <v>1.4626000000000001</v>
      </c>
      <c r="J141" s="486">
        <f ca="1">1+J107/100*(J133-60)</f>
        <v>1.4626000000000001</v>
      </c>
      <c r="K141" s="511">
        <f ca="1">1+K107/100*(K133-60)</f>
        <v>1.4626000000000001</v>
      </c>
    </row>
    <row r="142" spans="3:38" ht="15.75" customHeight="1" x14ac:dyDescent="0.45">
      <c r="C142" s="17"/>
      <c r="H142" s="508"/>
      <c r="I142" s="508"/>
      <c r="J142" s="17"/>
      <c r="Y142" s="25"/>
      <c r="Z142" s="116"/>
    </row>
    <row r="143" spans="3:38" ht="15.75" customHeight="1" thickBot="1" x14ac:dyDescent="0.5">
      <c r="C143" s="17"/>
      <c r="I143" s="17"/>
      <c r="J143" s="17"/>
      <c r="Y143" s="25"/>
      <c r="Z143" s="116"/>
    </row>
    <row r="144" spans="3:38" ht="15.75" customHeight="1" thickBot="1" x14ac:dyDescent="0.5">
      <c r="C144" s="17"/>
      <c r="D144" s="517" t="s">
        <v>157</v>
      </c>
      <c r="E144" s="339"/>
      <c r="F144" s="25"/>
      <c r="G144" s="25"/>
      <c r="H144" s="147"/>
      <c r="I144" s="17"/>
      <c r="J144" s="17"/>
      <c r="K144" s="1242"/>
      <c r="L144" s="1242"/>
      <c r="M144" s="1242"/>
      <c r="N144" s="1242"/>
      <c r="O144" s="1242"/>
      <c r="P144" s="1242"/>
      <c r="Q144" s="1"/>
      <c r="Y144" s="25"/>
      <c r="Z144" s="116"/>
    </row>
    <row r="145" spans="3:27" ht="15" customHeight="1" thickBot="1" x14ac:dyDescent="0.5">
      <c r="C145" s="17"/>
      <c r="D145" s="515"/>
      <c r="E145" s="13"/>
      <c r="F145" s="13"/>
      <c r="G145" s="13"/>
      <c r="H145" s="518"/>
      <c r="I145" s="110"/>
      <c r="J145" s="110"/>
      <c r="K145" s="519"/>
      <c r="L145" s="459"/>
      <c r="M145" s="459"/>
      <c r="N145" s="846"/>
      <c r="O145" s="470"/>
      <c r="P145" s="470"/>
      <c r="Q145" s="1"/>
      <c r="Y145" s="25"/>
      <c r="Z145" s="25"/>
    </row>
    <row r="146" spans="3:27" ht="15.75" customHeight="1" thickBot="1" x14ac:dyDescent="0.5">
      <c r="C146" s="17"/>
      <c r="D146" s="516" t="s">
        <v>26</v>
      </c>
      <c r="E146" s="24" t="s">
        <v>25</v>
      </c>
      <c r="F146" s="22">
        <f t="shared" ref="F146:K146" si="42">F6</f>
        <v>85</v>
      </c>
      <c r="G146" s="71">
        <f t="shared" si="42"/>
        <v>85</v>
      </c>
      <c r="H146" s="71">
        <f t="shared" si="42"/>
        <v>85</v>
      </c>
      <c r="I146" s="71">
        <f t="shared" si="42"/>
        <v>85</v>
      </c>
      <c r="J146" s="71">
        <f t="shared" si="42"/>
        <v>85</v>
      </c>
      <c r="K146" s="120">
        <f t="shared" si="42"/>
        <v>85</v>
      </c>
      <c r="X146" s="25"/>
      <c r="Y146" s="25"/>
    </row>
    <row r="147" spans="3:27" ht="15.75" customHeight="1" thickBot="1" x14ac:dyDescent="0.5">
      <c r="C147" s="17"/>
      <c r="D147" s="37"/>
      <c r="E147" s="25"/>
      <c r="F147" s="25"/>
      <c r="G147" s="25"/>
      <c r="H147" s="25"/>
      <c r="I147" s="25"/>
      <c r="J147" s="25"/>
      <c r="K147" s="38"/>
      <c r="X147" s="25"/>
      <c r="Y147" s="25"/>
    </row>
    <row r="148" spans="3:27" ht="15.75" customHeight="1" thickBot="1" x14ac:dyDescent="0.5">
      <c r="C148" s="17"/>
      <c r="D148" s="512" t="s">
        <v>10</v>
      </c>
      <c r="E148" s="25"/>
      <c r="F148" s="25"/>
      <c r="G148" s="25"/>
      <c r="H148" s="25"/>
      <c r="I148" s="25"/>
      <c r="J148" s="25"/>
      <c r="K148" s="38"/>
      <c r="X148" s="25"/>
      <c r="Y148" s="25"/>
    </row>
    <row r="149" spans="3:27" ht="15.75" customHeight="1" x14ac:dyDescent="0.45">
      <c r="C149" s="17"/>
      <c r="D149" s="126" t="s">
        <v>278</v>
      </c>
      <c r="E149" s="35" t="s">
        <v>25</v>
      </c>
      <c r="F149" s="12">
        <v>9</v>
      </c>
      <c r="G149" s="13">
        <f>G35</f>
        <v>9</v>
      </c>
      <c r="H149" s="13">
        <f>H35</f>
        <v>9</v>
      </c>
      <c r="I149" s="13">
        <f>I35</f>
        <v>9</v>
      </c>
      <c r="J149" s="13">
        <f>J35</f>
        <v>11.7</v>
      </c>
      <c r="K149" s="14">
        <f>K35</f>
        <v>11.7</v>
      </c>
      <c r="P149" s="25"/>
      <c r="X149" s="25"/>
      <c r="Y149" s="25"/>
    </row>
    <row r="150" spans="3:27" ht="15.75" customHeight="1" x14ac:dyDescent="0.45">
      <c r="C150" s="17"/>
      <c r="D150" s="113" t="s">
        <v>301</v>
      </c>
      <c r="E150" s="26" t="s">
        <v>25</v>
      </c>
      <c r="F150" s="37">
        <f t="shared" ref="F150:K150" si="43">IF(F6*F37&lt;F36,F36,F6*F37)</f>
        <v>170</v>
      </c>
      <c r="G150" s="25">
        <f t="shared" si="43"/>
        <v>170</v>
      </c>
      <c r="H150" s="25">
        <f t="shared" si="43"/>
        <v>170</v>
      </c>
      <c r="I150" s="25">
        <f t="shared" si="43"/>
        <v>170</v>
      </c>
      <c r="J150" s="25">
        <f t="shared" si="43"/>
        <v>170</v>
      </c>
      <c r="K150" s="38">
        <f t="shared" si="43"/>
        <v>170</v>
      </c>
      <c r="P150" s="227"/>
      <c r="Q150" s="17"/>
      <c r="R150" s="17"/>
      <c r="S150" s="17"/>
      <c r="T150" s="17"/>
      <c r="X150" s="25"/>
      <c r="Y150" s="25"/>
    </row>
    <row r="151" spans="3:27" ht="15.75" customHeight="1" thickBot="1" x14ac:dyDescent="0.5">
      <c r="C151" s="17"/>
      <c r="D151" s="502" t="s">
        <v>49</v>
      </c>
      <c r="E151" s="503" t="s">
        <v>162</v>
      </c>
      <c r="F151" s="504">
        <f>IF((F146-15)/(100-15)*(F42-F41)+F41&lt;F45,F45,(F146-15)/(100-15)*(F42-F41)+F41)</f>
        <v>96.705882352941174</v>
      </c>
      <c r="G151" s="505">
        <f>IF((G146-15)/(100-15)*(G42-G41)+G41&lt;G45,G45,(G146-15)/(100-15)*(G42-G41)+G41)</f>
        <v>96.705882352941174</v>
      </c>
      <c r="H151" s="505">
        <f>IF((H146-15)/(100-15)*(H42-H41)+H41&lt;H45,H45,(H146-15)/(100-15)*(H42-H41)+H41)</f>
        <v>96.705882352941174</v>
      </c>
      <c r="I151" s="505">
        <f>IF((I146-15)/(100-15)*(I42-I41)+I41&lt;I45,I45,(I146-15)/(100-15)*(I42-I41)+I41)</f>
        <v>96.705882352941174</v>
      </c>
      <c r="J151" s="505">
        <f>IF((J146-15)/(100-15)*(J44-J43)+J43&lt;J45,J45,(J146-15)/(100-15)*(J44-J43)+J43)</f>
        <v>150.58823529411765</v>
      </c>
      <c r="K151" s="506">
        <f>IF((K146-15)/(100-15)*(K44-K43)+K43&lt;K45,K45,(K146-15)/(100-15)*(K44-K43)+K43)</f>
        <v>150.58823529411765</v>
      </c>
      <c r="P151" s="227"/>
      <c r="Q151" s="17"/>
      <c r="R151" s="17"/>
      <c r="S151" s="17"/>
      <c r="T151" s="17"/>
      <c r="X151" s="25"/>
      <c r="Y151" s="25"/>
    </row>
    <row r="152" spans="3:27" ht="15.75" customHeight="1" x14ac:dyDescent="0.45">
      <c r="C152" s="17"/>
      <c r="D152" s="495" t="s">
        <v>297</v>
      </c>
      <c r="E152" s="232" t="s">
        <v>1</v>
      </c>
      <c r="F152" s="491">
        <f t="shared" ref="F152:K152" si="44">F150*F149*3.1415*(F149/F151)*F15</f>
        <v>3511.460352645985</v>
      </c>
      <c r="G152" s="489">
        <f t="shared" si="44"/>
        <v>3511.460352645985</v>
      </c>
      <c r="H152" s="489">
        <f t="shared" si="44"/>
        <v>3511.460352645985</v>
      </c>
      <c r="I152" s="489">
        <f t="shared" si="44"/>
        <v>3511.460352645985</v>
      </c>
      <c r="J152" s="489">
        <f t="shared" si="44"/>
        <v>3810.9769474130849</v>
      </c>
      <c r="K152" s="492">
        <f t="shared" si="44"/>
        <v>3810.9769474130849</v>
      </c>
      <c r="P152" s="227"/>
      <c r="Q152" s="17"/>
      <c r="R152" s="17"/>
      <c r="S152" s="17"/>
      <c r="T152" s="17"/>
      <c r="X152" s="25"/>
      <c r="Y152" s="25"/>
      <c r="Z152" s="25"/>
      <c r="AA152" s="25"/>
    </row>
    <row r="153" spans="3:27" ht="15.75" customHeight="1" thickBot="1" x14ac:dyDescent="0.5">
      <c r="C153" s="17"/>
      <c r="D153" s="496" t="s">
        <v>67</v>
      </c>
      <c r="E153" s="232" t="s">
        <v>1</v>
      </c>
      <c r="F153" s="493">
        <f t="shared" ref="F153:K153" si="45">F40</f>
        <v>500</v>
      </c>
      <c r="G153" s="2">
        <f t="shared" si="45"/>
        <v>500</v>
      </c>
      <c r="H153" s="2">
        <f t="shared" si="45"/>
        <v>500</v>
      </c>
      <c r="I153" s="2">
        <f t="shared" si="45"/>
        <v>500</v>
      </c>
      <c r="J153" s="2">
        <f t="shared" si="45"/>
        <v>500</v>
      </c>
      <c r="K153" s="494">
        <f t="shared" si="45"/>
        <v>500</v>
      </c>
      <c r="X153" s="25"/>
      <c r="Y153" s="25"/>
      <c r="Z153" s="25"/>
      <c r="AA153" s="25"/>
    </row>
    <row r="154" spans="3:27" ht="15.75" customHeight="1" thickBot="1" x14ac:dyDescent="0.5">
      <c r="C154" s="17"/>
      <c r="D154" s="498" t="s">
        <v>300</v>
      </c>
      <c r="E154" s="143" t="s">
        <v>1</v>
      </c>
      <c r="F154" s="499">
        <f t="shared" ref="F154:K154" si="46">SUM(F152:F153)</f>
        <v>4011.460352645985</v>
      </c>
      <c r="G154" s="500">
        <f t="shared" si="46"/>
        <v>4011.460352645985</v>
      </c>
      <c r="H154" s="500">
        <f t="shared" si="46"/>
        <v>4011.460352645985</v>
      </c>
      <c r="I154" s="500">
        <f t="shared" si="46"/>
        <v>4011.460352645985</v>
      </c>
      <c r="J154" s="500">
        <f t="shared" si="46"/>
        <v>4310.9769474130844</v>
      </c>
      <c r="K154" s="501">
        <f t="shared" si="46"/>
        <v>4310.9769474130844</v>
      </c>
      <c r="P154" s="10"/>
      <c r="X154" s="25"/>
      <c r="Y154" s="25"/>
      <c r="Z154" s="25"/>
      <c r="AA154" s="25"/>
    </row>
    <row r="155" spans="3:27" ht="15.75" customHeight="1" thickBot="1" x14ac:dyDescent="0.5">
      <c r="C155" s="17"/>
      <c r="D155" s="409"/>
      <c r="E155" s="1"/>
      <c r="F155" s="2"/>
      <c r="G155" s="2"/>
      <c r="H155" s="275"/>
      <c r="I155" s="1"/>
      <c r="J155" s="1"/>
      <c r="K155" s="87"/>
      <c r="N155" s="847"/>
      <c r="X155" s="25"/>
      <c r="Y155" s="25"/>
      <c r="Z155" s="25"/>
      <c r="AA155" s="25"/>
    </row>
    <row r="156" spans="3:27" ht="14.65" thickBot="1" x14ac:dyDescent="0.5">
      <c r="D156" s="513" t="s">
        <v>80</v>
      </c>
      <c r="E156" s="25"/>
      <c r="F156" s="2"/>
      <c r="G156" s="2"/>
      <c r="H156" s="275"/>
      <c r="I156" s="1"/>
      <c r="J156" s="1"/>
      <c r="K156" s="87"/>
      <c r="Q156" s="994"/>
    </row>
    <row r="157" spans="3:27" ht="14.65" thickBot="1" x14ac:dyDescent="0.5">
      <c r="D157" s="135" t="s">
        <v>532</v>
      </c>
      <c r="E157" s="24" t="s">
        <v>24</v>
      </c>
      <c r="F157" s="497"/>
      <c r="G157" s="497"/>
      <c r="H157" s="1089">
        <f>(H146-50)/100*H53+1</f>
        <v>1.0209999999999999</v>
      </c>
      <c r="I157" s="1089">
        <f ca="1">(I146-50)/100*I53+1</f>
        <v>1.0209999999999999</v>
      </c>
      <c r="J157" s="1089">
        <f ca="1">(J146-50)/100*J53+1</f>
        <v>1.0209999999999999</v>
      </c>
      <c r="K157" s="1090">
        <f ca="1">(K146-50)/100*K53+1</f>
        <v>1.0209999999999999</v>
      </c>
    </row>
    <row r="158" spans="3:27" ht="14.65" thickBot="1" x14ac:dyDescent="0.5">
      <c r="D158" s="2"/>
      <c r="E158" s="399"/>
      <c r="F158" s="399"/>
      <c r="G158" s="2"/>
    </row>
    <row r="159" spans="3:27" ht="14.65" thickBot="1" x14ac:dyDescent="0.5">
      <c r="D159" s="44" t="s">
        <v>441</v>
      </c>
      <c r="E159" s="399"/>
      <c r="F159" s="399"/>
      <c r="G159" s="2"/>
    </row>
    <row r="160" spans="3:27" ht="14.65" thickBot="1" x14ac:dyDescent="0.5">
      <c r="D160" s="2"/>
      <c r="E160" s="1206" t="s">
        <v>440</v>
      </c>
      <c r="F160" s="1207"/>
      <c r="G160" s="1207"/>
      <c r="H160" s="1207"/>
      <c r="I160" s="1207"/>
      <c r="J160" s="1208"/>
      <c r="L160" s="1206" t="s">
        <v>309</v>
      </c>
      <c r="M160" s="1207"/>
      <c r="N160" s="1207"/>
      <c r="O160" s="1207"/>
      <c r="P160" s="1207"/>
      <c r="Q160" s="1208"/>
      <c r="S160" s="1206" t="s">
        <v>538</v>
      </c>
      <c r="T160" s="1207"/>
      <c r="U160" s="1207"/>
      <c r="V160" s="1207"/>
      <c r="W160" s="1207"/>
      <c r="X160" s="1208"/>
    </row>
    <row r="161" spans="3:45" ht="14.65" thickBot="1" x14ac:dyDescent="0.5">
      <c r="D161" s="2"/>
      <c r="E161" s="1177" t="s">
        <v>7</v>
      </c>
      <c r="F161" s="1182"/>
      <c r="G161" s="1182"/>
      <c r="H161" s="1178"/>
      <c r="I161" s="1182" t="s">
        <v>31</v>
      </c>
      <c r="J161" s="1178"/>
      <c r="L161" s="1177" t="s">
        <v>7</v>
      </c>
      <c r="M161" s="1182"/>
      <c r="N161" s="1182"/>
      <c r="O161" s="1178"/>
      <c r="P161" s="1182" t="s">
        <v>31</v>
      </c>
      <c r="Q161" s="1178"/>
      <c r="S161" s="1177" t="s">
        <v>7</v>
      </c>
      <c r="T161" s="1182"/>
      <c r="U161" s="1182"/>
      <c r="V161" s="1178"/>
      <c r="W161" s="1182" t="s">
        <v>31</v>
      </c>
      <c r="X161" s="1178"/>
    </row>
    <row r="162" spans="3:45" ht="28.9" thickBot="1" x14ac:dyDescent="0.5">
      <c r="E162" s="490" t="s">
        <v>130</v>
      </c>
      <c r="F162" s="139" t="s">
        <v>66</v>
      </c>
      <c r="G162" s="424">
        <v>2035</v>
      </c>
      <c r="H162" s="403">
        <v>2050</v>
      </c>
      <c r="I162" s="251">
        <v>2035</v>
      </c>
      <c r="J162" s="251">
        <v>2050</v>
      </c>
      <c r="L162" s="490" t="s">
        <v>130</v>
      </c>
      <c r="M162" s="139" t="s">
        <v>66</v>
      </c>
      <c r="N162" s="424">
        <v>2035</v>
      </c>
      <c r="O162" s="403">
        <v>2050</v>
      </c>
      <c r="P162" s="251">
        <v>2035</v>
      </c>
      <c r="Q162" s="251">
        <v>2050</v>
      </c>
      <c r="S162" s="490" t="s">
        <v>130</v>
      </c>
      <c r="T162" s="139" t="s">
        <v>66</v>
      </c>
      <c r="U162" s="848">
        <v>2035</v>
      </c>
      <c r="V162" s="403">
        <v>2050</v>
      </c>
      <c r="W162" s="251">
        <v>2035</v>
      </c>
      <c r="X162" s="251">
        <v>2050</v>
      </c>
    </row>
    <row r="163" spans="3:45" x14ac:dyDescent="0.45">
      <c r="D163" s="524" t="s">
        <v>320</v>
      </c>
      <c r="E163" s="587">
        <f t="shared" ref="E163:I163" si="47">Y24</f>
        <v>19.149840000000001</v>
      </c>
      <c r="F163" s="587">
        <f t="shared" si="47"/>
        <v>18.09984</v>
      </c>
      <c r="G163" s="587">
        <f t="shared" ca="1" si="47"/>
        <v>12.6281091930475</v>
      </c>
      <c r="H163" s="587">
        <f t="shared" ca="1" si="47"/>
        <v>11.310800293493328</v>
      </c>
      <c r="I163" s="587">
        <f t="shared" ca="1" si="47"/>
        <v>25.256218386095</v>
      </c>
      <c r="J163" s="587">
        <v>6.9511665444537156</v>
      </c>
      <c r="L163" s="587">
        <f t="shared" ref="L163:Q163" si="48">Y25</f>
        <v>1.5365639410824927</v>
      </c>
      <c r="M163" s="588">
        <f t="shared" si="48"/>
        <v>1.4523129949577931</v>
      </c>
      <c r="N163" s="587">
        <f t="shared" ca="1" si="48"/>
        <v>0.97246349027550072</v>
      </c>
      <c r="O163" s="589">
        <f t="shared" ca="1" si="48"/>
        <v>0.87102036916781245</v>
      </c>
      <c r="P163" s="587">
        <f t="shared" ca="1" si="48"/>
        <v>1.9449269805510014</v>
      </c>
      <c r="Q163" s="587">
        <f t="shared" ca="1" si="48"/>
        <v>1.7420407383356249</v>
      </c>
      <c r="S163" s="603">
        <f t="shared" ref="S163:X163" si="49">Y28</f>
        <v>0.68052220000000008</v>
      </c>
      <c r="T163" s="564">
        <f t="shared" si="49"/>
        <v>0.68052220000000008</v>
      </c>
      <c r="U163" s="849">
        <f t="shared" ca="1" si="49"/>
        <v>0.36867253339072359</v>
      </c>
      <c r="V163" s="564">
        <f t="shared" ca="1" si="49"/>
        <v>0.33013130114940747</v>
      </c>
      <c r="W163" s="563">
        <f t="shared" ca="1" si="49"/>
        <v>0.73734506678144718</v>
      </c>
      <c r="X163" s="603">
        <f t="shared" ca="1" si="49"/>
        <v>0.66026260229881495</v>
      </c>
    </row>
    <row r="164" spans="3:45" x14ac:dyDescent="0.45">
      <c r="D164" s="525" t="s">
        <v>321</v>
      </c>
      <c r="E164" s="1087">
        <f t="shared" ref="E164:I164" si="50">Y26</f>
        <v>0</v>
      </c>
      <c r="F164" s="1087">
        <f t="shared" si="50"/>
        <v>0</v>
      </c>
      <c r="G164" s="1087">
        <f t="shared" ca="1" si="50"/>
        <v>7.7765268914955561</v>
      </c>
      <c r="H164" s="1087">
        <f t="shared" ca="1" si="50"/>
        <v>5.7663883344557387</v>
      </c>
      <c r="I164" s="1087">
        <f t="shared" ca="1" si="50"/>
        <v>15.553053782991112</v>
      </c>
      <c r="J164" s="1087">
        <v>7.2530432801427152</v>
      </c>
      <c r="L164" s="1087">
        <f t="shared" ref="L164:Q164" si="51">Y27</f>
        <v>0</v>
      </c>
      <c r="M164" s="397">
        <f t="shared" si="51"/>
        <v>0</v>
      </c>
      <c r="N164" s="1087">
        <f t="shared" ca="1" si="51"/>
        <v>0.59885358667064648</v>
      </c>
      <c r="O164" s="1088">
        <f t="shared" ca="1" si="51"/>
        <v>0.44405714587074258</v>
      </c>
      <c r="P164" s="1087">
        <f t="shared" ca="1" si="51"/>
        <v>1.197707173341293</v>
      </c>
      <c r="Q164" s="1087">
        <f t="shared" ca="1" si="51"/>
        <v>0.88811429174148515</v>
      </c>
      <c r="S164" s="102">
        <f t="shared" ref="S164:X164" si="52">Y28</f>
        <v>0.68052220000000008</v>
      </c>
      <c r="T164" s="555">
        <f t="shared" si="52"/>
        <v>0.68052220000000008</v>
      </c>
      <c r="U164" s="850">
        <f t="shared" ca="1" si="52"/>
        <v>0.36867253339072359</v>
      </c>
      <c r="V164" s="555">
        <f t="shared" ca="1" si="52"/>
        <v>0.33013130114940747</v>
      </c>
      <c r="W164" s="554">
        <f t="shared" ca="1" si="52"/>
        <v>0.73734506678144718</v>
      </c>
      <c r="X164" s="102">
        <f t="shared" ca="1" si="52"/>
        <v>0.66026260229881495</v>
      </c>
      <c r="AS164" s="994"/>
    </row>
    <row r="165" spans="3:45" x14ac:dyDescent="0.45">
      <c r="D165" s="525" t="s">
        <v>10</v>
      </c>
      <c r="E165" s="590">
        <f t="shared" ref="E165:I165" si="53">Y38</f>
        <v>7.9260444937043797</v>
      </c>
      <c r="F165" s="590">
        <f t="shared" si="53"/>
        <v>7.9260444937043797</v>
      </c>
      <c r="G165" s="590">
        <f t="shared" ca="1" si="53"/>
        <v>7.5522504553441436</v>
      </c>
      <c r="H165" s="590">
        <f t="shared" ca="1" si="53"/>
        <v>7.5043164463270147</v>
      </c>
      <c r="I165" s="590">
        <f t="shared" ca="1" si="53"/>
        <v>7.9715736880180827</v>
      </c>
      <c r="J165" s="590">
        <f ca="1">AD38</f>
        <v>7.9236396790009538</v>
      </c>
      <c r="L165" s="590">
        <f t="shared" ref="L165:Q165" si="54">Y39</f>
        <v>0.6359778548771996</v>
      </c>
      <c r="M165" s="591">
        <f t="shared" si="54"/>
        <v>0.6359778548771996</v>
      </c>
      <c r="N165" s="590">
        <f t="shared" ca="1" si="54"/>
        <v>0.58158254137382326</v>
      </c>
      <c r="O165" s="592">
        <f t="shared" ca="1" si="54"/>
        <v>0.57789124658066782</v>
      </c>
      <c r="P165" s="590">
        <f t="shared" ca="1" si="54"/>
        <v>0.61387372037504773</v>
      </c>
      <c r="Q165" s="590">
        <f t="shared" ca="1" si="54"/>
        <v>0.61018242558189228</v>
      </c>
      <c r="S165" s="102">
        <f t="shared" ref="S165:X165" si="55">Y40</f>
        <v>0.23185265352984055</v>
      </c>
      <c r="T165" s="555">
        <f t="shared" si="55"/>
        <v>0.23185265352984055</v>
      </c>
      <c r="U165" s="850">
        <f t="shared" ca="1" si="55"/>
        <v>0.22091843031972691</v>
      </c>
      <c r="V165" s="555">
        <f t="shared" ca="1" si="55"/>
        <v>0.21951626468795787</v>
      </c>
      <c r="W165" s="554">
        <f t="shared" ca="1" si="55"/>
        <v>0.23318447352190497</v>
      </c>
      <c r="X165" s="102">
        <f t="shared" ca="1" si="55"/>
        <v>0.23178230789013593</v>
      </c>
    </row>
    <row r="166" spans="3:45" x14ac:dyDescent="0.45">
      <c r="D166" s="525" t="s">
        <v>131</v>
      </c>
      <c r="E166" s="590">
        <f t="shared" ref="E166:I166" si="56">Y51</f>
        <v>0</v>
      </c>
      <c r="F166" s="590">
        <f t="shared" si="56"/>
        <v>0</v>
      </c>
      <c r="G166" s="590">
        <f t="shared" si="56"/>
        <v>18.068073408</v>
      </c>
      <c r="H166" s="590">
        <f t="shared" ca="1" si="56"/>
        <v>8.4605004639372545</v>
      </c>
      <c r="I166" s="590">
        <f t="shared" ca="1" si="56"/>
        <v>27.102110112000002</v>
      </c>
      <c r="J166" s="590">
        <f ca="1">AD51</f>
        <v>12.690750695905882</v>
      </c>
      <c r="L166" s="590">
        <f t="shared" ref="L166:Q166" si="57">Y52</f>
        <v>0</v>
      </c>
      <c r="M166" s="591">
        <f t="shared" si="57"/>
        <v>0</v>
      </c>
      <c r="N166" s="590">
        <f t="shared" si="57"/>
        <v>1.3913834177622755</v>
      </c>
      <c r="O166" s="592">
        <f t="shared" ca="1" si="57"/>
        <v>0.65152491832804571</v>
      </c>
      <c r="P166" s="590">
        <f t="shared" ca="1" si="57"/>
        <v>2.0870751266434135</v>
      </c>
      <c r="Q166" s="590">
        <f t="shared" ca="1" si="57"/>
        <v>0.97728737749206851</v>
      </c>
      <c r="S166" s="102"/>
      <c r="T166" s="414"/>
      <c r="U166" s="850">
        <f ca="1">AA53</f>
        <v>0.52852728333081611</v>
      </c>
      <c r="V166" s="555">
        <f ca="1">AB53</f>
        <v>0.24748655957109261</v>
      </c>
      <c r="W166" s="554">
        <f ca="1">AC53</f>
        <v>0.79279092499622417</v>
      </c>
      <c r="X166" s="102">
        <f ca="1">AD53</f>
        <v>0.37122983935663884</v>
      </c>
    </row>
    <row r="167" spans="3:45" x14ac:dyDescent="0.45">
      <c r="D167" s="525" t="s">
        <v>214</v>
      </c>
      <c r="E167" s="593">
        <f t="shared" ref="E167:J167" si="58">Y60</f>
        <v>27.657011999999991</v>
      </c>
      <c r="F167" s="593">
        <f t="shared" si="58"/>
        <v>27.657011999999991</v>
      </c>
      <c r="G167" s="593">
        <f t="shared" ca="1" si="58"/>
        <v>18.744920444433195</v>
      </c>
      <c r="H167" s="593">
        <f t="shared" ca="1" si="58"/>
        <v>17.602065735299689</v>
      </c>
      <c r="I167" s="593">
        <f t="shared" ca="1" si="58"/>
        <v>37.489840888866389</v>
      </c>
      <c r="J167" s="593">
        <f t="shared" ca="1" si="58"/>
        <v>35.204131470599378</v>
      </c>
      <c r="L167" s="593">
        <f t="shared" ref="L167:Q167" si="59">Y61</f>
        <v>2.2191708837925423</v>
      </c>
      <c r="M167" s="594">
        <f t="shared" si="59"/>
        <v>2.2191708837925423</v>
      </c>
      <c r="N167" s="593">
        <f t="shared" ca="1" si="59"/>
        <v>1.4435059502309395</v>
      </c>
      <c r="O167" s="595">
        <f t="shared" ca="1" si="59"/>
        <v>1.3554971705845265</v>
      </c>
      <c r="P167" s="593">
        <f t="shared" ca="1" si="59"/>
        <v>2.8870119004618791</v>
      </c>
      <c r="Q167" s="593">
        <f t="shared" ca="1" si="59"/>
        <v>2.7109943411690529</v>
      </c>
      <c r="S167" s="102">
        <f t="shared" ref="S167:X167" si="60">Y62</f>
        <v>0.41862702516000005</v>
      </c>
      <c r="T167" s="554">
        <f t="shared" si="60"/>
        <v>0.41862702516000005</v>
      </c>
      <c r="U167" s="850">
        <f t="shared" ca="1" si="60"/>
        <v>0.28373022662440672</v>
      </c>
      <c r="V167" s="556">
        <f t="shared" ca="1" si="60"/>
        <v>0.26643154421161908</v>
      </c>
      <c r="W167" s="102">
        <f t="shared" ca="1" si="60"/>
        <v>0.56746045324881345</v>
      </c>
      <c r="X167" s="102">
        <f t="shared" ca="1" si="60"/>
        <v>0.53286308842323815</v>
      </c>
      <c r="AS167" s="994"/>
    </row>
    <row r="168" spans="3:45" x14ac:dyDescent="0.45">
      <c r="D168" s="525" t="s">
        <v>332</v>
      </c>
      <c r="E168" s="593">
        <f t="shared" ref="E168:J168" si="61">Y76</f>
        <v>0</v>
      </c>
      <c r="F168" s="593">
        <f t="shared" si="61"/>
        <v>10.005000000000001</v>
      </c>
      <c r="G168" s="593">
        <f t="shared" ca="1" si="61"/>
        <v>4.0049999999999999</v>
      </c>
      <c r="H168" s="593">
        <f t="shared" ca="1" si="61"/>
        <v>2.0049999999999999</v>
      </c>
      <c r="I168" s="593">
        <f t="shared" ca="1" si="61"/>
        <v>8.01</v>
      </c>
      <c r="J168" s="593">
        <f t="shared" ca="1" si="61"/>
        <v>4.01</v>
      </c>
      <c r="L168" s="593"/>
      <c r="M168" s="594">
        <f>Z77</f>
        <v>1.0919510005752771</v>
      </c>
      <c r="N168" s="593">
        <f ca="1">AA77</f>
        <v>0.37012459973382728</v>
      </c>
      <c r="O168" s="595">
        <f ca="1">AB77</f>
        <v>0.16625524421654583</v>
      </c>
      <c r="P168" s="593">
        <f ca="1">AC77</f>
        <v>0.74024919946765455</v>
      </c>
      <c r="Q168" s="593">
        <f ca="1">AD77</f>
        <v>0.33251048843309167</v>
      </c>
      <c r="S168" s="102"/>
      <c r="T168" s="554">
        <f>Z78</f>
        <v>0.29266626000000007</v>
      </c>
      <c r="U168" s="850">
        <f ca="1">AA78</f>
        <v>0.11715426000000001</v>
      </c>
      <c r="V168" s="556">
        <f ca="1">AB78</f>
        <v>5.8650260000000003E-2</v>
      </c>
      <c r="W168" s="102">
        <f ca="1">AC78</f>
        <v>0.23430852000000002</v>
      </c>
      <c r="X168" s="102">
        <f ca="1">AD78</f>
        <v>0.11730052000000001</v>
      </c>
    </row>
    <row r="169" spans="3:45" x14ac:dyDescent="0.45">
      <c r="D169" s="525" t="s">
        <v>333</v>
      </c>
      <c r="E169" s="593">
        <f t="shared" ref="E169:J169" si="62">Y73</f>
        <v>0</v>
      </c>
      <c r="F169" s="593">
        <f t="shared" si="62"/>
        <v>10</v>
      </c>
      <c r="G169" s="593">
        <f t="shared" si="62"/>
        <v>4</v>
      </c>
      <c r="H169" s="593">
        <f t="shared" si="62"/>
        <v>2</v>
      </c>
      <c r="I169" s="593">
        <f t="shared" si="62"/>
        <v>8</v>
      </c>
      <c r="J169" s="593">
        <f t="shared" si="62"/>
        <v>4</v>
      </c>
      <c r="L169" s="593"/>
      <c r="M169" s="594">
        <f>Z74</f>
        <v>1.0914052979263138</v>
      </c>
      <c r="N169" s="593">
        <f>AA74</f>
        <v>0.36966252158184998</v>
      </c>
      <c r="O169" s="595">
        <f>AB74</f>
        <v>0.16584064261002079</v>
      </c>
      <c r="P169" s="593">
        <f>AC74</f>
        <v>0.73932504316369996</v>
      </c>
      <c r="Q169" s="593">
        <f>AD74</f>
        <v>0.33168128522004159</v>
      </c>
      <c r="S169" s="102"/>
      <c r="T169" s="554">
        <f>Z75</f>
        <v>0.2</v>
      </c>
      <c r="U169" s="850">
        <f ca="1">AA75</f>
        <v>0.08</v>
      </c>
      <c r="V169" s="556">
        <f ca="1">AB75</f>
        <v>0.04</v>
      </c>
      <c r="W169" s="102">
        <f ca="1">AC75</f>
        <v>0.16</v>
      </c>
      <c r="X169" s="102">
        <f ca="1">AD75</f>
        <v>0.08</v>
      </c>
    </row>
    <row r="170" spans="3:45" x14ac:dyDescent="0.45">
      <c r="D170" s="525" t="s">
        <v>336</v>
      </c>
      <c r="E170" s="598">
        <f t="shared" ref="E170:J170" si="63">Y89</f>
        <v>0</v>
      </c>
      <c r="F170" s="598">
        <f t="shared" si="63"/>
        <v>0.63</v>
      </c>
      <c r="G170" s="598">
        <f t="shared" ca="1" si="63"/>
        <v>0.34130215889526577</v>
      </c>
      <c r="H170" s="598">
        <f t="shared" ca="1" si="63"/>
        <v>0.30562224086756706</v>
      </c>
      <c r="I170" s="598">
        <f t="shared" ca="1" si="63"/>
        <v>0.68260431779053155</v>
      </c>
      <c r="J170" s="598">
        <f t="shared" ca="1" si="63"/>
        <v>0.61124448173513413</v>
      </c>
      <c r="L170" s="596"/>
      <c r="M170" s="597">
        <f>Z90</f>
        <v>6.8758533769357782E-2</v>
      </c>
      <c r="N170" s="598">
        <f ca="1">AA90</f>
        <v>3.7249898441198165E-2</v>
      </c>
      <c r="O170" s="599">
        <f ca="1">AB90</f>
        <v>3.3355773284697472E-2</v>
      </c>
      <c r="P170" s="598">
        <f ca="1">AC90</f>
        <v>7.449979688239633E-2</v>
      </c>
      <c r="Q170" s="598">
        <f ca="1">AD90</f>
        <v>6.6711546569394944E-2</v>
      </c>
      <c r="S170" s="102"/>
      <c r="T170" s="554">
        <f>Z91</f>
        <v>1.8428760000000002E-2</v>
      </c>
      <c r="U170" s="850">
        <f ca="1">AA91</f>
        <v>9.9837707520043159E-3</v>
      </c>
      <c r="V170" s="556">
        <f ca="1">AB91</f>
        <v>8.9400617898580722E-3</v>
      </c>
      <c r="W170" s="102">
        <f ca="1">AC91</f>
        <v>1.9967541504008632E-2</v>
      </c>
      <c r="X170" s="102">
        <f ca="1">AD91</f>
        <v>1.7880123579716144E-2</v>
      </c>
    </row>
    <row r="171" spans="3:45" x14ac:dyDescent="0.45">
      <c r="D171" s="525" t="s">
        <v>71</v>
      </c>
      <c r="E171" s="593">
        <f>Y98</f>
        <v>0</v>
      </c>
      <c r="F171" s="593">
        <f t="shared" ref="F171" si="64">Z98</f>
        <v>3.1440483168000002</v>
      </c>
      <c r="G171" s="593">
        <f ca="1">AA98</f>
        <v>2.1309220089238163</v>
      </c>
      <c r="H171" s="593">
        <f ca="1">AB98</f>
        <v>1.3562068555299434</v>
      </c>
      <c r="I171" s="593">
        <f ca="1">AC98</f>
        <v>3.962708625148843</v>
      </c>
      <c r="J171" s="593">
        <f ca="1">AD98</f>
        <v>2.5220315813475809</v>
      </c>
      <c r="L171" s="596"/>
      <c r="M171" s="594">
        <f>Z99</f>
        <v>0.25227528128778026</v>
      </c>
      <c r="N171" s="593">
        <f ca="1">AA99</f>
        <v>0.17098304320931151</v>
      </c>
      <c r="O171" s="595">
        <f ca="1">AB99</f>
        <v>0.10443856891816548</v>
      </c>
      <c r="P171" s="593">
        <f ca="1">AC99</f>
        <v>0.30515965625944202</v>
      </c>
      <c r="Q171" s="593">
        <f ca="1">AD99</f>
        <v>0.19421622007612963</v>
      </c>
      <c r="S171" s="102"/>
      <c r="T171" s="554">
        <f>Z100</f>
        <v>9.1969701363033604E-2</v>
      </c>
      <c r="U171" s="850">
        <f ca="1">AA100</f>
        <v>6.2333730605039481E-2</v>
      </c>
      <c r="V171" s="556">
        <f ca="1">AB100</f>
        <v>3.9671762937961902E-2</v>
      </c>
      <c r="W171" s="102">
        <f ca="1">AC100</f>
        <v>0.11591715270285398</v>
      </c>
      <c r="X171" s="102">
        <f ca="1">AD100</f>
        <v>7.3774467817579445E-2</v>
      </c>
    </row>
    <row r="172" spans="3:45" ht="14.65" thickBot="1" x14ac:dyDescent="0.5">
      <c r="D172" s="604" t="s">
        <v>337</v>
      </c>
      <c r="E172" s="600">
        <f>F12/100</f>
        <v>1.39</v>
      </c>
      <c r="F172" s="600">
        <f>G12/100</f>
        <v>1.39</v>
      </c>
      <c r="G172" s="600">
        <f ca="1">H12/100</f>
        <v>1.39</v>
      </c>
      <c r="H172" s="600">
        <f ca="1">I12/100</f>
        <v>1.39</v>
      </c>
      <c r="I172" s="600">
        <f ca="1">J12/50</f>
        <v>2.78</v>
      </c>
      <c r="J172" s="600">
        <f ca="1">K12/50</f>
        <v>2.78</v>
      </c>
      <c r="L172" s="600">
        <f t="shared" ref="L172:M172" si="65">E172*F$10</f>
        <v>0.11153220486984042</v>
      </c>
      <c r="M172" s="600">
        <f t="shared" si="65"/>
        <v>0.11153220486984042</v>
      </c>
      <c r="N172" s="600">
        <f ca="1">G172*H$10</f>
        <v>0.10704090618943553</v>
      </c>
      <c r="O172" s="600">
        <f ca="1">H172*I$10</f>
        <v>0.10704090618943553</v>
      </c>
      <c r="P172" s="600">
        <f ca="1">I172*J$10</f>
        <v>0.21408181237887106</v>
      </c>
      <c r="Q172" s="600">
        <f ca="1">J172*K$10</f>
        <v>0.21408181237887106</v>
      </c>
      <c r="S172" s="168"/>
      <c r="T172" s="566"/>
      <c r="U172" s="851"/>
      <c r="V172" s="567"/>
      <c r="W172" s="565"/>
      <c r="X172" s="168"/>
    </row>
    <row r="173" spans="3:45" ht="14.65" thickBot="1" x14ac:dyDescent="0.5">
      <c r="D173" s="2"/>
      <c r="E173" s="399"/>
      <c r="F173" s="399"/>
      <c r="G173" s="2"/>
      <c r="M173" s="338"/>
      <c r="N173" s="338"/>
      <c r="O173" s="338"/>
      <c r="P173" s="338"/>
      <c r="Q173" s="338"/>
      <c r="AS173" s="115"/>
    </row>
    <row r="174" spans="3:45" x14ac:dyDescent="0.45">
      <c r="C174" s="1236" t="s">
        <v>541</v>
      </c>
      <c r="D174" s="524" t="s">
        <v>334</v>
      </c>
      <c r="E174" s="644"/>
      <c r="F174" s="542"/>
      <c r="G174" s="543"/>
      <c r="H174" s="14"/>
      <c r="I174" s="12"/>
      <c r="J174" s="14"/>
      <c r="L174" s="628"/>
      <c r="M174" s="1157">
        <f>F184*1000*G90*G110/1000000</f>
        <v>7.480539618465018E-2</v>
      </c>
      <c r="N174" s="639">
        <f>G184*1000*H90*H110/1000000</f>
        <v>3.2826315585240427E-2</v>
      </c>
      <c r="O174" s="1157">
        <f>H184*1000*I90*I110/1000000</f>
        <v>3.3581759475413239E-2</v>
      </c>
      <c r="P174" s="639">
        <f>I184*1000*J90*J110/1000000</f>
        <v>5.4561240685636392E-2</v>
      </c>
      <c r="Q174" s="1157">
        <f>J184*1000*K90*K110/1000000</f>
        <v>5.3245912742815753E-2</v>
      </c>
      <c r="S174" s="679"/>
      <c r="T174" s="25"/>
      <c r="U174" s="25"/>
      <c r="V174" s="25"/>
      <c r="W174" s="25"/>
    </row>
    <row r="175" spans="3:45" ht="14.65" thickBot="1" x14ac:dyDescent="0.5">
      <c r="C175" s="1237"/>
      <c r="D175" s="526" t="s">
        <v>335</v>
      </c>
      <c r="E175" s="645"/>
      <c r="F175" s="638"/>
      <c r="G175" s="2"/>
      <c r="H175" s="38"/>
      <c r="I175" s="37"/>
      <c r="J175" s="38"/>
      <c r="L175" s="629"/>
      <c r="M175" s="27"/>
      <c r="N175" s="640">
        <f>G184*1000*H90*H111/1000000</f>
        <v>4.3565174896707873E-2</v>
      </c>
      <c r="O175" s="1159">
        <f>H184*1000*I90*I111/1000000</f>
        <v>2.8192311512623996E-2</v>
      </c>
      <c r="P175" s="640">
        <f>I184*1000*J90*J111/1000000</f>
        <v>7.3082817046969006E-2</v>
      </c>
      <c r="Q175" s="1159">
        <f>J184*1000*K90*K111/1000000</f>
        <v>4.8679949091973339E-2</v>
      </c>
      <c r="S175" s="679"/>
      <c r="T175" s="25"/>
      <c r="U175" s="25"/>
      <c r="V175" s="25"/>
      <c r="W175" s="25"/>
    </row>
    <row r="176" spans="3:45" s="992" customFormat="1" x14ac:dyDescent="0.45">
      <c r="C176" s="1236" t="s">
        <v>540</v>
      </c>
      <c r="D176" s="524" t="s">
        <v>334</v>
      </c>
      <c r="E176" s="644"/>
      <c r="F176" s="542"/>
      <c r="G176" s="543"/>
      <c r="H176" s="996"/>
      <c r="I176" s="995"/>
      <c r="J176" s="996"/>
      <c r="L176" s="1143"/>
      <c r="M176" s="1157">
        <f>F184*1000*G90*G112/1000000</f>
        <v>0.14029919323574569</v>
      </c>
      <c r="N176" s="639">
        <f>G184*1000*H90*H112/1000000</f>
        <v>5.8830292749022059E-2</v>
      </c>
      <c r="O176" s="1157">
        <f>H184*1000*I90*I112/1000000</f>
        <v>6.0287692981270249E-2</v>
      </c>
      <c r="P176" s="639">
        <f>I184*1000*J90*J112/1000000</f>
        <v>0.10638507036529349</v>
      </c>
      <c r="Q176" s="1157">
        <f>J184*1000*K90*K112/1000000</f>
        <v>0.10643502155136725</v>
      </c>
      <c r="S176" s="679"/>
      <c r="T176" s="25"/>
      <c r="U176" s="25"/>
      <c r="V176" s="25"/>
      <c r="W176" s="25"/>
    </row>
    <row r="177" spans="2:73" s="992" customFormat="1" ht="14.65" thickBot="1" x14ac:dyDescent="0.5">
      <c r="C177" s="1237"/>
      <c r="D177" s="525" t="s">
        <v>335</v>
      </c>
      <c r="E177" s="645"/>
      <c r="F177" s="1142"/>
      <c r="G177" s="2"/>
      <c r="H177" s="1002"/>
      <c r="I177" s="1001"/>
      <c r="J177" s="1002"/>
      <c r="L177" s="714"/>
      <c r="M177" s="27"/>
      <c r="N177" s="640">
        <f>G184*1000*H90*H113/1000000</f>
        <v>6.9718669628237431E-2</v>
      </c>
      <c r="O177" s="1159">
        <f t="shared" ref="O177:Q177" si="66">H184*1000*I90*I113/1000000</f>
        <v>5.4823207518917179E-2</v>
      </c>
      <c r="P177" s="640">
        <f t="shared" si="66"/>
        <v>0.12515444171072299</v>
      </c>
      <c r="Q177" s="1159">
        <f t="shared" si="66"/>
        <v>0.10180797115131003</v>
      </c>
      <c r="S177" s="679"/>
      <c r="T177" s="25"/>
      <c r="U177" s="25"/>
      <c r="V177" s="25"/>
      <c r="W177" s="25"/>
    </row>
    <row r="178" spans="2:73" x14ac:dyDescent="0.45">
      <c r="D178" s="524" t="s">
        <v>536</v>
      </c>
      <c r="E178" s="644"/>
      <c r="F178" s="542"/>
      <c r="G178" s="543"/>
      <c r="H178" s="13"/>
      <c r="I178" s="995"/>
      <c r="J178" s="996"/>
      <c r="L178" s="1143"/>
      <c r="M178" s="1157">
        <f>F184*1000*G85*G110/1000000</f>
        <v>2.7893537560378032E-3</v>
      </c>
      <c r="N178" s="639">
        <f>G184*1000*H85*H110/1000000</f>
        <v>2.1557580384336996E-3</v>
      </c>
      <c r="O178" s="1157">
        <f>H184*1000*I85*I110/1000000</f>
        <v>2.2053692789823624E-3</v>
      </c>
      <c r="P178" s="639">
        <f>I184*1000*J85*J110/1000000</f>
        <v>3.5831262539820908E-3</v>
      </c>
      <c r="Q178" s="1157">
        <f>J184*1000*K85*K110/1000000</f>
        <v>3.4967465084834223E-3</v>
      </c>
      <c r="S178" s="679"/>
      <c r="T178" s="25"/>
      <c r="U178" s="25"/>
      <c r="V178" s="25"/>
      <c r="W178" s="25"/>
      <c r="AS178" s="115"/>
    </row>
    <row r="179" spans="2:73" s="992" customFormat="1" ht="14.65" thickBot="1" x14ac:dyDescent="0.5">
      <c r="D179" s="526" t="s">
        <v>537</v>
      </c>
      <c r="E179" s="646"/>
      <c r="F179" s="544"/>
      <c r="G179" s="545"/>
      <c r="H179" s="50"/>
      <c r="I179" s="997"/>
      <c r="J179" s="998"/>
      <c r="L179" s="967"/>
      <c r="M179" s="1158"/>
      <c r="N179" s="643">
        <f>G184*1000*H85*H111/1000000</f>
        <v>2.8609965603808153E-3</v>
      </c>
      <c r="O179" s="1158">
        <f>H184*1000*I85*I111/1000000</f>
        <v>1.8514353829185907E-3</v>
      </c>
      <c r="P179" s="643">
        <f>I184*1000*J85*J111/1000000</f>
        <v>4.7994685821890091E-3</v>
      </c>
      <c r="Q179" s="1158">
        <f>J184*1000*K85*K111/1000000</f>
        <v>3.1968921791743683E-3</v>
      </c>
      <c r="S179" s="679"/>
      <c r="T179" s="25"/>
      <c r="U179" s="25"/>
      <c r="V179" s="25"/>
      <c r="W179" s="25"/>
      <c r="AS179" s="115"/>
    </row>
    <row r="180" spans="2:73" x14ac:dyDescent="0.45">
      <c r="D180" s="525" t="s">
        <v>363</v>
      </c>
      <c r="E180" s="645"/>
      <c r="F180" s="638"/>
      <c r="G180" s="2"/>
      <c r="H180" s="38"/>
      <c r="I180" s="37"/>
      <c r="J180" s="38"/>
      <c r="L180" s="642">
        <f t="shared" ref="L180:Q180" si="67">E183*1000*F68*F110/1000000*(F124+F125)/100</f>
        <v>4.7650117435188877E-2</v>
      </c>
      <c r="M180" s="1159">
        <f t="shared" si="67"/>
        <v>4.6355093095791909E-2</v>
      </c>
      <c r="N180" s="640">
        <f t="shared" si="67"/>
        <v>3.3586531136677179E-2</v>
      </c>
      <c r="O180" s="1159">
        <f t="shared" si="67"/>
        <v>3.1414372701881951E-2</v>
      </c>
      <c r="P180" s="640">
        <f t="shared" si="67"/>
        <v>5.3642343433653379E-2</v>
      </c>
      <c r="Q180" s="1159">
        <f t="shared" si="67"/>
        <v>4.7862096169719953E-2</v>
      </c>
      <c r="S180" s="679"/>
      <c r="T180" s="25"/>
      <c r="U180" s="25"/>
      <c r="V180" s="25"/>
      <c r="W180" s="25"/>
      <c r="AL180" s="994"/>
      <c r="AM180" s="893"/>
    </row>
    <row r="181" spans="2:73" ht="14.65" thickBot="1" x14ac:dyDescent="0.5">
      <c r="D181" s="526" t="s">
        <v>364</v>
      </c>
      <c r="E181" s="646"/>
      <c r="F181" s="544"/>
      <c r="G181" s="545"/>
      <c r="H181" s="21"/>
      <c r="I181" s="20"/>
      <c r="J181" s="21"/>
      <c r="L181" s="641"/>
      <c r="M181" s="1158"/>
      <c r="N181" s="643">
        <f>G183*1000*H68*H111/1000000*(H124+H125)/100</f>
        <v>4.457408871682695E-2</v>
      </c>
      <c r="O181" s="1158">
        <f>H183*1000*I68*I111/1000000*(I124+I125)/100</f>
        <v>2.6372762923084728E-2</v>
      </c>
      <c r="P181" s="643">
        <f>I183*1000*J68*J111/1000000*(J124+J125)/100</f>
        <v>7.1851987269131556E-2</v>
      </c>
      <c r="Q181" s="1160">
        <f>J183*1000*K68*K111/1000000*(K124+K125)/100</f>
        <v>4.375780759418884E-2</v>
      </c>
      <c r="S181" s="679"/>
      <c r="T181" s="25"/>
      <c r="U181" s="25"/>
      <c r="V181" s="25"/>
      <c r="W181" s="25"/>
    </row>
    <row r="182" spans="2:73" ht="14.65" thickBot="1" x14ac:dyDescent="0.5">
      <c r="D182" s="679"/>
      <c r="E182" s="638"/>
      <c r="F182" s="638"/>
      <c r="G182" s="2"/>
      <c r="H182" s="25"/>
      <c r="I182" s="25"/>
      <c r="J182" s="25"/>
      <c r="L182" s="640"/>
      <c r="M182" s="640"/>
      <c r="N182" s="852"/>
      <c r="O182" s="640"/>
      <c r="P182" s="640"/>
      <c r="Q182" s="640"/>
      <c r="AM182" s="893"/>
    </row>
    <row r="183" spans="2:73" ht="14.65" thickBot="1" x14ac:dyDescent="0.5">
      <c r="D183" s="681" t="s">
        <v>311</v>
      </c>
      <c r="E183" s="680">
        <f t="shared" ref="E183:J183" si="68">P18</f>
        <v>44676</v>
      </c>
      <c r="F183" s="532">
        <f t="shared" si="68"/>
        <v>44676</v>
      </c>
      <c r="G183" s="532">
        <f t="shared" si="68"/>
        <v>47304.000000000007</v>
      </c>
      <c r="H183" s="532">
        <f t="shared" si="68"/>
        <v>47304.000000000007</v>
      </c>
      <c r="I183" s="532">
        <f t="shared" si="68"/>
        <v>113880</v>
      </c>
      <c r="J183" s="579">
        <f t="shared" si="68"/>
        <v>113880</v>
      </c>
      <c r="N183" s="853"/>
      <c r="AN183" s="994"/>
    </row>
    <row r="184" spans="2:73" ht="14.65" thickBot="1" x14ac:dyDescent="0.5">
      <c r="D184" s="526" t="s">
        <v>312</v>
      </c>
      <c r="E184" s="533">
        <f>F19</f>
        <v>0</v>
      </c>
      <c r="F184" s="580">
        <f>Q19</f>
        <v>850.67136812411832</v>
      </c>
      <c r="G184" s="580">
        <f>R19</f>
        <v>960.75825105782815</v>
      </c>
      <c r="H184" s="580">
        <f>S19</f>
        <v>1050.8293370944996</v>
      </c>
      <c r="I184" s="580">
        <f>T19</f>
        <v>2312.9365303244003</v>
      </c>
      <c r="J184" s="581">
        <f>U19</f>
        <v>2529.7743300423131</v>
      </c>
      <c r="L184" s="1086"/>
      <c r="N184" s="854"/>
      <c r="Q184" s="994"/>
      <c r="AL184" s="992"/>
      <c r="AN184" s="994"/>
    </row>
    <row r="185" spans="2:73" x14ac:dyDescent="0.45">
      <c r="D185" s="2"/>
      <c r="E185" s="399"/>
      <c r="F185" s="399"/>
      <c r="G185" s="2"/>
      <c r="AH185" s="994"/>
    </row>
    <row r="186" spans="2:73" ht="14.65" thickBot="1" x14ac:dyDescent="0.5">
      <c r="D186" s="2"/>
      <c r="E186" s="514"/>
      <c r="F186" s="514"/>
      <c r="G186" s="2"/>
    </row>
    <row r="187" spans="2:73" ht="14.65" thickBot="1" x14ac:dyDescent="0.5">
      <c r="C187" s="4"/>
      <c r="D187" s="44" t="s">
        <v>344</v>
      </c>
      <c r="E187" s="1206" t="s">
        <v>137</v>
      </c>
      <c r="F187" s="1207"/>
      <c r="G187" s="1207"/>
      <c r="H187" s="1207"/>
      <c r="I187" s="1207"/>
      <c r="J187" s="1208"/>
      <c r="L187" s="1206" t="s">
        <v>427</v>
      </c>
      <c r="M187" s="1207"/>
      <c r="N187" s="1207"/>
      <c r="O187" s="1207"/>
      <c r="P187" s="1207"/>
      <c r="Q187" s="1208"/>
      <c r="S187" s="1206" t="s">
        <v>539</v>
      </c>
      <c r="T187" s="1207"/>
      <c r="U187" s="1207"/>
      <c r="V187" s="1207"/>
      <c r="W187" s="1207"/>
      <c r="X187" s="1208"/>
      <c r="Z187" s="1206" t="s">
        <v>443</v>
      </c>
      <c r="AA187" s="1207"/>
      <c r="AB187" s="1207"/>
      <c r="AC187" s="1207"/>
      <c r="AD187" s="1207"/>
      <c r="AE187" s="1208"/>
      <c r="AG187" s="1206" t="s">
        <v>373</v>
      </c>
      <c r="AH187" s="1207"/>
      <c r="AI187" s="1207"/>
      <c r="AJ187" s="1207"/>
      <c r="AK187" s="1207"/>
      <c r="AL187" s="1208"/>
      <c r="AN187" s="1206" t="s">
        <v>439</v>
      </c>
      <c r="AO187" s="1207"/>
      <c r="AP187" s="1207"/>
      <c r="AQ187" s="1207"/>
      <c r="AR187" s="1207"/>
      <c r="AS187" s="1208"/>
      <c r="AU187" s="1206" t="s">
        <v>442</v>
      </c>
      <c r="AV187" s="1207"/>
      <c r="AW187" s="1207"/>
      <c r="AX187" s="1207"/>
      <c r="AY187" s="1207"/>
      <c r="AZ187" s="1208"/>
      <c r="BB187" s="1206" t="s">
        <v>429</v>
      </c>
      <c r="BC187" s="1207"/>
      <c r="BD187" s="1207"/>
      <c r="BE187" s="1207"/>
      <c r="BF187" s="1207"/>
      <c r="BG187" s="1208"/>
      <c r="BI187" s="1206" t="s">
        <v>428</v>
      </c>
      <c r="BJ187" s="1207"/>
      <c r="BK187" s="1207"/>
      <c r="BL187" s="1207"/>
      <c r="BM187" s="1207"/>
      <c r="BN187" s="1208"/>
      <c r="BP187" s="1206" t="s">
        <v>444</v>
      </c>
      <c r="BQ187" s="1207"/>
      <c r="BR187" s="1207"/>
      <c r="BS187" s="1207"/>
      <c r="BT187" s="1207"/>
      <c r="BU187" s="1208"/>
    </row>
    <row r="188" spans="2:73" ht="14.65" thickBot="1" x14ac:dyDescent="0.5">
      <c r="D188" s="2"/>
      <c r="E188" s="1177" t="s">
        <v>7</v>
      </c>
      <c r="F188" s="1182"/>
      <c r="G188" s="1182"/>
      <c r="H188" s="1178"/>
      <c r="I188" s="1182" t="s">
        <v>31</v>
      </c>
      <c r="J188" s="1178"/>
      <c r="L188" s="1177" t="s">
        <v>7</v>
      </c>
      <c r="M188" s="1182"/>
      <c r="N188" s="1182"/>
      <c r="O188" s="1178"/>
      <c r="P188" s="1182" t="s">
        <v>31</v>
      </c>
      <c r="Q188" s="1178"/>
      <c r="S188" s="1177" t="s">
        <v>7</v>
      </c>
      <c r="T188" s="1182"/>
      <c r="U188" s="1182"/>
      <c r="V188" s="1178"/>
      <c r="W188" s="1182" t="s">
        <v>31</v>
      </c>
      <c r="X188" s="1178"/>
      <c r="Z188" s="1177" t="s">
        <v>7</v>
      </c>
      <c r="AA188" s="1182"/>
      <c r="AB188" s="1182"/>
      <c r="AC188" s="1178"/>
      <c r="AD188" s="1182" t="s">
        <v>31</v>
      </c>
      <c r="AE188" s="1178"/>
      <c r="AG188" s="1177" t="s">
        <v>7</v>
      </c>
      <c r="AH188" s="1182"/>
      <c r="AI188" s="1182"/>
      <c r="AJ188" s="1178"/>
      <c r="AK188" s="1182" t="s">
        <v>31</v>
      </c>
      <c r="AL188" s="1178"/>
      <c r="AN188" s="1177" t="s">
        <v>7</v>
      </c>
      <c r="AO188" s="1182"/>
      <c r="AP188" s="1182"/>
      <c r="AQ188" s="1178"/>
      <c r="AR188" s="1182" t="s">
        <v>31</v>
      </c>
      <c r="AS188" s="1178"/>
      <c r="AU188" s="1177" t="s">
        <v>7</v>
      </c>
      <c r="AV188" s="1182"/>
      <c r="AW188" s="1182"/>
      <c r="AX188" s="1178"/>
      <c r="AY188" s="1182" t="s">
        <v>31</v>
      </c>
      <c r="AZ188" s="1178"/>
      <c r="BB188" s="1177" t="s">
        <v>7</v>
      </c>
      <c r="BC188" s="1182"/>
      <c r="BD188" s="1182"/>
      <c r="BE188" s="1178"/>
      <c r="BF188" s="1182" t="s">
        <v>31</v>
      </c>
      <c r="BG188" s="1178"/>
      <c r="BI188" s="1177" t="s">
        <v>7</v>
      </c>
      <c r="BJ188" s="1182"/>
      <c r="BK188" s="1182"/>
      <c r="BL188" s="1178"/>
      <c r="BM188" s="1182" t="s">
        <v>31</v>
      </c>
      <c r="BN188" s="1178"/>
      <c r="BP188" s="1177" t="s">
        <v>7</v>
      </c>
      <c r="BQ188" s="1182"/>
      <c r="BR188" s="1182"/>
      <c r="BS188" s="1178"/>
      <c r="BT188" s="1182" t="s">
        <v>31</v>
      </c>
      <c r="BU188" s="1178"/>
    </row>
    <row r="189" spans="2:73" ht="43.15" thickBot="1" x14ac:dyDescent="0.5">
      <c r="D189" s="2"/>
      <c r="E189" s="490" t="s">
        <v>130</v>
      </c>
      <c r="F189" s="139" t="s">
        <v>66</v>
      </c>
      <c r="G189" s="424">
        <v>2035</v>
      </c>
      <c r="H189" s="403">
        <v>2050</v>
      </c>
      <c r="I189" s="251">
        <v>2035</v>
      </c>
      <c r="J189" s="251">
        <v>2050</v>
      </c>
      <c r="L189" s="490" t="s">
        <v>130</v>
      </c>
      <c r="M189" s="139" t="s">
        <v>66</v>
      </c>
      <c r="N189" s="848">
        <v>2035</v>
      </c>
      <c r="O189" s="403">
        <v>2050</v>
      </c>
      <c r="P189" s="251">
        <v>2035</v>
      </c>
      <c r="Q189" s="251">
        <v>2050</v>
      </c>
      <c r="S189" s="490" t="s">
        <v>130</v>
      </c>
      <c r="T189" s="139" t="s">
        <v>66</v>
      </c>
      <c r="U189" s="424">
        <v>2035</v>
      </c>
      <c r="V189" s="403">
        <v>2050</v>
      </c>
      <c r="W189" s="251">
        <v>2035</v>
      </c>
      <c r="X189" s="251">
        <v>2050</v>
      </c>
      <c r="Z189" s="490" t="s">
        <v>130</v>
      </c>
      <c r="AA189" s="139" t="s">
        <v>66</v>
      </c>
      <c r="AB189" s="424">
        <v>2035</v>
      </c>
      <c r="AC189" s="403">
        <v>2050</v>
      </c>
      <c r="AD189" s="251">
        <v>2035</v>
      </c>
      <c r="AE189" s="251">
        <v>2050</v>
      </c>
      <c r="AG189" s="490" t="s">
        <v>130</v>
      </c>
      <c r="AH189" s="139" t="s">
        <v>66</v>
      </c>
      <c r="AI189" s="848">
        <v>2035</v>
      </c>
      <c r="AJ189" s="403">
        <v>2050</v>
      </c>
      <c r="AK189" s="251">
        <v>2035</v>
      </c>
      <c r="AL189" s="251">
        <v>2050</v>
      </c>
      <c r="AN189" s="490" t="s">
        <v>130</v>
      </c>
      <c r="AO189" s="139" t="s">
        <v>66</v>
      </c>
      <c r="AP189" s="424">
        <v>2035</v>
      </c>
      <c r="AQ189" s="403">
        <v>2050</v>
      </c>
      <c r="AR189" s="251">
        <v>2035</v>
      </c>
      <c r="AS189" s="251">
        <v>2050</v>
      </c>
      <c r="AU189" s="490" t="s">
        <v>130</v>
      </c>
      <c r="AV189" s="139" t="s">
        <v>66</v>
      </c>
      <c r="AW189" s="424">
        <v>2035</v>
      </c>
      <c r="AX189" s="403">
        <v>2050</v>
      </c>
      <c r="AY189" s="251">
        <v>2035</v>
      </c>
      <c r="AZ189" s="251">
        <v>2050</v>
      </c>
      <c r="BB189" s="490" t="s">
        <v>130</v>
      </c>
      <c r="BC189" s="139" t="s">
        <v>66</v>
      </c>
      <c r="BD189" s="424">
        <v>2035</v>
      </c>
      <c r="BE189" s="403">
        <v>2050</v>
      </c>
      <c r="BF189" s="251">
        <v>2035</v>
      </c>
      <c r="BG189" s="251">
        <v>2050</v>
      </c>
      <c r="BI189" s="490" t="s">
        <v>130</v>
      </c>
      <c r="BJ189" s="139" t="s">
        <v>66</v>
      </c>
      <c r="BK189" s="424">
        <v>2035</v>
      </c>
      <c r="BL189" s="403">
        <v>2050</v>
      </c>
      <c r="BM189" s="251">
        <v>2035</v>
      </c>
      <c r="BN189" s="251">
        <v>2050</v>
      </c>
      <c r="BP189" s="490" t="s">
        <v>130</v>
      </c>
      <c r="BQ189" s="139" t="s">
        <v>66</v>
      </c>
      <c r="BR189" s="424">
        <v>2035</v>
      </c>
      <c r="BS189" s="403">
        <v>2050</v>
      </c>
      <c r="BT189" s="251">
        <v>2035</v>
      </c>
      <c r="BU189" s="251">
        <v>2050</v>
      </c>
    </row>
    <row r="190" spans="2:73" ht="15" customHeight="1" thickBot="1" x14ac:dyDescent="0.5">
      <c r="B190" s="1190" t="s">
        <v>384</v>
      </c>
      <c r="C190" s="1211" t="s">
        <v>313</v>
      </c>
      <c r="D190" s="209" t="s">
        <v>85</v>
      </c>
      <c r="E190" s="610">
        <f>(AG190+BB190)/E$183*1000000</f>
        <v>76.604736349251979</v>
      </c>
      <c r="F190" s="971">
        <f t="shared" ref="E190:F191" si="69">(AH190+BC190)/F$183*1000000</f>
        <v>74.522789789092883</v>
      </c>
      <c r="G190" s="611">
        <f t="shared" ref="G190:J191" ca="1" si="70">(AI190+BD190)/G$183*1000000</f>
        <v>50.995659750565274</v>
      </c>
      <c r="H190" s="971">
        <f t="shared" ca="1" si="70"/>
        <v>47.697592081285372</v>
      </c>
      <c r="I190" s="610">
        <f t="shared" ca="1" si="70"/>
        <v>35.20835376277293</v>
      </c>
      <c r="J190" s="971">
        <f t="shared" ca="1" si="70"/>
        <v>31.414466742222089</v>
      </c>
      <c r="L190" s="607">
        <f>E163+E165</f>
        <v>27.075884493704379</v>
      </c>
      <c r="M190" s="607">
        <f t="shared" ref="M190" si="71">F163+F165</f>
        <v>26.025884493704382</v>
      </c>
      <c r="N190" s="607">
        <f ca="1">G163+G165</f>
        <v>20.180359648391644</v>
      </c>
      <c r="O190" s="607">
        <f ca="1">H163+H165</f>
        <v>18.815116739820343</v>
      </c>
      <c r="P190" s="607">
        <f ca="1">I163+I165</f>
        <v>33.227792074113083</v>
      </c>
      <c r="Q190" s="607">
        <f ca="1">J163+J165</f>
        <v>14.874806223454669</v>
      </c>
      <c r="S190" s="607">
        <f>E$172</f>
        <v>1.39</v>
      </c>
      <c r="T190" s="607">
        <f t="shared" ref="T190" si="72">F$172</f>
        <v>1.39</v>
      </c>
      <c r="U190" s="607">
        <f t="shared" ref="U190:X194" ca="1" si="73">G$172</f>
        <v>1.39</v>
      </c>
      <c r="V190" s="607">
        <f t="shared" ca="1" si="73"/>
        <v>1.39</v>
      </c>
      <c r="W190" s="607">
        <f t="shared" ca="1" si="73"/>
        <v>2.78</v>
      </c>
      <c r="X190" s="607">
        <f t="shared" ca="1" si="73"/>
        <v>2.78</v>
      </c>
      <c r="Z190" s="607">
        <f>F$14*L190</f>
        <v>2.8158919873452555</v>
      </c>
      <c r="AA190" s="607">
        <f t="shared" ref="AA190" si="74">G$14*M190</f>
        <v>2.7066919873452555</v>
      </c>
      <c r="AB190" s="607">
        <f t="shared" ref="AB190:AE194" ca="1" si="75">H$14*N190</f>
        <v>2.0987574034327308</v>
      </c>
      <c r="AC190" s="607">
        <f t="shared" ca="1" si="75"/>
        <v>1.9567721409413157</v>
      </c>
      <c r="AD190" s="607">
        <f t="shared" ca="1" si="75"/>
        <v>3.4556903757077606</v>
      </c>
      <c r="AE190" s="607">
        <f t="shared" ca="1" si="75"/>
        <v>1.5469798472392855</v>
      </c>
      <c r="AG190" s="607">
        <f t="shared" ref="AG190:AL190" si="76">L163+L165+SUM(S190,Z190)*F$10</f>
        <v>2.5100183476093405</v>
      </c>
      <c r="AH190" s="607">
        <f t="shared" si="76"/>
        <v>2.4170053030876724</v>
      </c>
      <c r="AI190" s="607">
        <f t="shared" ca="1" si="76"/>
        <v>1.8227077251302892</v>
      </c>
      <c r="AJ190" s="607">
        <f t="shared" ca="1" si="76"/>
        <v>1.7066393299757578</v>
      </c>
      <c r="AK190" s="607">
        <f t="shared" ca="1" si="76"/>
        <v>3.0389977862012296</v>
      </c>
      <c r="AL190" s="607">
        <f t="shared" ca="1" si="76"/>
        <v>2.6854345624153004</v>
      </c>
      <c r="AN190" s="607">
        <f t="shared" ref="AN190:AO190" si="77">S163+S165</f>
        <v>0.9123748535298406</v>
      </c>
      <c r="AO190" s="607">
        <f t="shared" si="77"/>
        <v>0.9123748535298406</v>
      </c>
      <c r="AP190" s="607">
        <f ca="1">U163+U165</f>
        <v>0.5895909637104505</v>
      </c>
      <c r="AQ190" s="607">
        <f ca="1">V163+V165</f>
        <v>0.5496475658373654</v>
      </c>
      <c r="AR190" s="607">
        <f ca="1">W163+W165</f>
        <v>0.97052954030335215</v>
      </c>
      <c r="AS190" s="607">
        <f ca="1">X163+X165</f>
        <v>0.89204491018895093</v>
      </c>
      <c r="AU190" s="1059">
        <v>0</v>
      </c>
      <c r="AV190" s="1059">
        <v>0</v>
      </c>
      <c r="AW190" s="1059">
        <v>0</v>
      </c>
      <c r="AX190" s="1059">
        <v>0</v>
      </c>
      <c r="AY190" s="1059">
        <v>0</v>
      </c>
      <c r="AZ190" s="1059">
        <v>0</v>
      </c>
      <c r="BB190" s="607">
        <f>AN190+AU190</f>
        <v>0.9123748535298406</v>
      </c>
      <c r="BC190" s="607">
        <f t="shared" ref="BC190:BC191" si="78">AO190+AV190</f>
        <v>0.9123748535298406</v>
      </c>
      <c r="BD190" s="607">
        <f t="shared" ref="BD190:BG194" ca="1" si="79">AP190+AW190</f>
        <v>0.5895909637104505</v>
      </c>
      <c r="BE190" s="607">
        <f t="shared" ca="1" si="79"/>
        <v>0.5496475658373654</v>
      </c>
      <c r="BF190" s="607">
        <f t="shared" ca="1" si="79"/>
        <v>0.97052954030335215</v>
      </c>
      <c r="BG190" s="607">
        <f t="shared" ca="1" si="79"/>
        <v>0.89204491018895093</v>
      </c>
      <c r="BI190" s="607">
        <f t="shared" ref="BI190:BJ191" si="80">AG190+AN190</f>
        <v>3.4223932011391813</v>
      </c>
      <c r="BJ190" s="607">
        <f t="shared" si="80"/>
        <v>3.3293801566175132</v>
      </c>
      <c r="BK190" s="607">
        <f t="shared" ref="BK190:BN194" ca="1" si="81">AI190+AP190</f>
        <v>2.4122986888407398</v>
      </c>
      <c r="BL190" s="607">
        <f t="shared" ca="1" si="81"/>
        <v>2.2562868958131235</v>
      </c>
      <c r="BM190" s="607">
        <f t="shared" ca="1" si="81"/>
        <v>4.0095273265045819</v>
      </c>
      <c r="BN190" s="607">
        <f t="shared" ca="1" si="81"/>
        <v>3.5774794726042511</v>
      </c>
      <c r="BP190" s="607">
        <f t="shared" ref="BP190:BQ190" si="82">BI190+AU190</f>
        <v>3.4223932011391813</v>
      </c>
      <c r="BQ190" s="607">
        <f t="shared" si="82"/>
        <v>3.3293801566175132</v>
      </c>
      <c r="BR190" s="607">
        <f t="shared" ref="BR190:BU194" ca="1" si="83">BK190+AW190</f>
        <v>2.4122986888407398</v>
      </c>
      <c r="BS190" s="607">
        <f t="shared" ca="1" si="83"/>
        <v>2.2562868958131235</v>
      </c>
      <c r="BT190" s="607">
        <f t="shared" ca="1" si="83"/>
        <v>4.0095273265045819</v>
      </c>
      <c r="BU190" s="607">
        <f t="shared" ca="1" si="83"/>
        <v>3.5774794726042511</v>
      </c>
    </row>
    <row r="191" spans="2:73" ht="14.65" thickBot="1" x14ac:dyDescent="0.5">
      <c r="B191" s="1191"/>
      <c r="C191" s="1212"/>
      <c r="D191" s="210" t="s">
        <v>88</v>
      </c>
      <c r="E191" s="612">
        <f t="shared" si="69"/>
        <v>141.88009220703145</v>
      </c>
      <c r="F191" s="972">
        <f t="shared" si="69"/>
        <v>139.76915862163736</v>
      </c>
      <c r="G191" s="613">
        <f t="shared" ca="1" si="70"/>
        <v>91.392821234077061</v>
      </c>
      <c r="H191" s="972">
        <f t="shared" ca="1" si="70"/>
        <v>85.629157979281672</v>
      </c>
      <c r="I191" s="612">
        <f t="shared" ca="1" si="70"/>
        <v>68.650256948515647</v>
      </c>
      <c r="J191" s="972">
        <f t="shared" ca="1" si="70"/>
        <v>62.795419826552902</v>
      </c>
      <c r="L191" s="607">
        <f>L190+E167</f>
        <v>54.732896493704374</v>
      </c>
      <c r="M191" s="607">
        <f t="shared" ref="M191" si="84">M190+F167</f>
        <v>53.682896493704376</v>
      </c>
      <c r="N191" s="607">
        <f ca="1">N190+G167</f>
        <v>38.925280092824835</v>
      </c>
      <c r="O191" s="607">
        <f ca="1">O190+H167</f>
        <v>36.417182475120029</v>
      </c>
      <c r="P191" s="607">
        <f ca="1">P190+I167</f>
        <v>70.717632962979479</v>
      </c>
      <c r="Q191" s="607">
        <f ca="1">Q190+J167</f>
        <v>50.078937694054048</v>
      </c>
      <c r="S191" s="607">
        <f>E$172</f>
        <v>1.39</v>
      </c>
      <c r="T191" s="607">
        <f t="shared" ref="T191:T194" si="85">F$172</f>
        <v>1.39</v>
      </c>
      <c r="U191" s="607">
        <f t="shared" ca="1" si="73"/>
        <v>1.39</v>
      </c>
      <c r="V191" s="607">
        <f t="shared" ca="1" si="73"/>
        <v>1.39</v>
      </c>
      <c r="W191" s="607">
        <f t="shared" ca="1" si="73"/>
        <v>2.78</v>
      </c>
      <c r="X191" s="607">
        <f t="shared" ca="1" si="73"/>
        <v>2.78</v>
      </c>
      <c r="Z191" s="607">
        <f>F$14*L191</f>
        <v>5.6922212353452544</v>
      </c>
      <c r="AA191" s="607">
        <f t="shared" ref="AA191" si="86">G$14*M191</f>
        <v>5.5830212353452549</v>
      </c>
      <c r="AB191" s="607">
        <f t="shared" ca="1" si="75"/>
        <v>4.0482291296537829</v>
      </c>
      <c r="AC191" s="607">
        <f t="shared" ca="1" si="75"/>
        <v>3.7873869774124826</v>
      </c>
      <c r="AD191" s="607">
        <f t="shared" ca="1" si="75"/>
        <v>7.3546338281498658</v>
      </c>
      <c r="AE191" s="607">
        <f t="shared" ca="1" si="75"/>
        <v>5.2082095201816205</v>
      </c>
      <c r="AG191" s="607">
        <f t="shared" ref="AG191:AL191" si="87">L163+L165+L167+SUM(S191,Z191)*F$10</f>
        <v>4.9599830033163075</v>
      </c>
      <c r="AH191" s="607">
        <f t="shared" si="87"/>
        <v>4.8669699587946393</v>
      </c>
      <c r="AI191" s="607">
        <f t="shared" ca="1" si="87"/>
        <v>3.4163382941852469</v>
      </c>
      <c r="AJ191" s="607">
        <f t="shared" ca="1" si="87"/>
        <v>3.2031082063010747</v>
      </c>
      <c r="AK191" s="607">
        <f t="shared" ca="1" si="87"/>
        <v>6.2262589243111437</v>
      </c>
      <c r="AL191" s="607">
        <f t="shared" ca="1" si="87"/>
        <v>5.6783723150659347</v>
      </c>
      <c r="AN191" s="607">
        <f t="shared" ref="AN191:AO191" si="88">AN190+S167</f>
        <v>1.3310018786898405</v>
      </c>
      <c r="AO191" s="607">
        <f t="shared" si="88"/>
        <v>1.3310018786898405</v>
      </c>
      <c r="AP191" s="607">
        <f ca="1">AP190+U167</f>
        <v>0.87332119033485722</v>
      </c>
      <c r="AQ191" s="607">
        <f ca="1">AQ190+V167</f>
        <v>0.81607911004898448</v>
      </c>
      <c r="AR191" s="607">
        <f ca="1">AR190+W167</f>
        <v>1.5379899935521655</v>
      </c>
      <c r="AS191" s="607">
        <f ca="1">AS190+X167</f>
        <v>1.4249079986121891</v>
      </c>
      <c r="AU191" s="1059">
        <f>L180</f>
        <v>4.7650117435188877E-2</v>
      </c>
      <c r="AV191" s="1059">
        <f t="shared" ref="AV191:AZ191" si="89">M180</f>
        <v>4.6355093095791909E-2</v>
      </c>
      <c r="AW191" s="1059">
        <f t="shared" si="89"/>
        <v>3.3586531136677179E-2</v>
      </c>
      <c r="AX191" s="1059">
        <f t="shared" si="89"/>
        <v>3.1414372701881951E-2</v>
      </c>
      <c r="AY191" s="1059">
        <f t="shared" si="89"/>
        <v>5.3642343433653379E-2</v>
      </c>
      <c r="AZ191" s="1059">
        <f t="shared" si="89"/>
        <v>4.7862096169719953E-2</v>
      </c>
      <c r="BB191" s="607">
        <f t="shared" ref="BB191" si="90">AN191+AU191</f>
        <v>1.3786519961250294</v>
      </c>
      <c r="BC191" s="607">
        <f t="shared" si="78"/>
        <v>1.3773569717856324</v>
      </c>
      <c r="BD191" s="607">
        <f t="shared" ca="1" si="79"/>
        <v>0.90690772147153442</v>
      </c>
      <c r="BE191" s="607">
        <f t="shared" ca="1" si="79"/>
        <v>0.84749348275086644</v>
      </c>
      <c r="BF191" s="607">
        <f t="shared" ca="1" si="79"/>
        <v>1.591632336985819</v>
      </c>
      <c r="BG191" s="607">
        <f t="shared" ca="1" si="79"/>
        <v>1.4727700947819091</v>
      </c>
      <c r="BI191" s="607">
        <f t="shared" si="80"/>
        <v>6.290984882006148</v>
      </c>
      <c r="BJ191" s="607">
        <f t="shared" si="80"/>
        <v>6.1979718374844799</v>
      </c>
      <c r="BK191" s="607">
        <f t="shared" ca="1" si="81"/>
        <v>4.2896594845201044</v>
      </c>
      <c r="BL191" s="607">
        <f t="shared" ca="1" si="81"/>
        <v>4.0191873163500595</v>
      </c>
      <c r="BM191" s="607">
        <f t="shared" ca="1" si="81"/>
        <v>7.7642489178633092</v>
      </c>
      <c r="BN191" s="607">
        <f t="shared" ca="1" si="81"/>
        <v>7.1032803136781233</v>
      </c>
      <c r="BP191" s="607">
        <f>BI191+AU191</f>
        <v>6.3386349994413367</v>
      </c>
      <c r="BQ191" s="607">
        <f t="shared" ref="BQ191" si="91">BJ191+AV191</f>
        <v>6.2443269305802716</v>
      </c>
      <c r="BR191" s="607">
        <f t="shared" ca="1" si="83"/>
        <v>4.3232460156567818</v>
      </c>
      <c r="BS191" s="607">
        <f t="shared" ca="1" si="83"/>
        <v>4.0506016890519412</v>
      </c>
      <c r="BT191" s="607">
        <f t="shared" ca="1" si="83"/>
        <v>7.8178912612969622</v>
      </c>
      <c r="BU191" s="607">
        <f t="shared" ca="1" si="83"/>
        <v>7.1511424098478429</v>
      </c>
    </row>
    <row r="192" spans="2:73" ht="14.65" thickBot="1" x14ac:dyDescent="0.5">
      <c r="B192" s="1191"/>
      <c r="C192" s="1211" t="s">
        <v>314</v>
      </c>
      <c r="D192" s="1151" t="s">
        <v>90</v>
      </c>
      <c r="E192" s="1152"/>
      <c r="F192" s="607">
        <f t="shared" ref="F192:F194" si="92">(AH192+BC192)/F$184*1000000/1000</f>
        <v>9.2302677919281191</v>
      </c>
      <c r="G192" s="1153">
        <f t="shared" ref="G192:J194" ca="1" si="93">(AI192+BD192)/G$184*1000000/1000</f>
        <v>5.1144407908786738</v>
      </c>
      <c r="H192" s="607">
        <f t="shared" ca="1" si="93"/>
        <v>4.1657489084955781</v>
      </c>
      <c r="I192" s="1154">
        <f t="shared" ca="1" si="93"/>
        <v>3.8857988430650607</v>
      </c>
      <c r="J192" s="607">
        <f t="shared" ca="1" si="93"/>
        <v>3.0796347732865033</v>
      </c>
      <c r="L192" s="607"/>
      <c r="M192" s="607">
        <f>M191+F169+F170</f>
        <v>64.312896493704372</v>
      </c>
      <c r="N192" s="607">
        <f ca="1">N191+G169+G170</f>
        <v>43.266582251720102</v>
      </c>
      <c r="O192" s="607">
        <f ca="1">O191+H169+H170</f>
        <v>38.722804715987593</v>
      </c>
      <c r="P192" s="607">
        <f ca="1">P191+I169+I170</f>
        <v>79.400237280770014</v>
      </c>
      <c r="Q192" s="607">
        <f ca="1">Q191+J169+J170</f>
        <v>54.690182175789182</v>
      </c>
      <c r="S192" s="1001"/>
      <c r="T192" s="607">
        <f t="shared" si="85"/>
        <v>1.39</v>
      </c>
      <c r="U192" s="607">
        <f t="shared" ca="1" si="73"/>
        <v>1.39</v>
      </c>
      <c r="V192" s="607">
        <f t="shared" ca="1" si="73"/>
        <v>1.39</v>
      </c>
      <c r="W192" s="607">
        <f t="shared" ca="1" si="73"/>
        <v>2.78</v>
      </c>
      <c r="X192" s="607">
        <f t="shared" ca="1" si="73"/>
        <v>2.78</v>
      </c>
      <c r="Z192" s="1001"/>
      <c r="AA192" s="607">
        <f t="shared" ref="AA192:AA194" si="94">G$14*M192</f>
        <v>6.6885412353452542</v>
      </c>
      <c r="AB192" s="607">
        <f t="shared" ca="1" si="75"/>
        <v>4.4997245541788908</v>
      </c>
      <c r="AC192" s="607">
        <f t="shared" ca="1" si="75"/>
        <v>4.0271716904627093</v>
      </c>
      <c r="AD192" s="607">
        <f t="shared" ca="1" si="75"/>
        <v>8.2576246772000808</v>
      </c>
      <c r="AE192" s="607">
        <f t="shared" ca="1" si="75"/>
        <v>5.6877789462820747</v>
      </c>
      <c r="AG192" s="607"/>
      <c r="AH192" s="607">
        <f>M163+M165+M167+M169+M170+SUM(T192,AA192)*G$10</f>
        <v>6.1158396056900992</v>
      </c>
      <c r="AI192" s="607">
        <f ca="1">N163+N165+N167+N169+N170+SUM(U192,AB192)*H$10</f>
        <v>3.8580194044108498</v>
      </c>
      <c r="AJ192" s="607">
        <f ca="1">O163+O165+O167+O169+O170+SUM(V192,AC192)*I$10</f>
        <v>3.4207699264945486</v>
      </c>
      <c r="AK192" s="607">
        <f ca="1">P163+P165+P167+P169+P170+SUM(W192,AD192)*J$10</f>
        <v>7.1096211447623494</v>
      </c>
      <c r="AL192" s="607">
        <f ca="1">Q163+Q165+Q167+Q169+Q170+SUM(X192,AE192)*K$10</f>
        <v>6.1136957554528824</v>
      </c>
      <c r="AN192" s="37"/>
      <c r="AO192" s="607">
        <f>AO191+T169+T170</f>
        <v>1.5494306386898404</v>
      </c>
      <c r="AP192" s="607">
        <f ca="1">AP191+U169+U170</f>
        <v>0.96330496108686148</v>
      </c>
      <c r="AQ192" s="607">
        <f ca="1">AQ191+V169+V170</f>
        <v>0.86501917183884258</v>
      </c>
      <c r="AR192" s="607">
        <f ca="1">AR191+W169+W170</f>
        <v>1.717957535056174</v>
      </c>
      <c r="AS192" s="607">
        <f ca="1">AS191+X169+X170</f>
        <v>1.5227881221919053</v>
      </c>
      <c r="AU192" s="1001"/>
      <c r="AV192" s="1059">
        <f>AV191+M176</f>
        <v>0.18665428633153761</v>
      </c>
      <c r="AW192" s="1059">
        <f>AW191+N176</f>
        <v>9.2416823885699245E-2</v>
      </c>
      <c r="AX192" s="1059">
        <f>AX191+O176</f>
        <v>9.1702065683152201E-2</v>
      </c>
      <c r="AY192" s="1059">
        <f>AY191+P176</f>
        <v>0.16002741379894686</v>
      </c>
      <c r="AZ192" s="1059">
        <f>AZ191+Q176</f>
        <v>0.1542971177210872</v>
      </c>
      <c r="BB192" s="37"/>
      <c r="BC192" s="607">
        <f t="shared" ref="BC192:BC194" si="95">AO192+AV192</f>
        <v>1.7360849250213781</v>
      </c>
      <c r="BD192" s="607">
        <f t="shared" ca="1" si="79"/>
        <v>1.0557217849725606</v>
      </c>
      <c r="BE192" s="607">
        <f t="shared" ca="1" si="79"/>
        <v>0.95672123752199478</v>
      </c>
      <c r="BF192" s="607">
        <f t="shared" ca="1" si="79"/>
        <v>1.8779849488551208</v>
      </c>
      <c r="BG192" s="607">
        <f t="shared" ca="1" si="79"/>
        <v>1.6770852399129925</v>
      </c>
      <c r="BI192" s="37"/>
      <c r="BJ192" s="607">
        <f t="shared" ref="BJ192:BJ194" si="96">AH192+AO192</f>
        <v>7.6652702443799399</v>
      </c>
      <c r="BK192" s="607">
        <f t="shared" ca="1" si="81"/>
        <v>4.8213243654977109</v>
      </c>
      <c r="BL192" s="607">
        <f t="shared" ca="1" si="81"/>
        <v>4.2857890983333915</v>
      </c>
      <c r="BM192" s="607">
        <f t="shared" ca="1" si="81"/>
        <v>8.8275786798185241</v>
      </c>
      <c r="BN192" s="607">
        <f t="shared" ca="1" si="81"/>
        <v>7.6364838776447872</v>
      </c>
      <c r="BP192" s="1001"/>
      <c r="BQ192" s="607">
        <f t="shared" ref="BQ192:BQ194" si="97">BJ192+AV192</f>
        <v>7.8519245307114778</v>
      </c>
      <c r="BR192" s="607">
        <f t="shared" ca="1" si="83"/>
        <v>4.9137411893834102</v>
      </c>
      <c r="BS192" s="607">
        <f t="shared" ca="1" si="83"/>
        <v>4.3774911640165435</v>
      </c>
      <c r="BT192" s="607">
        <f t="shared" ca="1" si="83"/>
        <v>8.9876060936174706</v>
      </c>
      <c r="BU192" s="607">
        <f t="shared" ca="1" si="83"/>
        <v>7.790780995365874</v>
      </c>
    </row>
    <row r="193" spans="1:73" ht="14.65" thickBot="1" x14ac:dyDescent="0.5">
      <c r="B193" s="1191"/>
      <c r="C193" s="1212"/>
      <c r="D193" s="26" t="s">
        <v>338</v>
      </c>
      <c r="E193" s="583"/>
      <c r="F193" s="598">
        <f t="shared" si="92"/>
        <v>5.642927728923075</v>
      </c>
      <c r="G193" s="597">
        <f t="shared" ca="1" si="93"/>
        <v>3.0536387394783651</v>
      </c>
      <c r="H193" s="598">
        <f t="shared" ca="1" si="93"/>
        <v>2.3785550680426213</v>
      </c>
      <c r="I193" s="608">
        <f t="shared" ca="1" si="93"/>
        <v>2.1841579836602807</v>
      </c>
      <c r="J193" s="598">
        <f t="shared" ca="1" si="93"/>
        <v>1.6060336020757031</v>
      </c>
      <c r="L193" s="607"/>
      <c r="M193" s="607">
        <f>M190+F168</f>
        <v>36.030884493704384</v>
      </c>
      <c r="N193" s="607">
        <f ca="1">N190+G168</f>
        <v>24.185359648391643</v>
      </c>
      <c r="O193" s="607">
        <f ca="1">O190+H168</f>
        <v>20.820116739820342</v>
      </c>
      <c r="P193" s="607">
        <f ca="1">P190+I168</f>
        <v>41.237792074113081</v>
      </c>
      <c r="Q193" s="607">
        <f ca="1">Q190+J168</f>
        <v>18.884806223454667</v>
      </c>
      <c r="S193" s="1001"/>
      <c r="T193" s="607">
        <f t="shared" si="85"/>
        <v>1.39</v>
      </c>
      <c r="U193" s="607">
        <f t="shared" ca="1" si="73"/>
        <v>1.39</v>
      </c>
      <c r="V193" s="607">
        <f t="shared" ca="1" si="73"/>
        <v>1.39</v>
      </c>
      <c r="W193" s="607">
        <f t="shared" ca="1" si="73"/>
        <v>2.78</v>
      </c>
      <c r="X193" s="607">
        <f t="shared" ca="1" si="73"/>
        <v>2.78</v>
      </c>
      <c r="Z193" s="1001"/>
      <c r="AA193" s="607">
        <f t="shared" si="94"/>
        <v>3.7472119873452558</v>
      </c>
      <c r="AB193" s="607">
        <f t="shared" ca="1" si="75"/>
        <v>2.5152774034327305</v>
      </c>
      <c r="AC193" s="607">
        <f t="shared" ca="1" si="75"/>
        <v>2.1652921409413155</v>
      </c>
      <c r="AD193" s="607">
        <f t="shared" ca="1" si="75"/>
        <v>4.2887303757077602</v>
      </c>
      <c r="AE193" s="607">
        <f t="shared" ca="1" si="75"/>
        <v>1.9640198472392854</v>
      </c>
      <c r="AG193" s="607"/>
      <c r="AH193" s="607">
        <f>M163+M165+M168+SUM(T193,AA193)*G$10</f>
        <v>3.5924465841026376</v>
      </c>
      <c r="AI193" s="607">
        <f ca="1">N163+N165+N168+SUM(U193,AB193)*H$10</f>
        <v>2.224907632954781</v>
      </c>
      <c r="AJ193" s="607">
        <f ca="1">O163+O165+O168+SUM(V193,AC193)*I$10</f>
        <v>1.8889522502776426</v>
      </c>
      <c r="AK193" s="607">
        <f ca="1">P163+P165+P168+SUM(W193,AD193)*J$10</f>
        <v>3.8433976018502127</v>
      </c>
      <c r="AL193" s="607">
        <f ca="1">Q163+Q165+Q168+SUM(X193,AE193)*K$10</f>
        <v>3.0500604030190699</v>
      </c>
      <c r="AN193" s="37"/>
      <c r="AO193" s="607">
        <f>AO190+T168+M178</f>
        <v>1.2078304672858784</v>
      </c>
      <c r="AP193" s="607">
        <f ca="1">AP190+U168+N178</f>
        <v>0.70890098174888427</v>
      </c>
      <c r="AQ193" s="607">
        <f ca="1">AQ190+V168+O178</f>
        <v>0.61050319511634776</v>
      </c>
      <c r="AR193" s="607">
        <f ca="1">AR190+W168+P178</f>
        <v>1.2084211865573342</v>
      </c>
      <c r="AS193" s="607">
        <f ca="1">AS190+X168+Q178</f>
        <v>1.0128421766974343</v>
      </c>
      <c r="AU193" s="1001"/>
      <c r="AV193" s="1059">
        <v>0</v>
      </c>
      <c r="AW193" s="1059">
        <v>0</v>
      </c>
      <c r="AX193" s="1059">
        <v>0</v>
      </c>
      <c r="AY193" s="1059">
        <v>0</v>
      </c>
      <c r="AZ193" s="1059">
        <v>0</v>
      </c>
      <c r="BB193" s="37"/>
      <c r="BC193" s="607">
        <f t="shared" si="95"/>
        <v>1.2078304672858784</v>
      </c>
      <c r="BD193" s="607">
        <f t="shared" ca="1" si="79"/>
        <v>0.70890098174888427</v>
      </c>
      <c r="BE193" s="607">
        <f t="shared" ca="1" si="79"/>
        <v>0.61050319511634776</v>
      </c>
      <c r="BF193" s="607">
        <f t="shared" ca="1" si="79"/>
        <v>1.2084211865573342</v>
      </c>
      <c r="BG193" s="607">
        <f t="shared" ca="1" si="79"/>
        <v>1.0128421766974343</v>
      </c>
      <c r="BI193" s="37"/>
      <c r="BJ193" s="607">
        <f t="shared" si="96"/>
        <v>4.800277051388516</v>
      </c>
      <c r="BK193" s="607">
        <f t="shared" ca="1" si="81"/>
        <v>2.9338086147036653</v>
      </c>
      <c r="BL193" s="607">
        <f t="shared" ca="1" si="81"/>
        <v>2.4994554453939903</v>
      </c>
      <c r="BM193" s="607">
        <f t="shared" ca="1" si="81"/>
        <v>5.0518187884075472</v>
      </c>
      <c r="BN193" s="607">
        <f t="shared" ca="1" si="81"/>
        <v>4.0629025797165044</v>
      </c>
      <c r="BP193" s="1001"/>
      <c r="BQ193" s="607">
        <f t="shared" si="97"/>
        <v>4.800277051388516</v>
      </c>
      <c r="BR193" s="607">
        <f t="shared" ca="1" si="83"/>
        <v>2.9338086147036653</v>
      </c>
      <c r="BS193" s="607">
        <f t="shared" ca="1" si="83"/>
        <v>2.4994554453939903</v>
      </c>
      <c r="BT193" s="607">
        <f t="shared" ca="1" si="83"/>
        <v>5.0518187884075472</v>
      </c>
      <c r="BU193" s="607">
        <f t="shared" ca="1" si="83"/>
        <v>4.0629025797165044</v>
      </c>
    </row>
    <row r="194" spans="1:73" ht="14.65" thickBot="1" x14ac:dyDescent="0.5">
      <c r="B194" s="1191"/>
      <c r="C194" s="1212"/>
      <c r="D194" s="211" t="s">
        <v>316</v>
      </c>
      <c r="E194" s="584"/>
      <c r="F194" s="600">
        <f t="shared" si="92"/>
        <v>6.2783328159015106</v>
      </c>
      <c r="G194" s="601">
        <f t="shared" ca="1" si="93"/>
        <v>3.4026673371921135</v>
      </c>
      <c r="H194" s="600">
        <f t="shared" ca="1" si="93"/>
        <v>2.6026662256137953</v>
      </c>
      <c r="I194" s="609">
        <f t="shared" ca="1" si="93"/>
        <v>2.4482776267693063</v>
      </c>
      <c r="J194" s="600">
        <f t="shared" ca="1" si="93"/>
        <v>1.7777559741505393</v>
      </c>
      <c r="L194" s="607"/>
      <c r="M194" s="607">
        <f>M193+F170+F171</f>
        <v>39.80493281050439</v>
      </c>
      <c r="N194" s="607">
        <f ca="1">N193+G170+G171</f>
        <v>26.657583816210725</v>
      </c>
      <c r="O194" s="607">
        <f ca="1">O193+H170+H171</f>
        <v>22.481945836217854</v>
      </c>
      <c r="P194" s="607">
        <f ca="1">P193+I170+I171</f>
        <v>45.883105017052458</v>
      </c>
      <c r="Q194" s="607">
        <f ca="1">Q193+J170+J171</f>
        <v>22.018082286537382</v>
      </c>
      <c r="S194" s="997"/>
      <c r="T194" s="607">
        <f t="shared" si="85"/>
        <v>1.39</v>
      </c>
      <c r="U194" s="607">
        <f t="shared" ca="1" si="73"/>
        <v>1.39</v>
      </c>
      <c r="V194" s="607">
        <f t="shared" ca="1" si="73"/>
        <v>1.39</v>
      </c>
      <c r="W194" s="607">
        <f t="shared" ca="1" si="73"/>
        <v>2.78</v>
      </c>
      <c r="X194" s="607">
        <f t="shared" ca="1" si="73"/>
        <v>2.78</v>
      </c>
      <c r="Z194" s="997"/>
      <c r="AA194" s="607">
        <f t="shared" si="94"/>
        <v>4.1397130122924564</v>
      </c>
      <c r="AB194" s="607">
        <f t="shared" ca="1" si="75"/>
        <v>2.7723887168859154</v>
      </c>
      <c r="AC194" s="607">
        <f t="shared" ca="1" si="75"/>
        <v>2.3381223669666569</v>
      </c>
      <c r="AD194" s="607">
        <f t="shared" ca="1" si="75"/>
        <v>4.7718429217734553</v>
      </c>
      <c r="AE194" s="607">
        <f t="shared" ca="1" si="75"/>
        <v>2.2898805577998878</v>
      </c>
      <c r="AG194" s="607"/>
      <c r="AH194" s="607">
        <f>M163+M165+M168+M170+M171+SUM(T194,AA194)*G$10</f>
        <v>3.9449742874518861</v>
      </c>
      <c r="AI194" s="607">
        <f ca="1">N163+N165+N168+N170+N171+SUM(U194,AB194)*H$10</f>
        <v>2.4529401630826899</v>
      </c>
      <c r="AJ194" s="607">
        <f ca="1">O163+O165+O168+O170+O171+SUM(V194,AC194)*I$10</f>
        <v>2.0400558759414245</v>
      </c>
      <c r="AK194" s="607">
        <f ca="1">P163+P165+P168+P170+P171+SUM(W194,AD194)*J$10</f>
        <v>4.2602605116268411</v>
      </c>
      <c r="AL194" s="607">
        <f ca="1">Q163+Q165+Q168+Q170+Q171+SUM(X194,AE194)*K$10</f>
        <v>3.3360820011393715</v>
      </c>
      <c r="AN194" s="20"/>
      <c r="AO194" s="607">
        <f>AO193+T170+T171+M178</f>
        <v>1.3210182824049497</v>
      </c>
      <c r="AP194" s="607">
        <f ca="1">AP193+U170+U171+N178</f>
        <v>0.78337424114436172</v>
      </c>
      <c r="AQ194" s="607">
        <f ca="1">AQ193+V170+V171+O178</f>
        <v>0.66132038912315017</v>
      </c>
      <c r="AR194" s="607">
        <f ca="1">AR193+W170+W171+P178</f>
        <v>1.3478890070181788</v>
      </c>
      <c r="AS194" s="607">
        <f ca="1">AS193+X170+X171+Q178</f>
        <v>1.1079935146032132</v>
      </c>
      <c r="AU194" s="997"/>
      <c r="AV194" s="1059">
        <f>M174</f>
        <v>7.480539618465018E-2</v>
      </c>
      <c r="AW194" s="1059">
        <f>N174</f>
        <v>3.2826315585240427E-2</v>
      </c>
      <c r="AX194" s="1059">
        <f>O174</f>
        <v>3.3581759475413239E-2</v>
      </c>
      <c r="AY194" s="1059">
        <f>P174</f>
        <v>5.4561240685636392E-2</v>
      </c>
      <c r="AZ194" s="1059">
        <f>Q174</f>
        <v>5.3245912742815753E-2</v>
      </c>
      <c r="BB194" s="20"/>
      <c r="BC194" s="607">
        <f t="shared" si="95"/>
        <v>1.3958236785895999</v>
      </c>
      <c r="BD194" s="607">
        <f t="shared" ca="1" si="79"/>
        <v>0.81620055672960212</v>
      </c>
      <c r="BE194" s="607">
        <f t="shared" ca="1" si="79"/>
        <v>0.69490214859856336</v>
      </c>
      <c r="BF194" s="607">
        <f t="shared" ca="1" si="79"/>
        <v>1.4024502477038152</v>
      </c>
      <c r="BG194" s="607">
        <f t="shared" ca="1" si="79"/>
        <v>1.1612394273460289</v>
      </c>
      <c r="BI194" s="20"/>
      <c r="BJ194" s="607">
        <f t="shared" si="96"/>
        <v>5.2659925698568362</v>
      </c>
      <c r="BK194" s="607">
        <f t="shared" ca="1" si="81"/>
        <v>3.2363144042270515</v>
      </c>
      <c r="BL194" s="607">
        <f t="shared" ca="1" si="81"/>
        <v>2.7013762650645745</v>
      </c>
      <c r="BM194" s="607">
        <f t="shared" ca="1" si="81"/>
        <v>5.6081495186450194</v>
      </c>
      <c r="BN194" s="607">
        <f t="shared" ca="1" si="81"/>
        <v>4.4440755157425844</v>
      </c>
      <c r="BP194" s="997"/>
      <c r="BQ194" s="607">
        <f t="shared" si="97"/>
        <v>5.3407979660414862</v>
      </c>
      <c r="BR194" s="607">
        <f t="shared" ca="1" si="83"/>
        <v>3.2691407198122922</v>
      </c>
      <c r="BS194" s="607">
        <f t="shared" ca="1" si="83"/>
        <v>2.7349580245399876</v>
      </c>
      <c r="BT194" s="607">
        <f t="shared" ca="1" si="83"/>
        <v>5.6627107593306558</v>
      </c>
      <c r="BU194" s="607">
        <f t="shared" ca="1" si="83"/>
        <v>4.4973214284854004</v>
      </c>
    </row>
    <row r="195" spans="1:73" x14ac:dyDescent="0.45">
      <c r="B195" s="1191"/>
      <c r="C195" s="1211" t="s">
        <v>315</v>
      </c>
      <c r="D195" s="210" t="s">
        <v>90</v>
      </c>
      <c r="E195" s="287"/>
      <c r="F195" s="974">
        <f t="shared" ref="F195:F196" si="98">F192/141.8*3.6*1000</f>
        <v>234.33684097983939</v>
      </c>
      <c r="G195" s="614">
        <f t="shared" ref="G195:J197" ca="1" si="99">G192/141.8*3.6*1000</f>
        <v>129.84475914783656</v>
      </c>
      <c r="H195" s="974">
        <f t="shared" ca="1" si="99"/>
        <v>105.75949274036728</v>
      </c>
      <c r="I195" s="610">
        <f t="shared" ca="1" si="99"/>
        <v>98.652156805600981</v>
      </c>
      <c r="J195" s="971">
        <f t="shared" ca="1" si="99"/>
        <v>78.185368010094578</v>
      </c>
      <c r="L195" s="582"/>
      <c r="M195" s="582"/>
      <c r="N195" s="856"/>
      <c r="O195" s="10"/>
      <c r="P195" s="10"/>
      <c r="Q195" s="10"/>
      <c r="AG195" s="582"/>
      <c r="AH195" s="582"/>
      <c r="AI195" s="856"/>
      <c r="AJ195" s="10"/>
      <c r="AK195" s="10"/>
      <c r="AL195" s="10"/>
      <c r="BP195" s="992"/>
      <c r="BQ195" s="992"/>
      <c r="BR195" s="992"/>
      <c r="BS195" s="992"/>
      <c r="BT195" s="992"/>
      <c r="BU195" s="992"/>
    </row>
    <row r="196" spans="1:73" ht="15" customHeight="1" x14ac:dyDescent="0.45">
      <c r="B196" s="1191"/>
      <c r="C196" s="1212"/>
      <c r="D196" s="26" t="s">
        <v>338</v>
      </c>
      <c r="E196" s="287"/>
      <c r="F196" s="974">
        <f t="shared" si="98"/>
        <v>143.26191695432348</v>
      </c>
      <c r="G196" s="614">
        <f t="shared" ca="1" si="99"/>
        <v>77.525384077024782</v>
      </c>
      <c r="H196" s="974">
        <f t="shared" ca="1" si="99"/>
        <v>60.386447425623672</v>
      </c>
      <c r="I196" s="616">
        <f t="shared" ca="1" si="99"/>
        <v>55.451119472334348</v>
      </c>
      <c r="J196" s="974">
        <f t="shared" ca="1" si="99"/>
        <v>40.77377269021531</v>
      </c>
      <c r="L196" s="582"/>
      <c r="M196" s="582"/>
      <c r="N196" s="856"/>
      <c r="O196" s="10"/>
      <c r="P196" s="10"/>
      <c r="Q196" s="779"/>
      <c r="AG196" s="582"/>
      <c r="AH196" s="582"/>
      <c r="AI196" s="856"/>
      <c r="AJ196" s="10"/>
      <c r="AK196" s="10"/>
      <c r="AL196" s="779"/>
      <c r="AO196" s="243"/>
      <c r="AP196" s="243"/>
      <c r="AQ196" s="243"/>
      <c r="AR196" s="243"/>
      <c r="AS196" s="243"/>
      <c r="BP196" s="992"/>
      <c r="BQ196" s="992"/>
      <c r="BR196" s="992"/>
      <c r="BS196" s="992"/>
      <c r="BT196" s="992"/>
      <c r="BU196" s="992"/>
    </row>
    <row r="197" spans="1:73" ht="14.65" thickBot="1" x14ac:dyDescent="0.5">
      <c r="B197" s="1192"/>
      <c r="C197" s="1213"/>
      <c r="D197" s="211" t="s">
        <v>316</v>
      </c>
      <c r="E197" s="615"/>
      <c r="F197" s="972">
        <f t="shared" ref="F197" si="100">F194/141.8*3.6*1000</f>
        <v>159.3934988522245</v>
      </c>
      <c r="G197" s="613">
        <f t="shared" ca="1" si="99"/>
        <v>86.386476825751814</v>
      </c>
      <c r="H197" s="972">
        <f t="shared" ca="1" si="99"/>
        <v>66.076152413326241</v>
      </c>
      <c r="I197" s="612">
        <f t="shared" ca="1" si="99"/>
        <v>62.156554699361791</v>
      </c>
      <c r="J197" s="972">
        <f t="shared" ca="1" si="99"/>
        <v>45.133437989717493</v>
      </c>
      <c r="L197" s="582"/>
      <c r="M197" s="582"/>
      <c r="N197" s="856"/>
      <c r="O197" s="10"/>
      <c r="P197" s="10"/>
      <c r="Q197" s="10"/>
      <c r="AG197" s="582"/>
      <c r="AH197" s="582"/>
      <c r="AI197" s="856"/>
      <c r="AJ197" s="10"/>
      <c r="AK197" s="10"/>
      <c r="AL197" s="10"/>
      <c r="BA197" s="17"/>
      <c r="BJ197" s="994"/>
      <c r="BP197" s="992"/>
      <c r="BQ197" s="994"/>
      <c r="BR197" s="992"/>
      <c r="BS197" s="992"/>
      <c r="BT197" s="992"/>
      <c r="BU197" s="992"/>
    </row>
    <row r="198" spans="1:73" ht="14.65" thickBot="1" x14ac:dyDescent="0.5">
      <c r="B198" s="531"/>
      <c r="E198" s="582"/>
      <c r="F198" s="582"/>
      <c r="G198" s="586"/>
      <c r="H198" s="298"/>
      <c r="I198" s="1156"/>
      <c r="J198" s="1156"/>
      <c r="K198" s="17"/>
      <c r="L198" s="582"/>
      <c r="M198" s="582"/>
      <c r="N198" s="856"/>
      <c r="O198" s="298"/>
      <c r="P198" s="298"/>
      <c r="Q198" s="298"/>
      <c r="R198" s="17"/>
      <c r="S198" s="17"/>
      <c r="T198" s="17"/>
      <c r="U198" s="17"/>
      <c r="V198" s="17"/>
      <c r="W198" s="17"/>
      <c r="X198" s="17"/>
      <c r="Y198" s="17"/>
      <c r="Z198" s="17"/>
      <c r="AA198" s="17"/>
      <c r="AB198" s="17"/>
      <c r="AC198" s="17"/>
      <c r="AD198" s="17"/>
      <c r="AE198" s="17"/>
      <c r="AF198" s="17"/>
      <c r="AG198" s="582"/>
      <c r="AH198" s="582"/>
      <c r="AI198" s="856"/>
      <c r="AJ198" s="298"/>
      <c r="AK198" s="298"/>
      <c r="AL198" s="298"/>
      <c r="AM198" s="17"/>
      <c r="AN198" s="17"/>
      <c r="AO198" s="17"/>
      <c r="AP198" s="17"/>
      <c r="AQ198" s="17"/>
      <c r="AR198" s="17"/>
      <c r="AS198" s="17"/>
      <c r="AT198" s="17"/>
      <c r="AU198" s="17"/>
      <c r="AV198" s="17"/>
      <c r="AW198" s="17"/>
      <c r="AX198" s="17"/>
      <c r="AY198" s="17"/>
      <c r="AZ198" s="17"/>
      <c r="BA198" s="17"/>
      <c r="BP198" s="992"/>
      <c r="BQ198" s="992"/>
      <c r="BR198" s="992"/>
      <c r="BS198" s="992"/>
      <c r="BT198" s="992"/>
      <c r="BU198" s="992"/>
    </row>
    <row r="199" spans="1:73" ht="14.65" thickBot="1" x14ac:dyDescent="0.5">
      <c r="B199" s="1190" t="s">
        <v>80</v>
      </c>
      <c r="C199" s="1211" t="s">
        <v>313</v>
      </c>
      <c r="D199" s="209" t="s">
        <v>85</v>
      </c>
      <c r="E199" s="605"/>
      <c r="F199" s="606"/>
      <c r="G199" s="973">
        <f ca="1">(AI199+BD199)/G$183*1000000</f>
        <v>67.678470653748533</v>
      </c>
      <c r="H199" s="973">
        <f t="shared" ref="H199:J200" ca="1" si="101">(AJ199+BE199)/H$183*1000000</f>
        <v>40.04273139238537</v>
      </c>
      <c r="I199" s="973">
        <f t="shared" ca="1" si="101"/>
        <v>47.160321947134342</v>
      </c>
      <c r="J199" s="973">
        <f t="shared" ca="1" si="101"/>
        <v>28.720601506999181</v>
      </c>
      <c r="L199" s="607"/>
      <c r="M199" s="607"/>
      <c r="N199" s="855">
        <f ca="1">G164+G166</f>
        <v>25.844600299495557</v>
      </c>
      <c r="O199" s="855">
        <f ca="1">H164+H166</f>
        <v>14.226888798392993</v>
      </c>
      <c r="P199" s="855">
        <f ca="1">I164+I166</f>
        <v>42.655163894991112</v>
      </c>
      <c r="Q199" s="855">
        <f ca="1">J164+J166</f>
        <v>19.943793976048596</v>
      </c>
      <c r="S199" s="607">
        <f>E$172</f>
        <v>1.39</v>
      </c>
      <c r="T199" s="607">
        <f t="shared" ref="T199:T203" si="102">F$172</f>
        <v>1.39</v>
      </c>
      <c r="U199" s="607">
        <f t="shared" ref="U199:X203" ca="1" si="103">G$172</f>
        <v>1.39</v>
      </c>
      <c r="V199" s="607">
        <f t="shared" ca="1" si="103"/>
        <v>1.39</v>
      </c>
      <c r="W199" s="607">
        <f t="shared" ca="1" si="103"/>
        <v>2.78</v>
      </c>
      <c r="X199" s="607">
        <f t="shared" ca="1" si="103"/>
        <v>2.78</v>
      </c>
      <c r="Z199" s="607"/>
      <c r="AA199" s="607"/>
      <c r="AB199" s="607">
        <f t="shared" ref="AB199:AE203" ca="1" si="104">H$14*N199</f>
        <v>2.6878384311475378</v>
      </c>
      <c r="AC199" s="607">
        <f t="shared" ca="1" si="104"/>
        <v>1.4795964350328712</v>
      </c>
      <c r="AD199" s="607">
        <f t="shared" ca="1" si="104"/>
        <v>4.4361370450790751</v>
      </c>
      <c r="AE199" s="607">
        <f t="shared" ca="1" si="104"/>
        <v>2.0741545735090541</v>
      </c>
      <c r="AG199" s="607"/>
      <c r="AH199" s="607"/>
      <c r="AI199" s="607">
        <f ca="1">N164+N166+SUM(U199,AB199)*H$10</f>
        <v>2.3042625590833814</v>
      </c>
      <c r="AJ199" s="607">
        <f ca="1">O164+O166+SUM(V199,AC199)*I$10</f>
        <v>1.3165635050648978</v>
      </c>
      <c r="AK199" s="607">
        <f ca="1">P164+P166+SUM(W199,AD199)*J$10</f>
        <v>3.8404814715619868</v>
      </c>
      <c r="AL199" s="607">
        <f ca="1">Q164+Q166+SUM(X199,AE199)*K$10</f>
        <v>2.239209657961613</v>
      </c>
      <c r="AN199" s="230"/>
      <c r="AO199" s="110"/>
      <c r="AP199" s="607">
        <f ca="1">U164+U166</f>
        <v>0.8971998167215397</v>
      </c>
      <c r="AQ199" s="607">
        <f ca="1">V164+V166</f>
        <v>0.57761786072050003</v>
      </c>
      <c r="AR199" s="607">
        <f ca="1">W164+W166</f>
        <v>1.5301359917776713</v>
      </c>
      <c r="AS199" s="607">
        <f ca="1">X164+X166</f>
        <v>1.0314924416554538</v>
      </c>
      <c r="AU199" s="230"/>
      <c r="AV199" s="13"/>
      <c r="AW199" s="1059">
        <v>0</v>
      </c>
      <c r="AX199" s="1059">
        <v>0</v>
      </c>
      <c r="AY199" s="1059">
        <v>0</v>
      </c>
      <c r="AZ199" s="1059">
        <v>0</v>
      </c>
      <c r="BA199" s="17"/>
      <c r="BB199" s="995"/>
      <c r="BC199" s="996"/>
      <c r="BD199" s="607">
        <f t="shared" ref="BD199:BG203" ca="1" si="105">AP199+AW199</f>
        <v>0.8971998167215397</v>
      </c>
      <c r="BE199" s="607">
        <f t="shared" ca="1" si="105"/>
        <v>0.57761786072050003</v>
      </c>
      <c r="BF199" s="607">
        <f t="shared" ca="1" si="105"/>
        <v>1.5301359917776713</v>
      </c>
      <c r="BG199" s="607">
        <f t="shared" ca="1" si="105"/>
        <v>1.0314924416554538</v>
      </c>
      <c r="BI199" s="995"/>
      <c r="BJ199" s="996"/>
      <c r="BK199" s="607">
        <f t="shared" ref="BK199:BN203" ca="1" si="106">AI199+AP199</f>
        <v>3.2014623758049212</v>
      </c>
      <c r="BL199" s="607">
        <f t="shared" ca="1" si="106"/>
        <v>1.8941813657853979</v>
      </c>
      <c r="BM199" s="607">
        <f t="shared" ca="1" si="106"/>
        <v>5.3706174633396584</v>
      </c>
      <c r="BN199" s="607">
        <f t="shared" ca="1" si="106"/>
        <v>3.2707020996170666</v>
      </c>
      <c r="BP199" s="995"/>
      <c r="BQ199" s="996"/>
      <c r="BR199" s="607">
        <f t="shared" ref="BR199:BU203" ca="1" si="107">BK199+AW199</f>
        <v>3.2014623758049212</v>
      </c>
      <c r="BS199" s="607">
        <f t="shared" ca="1" si="107"/>
        <v>1.8941813657853979</v>
      </c>
      <c r="BT199" s="607">
        <f t="shared" ca="1" si="107"/>
        <v>5.3706174633396584</v>
      </c>
      <c r="BU199" s="607">
        <f t="shared" ca="1" si="107"/>
        <v>3.2707020996170666</v>
      </c>
    </row>
    <row r="200" spans="1:73" ht="14.65" thickBot="1" x14ac:dyDescent="0.5">
      <c r="B200" s="1191"/>
      <c r="C200" s="1212"/>
      <c r="D200" s="210" t="s">
        <v>88</v>
      </c>
      <c r="E200" s="584"/>
      <c r="F200" s="585"/>
      <c r="G200" s="600">
        <f ca="1">(AI200+BD200)/G$183*1000000</f>
        <v>108.30790758077777</v>
      </c>
      <c r="H200" s="600">
        <f t="shared" ca="1" si="101"/>
        <v>77.867718358815708</v>
      </c>
      <c r="I200" s="600">
        <f t="shared" ca="1" si="101"/>
        <v>80.762127168664534</v>
      </c>
      <c r="J200" s="600">
        <f t="shared" ca="1" si="101"/>
        <v>60.065514122630212</v>
      </c>
      <c r="L200" s="607"/>
      <c r="M200" s="607"/>
      <c r="N200" s="855">
        <f ca="1">N199+G167</f>
        <v>44.589520743928752</v>
      </c>
      <c r="O200" s="855">
        <f ca="1">O199+H167</f>
        <v>31.828954533692681</v>
      </c>
      <c r="P200" s="855">
        <f ca="1">P199+I167</f>
        <v>80.145004783857502</v>
      </c>
      <c r="Q200" s="855">
        <f ca="1">Q199+J167</f>
        <v>55.147925446647974</v>
      </c>
      <c r="S200" s="607">
        <f>E$172</f>
        <v>1.39</v>
      </c>
      <c r="T200" s="607">
        <f t="shared" si="102"/>
        <v>1.39</v>
      </c>
      <c r="U200" s="607">
        <f t="shared" ca="1" si="103"/>
        <v>1.39</v>
      </c>
      <c r="V200" s="607">
        <f t="shared" ca="1" si="103"/>
        <v>1.39</v>
      </c>
      <c r="W200" s="607">
        <f t="shared" ca="1" si="103"/>
        <v>2.78</v>
      </c>
      <c r="X200" s="607">
        <f t="shared" ca="1" si="103"/>
        <v>2.78</v>
      </c>
      <c r="Z200" s="607"/>
      <c r="AA200" s="607"/>
      <c r="AB200" s="607">
        <f t="shared" ca="1" si="104"/>
        <v>4.6373101573685895</v>
      </c>
      <c r="AC200" s="607">
        <f t="shared" ca="1" si="104"/>
        <v>3.3102112715040386</v>
      </c>
      <c r="AD200" s="607">
        <f t="shared" ca="1" si="104"/>
        <v>8.3350804975211794</v>
      </c>
      <c r="AE200" s="607">
        <f t="shared" ca="1" si="104"/>
        <v>5.7353842464513889</v>
      </c>
      <c r="AG200" s="607"/>
      <c r="AH200" s="607"/>
      <c r="AI200" s="607">
        <f ca="1">N164+N166+N167+SUM(U200,AB200)*H$10</f>
        <v>3.8978931281383384</v>
      </c>
      <c r="AJ200" s="607">
        <f ca="1">O164+O166+O167+SUM(V200,AC200)*I$10</f>
        <v>2.8130323813902147</v>
      </c>
      <c r="AK200" s="607">
        <f ca="1">P164+P166+P167+SUM(W200,AD200)*J$10</f>
        <v>7.0277426096719013</v>
      </c>
      <c r="AL200" s="607">
        <f ca="1">Q164+Q166+Q167+SUM(X200,AE200)*K$10</f>
        <v>5.2321474106122476</v>
      </c>
      <c r="AN200" s="1057"/>
      <c r="AO200" s="1"/>
      <c r="AP200" s="607">
        <f ca="1">U164+U166+U167</f>
        <v>1.1809300433459464</v>
      </c>
      <c r="AQ200" s="607">
        <f ca="1">V164+V166+V167</f>
        <v>0.84404940493211911</v>
      </c>
      <c r="AR200" s="607">
        <f ca="1">W164+W166+W167</f>
        <v>2.0975964450264848</v>
      </c>
      <c r="AS200" s="607">
        <f ca="1">X164+X166+X167</f>
        <v>1.564355530078692</v>
      </c>
      <c r="AU200" s="1057"/>
      <c r="AV200" s="25"/>
      <c r="AW200" s="1059">
        <f>N181</f>
        <v>4.457408871682695E-2</v>
      </c>
      <c r="AX200" s="1059">
        <f>O181</f>
        <v>2.6372762923084728E-2</v>
      </c>
      <c r="AY200" s="1059">
        <f>P181</f>
        <v>7.1851987269131556E-2</v>
      </c>
      <c r="AZ200" s="1059">
        <f>Q181</f>
        <v>4.375780759418884E-2</v>
      </c>
      <c r="BA200" s="17"/>
      <c r="BB200" s="1001"/>
      <c r="BC200" s="1002"/>
      <c r="BD200" s="607">
        <f t="shared" ca="1" si="105"/>
        <v>1.2255041320627733</v>
      </c>
      <c r="BE200" s="607">
        <f t="shared" ca="1" si="105"/>
        <v>0.87042216785520388</v>
      </c>
      <c r="BF200" s="607">
        <f t="shared" ca="1" si="105"/>
        <v>2.1694484322956162</v>
      </c>
      <c r="BG200" s="607">
        <f t="shared" ca="1" si="105"/>
        <v>1.6081133376728809</v>
      </c>
      <c r="BI200" s="1001"/>
      <c r="BJ200" s="1002"/>
      <c r="BK200" s="607">
        <f t="shared" ca="1" si="106"/>
        <v>5.0788231714842844</v>
      </c>
      <c r="BL200" s="607">
        <f t="shared" ca="1" si="106"/>
        <v>3.6570817863223337</v>
      </c>
      <c r="BM200" s="607">
        <f t="shared" ca="1" si="106"/>
        <v>9.1253390546983866</v>
      </c>
      <c r="BN200" s="607">
        <f t="shared" ca="1" si="106"/>
        <v>6.7965029406909396</v>
      </c>
      <c r="BP200" s="1001"/>
      <c r="BQ200" s="1002"/>
      <c r="BR200" s="607">
        <f t="shared" ca="1" si="107"/>
        <v>5.1233972602011111</v>
      </c>
      <c r="BS200" s="607">
        <f t="shared" ca="1" si="107"/>
        <v>3.6834545492454183</v>
      </c>
      <c r="BT200" s="607">
        <f t="shared" ca="1" si="107"/>
        <v>9.1971910419675176</v>
      </c>
      <c r="BU200" s="607">
        <f t="shared" ca="1" si="107"/>
        <v>6.8402607482851288</v>
      </c>
    </row>
    <row r="201" spans="1:73" ht="14.65" thickBot="1" x14ac:dyDescent="0.5">
      <c r="A201" s="1"/>
      <c r="B201" s="1191"/>
      <c r="C201" s="1211" t="s">
        <v>314</v>
      </c>
      <c r="D201" s="1151" t="s">
        <v>90</v>
      </c>
      <c r="E201" s="1152"/>
      <c r="F201" s="1155"/>
      <c r="G201" s="607">
        <f ca="1">(AI201+BD201)/G$184*1000000/1000</f>
        <v>5.958606969551159</v>
      </c>
      <c r="H201" s="607">
        <f ca="1">(AJ201+BE201)/H$184*1000000/1000</f>
        <v>3.8111607635746036</v>
      </c>
      <c r="I201" s="607">
        <f ca="1">(AK201+BF201)/I$184*1000000/1000</f>
        <v>4.4902551840351688</v>
      </c>
      <c r="J201" s="607">
        <f ca="1">(AL201+BG201)/J$184*1000000/1000</f>
        <v>2.9549166479517841</v>
      </c>
      <c r="L201" s="607"/>
      <c r="M201" s="607"/>
      <c r="N201" s="855">
        <f ca="1">N200+G169+G170</f>
        <v>48.930822902824019</v>
      </c>
      <c r="O201" s="855">
        <f ca="1">O200+H169+H170</f>
        <v>34.134576774560244</v>
      </c>
      <c r="P201" s="855">
        <f ca="1">P200+I169+I170</f>
        <v>88.827609101648036</v>
      </c>
      <c r="Q201" s="855">
        <f ca="1">Q200+J169+J170</f>
        <v>59.759169928383109</v>
      </c>
      <c r="S201" s="1001"/>
      <c r="T201" s="607">
        <f t="shared" si="102"/>
        <v>1.39</v>
      </c>
      <c r="U201" s="607">
        <f t="shared" ca="1" si="103"/>
        <v>1.39</v>
      </c>
      <c r="V201" s="607">
        <f t="shared" ca="1" si="103"/>
        <v>1.39</v>
      </c>
      <c r="W201" s="607">
        <f t="shared" ca="1" si="103"/>
        <v>2.78</v>
      </c>
      <c r="X201" s="607">
        <f t="shared" ca="1" si="103"/>
        <v>2.78</v>
      </c>
      <c r="Z201" s="1001"/>
      <c r="AA201" s="607"/>
      <c r="AB201" s="607">
        <f t="shared" ca="1" si="104"/>
        <v>5.0888055818936975</v>
      </c>
      <c r="AC201" s="607">
        <f t="shared" ca="1" si="104"/>
        <v>3.5499959845542652</v>
      </c>
      <c r="AD201" s="607">
        <f t="shared" ca="1" si="104"/>
        <v>9.2380713465713953</v>
      </c>
      <c r="AE201" s="607">
        <f t="shared" ca="1" si="104"/>
        <v>6.2149536725518431</v>
      </c>
      <c r="AG201" s="607"/>
      <c r="AH201" s="607"/>
      <c r="AI201" s="607">
        <f ca="1">N164+N166+N167+N169+N170+SUM(U201,AB201)*H$10</f>
        <v>4.3395742383639417</v>
      </c>
      <c r="AJ201" s="607">
        <f ca="1">O164+O166+O167+O169+O170+SUM(V201,AC201)*I$10</f>
        <v>3.0306941015836886</v>
      </c>
      <c r="AK201" s="607">
        <f ca="1">P164+P166+P167+P169+P170+SUM(W201,AD201)*J$10</f>
        <v>7.9111048301231079</v>
      </c>
      <c r="AL201" s="607">
        <f ca="1">Q164+Q166+Q167+Q169+Q170+SUM(X201,AE201)*K$10</f>
        <v>5.6674708509991945</v>
      </c>
      <c r="AN201" s="1057"/>
      <c r="AO201" s="1"/>
      <c r="AP201" s="607">
        <f ca="1">U164+U166+U167+U169+U170</f>
        <v>1.2709138140979508</v>
      </c>
      <c r="AQ201" s="607">
        <f ca="1">V164+V166+V167+V169+V170</f>
        <v>0.89298946672197721</v>
      </c>
      <c r="AR201" s="607">
        <f ca="1">W164+W166+W167+W169+W170</f>
        <v>2.2775639865304935</v>
      </c>
      <c r="AS201" s="607">
        <f ca="1">X164+X166+X167+X169+X170</f>
        <v>1.6622356536584082</v>
      </c>
      <c r="AU201" s="1057"/>
      <c r="AV201" s="25"/>
      <c r="AW201" s="1059">
        <f>AW200+N177</f>
        <v>0.11429275834506439</v>
      </c>
      <c r="AX201" s="1059">
        <f t="shared" ref="AX201:AZ201" si="108">AX200+O177</f>
        <v>8.1195970442001913E-2</v>
      </c>
      <c r="AY201" s="1059">
        <f t="shared" si="108"/>
        <v>0.19700642897985454</v>
      </c>
      <c r="AZ201" s="1059">
        <f t="shared" si="108"/>
        <v>0.14556577874549886</v>
      </c>
      <c r="BA201" s="17"/>
      <c r="BB201" s="1001"/>
      <c r="BC201" s="1002"/>
      <c r="BD201" s="607">
        <f t="shared" ca="1" si="105"/>
        <v>1.3852065724430151</v>
      </c>
      <c r="BE201" s="607">
        <f t="shared" ca="1" si="105"/>
        <v>0.9741854371639791</v>
      </c>
      <c r="BF201" s="607">
        <f t="shared" ca="1" si="105"/>
        <v>2.4745704155103478</v>
      </c>
      <c r="BG201" s="607">
        <f t="shared" ca="1" si="105"/>
        <v>1.8078014324039071</v>
      </c>
      <c r="BI201" s="1001"/>
      <c r="BJ201" s="1002"/>
      <c r="BK201" s="607">
        <f t="shared" ca="1" si="106"/>
        <v>5.6104880524618927</v>
      </c>
      <c r="BL201" s="607">
        <f t="shared" ca="1" si="106"/>
        <v>3.9236835683056657</v>
      </c>
      <c r="BM201" s="607">
        <f t="shared" ca="1" si="106"/>
        <v>10.188668816653601</v>
      </c>
      <c r="BN201" s="607">
        <f t="shared" ca="1" si="106"/>
        <v>7.3297065046576027</v>
      </c>
      <c r="BP201" s="1001"/>
      <c r="BQ201" s="1002"/>
      <c r="BR201" s="607">
        <f t="shared" ca="1" si="107"/>
        <v>5.7247808108069576</v>
      </c>
      <c r="BS201" s="607">
        <f t="shared" ca="1" si="107"/>
        <v>4.0048795387476677</v>
      </c>
      <c r="BT201" s="607">
        <f t="shared" ca="1" si="107"/>
        <v>10.385675245633456</v>
      </c>
      <c r="BU201" s="607">
        <f t="shared" ca="1" si="107"/>
        <v>7.4752722834031013</v>
      </c>
    </row>
    <row r="202" spans="1:73" ht="14.65" thickBot="1" x14ac:dyDescent="0.5">
      <c r="A202" s="1"/>
      <c r="B202" s="1191"/>
      <c r="C202" s="1212"/>
      <c r="D202" s="26" t="s">
        <v>338</v>
      </c>
      <c r="E202" s="583"/>
      <c r="F202" s="582"/>
      <c r="G202" s="598">
        <f ca="1">(AI202+BD202)/G$184*1000000/1000</f>
        <v>3.8757695144328923</v>
      </c>
      <c r="H202" s="598">
        <f t="shared" ref="H202:J203" ca="1" si="109">(AJ202+BE202)/H$184*1000000/1000</f>
        <v>2.0336280174465897</v>
      </c>
      <c r="I202" s="598">
        <f t="shared" ca="1" si="109"/>
        <v>2.7731523037820751</v>
      </c>
      <c r="J202" s="598">
        <f t="shared" ca="1" si="109"/>
        <v>1.4846483766546836</v>
      </c>
      <c r="L202" s="607"/>
      <c r="M202" s="607"/>
      <c r="N202" s="855">
        <f ca="1">N199+G168</f>
        <v>29.849600299495556</v>
      </c>
      <c r="O202" s="855">
        <f ca="1">O199+H168</f>
        <v>16.231888798392994</v>
      </c>
      <c r="P202" s="855">
        <f ca="1">P199+I168</f>
        <v>50.66516389499111</v>
      </c>
      <c r="Q202" s="855">
        <f ca="1">Q199+J168</f>
        <v>23.953793976048594</v>
      </c>
      <c r="S202" s="1001"/>
      <c r="T202" s="607">
        <f t="shared" si="102"/>
        <v>1.39</v>
      </c>
      <c r="U202" s="607">
        <f t="shared" ca="1" si="103"/>
        <v>1.39</v>
      </c>
      <c r="V202" s="607">
        <f t="shared" ca="1" si="103"/>
        <v>1.39</v>
      </c>
      <c r="W202" s="607">
        <f t="shared" ca="1" si="103"/>
        <v>2.78</v>
      </c>
      <c r="X202" s="607">
        <f t="shared" ca="1" si="103"/>
        <v>2.78</v>
      </c>
      <c r="Z202" s="1001"/>
      <c r="AA202" s="607"/>
      <c r="AB202" s="607">
        <f t="shared" ca="1" si="104"/>
        <v>3.1043584311475376</v>
      </c>
      <c r="AC202" s="607">
        <f t="shared" ca="1" si="104"/>
        <v>1.6881164350328712</v>
      </c>
      <c r="AD202" s="607">
        <f t="shared" ca="1" si="104"/>
        <v>5.2691770450790756</v>
      </c>
      <c r="AE202" s="607">
        <f t="shared" ca="1" si="104"/>
        <v>2.4911945735090537</v>
      </c>
      <c r="AG202" s="607"/>
      <c r="AH202" s="607"/>
      <c r="AI202" s="607">
        <f ca="1">N164+N166+N168+SUM(U202,AB202)*H$10</f>
        <v>2.706462466907873</v>
      </c>
      <c r="AJ202" s="607">
        <f ca="1">O164+O166+O168+SUM(V202,AC202)*I$10</f>
        <v>1.4988764253667828</v>
      </c>
      <c r="AK202" s="607">
        <f ca="1">P164+P166+P168+SUM(W202,AD202)*J$10</f>
        <v>4.6448812872109704</v>
      </c>
      <c r="AL202" s="607">
        <f ca="1">Q164+Q166+Q168+SUM(X202,AE202)*K$10</f>
        <v>2.6038354985653824</v>
      </c>
      <c r="AN202" s="1057"/>
      <c r="AO202" s="1"/>
      <c r="AP202" s="607">
        <f ca="1">U164+U166+U168+N179</f>
        <v>1.0172150732819205</v>
      </c>
      <c r="AQ202" s="607">
        <f ca="1">V164+V166+V168+O179</f>
        <v>0.63811955610341853</v>
      </c>
      <c r="AR202" s="607">
        <f ca="1">W164+W166+W168+P179</f>
        <v>1.7692439803598605</v>
      </c>
      <c r="AS202" s="607">
        <f ca="1">X164+X166+X168+Q179</f>
        <v>1.151989853834628</v>
      </c>
      <c r="AU202" s="1057"/>
      <c r="AV202" s="25"/>
      <c r="AW202" s="1059">
        <v>0</v>
      </c>
      <c r="AX202" s="1059">
        <v>0</v>
      </c>
      <c r="AY202" s="1059">
        <v>0</v>
      </c>
      <c r="AZ202" s="1059">
        <v>0</v>
      </c>
      <c r="BA202" s="17"/>
      <c r="BB202" s="1001"/>
      <c r="BC202" s="1002"/>
      <c r="BD202" s="607">
        <f t="shared" ca="1" si="105"/>
        <v>1.0172150732819205</v>
      </c>
      <c r="BE202" s="607">
        <f t="shared" ca="1" si="105"/>
        <v>0.63811955610341853</v>
      </c>
      <c r="BF202" s="607">
        <f t="shared" ca="1" si="105"/>
        <v>1.7692439803598605</v>
      </c>
      <c r="BG202" s="607">
        <f t="shared" ca="1" si="105"/>
        <v>1.151989853834628</v>
      </c>
      <c r="BI202" s="1001"/>
      <c r="BJ202" s="1002"/>
      <c r="BK202" s="607">
        <f t="shared" ca="1" si="106"/>
        <v>3.7236775401897937</v>
      </c>
      <c r="BL202" s="607">
        <f t="shared" ca="1" si="106"/>
        <v>2.1369959814702013</v>
      </c>
      <c r="BM202" s="607">
        <f t="shared" ca="1" si="106"/>
        <v>6.4141252675708307</v>
      </c>
      <c r="BN202" s="607">
        <f t="shared" ca="1" si="106"/>
        <v>3.7558253524000103</v>
      </c>
      <c r="BP202" s="1001"/>
      <c r="BQ202" s="1002"/>
      <c r="BR202" s="607">
        <f t="shared" ca="1" si="107"/>
        <v>3.7236775401897937</v>
      </c>
      <c r="BS202" s="607">
        <f t="shared" ca="1" si="107"/>
        <v>2.1369959814702013</v>
      </c>
      <c r="BT202" s="607">
        <f t="shared" ca="1" si="107"/>
        <v>6.4141252675708307</v>
      </c>
      <c r="BU202" s="607">
        <f t="shared" ca="1" si="107"/>
        <v>3.7558253524000103</v>
      </c>
    </row>
    <row r="203" spans="1:73" ht="14.65" thickBot="1" x14ac:dyDescent="0.5">
      <c r="A203" s="1"/>
      <c r="B203" s="1191"/>
      <c r="C203" s="1212"/>
      <c r="D203" s="211" t="s">
        <v>316</v>
      </c>
      <c r="E203" s="584"/>
      <c r="F203" s="585"/>
      <c r="G203" s="598">
        <f ca="1">(AI203+BD203)/G$184*1000000/1000</f>
        <v>4.2367096391315133</v>
      </c>
      <c r="H203" s="598">
        <f t="shared" ca="1" si="109"/>
        <v>2.2522736044858891</v>
      </c>
      <c r="I203" s="598">
        <f t="shared" ca="1" si="109"/>
        <v>3.0458056521747352</v>
      </c>
      <c r="J203" s="598">
        <f t="shared" ca="1" si="109"/>
        <v>1.6544473289515711</v>
      </c>
      <c r="L203" s="607"/>
      <c r="M203" s="607"/>
      <c r="N203" s="855">
        <f ca="1">N202+G170+G171</f>
        <v>32.321824467314642</v>
      </c>
      <c r="O203" s="855">
        <f ca="1">O202+H170+H171</f>
        <v>17.893717894790505</v>
      </c>
      <c r="P203" s="855">
        <f ca="1">P202+I170+I171</f>
        <v>55.310476837930487</v>
      </c>
      <c r="Q203" s="855">
        <f ca="1">Q202+J170+J171</f>
        <v>27.087070039131309</v>
      </c>
      <c r="S203" s="997"/>
      <c r="T203" s="607">
        <f t="shared" si="102"/>
        <v>1.39</v>
      </c>
      <c r="U203" s="607">
        <f t="shared" ca="1" si="103"/>
        <v>1.39</v>
      </c>
      <c r="V203" s="607">
        <f t="shared" ca="1" si="103"/>
        <v>1.39</v>
      </c>
      <c r="W203" s="607">
        <f t="shared" ca="1" si="103"/>
        <v>2.78</v>
      </c>
      <c r="X203" s="607">
        <f t="shared" ca="1" si="103"/>
        <v>2.78</v>
      </c>
      <c r="Z203" s="997"/>
      <c r="AA203" s="607"/>
      <c r="AB203" s="607">
        <f t="shared" ca="1" si="104"/>
        <v>3.3614697446007225</v>
      </c>
      <c r="AC203" s="607">
        <f t="shared" ca="1" si="104"/>
        <v>1.8609466610582124</v>
      </c>
      <c r="AD203" s="607">
        <f t="shared" ca="1" si="104"/>
        <v>5.7522895911447707</v>
      </c>
      <c r="AE203" s="607">
        <f t="shared" ca="1" si="104"/>
        <v>2.8170552840696561</v>
      </c>
      <c r="AG203" s="607"/>
      <c r="AH203" s="607"/>
      <c r="AI203" s="607">
        <f ca="1">N164+N166+N168+N170+N171+SUM(U203,AB203)*H$10</f>
        <v>2.9344949970357819</v>
      </c>
      <c r="AJ203" s="607">
        <f ca="1">O164+O166+O168+O170+O171+SUM(V203,AC203)*I$10</f>
        <v>1.6499800510305647</v>
      </c>
      <c r="AK203" s="607">
        <f ca="1">P164+P166+P168+P170+P171+SUM(W203,AD203)*J$10</f>
        <v>5.0617441969875978</v>
      </c>
      <c r="AL203" s="607">
        <f ca="1">Q164+Q166+Q168+Q170+Q171+SUM(X203,AE203)*K$10</f>
        <v>2.889857096685684</v>
      </c>
      <c r="AN203" s="790"/>
      <c r="AO203" s="1058"/>
      <c r="AP203" s="607">
        <f ca="1">AP202+U170+U171+N179</f>
        <v>1.0923935711993451</v>
      </c>
      <c r="AQ203" s="607">
        <f ca="1">AQ202+V170+V171+O179</f>
        <v>0.68858281621415707</v>
      </c>
      <c r="AR203" s="607">
        <f ca="1">AR202+W170+W171+P179</f>
        <v>1.9099281431489121</v>
      </c>
      <c r="AS203" s="607">
        <f ca="1">AS202+X170+X171+Q179</f>
        <v>1.2468413374110978</v>
      </c>
      <c r="AU203" s="790"/>
      <c r="AV203" s="50"/>
      <c r="AW203" s="1059">
        <f>N175</f>
        <v>4.3565174896707873E-2</v>
      </c>
      <c r="AX203" s="1059">
        <f>O175</f>
        <v>2.8192311512623996E-2</v>
      </c>
      <c r="AY203" s="1059">
        <f>P175</f>
        <v>7.3082817046969006E-2</v>
      </c>
      <c r="AZ203" s="1059">
        <f>Q175</f>
        <v>4.8679949091973339E-2</v>
      </c>
      <c r="BA203" s="17"/>
      <c r="BB203" s="997"/>
      <c r="BC203" s="998"/>
      <c r="BD203" s="607">
        <f t="shared" ca="1" si="105"/>
        <v>1.135958746096053</v>
      </c>
      <c r="BE203" s="607">
        <f t="shared" ca="1" si="105"/>
        <v>0.71677512772678109</v>
      </c>
      <c r="BF203" s="607">
        <f t="shared" ca="1" si="105"/>
        <v>1.9830109601958812</v>
      </c>
      <c r="BG203" s="607">
        <f t="shared" ca="1" si="105"/>
        <v>1.2955212865030712</v>
      </c>
      <c r="BI203" s="997"/>
      <c r="BJ203" s="998"/>
      <c r="BK203" s="607">
        <f t="shared" ca="1" si="106"/>
        <v>4.026888568235127</v>
      </c>
      <c r="BL203" s="607">
        <f t="shared" ca="1" si="106"/>
        <v>2.3385628672447218</v>
      </c>
      <c r="BM203" s="607">
        <f t="shared" ca="1" si="106"/>
        <v>6.9716723401365099</v>
      </c>
      <c r="BN203" s="607">
        <f t="shared" ca="1" si="106"/>
        <v>4.1366984340967816</v>
      </c>
      <c r="BP203" s="997"/>
      <c r="BQ203" s="998"/>
      <c r="BR203" s="607">
        <f t="shared" ca="1" si="107"/>
        <v>4.0704537431318348</v>
      </c>
      <c r="BS203" s="607">
        <f t="shared" ca="1" si="107"/>
        <v>2.3667551787573458</v>
      </c>
      <c r="BT203" s="607">
        <f t="shared" ca="1" si="107"/>
        <v>7.044755157183479</v>
      </c>
      <c r="BU203" s="607">
        <f t="shared" ca="1" si="107"/>
        <v>4.1853783831887545</v>
      </c>
    </row>
    <row r="204" spans="1:73" ht="14.65" thickBot="1" x14ac:dyDescent="0.5">
      <c r="A204" s="1"/>
      <c r="B204" s="1191"/>
      <c r="C204" s="1211" t="s">
        <v>315</v>
      </c>
      <c r="D204" s="1151" t="s">
        <v>90</v>
      </c>
      <c r="E204" s="1152"/>
      <c r="F204" s="1155"/>
      <c r="G204" s="607">
        <f t="shared" ref="G204:J206" ca="1" si="110">G201/141.8*3.6*1000</f>
        <v>151.27634055277977</v>
      </c>
      <c r="H204" s="1153">
        <f t="shared" ca="1" si="110"/>
        <v>96.757254928551291</v>
      </c>
      <c r="I204" s="1154">
        <f t="shared" ca="1" si="110"/>
        <v>113.99801595575887</v>
      </c>
      <c r="J204" s="607">
        <f t="shared" ca="1" si="110"/>
        <v>75.019040427548831</v>
      </c>
      <c r="L204" s="582"/>
      <c r="M204" s="582"/>
      <c r="N204" s="856"/>
      <c r="O204" s="10"/>
      <c r="P204" s="10"/>
      <c r="Q204" s="10"/>
      <c r="BA204" s="17"/>
    </row>
    <row r="205" spans="1:73" x14ac:dyDescent="0.45">
      <c r="A205" s="1"/>
      <c r="B205" s="1191"/>
      <c r="C205" s="1212"/>
      <c r="D205" s="26" t="s">
        <v>338</v>
      </c>
      <c r="E205" s="583"/>
      <c r="F205" s="582"/>
      <c r="G205" s="598">
        <f t="shared" ca="1" si="110"/>
        <v>98.397533511695414</v>
      </c>
      <c r="H205" s="597">
        <f t="shared" ca="1" si="110"/>
        <v>51.62948422290355</v>
      </c>
      <c r="I205" s="608">
        <f t="shared" ca="1" si="110"/>
        <v>70.404430843550571</v>
      </c>
      <c r="J205" s="598">
        <f t="shared" ca="1" si="110"/>
        <v>37.692060338200712</v>
      </c>
      <c r="L205" s="582"/>
      <c r="M205" s="582"/>
      <c r="N205" s="856"/>
      <c r="O205" s="10"/>
      <c r="P205" s="10"/>
      <c r="Q205" s="10"/>
      <c r="BA205" s="17"/>
    </row>
    <row r="206" spans="1:73" ht="14.65" thickBot="1" x14ac:dyDescent="0.5">
      <c r="A206" s="1"/>
      <c r="B206" s="1192"/>
      <c r="C206" s="1213"/>
      <c r="D206" s="211" t="s">
        <v>316</v>
      </c>
      <c r="E206" s="584"/>
      <c r="F206" s="585"/>
      <c r="G206" s="600">
        <f t="shared" ca="1" si="110"/>
        <v>107.56103456187198</v>
      </c>
      <c r="H206" s="601">
        <f t="shared" ca="1" si="110"/>
        <v>57.180430015156553</v>
      </c>
      <c r="I206" s="609">
        <f t="shared" ca="1" si="110"/>
        <v>77.326518672983397</v>
      </c>
      <c r="J206" s="600">
        <f t="shared" ca="1" si="110"/>
        <v>42.002894105963726</v>
      </c>
      <c r="L206" s="582"/>
      <c r="M206" s="582"/>
      <c r="N206" s="856"/>
      <c r="O206" s="10"/>
      <c r="P206" s="10"/>
      <c r="Q206" s="10"/>
      <c r="BA206" s="17"/>
    </row>
    <row r="207" spans="1:73" x14ac:dyDescent="0.45">
      <c r="A207" s="1"/>
      <c r="B207" s="1"/>
      <c r="C207" s="1"/>
      <c r="D207" s="2"/>
      <c r="E207" s="399"/>
      <c r="F207" s="399"/>
      <c r="G207" s="2"/>
      <c r="L207" s="4"/>
      <c r="N207" s="847"/>
    </row>
    <row r="208" spans="1:73" ht="14.65" thickBot="1" x14ac:dyDescent="0.5">
      <c r="M208" s="557"/>
      <c r="N208" s="857"/>
      <c r="O208" s="339"/>
      <c r="P208" s="339"/>
    </row>
    <row r="209" spans="3:17" ht="14.65" thickBot="1" x14ac:dyDescent="0.5">
      <c r="D209" s="44" t="s">
        <v>116</v>
      </c>
      <c r="E209" s="516" t="s">
        <v>115</v>
      </c>
      <c r="F209" s="622">
        <f>G7</f>
        <v>574</v>
      </c>
      <c r="G209" s="623" t="s">
        <v>36</v>
      </c>
      <c r="H209" s="516" t="s">
        <v>45</v>
      </c>
      <c r="I209" s="622">
        <f>G6</f>
        <v>85</v>
      </c>
      <c r="J209" s="623" t="s">
        <v>25</v>
      </c>
      <c r="M209" s="25"/>
      <c r="N209" s="858"/>
      <c r="O209" s="56"/>
      <c r="P209" s="56"/>
    </row>
    <row r="210" spans="3:17" ht="14.65" thickBot="1" x14ac:dyDescent="0.5">
      <c r="M210" s="25"/>
      <c r="N210" s="858"/>
      <c r="O210" s="56"/>
      <c r="P210" s="56"/>
    </row>
    <row r="211" spans="3:17" ht="14.65" thickBot="1" x14ac:dyDescent="0.5">
      <c r="C211" s="1225" t="s">
        <v>5</v>
      </c>
      <c r="D211" s="35"/>
      <c r="E211" s="1221" t="s">
        <v>343</v>
      </c>
      <c r="F211" s="1171"/>
      <c r="G211" s="1171"/>
      <c r="H211" s="1171"/>
      <c r="I211" s="1171"/>
      <c r="J211" s="1172"/>
      <c r="L211" s="1221" t="s">
        <v>340</v>
      </c>
      <c r="M211" s="1171"/>
      <c r="N211" s="1171"/>
      <c r="O211" s="1172"/>
      <c r="P211" s="780"/>
      <c r="Q211" s="780"/>
    </row>
    <row r="212" spans="3:17" ht="14.65" thickBot="1" x14ac:dyDescent="0.5">
      <c r="C212" s="1227"/>
      <c r="D212" s="26"/>
      <c r="E212" s="1221" t="s">
        <v>341</v>
      </c>
      <c r="F212" s="1172"/>
      <c r="G212" s="1221" t="s">
        <v>383</v>
      </c>
      <c r="H212" s="1172"/>
      <c r="I212" s="1221" t="s">
        <v>32</v>
      </c>
      <c r="J212" s="1172"/>
      <c r="L212" s="1221" t="s">
        <v>383</v>
      </c>
      <c r="M212" s="1172"/>
      <c r="N212" s="1221" t="s">
        <v>32</v>
      </c>
      <c r="O212" s="1172"/>
    </row>
    <row r="213" spans="3:17" ht="14.65" thickBot="1" x14ac:dyDescent="0.5">
      <c r="C213" s="1227"/>
      <c r="D213" s="31"/>
      <c r="E213" s="23"/>
      <c r="F213" s="133" t="s">
        <v>24</v>
      </c>
      <c r="G213" s="23"/>
      <c r="H213" s="713" t="s">
        <v>24</v>
      </c>
      <c r="I213" s="23"/>
      <c r="J213" s="194" t="s">
        <v>24</v>
      </c>
      <c r="L213" s="23"/>
      <c r="M213" s="713" t="s">
        <v>24</v>
      </c>
      <c r="N213" s="578"/>
      <c r="O213" s="713" t="s">
        <v>24</v>
      </c>
    </row>
    <row r="214" spans="3:17" x14ac:dyDescent="0.45">
      <c r="C214" s="1227"/>
      <c r="D214" s="14" t="s">
        <v>58</v>
      </c>
      <c r="E214" s="40">
        <f>M163*100</f>
        <v>145.2312994957793</v>
      </c>
      <c r="F214" s="201">
        <f>E214/$E$219</f>
        <v>0.23258119107207487</v>
      </c>
      <c r="G214" s="53">
        <f ca="1">O163*100</f>
        <v>87.102036916781245</v>
      </c>
      <c r="H214" s="218">
        <f ca="1">G214/$G$219</f>
        <v>0.21503481112991835</v>
      </c>
      <c r="I214" s="40">
        <f ca="1">Q163*50</f>
        <v>87.102036916781245</v>
      </c>
      <c r="J214" s="218">
        <f ca="1">I214/$I$219</f>
        <v>0.23940167067248463</v>
      </c>
      <c r="K214" s="338"/>
      <c r="L214" s="781">
        <f ca="1">O164*100</f>
        <v>44.405714587074257</v>
      </c>
      <c r="M214" s="218">
        <f ca="1">L214/$L$219</f>
        <v>0.12322730343901545</v>
      </c>
      <c r="N214" s="859">
        <f ca="1">Q164*50</f>
        <v>44.405714587074257</v>
      </c>
      <c r="O214" s="218">
        <f ca="1">N214/$N$219</f>
        <v>0.13001655474678203</v>
      </c>
    </row>
    <row r="215" spans="3:17" x14ac:dyDescent="0.45">
      <c r="C215" s="1227"/>
      <c r="D215" s="38" t="s">
        <v>112</v>
      </c>
      <c r="E215" s="40">
        <f>M165*100</f>
        <v>63.59778548771996</v>
      </c>
      <c r="F215" s="202">
        <f>E215/$E$219</f>
        <v>0.10184890412489973</v>
      </c>
      <c r="G215" s="53">
        <f ca="1">O165*100</f>
        <v>57.789124658066783</v>
      </c>
      <c r="H215" s="218">
        <f ca="1">G215/$G$219</f>
        <v>0.14266800118673861</v>
      </c>
      <c r="I215" s="40">
        <f ca="1">Q165*50</f>
        <v>30.509121279094614</v>
      </c>
      <c r="J215" s="218">
        <f ca="1">I215/$I$219</f>
        <v>8.3854923070777368E-2</v>
      </c>
      <c r="K215" s="338"/>
      <c r="L215" s="782">
        <f ca="1">O166*100</f>
        <v>65.152491832804571</v>
      </c>
      <c r="M215" s="218">
        <f ca="1">L215/$L$219</f>
        <v>0.18080028562868714</v>
      </c>
      <c r="N215" s="860">
        <f ca="1">Q166*50</f>
        <v>48.864368874603429</v>
      </c>
      <c r="O215" s="218">
        <f ca="1">N215/$N$219</f>
        <v>0.14307115536884368</v>
      </c>
    </row>
    <row r="216" spans="3:17" x14ac:dyDescent="0.45">
      <c r="C216" s="1227"/>
      <c r="D216" s="38" t="s">
        <v>342</v>
      </c>
      <c r="E216" s="40">
        <f>M167*100</f>
        <v>221.91708837925424</v>
      </c>
      <c r="F216" s="202">
        <f>E216/$E$219</f>
        <v>0.35538992568192124</v>
      </c>
      <c r="G216" s="53">
        <f ca="1">O167*100</f>
        <v>135.54971705845264</v>
      </c>
      <c r="H216" s="218">
        <f ca="1">G216/$G$219</f>
        <v>0.33464094340556738</v>
      </c>
      <c r="I216" s="40">
        <f ca="1">Q167*50</f>
        <v>135.54971705845264</v>
      </c>
      <c r="J216" s="218">
        <f ca="1">I216/$I$219</f>
        <v>0.37256107746343775</v>
      </c>
      <c r="K216" s="338"/>
      <c r="L216" s="782">
        <f ca="1">O167*100</f>
        <v>135.54971705845264</v>
      </c>
      <c r="M216" s="218">
        <f ca="1">L216/$L$219</f>
        <v>0.37615487714495005</v>
      </c>
      <c r="N216" s="860">
        <f ca="1">Q167*50</f>
        <v>135.54971705845264</v>
      </c>
      <c r="O216" s="218">
        <f ca="1">N216/$N$219</f>
        <v>0.39687926143566854</v>
      </c>
    </row>
    <row r="217" spans="3:17" x14ac:dyDescent="0.45">
      <c r="C217" s="1227"/>
      <c r="D217" s="26" t="s">
        <v>117</v>
      </c>
      <c r="E217" s="40">
        <f>BC191*100</f>
        <v>137.73569717856324</v>
      </c>
      <c r="F217" s="202">
        <f>E217/$E$219</f>
        <v>0.22057733156800577</v>
      </c>
      <c r="G217" s="53">
        <f ca="1">BE191*100</f>
        <v>84.749348275086646</v>
      </c>
      <c r="H217" s="218">
        <f ca="1">G217/$G$219</f>
        <v>0.20922656627569458</v>
      </c>
      <c r="I217" s="40">
        <f ca="1">BG191*50</f>
        <v>73.638504739095453</v>
      </c>
      <c r="J217" s="218">
        <f ca="1">I217/$I$219</f>
        <v>0.20239688627725599</v>
      </c>
      <c r="K217" s="338"/>
      <c r="L217" s="782">
        <f ca="1">AQ200*100</f>
        <v>84.40494049321191</v>
      </c>
      <c r="M217" s="218">
        <f ca="1">L217/$L$219</f>
        <v>0.23422645735187916</v>
      </c>
      <c r="N217" s="860">
        <f ca="1">AS200*50</f>
        <v>78.217776503934601</v>
      </c>
      <c r="O217" s="218">
        <f ca="1">N217/$N$219</f>
        <v>0.22901570024403059</v>
      </c>
    </row>
    <row r="218" spans="3:17" ht="14.65" thickBot="1" x14ac:dyDescent="0.5">
      <c r="C218" s="1227"/>
      <c r="D218" s="38" t="s">
        <v>113</v>
      </c>
      <c r="E218" s="40">
        <f>M172*100+SUM(E214:E216)*G$14</f>
        <v>55.950822516710403</v>
      </c>
      <c r="F218" s="203">
        <f>E218/$E$219</f>
        <v>8.9602647553098269E-2</v>
      </c>
      <c r="G218" s="40">
        <f ca="1">O172*100+SUM(G214:G216)*I$14</f>
        <v>39.869941996806816</v>
      </c>
      <c r="H218" s="218">
        <f ca="1">G218/$G$219</f>
        <v>9.8429678002081036E-2</v>
      </c>
      <c r="I218" s="40">
        <f ca="1">Q172*50+SUM(I214:I216)*K$14</f>
        <v>37.032821645393717</v>
      </c>
      <c r="J218" s="218">
        <f ca="1">I218/$I$219</f>
        <v>0.10178544251604431</v>
      </c>
      <c r="K218" s="338"/>
      <c r="L218" s="783">
        <f ca="1">O172*50+SUM(L214:L216)*I$14</f>
        <v>30.84326935121825</v>
      </c>
      <c r="M218" s="218">
        <f ca="1">L218/$L$219</f>
        <v>8.5591076435468164E-2</v>
      </c>
      <c r="N218" s="861">
        <f ca="1">Q172*50+SUM(N214:N216)*K$14</f>
        <v>34.501349873037107</v>
      </c>
      <c r="O218" s="218">
        <f ca="1">N218/$N$219</f>
        <v>0.10101732820467514</v>
      </c>
    </row>
    <row r="219" spans="3:17" ht="14.65" thickBot="1" x14ac:dyDescent="0.5">
      <c r="C219" s="1226"/>
      <c r="D219" s="120" t="s">
        <v>9</v>
      </c>
      <c r="E219" s="482">
        <f t="shared" ref="E219:F219" si="111">SUM(E214:E218)</f>
        <v>624.43269305802721</v>
      </c>
      <c r="F219" s="203">
        <f t="shared" si="111"/>
        <v>0.99999999999999978</v>
      </c>
      <c r="G219" s="482">
        <f ca="1">SUM(G214:G218)</f>
        <v>405.06016890519413</v>
      </c>
      <c r="H219" s="220">
        <f ca="1">SUM(H214:H218)</f>
        <v>0.99999999999999989</v>
      </c>
      <c r="I219" s="482">
        <f ca="1">SUM(I214:I218)</f>
        <v>363.83220163881765</v>
      </c>
      <c r="J219" s="220">
        <f ca="1">SUM(J214:J218)</f>
        <v>1</v>
      </c>
      <c r="K219" s="338"/>
      <c r="L219" s="674">
        <f ca="1">SUM(L214:L218)</f>
        <v>360.35613332276165</v>
      </c>
      <c r="M219" s="207">
        <f ca="1">SUM(M214:M218)</f>
        <v>0.99999999999999989</v>
      </c>
      <c r="N219" s="862">
        <f ca="1">SUM(N214:N218)</f>
        <v>341.53892689710204</v>
      </c>
      <c r="O219" s="207">
        <f ca="1">SUM(O214:O218)</f>
        <v>1</v>
      </c>
    </row>
    <row r="220" spans="3:17" ht="14.65" thickBot="1" x14ac:dyDescent="0.5">
      <c r="F220" s="1"/>
      <c r="G220" s="11"/>
    </row>
    <row r="221" spans="3:17" ht="14.65" thickBot="1" x14ac:dyDescent="0.5">
      <c r="C221" s="1225" t="s">
        <v>42</v>
      </c>
      <c r="D221" s="35"/>
      <c r="E221" s="1221" t="s">
        <v>339</v>
      </c>
      <c r="F221" s="1171"/>
      <c r="G221" s="1171"/>
      <c r="H221" s="1171"/>
      <c r="I221" s="1171"/>
      <c r="J221" s="1172"/>
      <c r="L221" s="1221" t="s">
        <v>340</v>
      </c>
      <c r="M221" s="1171"/>
      <c r="N221" s="1171"/>
      <c r="O221" s="1172"/>
      <c r="P221" s="780"/>
      <c r="Q221" s="780"/>
    </row>
    <row r="222" spans="3:17" ht="14.65" thickBot="1" x14ac:dyDescent="0.5">
      <c r="C222" s="1227"/>
      <c r="D222" s="26"/>
      <c r="E222" s="1221" t="s">
        <v>341</v>
      </c>
      <c r="F222" s="1172"/>
      <c r="G222" s="1221" t="s">
        <v>383</v>
      </c>
      <c r="H222" s="1172"/>
      <c r="I222" s="1221" t="s">
        <v>32</v>
      </c>
      <c r="J222" s="1172"/>
      <c r="L222" s="1221" t="s">
        <v>383</v>
      </c>
      <c r="M222" s="1172"/>
      <c r="N222" s="1221" t="s">
        <v>32</v>
      </c>
      <c r="O222" s="1172"/>
      <c r="P222" s="1184"/>
      <c r="Q222" s="1184"/>
    </row>
    <row r="223" spans="3:17" ht="14.65" thickBot="1" x14ac:dyDescent="0.5">
      <c r="C223" s="1227"/>
      <c r="D223" s="31"/>
      <c r="E223" s="42"/>
      <c r="F223" s="82" t="s">
        <v>24</v>
      </c>
      <c r="G223" s="23"/>
      <c r="H223" s="456" t="s">
        <v>24</v>
      </c>
      <c r="I223" s="23"/>
      <c r="J223" s="713" t="s">
        <v>24</v>
      </c>
      <c r="L223" s="23"/>
      <c r="M223" s="252" t="s">
        <v>24</v>
      </c>
      <c r="N223" s="578"/>
      <c r="O223" s="713" t="s">
        <v>24</v>
      </c>
      <c r="P223" s="715"/>
      <c r="Q223" s="715"/>
    </row>
    <row r="224" spans="3:17" x14ac:dyDescent="0.45">
      <c r="C224" s="1227"/>
      <c r="D224" s="12" t="s">
        <v>58</v>
      </c>
      <c r="E224" s="61">
        <f>M163*100</f>
        <v>145.2312994957793</v>
      </c>
      <c r="F224" s="201">
        <f t="shared" ref="F224:F229" si="112">E224/$E$230</f>
        <v>0.27604047707760188</v>
      </c>
      <c r="G224" s="61">
        <f ca="1">O163*100</f>
        <v>87.102036916781245</v>
      </c>
      <c r="H224" s="218">
        <f t="shared" ref="H224:H229" ca="1" si="113">G224/$G$230</f>
        <v>0.33116488037797592</v>
      </c>
      <c r="I224" s="61">
        <f ca="1">Q163*50</f>
        <v>87.102036916781245</v>
      </c>
      <c r="J224" s="218">
        <f t="shared" ref="J224:J229" ca="1" si="114">I224/$I$230</f>
        <v>0.39472970777525873</v>
      </c>
      <c r="L224" s="102">
        <f ca="1">O164*100</f>
        <v>44.405714587074257</v>
      </c>
      <c r="M224" s="202">
        <f t="shared" ref="M224:M229" ca="1" si="115">L224/$L$230</f>
        <v>0.19823134668964057</v>
      </c>
      <c r="N224" s="850">
        <f ca="1">Q164*50</f>
        <v>44.405714587074257</v>
      </c>
      <c r="O224" s="202">
        <f t="shared" ref="O224:O229" ca="1" si="116">N224/$N$230</f>
        <v>0.22914355455916618</v>
      </c>
    </row>
    <row r="225" spans="2:30" x14ac:dyDescent="0.45">
      <c r="C225" s="1227"/>
      <c r="D225" s="37" t="s">
        <v>112</v>
      </c>
      <c r="E225" s="53">
        <f>M165*100</f>
        <v>63.59778548771996</v>
      </c>
      <c r="F225" s="202">
        <f t="shared" si="112"/>
        <v>0.12088002454057364</v>
      </c>
      <c r="G225" s="53">
        <f ca="1">O165*100</f>
        <v>57.789124658066783</v>
      </c>
      <c r="H225" s="218">
        <f t="shared" ca="1" si="113"/>
        <v>0.21971619989577437</v>
      </c>
      <c r="I225" s="53">
        <f ca="1">Q165*50</f>
        <v>30.509121279094614</v>
      </c>
      <c r="J225" s="218">
        <f t="shared" ca="1" si="114"/>
        <v>0.13826147990641013</v>
      </c>
      <c r="L225" s="53">
        <f ca="1">O166*100</f>
        <v>65.152491832804571</v>
      </c>
      <c r="M225" s="202">
        <f t="shared" ca="1" si="115"/>
        <v>0.29084693977567633</v>
      </c>
      <c r="N225" s="863">
        <f ca="1">Q166*50</f>
        <v>48.864368874603429</v>
      </c>
      <c r="O225" s="202">
        <f t="shared" ca="1" si="116"/>
        <v>0.25215122151138974</v>
      </c>
    </row>
    <row r="226" spans="2:30" x14ac:dyDescent="0.45">
      <c r="C226" s="1227"/>
      <c r="D226" s="37" t="s">
        <v>70</v>
      </c>
      <c r="E226" s="53">
        <f>M168*100</f>
        <v>109.19510005752771</v>
      </c>
      <c r="F226" s="202">
        <f t="shared" si="112"/>
        <v>0.20754663505088594</v>
      </c>
      <c r="G226" s="53">
        <f ca="1">O168*100</f>
        <v>16.625524421654582</v>
      </c>
      <c r="H226" s="218">
        <f t="shared" ca="1" si="113"/>
        <v>6.3210804261428263E-2</v>
      </c>
      <c r="I226" s="53">
        <f ca="1">Q168*50</f>
        <v>16.625524421654582</v>
      </c>
      <c r="J226" s="218">
        <f t="shared" ca="1" si="114"/>
        <v>7.5343684589605497E-2</v>
      </c>
      <c r="L226" s="53">
        <f ca="1">O168*100</f>
        <v>16.625524421654582</v>
      </c>
      <c r="M226" s="202">
        <f t="shared" ca="1" si="115"/>
        <v>7.4217927268429032E-2</v>
      </c>
      <c r="N226" s="863">
        <f ca="1">Q168*50</f>
        <v>16.625524421654582</v>
      </c>
      <c r="O226" s="202">
        <f t="shared" ca="1" si="116"/>
        <v>8.5791475214702997E-2</v>
      </c>
    </row>
    <row r="227" spans="2:30" x14ac:dyDescent="0.45">
      <c r="C227" s="1227"/>
      <c r="D227" s="37" t="s">
        <v>114</v>
      </c>
      <c r="E227" s="53">
        <f>(M170+M171)*100</f>
        <v>32.103381505713799</v>
      </c>
      <c r="F227" s="202">
        <f t="shared" si="112"/>
        <v>6.1018752689044414E-2</v>
      </c>
      <c r="G227" s="53">
        <f ca="1">(O170+O171)*100</f>
        <v>13.779434220286296</v>
      </c>
      <c r="H227" s="218">
        <f t="shared" ca="1" si="113"/>
        <v>5.2389873380310488E-2</v>
      </c>
      <c r="I227" s="53">
        <f ca="1">(Q170+Q171)*50</f>
        <v>13.04638833227623</v>
      </c>
      <c r="J227" s="218">
        <f t="shared" ca="1" si="114"/>
        <v>5.9123727024227274E-2</v>
      </c>
      <c r="L227" s="53">
        <f ca="1">(O170+O171)*100</f>
        <v>13.779434220286296</v>
      </c>
      <c r="M227" s="202">
        <f t="shared" ca="1" si="115"/>
        <v>6.1512709062535101E-2</v>
      </c>
      <c r="N227" s="863">
        <f ca="1">(Q170+Q171)*50</f>
        <v>13.04638833227623</v>
      </c>
      <c r="O227" s="202">
        <f t="shared" ca="1" si="116"/>
        <v>6.7322321561900919E-2</v>
      </c>
    </row>
    <row r="228" spans="2:30" x14ac:dyDescent="0.45">
      <c r="C228" s="1227"/>
      <c r="D228" s="37" t="s">
        <v>117</v>
      </c>
      <c r="E228" s="53">
        <f>BC194*100</f>
        <v>139.58236785896</v>
      </c>
      <c r="F228" s="202">
        <f t="shared" si="112"/>
        <v>0.26530357814865113</v>
      </c>
      <c r="G228" s="53">
        <f ca="1">BE194*100</f>
        <v>69.490214859856337</v>
      </c>
      <c r="H228" s="218">
        <f t="shared" ca="1" si="113"/>
        <v>0.26420413926130004</v>
      </c>
      <c r="I228" s="53">
        <f ca="1">BG194*50</f>
        <v>58.061971367301446</v>
      </c>
      <c r="J228" s="218">
        <f t="shared" ca="1" si="114"/>
        <v>0.26312570637776622</v>
      </c>
      <c r="L228" s="53">
        <f ca="1">BE194*100</f>
        <v>69.490214859856337</v>
      </c>
      <c r="M228" s="202">
        <f t="shared" ca="1" si="115"/>
        <v>0.31021094923290571</v>
      </c>
      <c r="N228" s="863">
        <f ca="1">BG194*50</f>
        <v>58.061971367301446</v>
      </c>
      <c r="O228" s="202">
        <f t="shared" ca="1" si="116"/>
        <v>0.29961293557673552</v>
      </c>
      <c r="T228" s="10"/>
    </row>
    <row r="229" spans="2:30" ht="14.65" thickBot="1" x14ac:dyDescent="0.5">
      <c r="C229" s="1227"/>
      <c r="D229" s="37" t="s">
        <v>113</v>
      </c>
      <c r="E229" s="40">
        <f>F186*100+SUM(E224:E227)*G$14</f>
        <v>36.413266920861034</v>
      </c>
      <c r="F229" s="203">
        <f t="shared" si="112"/>
        <v>6.9210532493242993E-2</v>
      </c>
      <c r="G229" s="40">
        <f ca="1">H186*100+SUM(G224:G227)*I$14</f>
        <v>18.230796502546045</v>
      </c>
      <c r="H229" s="218">
        <f t="shared" ca="1" si="113"/>
        <v>6.9314102823210863E-2</v>
      </c>
      <c r="I229" s="40">
        <f ca="1">J186*50+SUM(I224:I227)*K$14</f>
        <v>15.317439378779893</v>
      </c>
      <c r="J229" s="218">
        <f t="shared" ca="1" si="114"/>
        <v>6.9415694326732169E-2</v>
      </c>
      <c r="L229" s="53">
        <f ca="1">H186*100+SUM(L224:L227)*I$14</f>
        <v>14.55616916642925</v>
      </c>
      <c r="M229" s="202">
        <f t="shared" ca="1" si="115"/>
        <v>6.498012797081322E-2</v>
      </c>
      <c r="N229" s="863">
        <f ca="1">J186*50+SUM(N224:N227)*K$14</f>
        <v>12.785967606423283</v>
      </c>
      <c r="O229" s="202">
        <f t="shared" ca="1" si="116"/>
        <v>6.5978491576104623E-2</v>
      </c>
    </row>
    <row r="230" spans="2:30" ht="14.65" thickBot="1" x14ac:dyDescent="0.5">
      <c r="C230" s="1226"/>
      <c r="D230" s="24" t="s">
        <v>9</v>
      </c>
      <c r="E230" s="8">
        <f t="shared" ref="E230:F230" si="117">SUM(E224:E229)</f>
        <v>526.1232013265618</v>
      </c>
      <c r="F230" s="203">
        <f t="shared" si="117"/>
        <v>1</v>
      </c>
      <c r="G230" s="8">
        <f ca="1">SUM(G224:G229)</f>
        <v>263.0171315791913</v>
      </c>
      <c r="H230" s="207">
        <f ca="1">SUM(H224:H229)</f>
        <v>0.99999999999999989</v>
      </c>
      <c r="I230" s="8">
        <f ca="1">SUM(I224:I229)</f>
        <v>220.662481695888</v>
      </c>
      <c r="J230" s="207">
        <f ca="1">SUM(J224:J229)</f>
        <v>1</v>
      </c>
      <c r="L230" s="8">
        <f ca="1">SUM(L224:L229)</f>
        <v>224.0095490881053</v>
      </c>
      <c r="M230" s="207">
        <f ca="1">SUM(M224:M229)</f>
        <v>1</v>
      </c>
      <c r="N230" s="864">
        <f ca="1">SUM(N224:N229)</f>
        <v>193.78993518933322</v>
      </c>
      <c r="O230" s="207">
        <f ca="1">SUM(O224:O229)</f>
        <v>0.99999999999999989</v>
      </c>
      <c r="S230" s="10"/>
    </row>
    <row r="231" spans="2:30" ht="14.65" thickBot="1" x14ac:dyDescent="0.5">
      <c r="F231" s="1"/>
      <c r="G231" s="36"/>
    </row>
    <row r="232" spans="2:30" ht="14.65" thickBot="1" x14ac:dyDescent="0.5">
      <c r="D232" s="44" t="s">
        <v>209</v>
      </c>
      <c r="E232" s="298"/>
      <c r="F232" s="10"/>
      <c r="G232" s="298"/>
      <c r="H232" s="10"/>
      <c r="I232" s="298"/>
      <c r="J232" s="298"/>
      <c r="K232" s="326"/>
      <c r="L232" s="326"/>
      <c r="N232" s="844"/>
      <c r="O232" s="17"/>
      <c r="P232" s="17"/>
    </row>
    <row r="233" spans="2:30" ht="14.65" thickBot="1" x14ac:dyDescent="0.5">
      <c r="E233" s="8" t="s">
        <v>36</v>
      </c>
      <c r="F233" s="33">
        <v>0</v>
      </c>
      <c r="G233" s="33">
        <v>15</v>
      </c>
      <c r="H233" s="131">
        <v>30</v>
      </c>
      <c r="I233" s="388">
        <v>45</v>
      </c>
      <c r="J233" s="385">
        <v>60</v>
      </c>
      <c r="K233" s="389">
        <v>75</v>
      </c>
      <c r="L233" s="477">
        <v>90</v>
      </c>
      <c r="M233" s="33">
        <v>105</v>
      </c>
      <c r="N233" s="865">
        <v>120</v>
      </c>
      <c r="O233" s="33">
        <v>135</v>
      </c>
      <c r="P233" s="131">
        <v>150</v>
      </c>
      <c r="Q233" s="33">
        <v>165</v>
      </c>
      <c r="R233" s="131">
        <v>180</v>
      </c>
      <c r="S233" s="33">
        <v>195</v>
      </c>
      <c r="T233" s="131">
        <v>210</v>
      </c>
      <c r="U233" s="33">
        <v>225</v>
      </c>
      <c r="V233" s="131">
        <v>240</v>
      </c>
      <c r="W233" s="33">
        <v>255</v>
      </c>
      <c r="X233" s="131">
        <v>270</v>
      </c>
      <c r="Y233" s="33">
        <v>285</v>
      </c>
      <c r="Z233" s="132">
        <v>300</v>
      </c>
    </row>
    <row r="234" spans="2:30" x14ac:dyDescent="0.45">
      <c r="B234" s="1225" t="s">
        <v>147</v>
      </c>
      <c r="C234" s="1222">
        <v>2035</v>
      </c>
      <c r="D234" s="148" t="s">
        <v>111</v>
      </c>
      <c r="E234" s="217" t="s">
        <v>33</v>
      </c>
      <c r="F234" s="61">
        <v>30.649995803833008</v>
      </c>
      <c r="G234" s="61">
        <v>31.575149536132813</v>
      </c>
      <c r="H234" s="55">
        <v>32.501079559326172</v>
      </c>
      <c r="I234" s="387">
        <v>33.427780151367188</v>
      </c>
      <c r="J234" s="379">
        <v>34.355255126953125</v>
      </c>
      <c r="K234" s="387">
        <v>35.28350830078125</v>
      </c>
      <c r="L234" s="379">
        <v>36.212532043457031</v>
      </c>
      <c r="M234" s="61">
        <v>37.142330169677734</v>
      </c>
      <c r="N234" s="866">
        <v>38.072898864746094</v>
      </c>
      <c r="O234" s="61">
        <v>39.004245758056641</v>
      </c>
      <c r="P234" s="55">
        <v>39.936367034912109</v>
      </c>
      <c r="Q234" s="61">
        <v>40.8692626953125</v>
      </c>
      <c r="R234" s="55">
        <v>41.802928924560547</v>
      </c>
      <c r="S234" s="61">
        <v>42.737369537353516</v>
      </c>
      <c r="T234" s="55">
        <v>43.672588348388672</v>
      </c>
      <c r="U234" s="61">
        <v>44.608577728271484</v>
      </c>
      <c r="V234" s="55">
        <v>45.545341491699219</v>
      </c>
      <c r="W234" s="61">
        <v>46.482879638671875</v>
      </c>
      <c r="X234" s="55">
        <v>47.421192169189453</v>
      </c>
      <c r="Y234" s="61">
        <v>48.360275268554688</v>
      </c>
      <c r="Z234" s="58">
        <v>49.300136566162109</v>
      </c>
    </row>
    <row r="235" spans="2:30" x14ac:dyDescent="0.45">
      <c r="B235" s="1227"/>
      <c r="C235" s="1223"/>
      <c r="D235" s="149" t="s">
        <v>109</v>
      </c>
      <c r="E235" s="125" t="s">
        <v>40</v>
      </c>
      <c r="F235" s="53">
        <v>1.9863044023513794</v>
      </c>
      <c r="G235" s="53">
        <v>2.0325548648834229</v>
      </c>
      <c r="H235" s="56">
        <v>2.0788440704345703</v>
      </c>
      <c r="I235" s="53">
        <v>2.1251718997955322</v>
      </c>
      <c r="J235" s="56">
        <v>2.1715383529663086</v>
      </c>
      <c r="K235" s="53">
        <v>2.2179431915283203</v>
      </c>
      <c r="L235" s="56">
        <v>2.2643868923187256</v>
      </c>
      <c r="M235" s="53">
        <v>2.3108692169189453</v>
      </c>
      <c r="N235" s="858">
        <v>2.3573901653289795</v>
      </c>
      <c r="O235" s="53">
        <v>2.4039497375488281</v>
      </c>
      <c r="P235" s="56">
        <v>2.4505479335784912</v>
      </c>
      <c r="Q235" s="53">
        <v>2.4971847534179688</v>
      </c>
      <c r="R235" s="56">
        <v>2.5438601970672607</v>
      </c>
      <c r="S235" s="53">
        <v>2.5905740261077881</v>
      </c>
      <c r="T235" s="56">
        <v>2.637326717376709</v>
      </c>
      <c r="U235" s="53">
        <v>2.6841180324554443</v>
      </c>
      <c r="V235" s="56">
        <v>2.7309479713439941</v>
      </c>
      <c r="W235" s="53">
        <v>2.7778165340423584</v>
      </c>
      <c r="X235" s="56">
        <v>2.8247237205505371</v>
      </c>
      <c r="Y235" s="53">
        <v>2.8716695308685303</v>
      </c>
      <c r="Z235" s="59">
        <v>2.9186539649963379</v>
      </c>
    </row>
    <row r="236" spans="2:30" ht="14.65" thickBot="1" x14ac:dyDescent="0.5">
      <c r="B236" s="1227"/>
      <c r="C236" s="1224"/>
      <c r="D236" s="150" t="s">
        <v>110</v>
      </c>
      <c r="E236" s="91" t="s">
        <v>40</v>
      </c>
      <c r="F236" s="76">
        <v>1.6612870693206787</v>
      </c>
      <c r="G236" s="76">
        <v>1.6789555549621582</v>
      </c>
      <c r="H236" s="386">
        <v>1.6966395378112793</v>
      </c>
      <c r="I236" s="76">
        <v>1.7143388986587524</v>
      </c>
      <c r="J236" s="386">
        <v>1.7320537567138672</v>
      </c>
      <c r="K236" s="76">
        <v>1.7497838735580444</v>
      </c>
      <c r="L236" s="386">
        <v>1.7675293684005737</v>
      </c>
      <c r="M236" s="9">
        <v>1.7852903604507446</v>
      </c>
      <c r="N236" s="867">
        <v>1.8030667304992676</v>
      </c>
      <c r="O236" s="9">
        <v>1.8208584785461426</v>
      </c>
      <c r="P236" s="57">
        <v>1.8386656045913696</v>
      </c>
      <c r="Q236" s="9">
        <v>1.8564881086349487</v>
      </c>
      <c r="R236" s="57">
        <v>1.8743261098861694</v>
      </c>
      <c r="S236" s="9">
        <v>1.8921793699264526</v>
      </c>
      <c r="T236" s="57">
        <v>1.9100481271743774</v>
      </c>
      <c r="U236" s="9">
        <v>1.9279322624206543</v>
      </c>
      <c r="V236" s="57">
        <v>1.9458317756652832</v>
      </c>
      <c r="W236" s="9">
        <v>1.9637466669082642</v>
      </c>
      <c r="X236" s="57">
        <v>1.9816770553588867</v>
      </c>
      <c r="Y236" s="9">
        <v>1.9996227025985718</v>
      </c>
      <c r="Z236" s="60">
        <v>2.0175838470458984</v>
      </c>
    </row>
    <row r="237" spans="2:30" ht="14.65" thickBot="1" x14ac:dyDescent="0.5">
      <c r="B237" s="1227"/>
      <c r="C237" s="212"/>
      <c r="D237" s="1"/>
      <c r="E237" s="339"/>
      <c r="F237" s="73"/>
      <c r="G237" s="73"/>
      <c r="H237" s="73"/>
      <c r="I237" s="73"/>
      <c r="J237" s="73"/>
      <c r="K237" s="73"/>
      <c r="L237" s="73"/>
      <c r="M237" s="56"/>
      <c r="N237" s="858"/>
      <c r="O237" s="56"/>
      <c r="P237" s="56"/>
      <c r="Q237" s="56"/>
      <c r="R237" s="56"/>
      <c r="S237" s="56"/>
      <c r="T237" s="56"/>
      <c r="U237" s="56"/>
      <c r="V237" s="56"/>
      <c r="W237" s="56"/>
      <c r="X237" s="56"/>
      <c r="Y237" s="56"/>
      <c r="Z237" s="56"/>
      <c r="AA237" s="25"/>
      <c r="AB237" s="25"/>
      <c r="AC237" s="25"/>
      <c r="AD237" s="25"/>
    </row>
    <row r="238" spans="2:30" x14ac:dyDescent="0.45">
      <c r="B238" s="1227"/>
      <c r="C238" s="1222">
        <v>2050</v>
      </c>
      <c r="D238" s="148" t="s">
        <v>111</v>
      </c>
      <c r="E238" s="217" t="s">
        <v>33</v>
      </c>
      <c r="F238" s="387">
        <v>28.076299667358398</v>
      </c>
      <c r="G238" s="387">
        <v>28.916980743408203</v>
      </c>
      <c r="H238" s="379">
        <v>29.758369445800781</v>
      </c>
      <c r="I238" s="387">
        <v>30.600469589233398</v>
      </c>
      <c r="J238" s="379">
        <v>31.443279266357422</v>
      </c>
      <c r="K238" s="387">
        <v>32.286800384521484</v>
      </c>
      <c r="L238" s="379">
        <v>33.131031036376953</v>
      </c>
      <c r="M238" s="61">
        <v>33.975971221923828</v>
      </c>
      <c r="N238" s="866">
        <v>34.821620941162109</v>
      </c>
      <c r="O238" s="61">
        <v>35.667980194091797</v>
      </c>
      <c r="P238" s="55">
        <v>36.515052795410156</v>
      </c>
      <c r="Q238" s="61">
        <v>37.362831115722656</v>
      </c>
      <c r="R238" s="55">
        <v>38.211322784423828</v>
      </c>
      <c r="S238" s="61">
        <v>39.060523986816406</v>
      </c>
      <c r="T238" s="55">
        <v>39.910434722900391</v>
      </c>
      <c r="U238" s="61">
        <v>40.761058807373047</v>
      </c>
      <c r="V238" s="55">
        <v>41.612388610839844</v>
      </c>
      <c r="W238" s="61">
        <v>42.464431762695313</v>
      </c>
      <c r="X238" s="55">
        <v>43.317180633544922</v>
      </c>
      <c r="Y238" s="61">
        <v>44.170642852783203</v>
      </c>
      <c r="Z238" s="58">
        <v>45.024814605712891</v>
      </c>
    </row>
    <row r="239" spans="2:30" x14ac:dyDescent="0.45">
      <c r="B239" s="1227"/>
      <c r="C239" s="1223"/>
      <c r="D239" s="149" t="s">
        <v>109</v>
      </c>
      <c r="E239" s="125" t="s">
        <v>40</v>
      </c>
      <c r="F239" s="75">
        <v>1.4909650087356567</v>
      </c>
      <c r="G239" s="75">
        <v>1.5294375419616699</v>
      </c>
      <c r="H239" s="73">
        <v>1.5679423809051514</v>
      </c>
      <c r="I239" s="75">
        <v>1.6064796447753906</v>
      </c>
      <c r="J239" s="73">
        <v>1.6450494527816772</v>
      </c>
      <c r="K239" s="75">
        <v>1.6836515665054321</v>
      </c>
      <c r="L239" s="73">
        <v>1.7222862243652344</v>
      </c>
      <c r="M239" s="75">
        <v>1.7609533071517944</v>
      </c>
      <c r="N239" s="868">
        <v>1.7996528148651123</v>
      </c>
      <c r="O239" s="53">
        <v>1.838384747505188</v>
      </c>
      <c r="P239" s="56">
        <v>1.877149224281311</v>
      </c>
      <c r="Q239" s="53">
        <v>1.9159460067749023</v>
      </c>
      <c r="R239" s="56">
        <v>1.954775333404541</v>
      </c>
      <c r="S239" s="53">
        <v>1.9936370849609375</v>
      </c>
      <c r="T239" s="56">
        <v>2.0325312614440918</v>
      </c>
      <c r="U239" s="53">
        <v>2.0714578628540039</v>
      </c>
      <c r="V239" s="56">
        <v>2.1104168891906738</v>
      </c>
      <c r="W239" s="53">
        <v>2.1494083404541016</v>
      </c>
      <c r="X239" s="56">
        <v>2.1884324550628662</v>
      </c>
      <c r="Y239" s="53">
        <v>2.2274887561798096</v>
      </c>
      <c r="Z239" s="59">
        <v>2.2665774822235107</v>
      </c>
    </row>
    <row r="240" spans="2:30" ht="14.65" thickBot="1" x14ac:dyDescent="0.5">
      <c r="B240" s="1226"/>
      <c r="C240" s="1224"/>
      <c r="D240" s="150" t="s">
        <v>110</v>
      </c>
      <c r="E240" s="91" t="s">
        <v>40</v>
      </c>
      <c r="F240" s="76">
        <v>1.1956058740615845</v>
      </c>
      <c r="G240" s="76">
        <v>1.2082736492156982</v>
      </c>
      <c r="H240" s="386">
        <v>1.2209502458572388</v>
      </c>
      <c r="I240" s="76">
        <v>1.2336360216140747</v>
      </c>
      <c r="J240" s="386">
        <v>1.2463306188583374</v>
      </c>
      <c r="K240" s="76">
        <v>1.2590341567993164</v>
      </c>
      <c r="L240" s="386">
        <v>1.2717467546463013</v>
      </c>
      <c r="M240" s="76">
        <v>1.2844682931900024</v>
      </c>
      <c r="N240" s="869">
        <v>1.2971987724304199</v>
      </c>
      <c r="O240" s="9">
        <v>1.3099381923675537</v>
      </c>
      <c r="P240" s="57">
        <v>1.3226865530014038</v>
      </c>
      <c r="Q240" s="9">
        <v>1.3354438543319702</v>
      </c>
      <c r="R240" s="57">
        <v>1.3482102155685425</v>
      </c>
      <c r="S240" s="9">
        <v>1.3609853982925415</v>
      </c>
      <c r="T240" s="57">
        <v>1.3737696409225464</v>
      </c>
      <c r="U240" s="9">
        <v>1.3865628242492676</v>
      </c>
      <c r="V240" s="57">
        <v>1.3993649482727051</v>
      </c>
      <c r="W240" s="9">
        <v>1.4121761322021484</v>
      </c>
      <c r="X240" s="57">
        <v>1.4249961376190186</v>
      </c>
      <c r="Y240" s="9">
        <v>1.4378252029418945</v>
      </c>
      <c r="Z240" s="60">
        <v>1.4506630897521973</v>
      </c>
    </row>
    <row r="241" spans="2:32" ht="14.65" thickBot="1" x14ac:dyDescent="0.5">
      <c r="C241" s="215"/>
      <c r="D241" s="165"/>
      <c r="E241" s="18"/>
      <c r="F241" s="73"/>
      <c r="G241" s="73"/>
      <c r="H241" s="73"/>
      <c r="I241" s="73"/>
      <c r="J241" s="73"/>
      <c r="K241" s="73"/>
      <c r="L241" s="73"/>
      <c r="M241" s="73"/>
      <c r="N241" s="868"/>
      <c r="O241" s="56"/>
      <c r="P241" s="56"/>
      <c r="Q241" s="56"/>
      <c r="R241" s="56"/>
      <c r="S241" s="56"/>
      <c r="T241" s="56"/>
      <c r="U241" s="56"/>
      <c r="V241" s="56"/>
      <c r="W241" s="56"/>
      <c r="X241" s="56"/>
      <c r="Y241" s="56"/>
      <c r="Z241" s="56"/>
    </row>
    <row r="242" spans="2:32" x14ac:dyDescent="0.45">
      <c r="B242" s="1225" t="s">
        <v>80</v>
      </c>
      <c r="C242" s="1222">
        <v>2035</v>
      </c>
      <c r="D242" s="148" t="s">
        <v>111</v>
      </c>
      <c r="E242" s="217" t="s">
        <v>33</v>
      </c>
      <c r="F242" s="387">
        <v>42.483165740966797</v>
      </c>
      <c r="G242" s="387">
        <v>43.436595916748047</v>
      </c>
      <c r="H242" s="379">
        <v>44.391891479492188</v>
      </c>
      <c r="I242" s="387">
        <v>45.349056243896484</v>
      </c>
      <c r="J242" s="379">
        <v>46.308094024658203</v>
      </c>
      <c r="K242" s="387">
        <v>47.268997192382813</v>
      </c>
      <c r="L242" s="379">
        <v>48.231777191162109</v>
      </c>
      <c r="M242" s="387">
        <v>49.196430206298828</v>
      </c>
      <c r="N242" s="870">
        <v>50.162956237792969</v>
      </c>
      <c r="O242" s="61">
        <v>51.131355285644531</v>
      </c>
      <c r="P242" s="55">
        <v>52.101631164550781</v>
      </c>
      <c r="Q242" s="61">
        <v>53.073783874511719</v>
      </c>
      <c r="R242" s="55">
        <v>54.047817230224609</v>
      </c>
      <c r="S242" s="61">
        <v>55.023727416992188</v>
      </c>
      <c r="T242" s="55">
        <v>56.001518249511719</v>
      </c>
      <c r="U242" s="61">
        <v>56.981185913085938</v>
      </c>
      <c r="V242" s="55">
        <v>57.962741851806641</v>
      </c>
      <c r="W242" s="61">
        <v>58.946174621582031</v>
      </c>
      <c r="X242" s="55">
        <v>59.931495666503906</v>
      </c>
      <c r="Y242" s="61">
        <v>60.918697357177734</v>
      </c>
      <c r="Z242" s="58">
        <v>61.907787322998047</v>
      </c>
    </row>
    <row r="243" spans="2:32" x14ac:dyDescent="0.45">
      <c r="B243" s="1227"/>
      <c r="C243" s="1223"/>
      <c r="D243" s="149" t="s">
        <v>109</v>
      </c>
      <c r="E243" s="125" t="s">
        <v>40</v>
      </c>
      <c r="F243" s="75">
        <v>2.5768518447875977</v>
      </c>
      <c r="G243" s="75">
        <v>2.6245136260986328</v>
      </c>
      <c r="H243" s="73">
        <v>2.6722683906555176</v>
      </c>
      <c r="I243" s="75">
        <v>2.7201163768768311</v>
      </c>
      <c r="J243" s="73">
        <v>2.7680578231811523</v>
      </c>
      <c r="K243" s="75">
        <v>2.8160924911499023</v>
      </c>
      <c r="L243" s="73">
        <v>2.8642208576202393</v>
      </c>
      <c r="M243" s="75">
        <v>2.9124424457550049</v>
      </c>
      <c r="N243" s="868">
        <v>2.9607577323913574</v>
      </c>
      <c r="O243" s="53">
        <v>3.0091664791107178</v>
      </c>
      <c r="P243" s="56">
        <v>3.057668924331665</v>
      </c>
      <c r="Q243" s="53">
        <v>3.1062650680541992</v>
      </c>
      <c r="R243" s="56">
        <v>3.1549549102783203</v>
      </c>
      <c r="S243" s="53">
        <v>3.2037384510040283</v>
      </c>
      <c r="T243" s="56">
        <v>3.2526156902313232</v>
      </c>
      <c r="U243" s="53">
        <v>3.3015871047973633</v>
      </c>
      <c r="V243" s="56">
        <v>3.3506522178649902</v>
      </c>
      <c r="W243" s="53">
        <v>3.3998112678527832</v>
      </c>
      <c r="X243" s="56">
        <v>3.4490642547607422</v>
      </c>
      <c r="Y243" s="53">
        <v>3.4984116554260254</v>
      </c>
      <c r="Z243" s="59">
        <v>3.5478527545928955</v>
      </c>
    </row>
    <row r="244" spans="2:32" ht="14.65" thickBot="1" x14ac:dyDescent="0.5">
      <c r="B244" s="1227"/>
      <c r="C244" s="1224"/>
      <c r="D244" s="150" t="s">
        <v>110</v>
      </c>
      <c r="E244" s="91" t="s">
        <v>40</v>
      </c>
      <c r="F244" s="9">
        <v>2.2517843246459961</v>
      </c>
      <c r="G244" s="9">
        <v>2.2706866264343262</v>
      </c>
      <c r="H244" s="57">
        <v>2.2896580696105957</v>
      </c>
      <c r="I244" s="76">
        <v>2.3086988925933838</v>
      </c>
      <c r="J244" s="386">
        <v>2.3278088569641113</v>
      </c>
      <c r="K244" s="76">
        <v>2.3469879627227783</v>
      </c>
      <c r="L244" s="386">
        <v>2.3662364482879639</v>
      </c>
      <c r="M244" s="76">
        <v>2.3855540752410889</v>
      </c>
      <c r="N244" s="869">
        <v>2.4049410820007324</v>
      </c>
      <c r="O244" s="9">
        <v>2.4243972301483154</v>
      </c>
      <c r="P244" s="57">
        <v>2.4439225196838379</v>
      </c>
      <c r="Q244" s="9">
        <v>2.4635171890258789</v>
      </c>
      <c r="R244" s="57">
        <v>2.4831809997558594</v>
      </c>
      <c r="S244" s="9">
        <v>2.5029139518737793</v>
      </c>
      <c r="T244" s="57">
        <v>2.5227162837982178</v>
      </c>
      <c r="U244" s="9">
        <v>2.5425877571105957</v>
      </c>
      <c r="V244" s="57">
        <v>2.5625283718109131</v>
      </c>
      <c r="W244" s="9">
        <v>2.582538366317749</v>
      </c>
      <c r="X244" s="57">
        <v>2.6026175022125244</v>
      </c>
      <c r="Y244" s="9">
        <v>2.6227657794952393</v>
      </c>
      <c r="Z244" s="60">
        <v>2.6429834365844727</v>
      </c>
    </row>
    <row r="245" spans="2:32" ht="14.65" thickBot="1" x14ac:dyDescent="0.5">
      <c r="B245" s="1227"/>
      <c r="C245" s="212"/>
      <c r="D245" s="1"/>
      <c r="E245" s="339"/>
      <c r="F245" s="73"/>
      <c r="G245" s="73"/>
      <c r="H245" s="73"/>
      <c r="I245" s="73"/>
      <c r="J245" s="73"/>
      <c r="K245" s="73"/>
      <c r="L245" s="73"/>
      <c r="M245" s="73"/>
      <c r="N245" s="868"/>
      <c r="O245" s="56"/>
      <c r="P245" s="56"/>
      <c r="Q245" s="56"/>
      <c r="R245" s="56"/>
      <c r="S245" s="56"/>
      <c r="T245" s="56"/>
      <c r="U245" s="56"/>
      <c r="V245" s="56"/>
      <c r="W245" s="56"/>
      <c r="X245" s="56"/>
      <c r="Y245" s="56"/>
      <c r="Z245" s="56"/>
      <c r="AA245" s="25"/>
      <c r="AB245" s="25"/>
      <c r="AC245" s="25"/>
      <c r="AD245" s="25"/>
      <c r="AE245" s="25"/>
      <c r="AF245" s="25"/>
    </row>
    <row r="246" spans="2:32" x14ac:dyDescent="0.45">
      <c r="B246" s="1227"/>
      <c r="C246" s="1225">
        <v>2050</v>
      </c>
      <c r="D246" s="148" t="s">
        <v>111</v>
      </c>
      <c r="E246" s="217" t="s">
        <v>33</v>
      </c>
      <c r="F246" s="387">
        <v>29.445865631103516</v>
      </c>
      <c r="G246" s="387">
        <v>30.21790885925293</v>
      </c>
      <c r="H246" s="379">
        <v>30.991127014160156</v>
      </c>
      <c r="I246" s="387">
        <v>31.765518188476563</v>
      </c>
      <c r="J246" s="379">
        <v>32.541084289550781</v>
      </c>
      <c r="K246" s="387">
        <v>33.317829132080078</v>
      </c>
      <c r="L246" s="379">
        <v>34.095748901367188</v>
      </c>
      <c r="M246" s="387">
        <v>34.874843597412109</v>
      </c>
      <c r="N246" s="870">
        <v>35.655113220214844</v>
      </c>
      <c r="O246" s="61">
        <v>36.436565399169922</v>
      </c>
      <c r="P246" s="55">
        <v>37.219192504882813</v>
      </c>
      <c r="Q246" s="61">
        <v>38.002998352050781</v>
      </c>
      <c r="R246" s="55">
        <v>38.787982940673828</v>
      </c>
      <c r="S246" s="61">
        <v>39.574146270751953</v>
      </c>
      <c r="T246" s="55">
        <v>40.361488342285156</v>
      </c>
      <c r="U246" s="61">
        <v>41.150012969970703</v>
      </c>
      <c r="V246" s="55">
        <v>41.939716339111328</v>
      </c>
      <c r="W246" s="61">
        <v>42.730602264404297</v>
      </c>
      <c r="X246" s="55">
        <v>43.522666931152344</v>
      </c>
      <c r="Y246" s="61">
        <v>44.31591796875</v>
      </c>
      <c r="Z246" s="58">
        <v>45.110347747802734</v>
      </c>
    </row>
    <row r="247" spans="2:32" x14ac:dyDescent="0.45">
      <c r="B247" s="1227"/>
      <c r="C247" s="1227"/>
      <c r="D247" s="149" t="s">
        <v>109</v>
      </c>
      <c r="E247" s="125" t="s">
        <v>40</v>
      </c>
      <c r="F247" s="75">
        <v>1.5535348653793335</v>
      </c>
      <c r="G247" s="75">
        <v>1.5888715982437134</v>
      </c>
      <c r="H247" s="73">
        <v>1.6242618560791016</v>
      </c>
      <c r="I247" s="75">
        <v>1.6597058773040771</v>
      </c>
      <c r="J247" s="73">
        <v>1.6952036619186401</v>
      </c>
      <c r="K247" s="75">
        <v>1.730755090713501</v>
      </c>
      <c r="L247" s="73">
        <v>1.7663601636886597</v>
      </c>
      <c r="M247" s="75">
        <v>1.8020191192626953</v>
      </c>
      <c r="N247" s="868">
        <v>1.8377317190170288</v>
      </c>
      <c r="O247" s="53">
        <v>1.8734982013702393</v>
      </c>
      <c r="P247" s="56">
        <v>1.9093184471130371</v>
      </c>
      <c r="Q247" s="53">
        <v>1.9451925754547119</v>
      </c>
      <c r="R247" s="56">
        <v>1.9811204671859741</v>
      </c>
      <c r="S247" s="53">
        <v>2.0171022415161133</v>
      </c>
      <c r="T247" s="56">
        <v>2.0531380176544189</v>
      </c>
      <c r="U247" s="53">
        <v>2.0892276763916016</v>
      </c>
      <c r="V247" s="56">
        <v>2.1253712177276611</v>
      </c>
      <c r="W247" s="53">
        <v>2.1615686416625977</v>
      </c>
      <c r="X247" s="56">
        <v>2.1978201866149902</v>
      </c>
      <c r="Y247" s="53">
        <v>2.2341256141662598</v>
      </c>
      <c r="Z247" s="59">
        <v>2.2704851627349854</v>
      </c>
    </row>
    <row r="248" spans="2:32" ht="14.65" thickBot="1" x14ac:dyDescent="0.5">
      <c r="B248" s="1226"/>
      <c r="C248" s="1226"/>
      <c r="D248" s="150" t="s">
        <v>110</v>
      </c>
      <c r="E248" s="91" t="s">
        <v>40</v>
      </c>
      <c r="F248" s="76">
        <v>1.2581804990768433</v>
      </c>
      <c r="G248" s="76">
        <v>1.2676944732666016</v>
      </c>
      <c r="H248" s="386">
        <v>1.277240514755249</v>
      </c>
      <c r="I248" s="76">
        <v>1.2868186235427856</v>
      </c>
      <c r="J248" s="386">
        <v>1.2964286804199219</v>
      </c>
      <c r="K248" s="76">
        <v>1.3060709238052368</v>
      </c>
      <c r="L248" s="386">
        <v>1.3157451152801514</v>
      </c>
      <c r="M248" s="76">
        <v>1.3254512548446655</v>
      </c>
      <c r="N248" s="869">
        <v>1.3351895809173584</v>
      </c>
      <c r="O248" s="9">
        <v>1.3449598550796509</v>
      </c>
      <c r="P248" s="57">
        <v>1.3547621965408325</v>
      </c>
      <c r="Q248" s="9">
        <v>1.3645966053009033</v>
      </c>
      <c r="R248" s="57">
        <v>1.3744629621505737</v>
      </c>
      <c r="S248" s="9">
        <v>1.3843615055084229</v>
      </c>
      <c r="T248" s="57">
        <v>1.3942919969558716</v>
      </c>
      <c r="U248" s="9">
        <v>1.4042545557022095</v>
      </c>
      <c r="V248" s="57">
        <v>1.414249062538147</v>
      </c>
      <c r="W248" s="9">
        <v>1.4242756366729736</v>
      </c>
      <c r="X248" s="57">
        <v>1.434334397315979</v>
      </c>
      <c r="Y248" s="9">
        <v>1.4444249868392944</v>
      </c>
      <c r="Z248" s="60">
        <v>1.4545477628707886</v>
      </c>
    </row>
    <row r="249" spans="2:32" ht="14.65" thickBot="1" x14ac:dyDescent="0.5">
      <c r="B249" s="215"/>
      <c r="C249" s="215"/>
      <c r="D249" s="165"/>
      <c r="E249" s="170"/>
      <c r="F249" s="73"/>
      <c r="G249" s="73"/>
      <c r="H249" s="73"/>
      <c r="I249" s="73"/>
      <c r="J249" s="73"/>
      <c r="K249" s="73"/>
      <c r="L249" s="73"/>
      <c r="M249" s="73"/>
      <c r="N249" s="868"/>
      <c r="O249" s="56"/>
      <c r="P249" s="56"/>
      <c r="Q249" s="56"/>
      <c r="R249" s="56"/>
      <c r="S249" s="56"/>
      <c r="T249" s="56"/>
      <c r="U249" s="56"/>
      <c r="V249" s="56"/>
      <c r="W249" s="56"/>
      <c r="X249" s="56"/>
      <c r="Y249" s="56"/>
      <c r="Z249" s="56"/>
    </row>
    <row r="250" spans="2:32" x14ac:dyDescent="0.45">
      <c r="B250" s="215"/>
      <c r="C250" s="1225">
        <v>2050</v>
      </c>
      <c r="D250" s="209" t="s">
        <v>212</v>
      </c>
      <c r="E250" s="217" t="s">
        <v>33</v>
      </c>
      <c r="F250" s="390">
        <f>F240/141.8*3.6*1000</f>
        <v>30.353886788587477</v>
      </c>
      <c r="G250" s="387">
        <f>G240/141.8*3.6*1000</f>
        <v>30.675494620426758</v>
      </c>
      <c r="H250" s="379">
        <f t="shared" ref="H250:N250" si="118">H240/141.8*3.6*1000</f>
        <v>30.997326411044142</v>
      </c>
      <c r="I250" s="387">
        <f t="shared" si="118"/>
        <v>31.319391239849566</v>
      </c>
      <c r="J250" s="379">
        <f t="shared" si="118"/>
        <v>31.641680027433104</v>
      </c>
      <c r="K250" s="387">
        <f t="shared" si="118"/>
        <v>31.964195800264729</v>
      </c>
      <c r="L250" s="387">
        <f>L240/141.8*3.6*1000</f>
        <v>32.286941584814421</v>
      </c>
      <c r="M250" s="387">
        <f t="shared" si="118"/>
        <v>32.609914354612194</v>
      </c>
      <c r="N250" s="870">
        <f t="shared" si="118"/>
        <v>32.93311410965805</v>
      </c>
      <c r="O250" s="387">
        <f t="shared" ref="O250:Z250" si="119">O240/141.8*3.6*1000</f>
        <v>33.256540849951996</v>
      </c>
      <c r="P250" s="379">
        <f t="shared" si="119"/>
        <v>33.580194575494026</v>
      </c>
      <c r="Q250" s="387">
        <f t="shared" si="119"/>
        <v>33.904075286284147</v>
      </c>
      <c r="R250" s="379">
        <f t="shared" si="119"/>
        <v>34.228186008792335</v>
      </c>
      <c r="S250" s="387">
        <f t="shared" si="119"/>
        <v>34.552520690078623</v>
      </c>
      <c r="T250" s="379">
        <f t="shared" si="119"/>
        <v>34.877085383082978</v>
      </c>
      <c r="U250" s="387">
        <f t="shared" si="119"/>
        <v>35.201877061335423</v>
      </c>
      <c r="V250" s="379">
        <f t="shared" si="119"/>
        <v>35.526895724835953</v>
      </c>
      <c r="W250" s="387">
        <f t="shared" si="119"/>
        <v>35.852144400054549</v>
      </c>
      <c r="X250" s="379">
        <f t="shared" si="119"/>
        <v>36.177617034051252</v>
      </c>
      <c r="Y250" s="387">
        <f t="shared" si="119"/>
        <v>36.503319679766008</v>
      </c>
      <c r="Z250" s="391">
        <f t="shared" si="119"/>
        <v>36.829246284258886</v>
      </c>
    </row>
    <row r="251" spans="2:32" ht="14.65" thickBot="1" x14ac:dyDescent="0.5">
      <c r="B251" s="215"/>
      <c r="C251" s="1226"/>
      <c r="D251" s="211" t="s">
        <v>213</v>
      </c>
      <c r="E251" s="91" t="s">
        <v>33</v>
      </c>
      <c r="F251" s="337">
        <f>F248/141.8*3.6*1000</f>
        <v>31.942523248777402</v>
      </c>
      <c r="G251" s="76">
        <f>G248/141.8*3.6*1000</f>
        <v>32.184062790971552</v>
      </c>
      <c r="H251" s="386">
        <f t="shared" ref="H251:N251" si="120">H248/141.8*3.6*1000</f>
        <v>32.426416453588836</v>
      </c>
      <c r="I251" s="76">
        <f t="shared" si="120"/>
        <v>32.669584236629262</v>
      </c>
      <c r="J251" s="386">
        <f t="shared" si="120"/>
        <v>32.913563113622843</v>
      </c>
      <c r="K251" s="76">
        <f t="shared" si="120"/>
        <v>33.158359137509535</v>
      </c>
      <c r="L251" s="76">
        <f>L248/141.8*3.6*1000</f>
        <v>33.403966255349403</v>
      </c>
      <c r="M251" s="76">
        <f t="shared" si="120"/>
        <v>33.650384467142423</v>
      </c>
      <c r="N251" s="869">
        <f t="shared" si="120"/>
        <v>33.897619825828563</v>
      </c>
      <c r="O251" s="76">
        <f t="shared" ref="O251:Z251" si="121">O248/141.8*3.6*1000</f>
        <v>34.145666278467864</v>
      </c>
      <c r="P251" s="386">
        <f t="shared" si="121"/>
        <v>34.394526851530301</v>
      </c>
      <c r="Q251" s="76">
        <f t="shared" si="121"/>
        <v>34.644201545015882</v>
      </c>
      <c r="R251" s="386">
        <f t="shared" si="121"/>
        <v>34.894687332454623</v>
      </c>
      <c r="S251" s="76">
        <f t="shared" si="121"/>
        <v>35.145990266786477</v>
      </c>
      <c r="T251" s="386">
        <f t="shared" si="121"/>
        <v>35.398104295071491</v>
      </c>
      <c r="U251" s="76">
        <f t="shared" si="121"/>
        <v>35.651032443779641</v>
      </c>
      <c r="V251" s="386">
        <f t="shared" si="121"/>
        <v>35.904771686440959</v>
      </c>
      <c r="W251" s="76">
        <f t="shared" si="121"/>
        <v>36.159325049525421</v>
      </c>
      <c r="X251" s="386">
        <f t="shared" si="121"/>
        <v>36.414695559502988</v>
      </c>
      <c r="Y251" s="76">
        <f t="shared" si="121"/>
        <v>36.670874136963754</v>
      </c>
      <c r="Z251" s="392">
        <f t="shared" si="121"/>
        <v>36.927869861317618</v>
      </c>
    </row>
    <row r="252" spans="2:32" ht="14.65" thickBot="1" x14ac:dyDescent="0.5">
      <c r="B252" s="17"/>
      <c r="C252" s="17"/>
      <c r="D252" s="1"/>
      <c r="E252" s="297"/>
      <c r="F252" s="1"/>
      <c r="G252" s="1"/>
      <c r="H252" s="1"/>
      <c r="I252" s="1"/>
      <c r="J252" s="1"/>
      <c r="K252" s="17"/>
      <c r="L252" s="17"/>
      <c r="M252" s="17"/>
      <c r="N252" s="844"/>
      <c r="O252" s="17"/>
      <c r="P252" s="17"/>
    </row>
    <row r="253" spans="2:32" ht="14.65" thickBot="1" x14ac:dyDescent="0.5">
      <c r="D253" s="44" t="s">
        <v>210</v>
      </c>
      <c r="E253" s="298"/>
      <c r="M253" s="17"/>
      <c r="N253" s="844"/>
      <c r="O253" s="17"/>
      <c r="P253" s="17"/>
    </row>
    <row r="254" spans="2:32" ht="14.65" thickBot="1" x14ac:dyDescent="0.5">
      <c r="E254" s="8" t="s">
        <v>25</v>
      </c>
      <c r="F254" s="33">
        <v>0</v>
      </c>
      <c r="G254" s="33">
        <v>10</v>
      </c>
      <c r="H254" s="131">
        <v>20</v>
      </c>
      <c r="I254" s="388">
        <v>30</v>
      </c>
      <c r="J254" s="385">
        <v>40</v>
      </c>
      <c r="K254" s="389">
        <v>50</v>
      </c>
      <c r="L254" s="389">
        <v>60</v>
      </c>
      <c r="M254" s="33">
        <v>70</v>
      </c>
      <c r="N254" s="865">
        <v>80</v>
      </c>
      <c r="O254" s="33">
        <v>90</v>
      </c>
      <c r="P254" s="131">
        <v>100</v>
      </c>
      <c r="Q254" s="33">
        <v>110</v>
      </c>
      <c r="R254" s="131">
        <v>120</v>
      </c>
      <c r="S254" s="33">
        <v>130</v>
      </c>
      <c r="T254" s="131">
        <v>140</v>
      </c>
      <c r="U254" s="33">
        <v>150</v>
      </c>
      <c r="V254" s="131">
        <v>160</v>
      </c>
      <c r="W254" s="33">
        <v>170</v>
      </c>
      <c r="X254" s="131">
        <v>180</v>
      </c>
      <c r="Y254" s="33">
        <v>190</v>
      </c>
      <c r="Z254" s="132">
        <v>200</v>
      </c>
    </row>
    <row r="255" spans="2:32" ht="15" customHeight="1" x14ac:dyDescent="0.45">
      <c r="B255" s="1225" t="s">
        <v>147</v>
      </c>
      <c r="C255" s="1222">
        <v>2035</v>
      </c>
      <c r="D255" s="148" t="s">
        <v>111</v>
      </c>
      <c r="E255" s="217" t="s">
        <v>33</v>
      </c>
      <c r="F255" s="61">
        <v>31.952487945556641</v>
      </c>
      <c r="G255" s="61">
        <v>32.000438690185547</v>
      </c>
      <c r="H255" s="55">
        <v>32.050460815429688</v>
      </c>
      <c r="I255" s="387">
        <v>32.564350128173828</v>
      </c>
      <c r="J255" s="379">
        <v>33.116565704345703</v>
      </c>
      <c r="K255" s="387">
        <v>33.71173095703125</v>
      </c>
      <c r="L255" s="387">
        <v>34.355255126953125</v>
      </c>
      <c r="M255" s="61">
        <v>35.053493499755859</v>
      </c>
      <c r="N255" s="866">
        <v>35.813961029052734</v>
      </c>
      <c r="O255" s="61">
        <v>36.645622253417969</v>
      </c>
      <c r="P255" s="55">
        <v>37.559238433837891</v>
      </c>
      <c r="Q255" s="61">
        <v>38.567874908447266</v>
      </c>
      <c r="R255" s="55">
        <v>39.687507629394531</v>
      </c>
      <c r="S255" s="61">
        <v>40.937919616699219</v>
      </c>
      <c r="T255" s="55">
        <v>42.343894958496094</v>
      </c>
      <c r="U255" s="61">
        <v>43.936893463134766</v>
      </c>
      <c r="V255" s="55">
        <v>45.757472991943359</v>
      </c>
      <c r="W255" s="61">
        <v>47.858833312988281</v>
      </c>
      <c r="X255" s="55">
        <v>50.312160491943359</v>
      </c>
      <c r="Y255" s="61">
        <v>53.214923858642578</v>
      </c>
      <c r="Z255" s="58">
        <v>56.492477416992188</v>
      </c>
    </row>
    <row r="256" spans="2:32" x14ac:dyDescent="0.45">
      <c r="B256" s="1227"/>
      <c r="C256" s="1223"/>
      <c r="D256" s="149" t="s">
        <v>109</v>
      </c>
      <c r="E256" s="125" t="s">
        <v>40</v>
      </c>
      <c r="F256" s="53">
        <v>2.0516252517700195</v>
      </c>
      <c r="G256" s="53">
        <v>2.054018497467041</v>
      </c>
      <c r="H256" s="56">
        <v>2.0565147399902344</v>
      </c>
      <c r="I256" s="53">
        <v>2.0821611881256104</v>
      </c>
      <c r="J256" s="56">
        <v>2.10971999168396</v>
      </c>
      <c r="K256" s="53">
        <v>2.1394224166870117</v>
      </c>
      <c r="L256" s="53">
        <v>2.1715383529663086</v>
      </c>
      <c r="M256" s="53">
        <v>2.2063846588134766</v>
      </c>
      <c r="N256" s="858">
        <v>2.2443366050720215</v>
      </c>
      <c r="O256" s="53">
        <v>2.2858414649963379</v>
      </c>
      <c r="P256" s="56">
        <v>2.3314366340637207</v>
      </c>
      <c r="Q256" s="53">
        <v>2.3817734718322754</v>
      </c>
      <c r="R256" s="56">
        <v>2.437650203704834</v>
      </c>
      <c r="S256" s="53">
        <v>2.5000534057617188</v>
      </c>
      <c r="T256" s="56">
        <v>2.5702202320098877</v>
      </c>
      <c r="U256" s="53">
        <v>2.6497204303741455</v>
      </c>
      <c r="V256" s="56">
        <v>2.7405784130096436</v>
      </c>
      <c r="W256" s="53">
        <v>2.8454492092132568</v>
      </c>
      <c r="X256" s="56">
        <v>2.9678852558135986</v>
      </c>
      <c r="Y256" s="53">
        <v>3.1127510070800781</v>
      </c>
      <c r="Z256" s="59">
        <v>3.2763209342956543</v>
      </c>
    </row>
    <row r="257" spans="1:30" ht="14.65" thickBot="1" x14ac:dyDescent="0.5">
      <c r="B257" s="1227"/>
      <c r="C257" s="1224"/>
      <c r="D257" s="150" t="s">
        <v>110</v>
      </c>
      <c r="E257" s="91" t="s">
        <v>40</v>
      </c>
      <c r="F257" s="76">
        <v>1.6150286197662354</v>
      </c>
      <c r="G257" s="76">
        <v>1.6169630289077759</v>
      </c>
      <c r="H257" s="386">
        <v>1.6190006732940674</v>
      </c>
      <c r="I257" s="76">
        <v>1.6441597938537598</v>
      </c>
      <c r="J257" s="386">
        <v>1.6712281703948975</v>
      </c>
      <c r="K257" s="76">
        <v>1.7004363536834717</v>
      </c>
      <c r="L257" s="76">
        <v>1.7320537567138672</v>
      </c>
      <c r="M257" s="9">
        <v>1.7663967609405518</v>
      </c>
      <c r="N257" s="867">
        <v>1.8038399219512939</v>
      </c>
      <c r="O257" s="9">
        <v>1.844829797744751</v>
      </c>
      <c r="P257" s="57">
        <v>1.8899028301239014</v>
      </c>
      <c r="Q257" s="9">
        <v>1.9397093057632446</v>
      </c>
      <c r="R257" s="57">
        <v>1.9950456619262695</v>
      </c>
      <c r="S257" s="9">
        <v>2.0568971633911133</v>
      </c>
      <c r="T257" s="57">
        <v>2.1264986991882324</v>
      </c>
      <c r="U257" s="9">
        <v>2.2054173946380615</v>
      </c>
      <c r="V257" s="57">
        <v>2.2956736087799072</v>
      </c>
      <c r="W257" s="9">
        <v>2.3999183177947998</v>
      </c>
      <c r="X257" s="57">
        <v>2.5216972827911377</v>
      </c>
      <c r="Y257" s="9">
        <v>2.6658663749694824</v>
      </c>
      <c r="Z257" s="60">
        <v>2.828704833984375</v>
      </c>
    </row>
    <row r="258" spans="1:30" ht="14.65" thickBot="1" x14ac:dyDescent="0.5">
      <c r="B258" s="1227"/>
      <c r="C258" s="212"/>
      <c r="D258" s="1"/>
      <c r="E258" s="339"/>
      <c r="F258" s="73"/>
      <c r="G258" s="73"/>
      <c r="H258" s="73"/>
      <c r="I258" s="73"/>
      <c r="J258" s="73"/>
      <c r="K258" s="73"/>
      <c r="L258" s="73"/>
      <c r="M258" s="56"/>
      <c r="N258" s="858"/>
      <c r="O258" s="56"/>
      <c r="P258" s="56"/>
      <c r="Q258" s="56"/>
      <c r="R258" s="56"/>
      <c r="S258" s="56"/>
      <c r="T258" s="56"/>
      <c r="U258" s="56"/>
      <c r="V258" s="56"/>
      <c r="W258" s="56"/>
      <c r="X258" s="56"/>
      <c r="Y258" s="56"/>
      <c r="Z258" s="56"/>
      <c r="AA258" s="25"/>
      <c r="AB258" s="25"/>
    </row>
    <row r="259" spans="1:30" ht="15" customHeight="1" x14ac:dyDescent="0.45">
      <c r="B259" s="1227"/>
      <c r="C259" s="1222">
        <v>2050</v>
      </c>
      <c r="D259" s="148" t="s">
        <v>111</v>
      </c>
      <c r="E259" s="217" t="s">
        <v>33</v>
      </c>
      <c r="F259" s="387">
        <v>29.047632217407227</v>
      </c>
      <c r="G259" s="387">
        <v>29.094396591186523</v>
      </c>
      <c r="H259" s="379">
        <v>29.143230438232422</v>
      </c>
      <c r="I259" s="387">
        <v>29.655935287475586</v>
      </c>
      <c r="J259" s="379">
        <v>30.206962585449219</v>
      </c>
      <c r="K259" s="387">
        <v>30.800941467285156</v>
      </c>
      <c r="L259" s="387">
        <v>31.443279266357422</v>
      </c>
      <c r="M259" s="61">
        <v>32.140331268310547</v>
      </c>
      <c r="N259" s="866">
        <v>32.899612426757813</v>
      </c>
      <c r="O259" s="61">
        <v>33.730083465576172</v>
      </c>
      <c r="P259" s="55">
        <v>34.642513275146484</v>
      </c>
      <c r="Q259" s="61">
        <v>35.64996337890625</v>
      </c>
      <c r="R259" s="55">
        <v>36.768405914306641</v>
      </c>
      <c r="S259" s="61">
        <v>38.017635345458984</v>
      </c>
      <c r="T259" s="55">
        <v>39.42242431640625</v>
      </c>
      <c r="U259" s="61">
        <v>41.014232635498047</v>
      </c>
      <c r="V259" s="55">
        <v>42.833625793457031</v>
      </c>
      <c r="W259" s="61">
        <v>44.933799743652344</v>
      </c>
      <c r="X259" s="55">
        <v>47.385940551757813</v>
      </c>
      <c r="Y259" s="61">
        <v>50.287517547607422</v>
      </c>
      <c r="Z259" s="58">
        <v>53.563884735107422</v>
      </c>
    </row>
    <row r="260" spans="1:30" x14ac:dyDescent="0.45">
      <c r="B260" s="1227"/>
      <c r="C260" s="1223"/>
      <c r="D260" s="149" t="s">
        <v>109</v>
      </c>
      <c r="E260" s="125" t="s">
        <v>40</v>
      </c>
      <c r="F260" s="75">
        <v>1.5356020927429199</v>
      </c>
      <c r="G260" s="75">
        <v>1.537738561630249</v>
      </c>
      <c r="H260" s="73">
        <v>1.5399696826934814</v>
      </c>
      <c r="I260" s="75">
        <v>1.5633929967880249</v>
      </c>
      <c r="J260" s="73">
        <v>1.5885671377182007</v>
      </c>
      <c r="K260" s="75">
        <v>1.6157035827636719</v>
      </c>
      <c r="L260" s="75">
        <v>1.6450494527816772</v>
      </c>
      <c r="M260" s="75">
        <v>1.6768947839736938</v>
      </c>
      <c r="N260" s="868">
        <v>1.711583137512207</v>
      </c>
      <c r="O260" s="53">
        <v>1.7495239973068237</v>
      </c>
      <c r="P260" s="56">
        <v>1.7912092208862305</v>
      </c>
      <c r="Q260" s="53">
        <v>1.8372353315353394</v>
      </c>
      <c r="R260" s="56">
        <v>1.8883324861526489</v>
      </c>
      <c r="S260" s="53">
        <v>1.9454045295715332</v>
      </c>
      <c r="T260" s="56">
        <v>2.0095834732055664</v>
      </c>
      <c r="U260" s="53">
        <v>2.0823068618774414</v>
      </c>
      <c r="V260" s="56">
        <v>2.1654272079467773</v>
      </c>
      <c r="W260" s="53">
        <v>2.2613756656646729</v>
      </c>
      <c r="X260" s="56">
        <v>2.373403787612915</v>
      </c>
      <c r="Y260" s="53">
        <v>2.5059647560119629</v>
      </c>
      <c r="Z260" s="59">
        <v>2.6556484699249268</v>
      </c>
    </row>
    <row r="261" spans="1:30" ht="14.65" thickBot="1" x14ac:dyDescent="0.5">
      <c r="B261" s="1226"/>
      <c r="C261" s="1224"/>
      <c r="D261" s="150" t="s">
        <v>110</v>
      </c>
      <c r="E261" s="91" t="s">
        <v>40</v>
      </c>
      <c r="F261" s="76">
        <v>1.1401833295822144</v>
      </c>
      <c r="G261" s="76">
        <v>1.1417880058288574</v>
      </c>
      <c r="H261" s="386">
        <v>1.1434869766235352</v>
      </c>
      <c r="I261" s="76">
        <v>1.1663558483123779</v>
      </c>
      <c r="J261" s="386">
        <v>1.1909726858139038</v>
      </c>
      <c r="K261" s="76">
        <v>1.2175487279891968</v>
      </c>
      <c r="L261" s="76">
        <v>1.2463306188583374</v>
      </c>
      <c r="M261" s="76">
        <v>1.2776080369949341</v>
      </c>
      <c r="N261" s="869">
        <v>1.3117239475250244</v>
      </c>
      <c r="O261" s="9">
        <v>1.3490872383117676</v>
      </c>
      <c r="P261" s="57">
        <v>1.3901888132095337</v>
      </c>
      <c r="Q261" s="9">
        <v>1.435624361038208</v>
      </c>
      <c r="R261" s="57">
        <v>1.4861229658126831</v>
      </c>
      <c r="S261" s="9">
        <v>1.5425869226455688</v>
      </c>
      <c r="T261" s="57">
        <v>1.6061464548110962</v>
      </c>
      <c r="U261" s="9">
        <v>1.6782366037368774</v>
      </c>
      <c r="V261" s="57">
        <v>1.7607074975967407</v>
      </c>
      <c r="W261" s="9">
        <v>1.8559857606887817</v>
      </c>
      <c r="X261" s="57">
        <v>1.9673181772232056</v>
      </c>
      <c r="Y261" s="9">
        <v>2.0991508960723877</v>
      </c>
      <c r="Z261" s="60">
        <v>2.2480769157409668</v>
      </c>
    </row>
    <row r="262" spans="1:30" ht="14.65" thickBot="1" x14ac:dyDescent="0.5">
      <c r="C262" s="215"/>
      <c r="D262" s="165"/>
      <c r="E262" s="18"/>
      <c r="F262" s="73"/>
      <c r="G262" s="73"/>
      <c r="H262" s="73"/>
      <c r="I262" s="73"/>
      <c r="J262" s="73"/>
      <c r="K262" s="73"/>
      <c r="L262" s="73"/>
      <c r="M262" s="73"/>
      <c r="N262" s="868"/>
      <c r="O262" s="56"/>
      <c r="P262" s="56"/>
      <c r="Q262" s="56"/>
      <c r="R262" s="56"/>
      <c r="S262" s="56"/>
      <c r="T262" s="56"/>
      <c r="U262" s="56"/>
      <c r="V262" s="56"/>
      <c r="W262" s="56"/>
      <c r="X262" s="56"/>
      <c r="Y262" s="56"/>
      <c r="Z262" s="56"/>
      <c r="AA262" s="25"/>
      <c r="AB262" s="25"/>
      <c r="AC262" s="25"/>
      <c r="AD262" s="25"/>
    </row>
    <row r="263" spans="1:30" ht="15" customHeight="1" x14ac:dyDescent="0.45">
      <c r="B263" s="1225" t="s">
        <v>80</v>
      </c>
      <c r="C263" s="1222">
        <v>2035</v>
      </c>
      <c r="D263" s="148" t="s">
        <v>111</v>
      </c>
      <c r="E263" s="217" t="s">
        <v>33</v>
      </c>
      <c r="F263" s="387">
        <v>45.565174102783203</v>
      </c>
      <c r="G263" s="387">
        <v>45.688983917236328</v>
      </c>
      <c r="H263" s="379">
        <v>45.812797546386719</v>
      </c>
      <c r="I263" s="387">
        <v>45.936614990234375</v>
      </c>
      <c r="J263" s="379">
        <v>46.060436248779297</v>
      </c>
      <c r="K263" s="387">
        <v>46.184261322021484</v>
      </c>
      <c r="L263" s="387">
        <v>46.308094024658203</v>
      </c>
      <c r="M263" s="387">
        <v>46.431926727294922</v>
      </c>
      <c r="N263" s="870">
        <v>46.555767059326172</v>
      </c>
      <c r="O263" s="61">
        <v>46.679607391357422</v>
      </c>
      <c r="P263" s="55">
        <v>46.803455352783203</v>
      </c>
      <c r="Q263" s="61">
        <v>46.92730712890625</v>
      </c>
      <c r="R263" s="55">
        <v>47.051162719726563</v>
      </c>
      <c r="S263" s="61">
        <v>47.175022125244141</v>
      </c>
      <c r="T263" s="55">
        <v>47.298885345458984</v>
      </c>
      <c r="U263" s="61">
        <v>47.422752380371094</v>
      </c>
      <c r="V263" s="55">
        <v>47.546623229980469</v>
      </c>
      <c r="W263" s="61">
        <v>47.670501708984375</v>
      </c>
      <c r="X263" s="55">
        <v>47.794380187988281</v>
      </c>
      <c r="Y263" s="61">
        <v>47.918266296386719</v>
      </c>
      <c r="Z263" s="58">
        <v>48.042156219482422</v>
      </c>
    </row>
    <row r="264" spans="1:30" x14ac:dyDescent="0.45">
      <c r="B264" s="1227"/>
      <c r="C264" s="1223"/>
      <c r="D264" s="149" t="s">
        <v>109</v>
      </c>
      <c r="E264" s="125" t="s">
        <v>40</v>
      </c>
      <c r="F264" s="75">
        <v>2.7309815883636475</v>
      </c>
      <c r="G264" s="75">
        <v>2.7371604442596436</v>
      </c>
      <c r="H264" s="73">
        <v>2.7433395385742188</v>
      </c>
      <c r="I264" s="75">
        <v>2.749518871307373</v>
      </c>
      <c r="J264" s="73">
        <v>2.7556982040405273</v>
      </c>
      <c r="K264" s="75">
        <v>2.7618780136108398</v>
      </c>
      <c r="L264" s="75">
        <v>2.7680578231811523</v>
      </c>
      <c r="M264" s="75">
        <v>2.7742378711700439</v>
      </c>
      <c r="N264" s="868">
        <v>2.7804181575775146</v>
      </c>
      <c r="O264" s="53">
        <v>2.7865986824035645</v>
      </c>
      <c r="P264" s="56">
        <v>2.7927794456481934</v>
      </c>
      <c r="Q264" s="53">
        <v>2.7989604473114014</v>
      </c>
      <c r="R264" s="56">
        <v>2.8051414489746094</v>
      </c>
      <c r="S264" s="53">
        <v>2.8113229274749756</v>
      </c>
      <c r="T264" s="56">
        <v>2.8175044059753418</v>
      </c>
      <c r="U264" s="53">
        <v>2.8236861228942871</v>
      </c>
      <c r="V264" s="56">
        <v>2.8298680782318115</v>
      </c>
      <c r="W264" s="53">
        <v>2.836050271987915</v>
      </c>
      <c r="X264" s="56">
        <v>2.8422327041625977</v>
      </c>
      <c r="Y264" s="53">
        <v>2.8484153747558594</v>
      </c>
      <c r="Z264" s="59">
        <v>2.8545980453491211</v>
      </c>
    </row>
    <row r="265" spans="1:30" ht="14.65" thickBot="1" x14ac:dyDescent="0.5">
      <c r="B265" s="1227"/>
      <c r="C265" s="1224"/>
      <c r="D265" s="150" t="s">
        <v>110</v>
      </c>
      <c r="E265" s="91" t="s">
        <v>40</v>
      </c>
      <c r="F265" s="9">
        <v>2.293595552444458</v>
      </c>
      <c r="G265" s="9">
        <v>2.299297571182251</v>
      </c>
      <c r="H265" s="57">
        <v>2.304999828338623</v>
      </c>
      <c r="I265" s="76">
        <v>2.3107020854949951</v>
      </c>
      <c r="J265" s="386">
        <v>2.3164043426513672</v>
      </c>
      <c r="K265" s="76">
        <v>2.3221065998077393</v>
      </c>
      <c r="L265" s="76">
        <v>2.3278088569641113</v>
      </c>
      <c r="M265" s="76">
        <v>2.3335111141204834</v>
      </c>
      <c r="N265" s="869">
        <v>2.3392133712768555</v>
      </c>
      <c r="O265" s="9">
        <v>2.3449156284332275</v>
      </c>
      <c r="P265" s="57">
        <v>2.3506176471710205</v>
      </c>
      <c r="Q265" s="9">
        <v>2.3563199043273926</v>
      </c>
      <c r="R265" s="57">
        <v>2.3620221614837646</v>
      </c>
      <c r="S265" s="9">
        <v>2.3677244186401367</v>
      </c>
      <c r="T265" s="57">
        <v>2.3734266757965088</v>
      </c>
      <c r="U265" s="9">
        <v>2.3791289329528809</v>
      </c>
      <c r="V265" s="57">
        <v>2.3848311901092529</v>
      </c>
      <c r="W265" s="9">
        <v>2.390533447265625</v>
      </c>
      <c r="X265" s="57">
        <v>2.3962357044219971</v>
      </c>
      <c r="Y265" s="9">
        <v>2.4019379615783691</v>
      </c>
      <c r="Z265" s="60">
        <v>2.4076399803161621</v>
      </c>
    </row>
    <row r="266" spans="1:30" ht="14.65" thickBot="1" x14ac:dyDescent="0.5">
      <c r="B266" s="1227"/>
      <c r="C266" s="212"/>
      <c r="D266" s="1"/>
      <c r="E266" s="339"/>
      <c r="F266" s="73"/>
      <c r="G266" s="73"/>
      <c r="H266" s="73"/>
      <c r="I266" s="73"/>
      <c r="J266" s="73"/>
      <c r="K266" s="73"/>
      <c r="L266" s="73"/>
      <c r="M266" s="73"/>
      <c r="N266" s="868"/>
      <c r="O266" s="56"/>
      <c r="P266" s="56"/>
      <c r="Q266" s="56"/>
      <c r="R266" s="56"/>
      <c r="S266" s="56"/>
      <c r="T266" s="56"/>
      <c r="U266" s="56"/>
      <c r="V266" s="56"/>
      <c r="W266" s="56"/>
      <c r="X266" s="56"/>
      <c r="Y266" s="56"/>
      <c r="Z266" s="56"/>
      <c r="AA266" s="25"/>
      <c r="AB266" s="25"/>
    </row>
    <row r="267" spans="1:30" ht="15" customHeight="1" x14ac:dyDescent="0.45">
      <c r="B267" s="1227"/>
      <c r="C267" s="1225">
        <v>2050</v>
      </c>
      <c r="D267" s="148" t="s">
        <v>111</v>
      </c>
      <c r="E267" s="217" t="s">
        <v>33</v>
      </c>
      <c r="F267" s="387">
        <v>32.139610290527344</v>
      </c>
      <c r="G267" s="387">
        <v>32.206516265869141</v>
      </c>
      <c r="H267" s="379">
        <v>32.273426055908203</v>
      </c>
      <c r="I267" s="387">
        <v>32.340339660644531</v>
      </c>
      <c r="J267" s="379">
        <v>32.407253265380859</v>
      </c>
      <c r="K267" s="387">
        <v>32.474166870117188</v>
      </c>
      <c r="L267" s="387">
        <v>32.541084289550781</v>
      </c>
      <c r="M267" s="387">
        <v>32.608005523681641</v>
      </c>
      <c r="N267" s="870">
        <v>32.6749267578125</v>
      </c>
      <c r="O267" s="61">
        <v>32.741851806640625</v>
      </c>
      <c r="P267" s="55">
        <v>32.80877685546875</v>
      </c>
      <c r="Q267" s="61">
        <v>32.875701904296875</v>
      </c>
      <c r="R267" s="55">
        <v>32.942630767822266</v>
      </c>
      <c r="S267" s="61">
        <v>33.009563446044922</v>
      </c>
      <c r="T267" s="55">
        <v>33.076496124267578</v>
      </c>
      <c r="U267" s="61">
        <v>33.1434326171875</v>
      </c>
      <c r="V267" s="55">
        <v>33.210369110107422</v>
      </c>
      <c r="W267" s="61">
        <v>33.277309417724609</v>
      </c>
      <c r="X267" s="55">
        <v>33.344249725341797</v>
      </c>
      <c r="Y267" s="61">
        <v>33.41119384765625</v>
      </c>
      <c r="Z267" s="58">
        <v>33.478137969970703</v>
      </c>
    </row>
    <row r="268" spans="1:30" x14ac:dyDescent="0.45">
      <c r="B268" s="1227"/>
      <c r="C268" s="1227"/>
      <c r="D268" s="149" t="s">
        <v>109</v>
      </c>
      <c r="E268" s="125" t="s">
        <v>40</v>
      </c>
      <c r="F268" s="75">
        <v>1.6768618822097778</v>
      </c>
      <c r="G268" s="75">
        <v>1.6799185276031494</v>
      </c>
      <c r="H268" s="73">
        <v>1.6829754114151001</v>
      </c>
      <c r="I268" s="75">
        <v>1.6860322952270508</v>
      </c>
      <c r="J268" s="73">
        <v>1.689089298248291</v>
      </c>
      <c r="K268" s="75">
        <v>1.6921464204788208</v>
      </c>
      <c r="L268" s="75">
        <v>1.6952036619186401</v>
      </c>
      <c r="M268" s="75">
        <v>1.6982609033584595</v>
      </c>
      <c r="N268" s="868">
        <v>1.7013182640075684</v>
      </c>
      <c r="O268" s="53">
        <v>1.7043757438659668</v>
      </c>
      <c r="P268" s="56">
        <v>1.7074333429336548</v>
      </c>
      <c r="Q268" s="53">
        <v>1.7104909420013428</v>
      </c>
      <c r="R268" s="56">
        <v>1.7135486602783203</v>
      </c>
      <c r="S268" s="53">
        <v>1.7166064977645874</v>
      </c>
      <c r="T268" s="56">
        <v>1.7196643352508545</v>
      </c>
      <c r="U268" s="53">
        <v>1.7227224111557007</v>
      </c>
      <c r="V268" s="56">
        <v>1.7257804870605469</v>
      </c>
      <c r="W268" s="53">
        <v>1.7288385629653931</v>
      </c>
      <c r="X268" s="56">
        <v>1.7318968772888184</v>
      </c>
      <c r="Y268" s="53">
        <v>1.7349551916122437</v>
      </c>
      <c r="Z268" s="59">
        <v>1.7380136251449585</v>
      </c>
    </row>
    <row r="269" spans="1:30" ht="14.65" thickBot="1" x14ac:dyDescent="0.5">
      <c r="B269" s="1226"/>
      <c r="C269" s="1226"/>
      <c r="D269" s="150" t="s">
        <v>110</v>
      </c>
      <c r="E269" s="91" t="s">
        <v>40</v>
      </c>
      <c r="F269" s="76">
        <v>1.2813018560409546</v>
      </c>
      <c r="G269" s="76">
        <v>1.2838230133056641</v>
      </c>
      <c r="H269" s="386">
        <v>1.2863441705703735</v>
      </c>
      <c r="I269" s="76">
        <v>1.288865327835083</v>
      </c>
      <c r="J269" s="386">
        <v>1.2913863658905029</v>
      </c>
      <c r="K269" s="76">
        <v>1.2939075231552124</v>
      </c>
      <c r="L269" s="76">
        <v>1.2964286804199219</v>
      </c>
      <c r="M269" s="76">
        <v>1.2989498376846313</v>
      </c>
      <c r="N269" s="869">
        <v>1.3014709949493408</v>
      </c>
      <c r="O269" s="9">
        <v>1.3039921522140503</v>
      </c>
      <c r="P269" s="57">
        <v>1.3065133094787598</v>
      </c>
      <c r="Q269" s="9">
        <v>1.3090344667434692</v>
      </c>
      <c r="R269" s="57">
        <v>1.3115556240081787</v>
      </c>
      <c r="S269" s="9">
        <v>1.3140767812728882</v>
      </c>
      <c r="T269" s="57">
        <v>1.3165979385375977</v>
      </c>
      <c r="U269" s="9">
        <v>1.3191189765930176</v>
      </c>
      <c r="V269" s="57">
        <v>1.3216401338577271</v>
      </c>
      <c r="W269" s="9">
        <v>1.3241612911224365</v>
      </c>
      <c r="X269" s="57">
        <v>1.326682448387146</v>
      </c>
      <c r="Y269" s="9">
        <v>1.3292036056518555</v>
      </c>
      <c r="Z269" s="60">
        <v>1.3317247629165649</v>
      </c>
    </row>
    <row r="270" spans="1:30" ht="14.65" thickBot="1" x14ac:dyDescent="0.5">
      <c r="B270" s="17"/>
      <c r="C270" s="17"/>
      <c r="M270" s="17"/>
      <c r="N270" s="844"/>
      <c r="O270" s="17"/>
      <c r="P270" s="17"/>
    </row>
    <row r="271" spans="1:30" s="992" customFormat="1" ht="14.65" thickBot="1" x14ac:dyDescent="0.5">
      <c r="B271" s="17"/>
      <c r="C271" s="17"/>
      <c r="D271" s="44" t="s">
        <v>432</v>
      </c>
      <c r="M271" s="17"/>
      <c r="N271" s="844"/>
      <c r="O271" s="17"/>
      <c r="P271" s="17"/>
    </row>
    <row r="272" spans="1:30" s="992" customFormat="1" ht="14.65" thickBot="1" x14ac:dyDescent="0.5">
      <c r="A272" s="1"/>
      <c r="B272" s="1"/>
      <c r="C272" s="1"/>
      <c r="D272" s="2"/>
      <c r="E272" s="1"/>
      <c r="F272" s="1"/>
      <c r="M272" s="17"/>
      <c r="N272" s="844"/>
      <c r="O272" s="17"/>
      <c r="P272" s="17"/>
    </row>
    <row r="273" spans="2:16" s="992" customFormat="1" ht="14.65" thickBot="1" x14ac:dyDescent="0.5">
      <c r="B273" s="17"/>
      <c r="C273" s="1228" t="s">
        <v>384</v>
      </c>
      <c r="D273" s="1231" t="s">
        <v>20</v>
      </c>
      <c r="E273" s="999" t="s">
        <v>435</v>
      </c>
      <c r="F273" s="486">
        <v>0.03</v>
      </c>
      <c r="G273" s="486">
        <v>3.5999999999999997E-2</v>
      </c>
      <c r="H273" s="486">
        <v>4.1999999999999996E-2</v>
      </c>
      <c r="I273" s="486">
        <v>4.8000000000000001E-2</v>
      </c>
      <c r="J273" s="486">
        <v>5.3999999999999999E-2</v>
      </c>
      <c r="K273" s="1047">
        <v>0.06</v>
      </c>
      <c r="L273" s="486">
        <v>6.6000000000000003E-2</v>
      </c>
      <c r="M273" s="486">
        <v>7.2000000000000008E-2</v>
      </c>
      <c r="N273" s="1045">
        <v>7.8E-2</v>
      </c>
      <c r="O273" s="1045">
        <v>8.3999999999999991E-2</v>
      </c>
      <c r="P273" s="1045">
        <v>0.09</v>
      </c>
    </row>
    <row r="274" spans="2:16" s="992" customFormat="1" ht="14.65" thickBot="1" x14ac:dyDescent="0.5">
      <c r="B274" s="17"/>
      <c r="C274" s="1229"/>
      <c r="D274" s="1232"/>
      <c r="E274" s="999" t="s">
        <v>434</v>
      </c>
      <c r="F274" s="1043">
        <v>24.117442926787731</v>
      </c>
      <c r="G274" s="1043">
        <v>25.461362879629828</v>
      </c>
      <c r="H274" s="1043">
        <v>26.867383185852958</v>
      </c>
      <c r="I274" s="1043">
        <v>28.334110649401801</v>
      </c>
      <c r="J274" s="1043">
        <v>29.859977944498958</v>
      </c>
      <c r="K274" s="1048">
        <v>31.443279476446275</v>
      </c>
      <c r="L274" s="1043">
        <v>33.082206333665759</v>
      </c>
      <c r="M274" s="1043">
        <v>34.774879450047109</v>
      </c>
      <c r="N274" s="1044">
        <v>36.519380285283177</v>
      </c>
      <c r="O274" s="1044">
        <v>38.313778522613894</v>
      </c>
      <c r="P274" s="1044">
        <v>40.156156466601693</v>
      </c>
    </row>
    <row r="275" spans="2:16" s="992" customFormat="1" ht="14.65" thickBot="1" x14ac:dyDescent="0.5">
      <c r="B275" s="17"/>
      <c r="C275" s="1229"/>
      <c r="D275" s="1233"/>
      <c r="E275" s="999" t="s">
        <v>437</v>
      </c>
      <c r="F275" s="568">
        <v>0.95131410325407384</v>
      </c>
      <c r="G275" s="568">
        <v>1.0055126748103835</v>
      </c>
      <c r="H275" s="568">
        <v>1.0621686459112707</v>
      </c>
      <c r="I275" s="568">
        <v>1.1212301844509904</v>
      </c>
      <c r="J275" s="568">
        <v>1.1826387876354962</v>
      </c>
      <c r="K275" s="1049">
        <v>1.2463306062607198</v>
      </c>
      <c r="L275" s="568">
        <v>1.3122377384338217</v>
      </c>
      <c r="M275" s="568">
        <v>1.380289460541795</v>
      </c>
      <c r="N275" s="1042">
        <v>1.450413370002489</v>
      </c>
      <c r="O275" s="1042">
        <v>1.5225364211964996</v>
      </c>
      <c r="P275" s="1042">
        <v>1.5965858425585608</v>
      </c>
    </row>
    <row r="276" spans="2:16" s="992" customFormat="1" ht="14.65" thickBot="1" x14ac:dyDescent="0.5">
      <c r="B276" s="17"/>
      <c r="C276" s="1229"/>
      <c r="D276" s="1231" t="s">
        <v>54</v>
      </c>
      <c r="E276" s="999" t="s">
        <v>433</v>
      </c>
      <c r="F276" s="1033">
        <v>2.1965894423004798E-2</v>
      </c>
      <c r="G276" s="1033">
        <v>2.6359073307605757E-2</v>
      </c>
      <c r="H276" s="1033">
        <v>3.0752252192206717E-2</v>
      </c>
      <c r="I276" s="1033">
        <v>3.5145431076807676E-2</v>
      </c>
      <c r="J276" s="1033">
        <v>3.9538609961408636E-2</v>
      </c>
      <c r="K276" s="1050">
        <v>4.3931788846009595E-2</v>
      </c>
      <c r="L276" s="1033">
        <v>4.8324967730610555E-2</v>
      </c>
      <c r="M276" s="1033">
        <v>5.2718146615211514E-2</v>
      </c>
      <c r="N276" s="1034">
        <v>5.7111325499812474E-2</v>
      </c>
      <c r="O276" s="1034">
        <v>6.1504504384413433E-2</v>
      </c>
      <c r="P276" s="1034">
        <v>6.5897683269014393E-2</v>
      </c>
    </row>
    <row r="277" spans="2:16" s="992" customFormat="1" ht="14.65" thickBot="1" x14ac:dyDescent="0.5">
      <c r="B277" s="17"/>
      <c r="C277" s="1229"/>
      <c r="D277" s="1232"/>
      <c r="E277" s="999" t="s">
        <v>434</v>
      </c>
      <c r="F277" s="1043">
        <v>27.262956917994504</v>
      </c>
      <c r="G277" s="1043">
        <v>28.099021429684861</v>
      </c>
      <c r="H277" s="1043">
        <v>28.935085941375213</v>
      </c>
      <c r="I277" s="1043">
        <v>29.77115045306557</v>
      </c>
      <c r="J277" s="1043">
        <v>30.607214964755922</v>
      </c>
      <c r="K277" s="1048">
        <v>31.443279476446275</v>
      </c>
      <c r="L277" s="1043">
        <v>32.279343988136631</v>
      </c>
      <c r="M277" s="1043">
        <v>33.115408499826984</v>
      </c>
      <c r="N277" s="1044">
        <v>33.951473011517336</v>
      </c>
      <c r="O277" s="1044">
        <v>34.787537523207696</v>
      </c>
      <c r="P277" s="1044">
        <v>35.623602034898049</v>
      </c>
    </row>
    <row r="278" spans="2:16" s="992" customFormat="1" ht="14.65" thickBot="1" x14ac:dyDescent="0.5">
      <c r="B278" s="17"/>
      <c r="C278" s="1229"/>
      <c r="D278" s="1233"/>
      <c r="E278" s="999" t="s">
        <v>437</v>
      </c>
      <c r="F278" s="1042">
        <v>1.1005793460689082</v>
      </c>
      <c r="G278" s="1042">
        <v>1.1301132052347092</v>
      </c>
      <c r="H278" s="1042">
        <v>1.1596470644005099</v>
      </c>
      <c r="I278" s="1042">
        <v>1.1891809235663107</v>
      </c>
      <c r="J278" s="1042">
        <v>1.2187147827321119</v>
      </c>
      <c r="K278" s="1049">
        <v>1.2482486418979128</v>
      </c>
      <c r="L278" s="1042">
        <v>1.2777825010637136</v>
      </c>
      <c r="M278" s="1042">
        <v>1.3073163602295146</v>
      </c>
      <c r="N278" s="1042">
        <v>1.3368502193953153</v>
      </c>
      <c r="O278" s="1042">
        <v>1.3663840785611165</v>
      </c>
      <c r="P278" s="1042">
        <v>1.3959179377269175</v>
      </c>
    </row>
    <row r="279" spans="2:16" s="992" customFormat="1" ht="14.65" thickBot="1" x14ac:dyDescent="0.5">
      <c r="B279" s="17"/>
      <c r="C279" s="1229"/>
      <c r="D279" s="1231" t="s">
        <v>112</v>
      </c>
      <c r="E279" s="999" t="s">
        <v>433</v>
      </c>
      <c r="F279" s="1035">
        <v>2.9796820124522267</v>
      </c>
      <c r="G279" s="1035">
        <v>3.5756184149426722</v>
      </c>
      <c r="H279" s="1035">
        <v>4.1715548174331172</v>
      </c>
      <c r="I279" s="1035">
        <v>4.7674912199235635</v>
      </c>
      <c r="J279" s="1035">
        <v>5.3634276224140081</v>
      </c>
      <c r="K279" s="1051">
        <v>5.9593640249044544</v>
      </c>
      <c r="L279" s="1035">
        <v>6.5553004273948989</v>
      </c>
      <c r="M279" s="1035">
        <v>7.1512368298853453</v>
      </c>
      <c r="N279" s="1036">
        <v>7.7471732323757898</v>
      </c>
      <c r="O279" s="1036">
        <v>8.3431096348662361</v>
      </c>
      <c r="P279" s="1036">
        <v>8.9390460373566807</v>
      </c>
    </row>
    <row r="280" spans="2:16" s="992" customFormat="1" ht="14.65" thickBot="1" x14ac:dyDescent="0.5">
      <c r="B280" s="17"/>
      <c r="C280" s="1229"/>
      <c r="D280" s="1232"/>
      <c r="E280" s="999" t="s">
        <v>434</v>
      </c>
      <c r="F280" s="1043">
        <v>28.687130430345974</v>
      </c>
      <c r="G280" s="1043">
        <v>29.238360239566035</v>
      </c>
      <c r="H280" s="1043">
        <v>29.789590048786096</v>
      </c>
      <c r="I280" s="1043">
        <v>30.340819858006164</v>
      </c>
      <c r="J280" s="1043">
        <v>30.892049667226225</v>
      </c>
      <c r="K280" s="1048">
        <v>31.443279476446275</v>
      </c>
      <c r="L280" s="1043">
        <v>31.994509285666346</v>
      </c>
      <c r="M280" s="1043">
        <v>32.5457390948864</v>
      </c>
      <c r="N280" s="1044">
        <v>33.096968904106461</v>
      </c>
      <c r="O280" s="1044">
        <v>33.648198713326529</v>
      </c>
      <c r="P280" s="1044">
        <v>34.199428522546583</v>
      </c>
    </row>
    <row r="281" spans="2:16" s="992" customFormat="1" ht="14.65" thickBot="1" x14ac:dyDescent="0.5">
      <c r="B281" s="17"/>
      <c r="C281" s="1229"/>
      <c r="D281" s="1232"/>
      <c r="E281" s="999" t="s">
        <v>437</v>
      </c>
      <c r="F281" s="568">
        <v>1.1205544461066899</v>
      </c>
      <c r="G281" s="568">
        <v>1.1457096781374958</v>
      </c>
      <c r="H281" s="568">
        <v>1.170864910168302</v>
      </c>
      <c r="I281" s="568">
        <v>1.1960201421991081</v>
      </c>
      <c r="J281" s="568">
        <v>1.2211753742299138</v>
      </c>
      <c r="K281" s="1049">
        <v>1.2463306062607198</v>
      </c>
      <c r="L281" s="568">
        <v>1.2714858382915262</v>
      </c>
      <c r="M281" s="568">
        <v>1.2966410703223321</v>
      </c>
      <c r="N281" s="1042">
        <v>1.3217963023531381</v>
      </c>
      <c r="O281" s="1042">
        <v>1.3469515343839442</v>
      </c>
      <c r="P281" s="1042">
        <v>1.3721067664147502</v>
      </c>
    </row>
    <row r="282" spans="2:16" s="992" customFormat="1" ht="14.65" thickBot="1" x14ac:dyDescent="0.5">
      <c r="B282" s="17"/>
      <c r="C282" s="1229"/>
      <c r="D282" s="1231" t="s">
        <v>438</v>
      </c>
      <c r="E282" s="999" t="s">
        <v>433</v>
      </c>
      <c r="F282" s="1055">
        <v>0.5</v>
      </c>
      <c r="G282" s="1055">
        <v>0.53</v>
      </c>
      <c r="H282" s="1055">
        <v>0.56000000000000005</v>
      </c>
      <c r="I282" s="1055">
        <v>0.59000000000000008</v>
      </c>
      <c r="J282" s="1055">
        <v>0.62</v>
      </c>
      <c r="K282" s="1056">
        <v>0.65</v>
      </c>
      <c r="L282" s="1055">
        <v>0.68</v>
      </c>
      <c r="M282" s="1055">
        <v>0.71000000000000008</v>
      </c>
      <c r="N282" s="935">
        <v>0.74</v>
      </c>
      <c r="O282" s="935">
        <v>0.77</v>
      </c>
      <c r="P282" s="935">
        <v>0.8</v>
      </c>
    </row>
    <row r="283" spans="2:16" s="992" customFormat="1" ht="14.65" thickBot="1" x14ac:dyDescent="0.5">
      <c r="B283" s="17"/>
      <c r="C283" s="1229"/>
      <c r="D283" s="1232"/>
      <c r="E283" s="999" t="s">
        <v>434</v>
      </c>
      <c r="F283" s="1043">
        <v>40.876263319380165</v>
      </c>
      <c r="G283" s="1043">
        <v>38.562512565452977</v>
      </c>
      <c r="H283" s="1043">
        <v>36.496663678018002</v>
      </c>
      <c r="I283" s="1043">
        <v>34.640901118118776</v>
      </c>
      <c r="J283" s="1043">
        <v>32.964728483371097</v>
      </c>
      <c r="K283" s="1048">
        <v>31.443279476446275</v>
      </c>
      <c r="L283" s="1043">
        <v>30.056075970132472</v>
      </c>
      <c r="M283" s="1043">
        <v>28.786100929140957</v>
      </c>
      <c r="N283" s="1044">
        <v>27.619096837419029</v>
      </c>
      <c r="O283" s="1044">
        <v>26.543028129467636</v>
      </c>
      <c r="P283" s="1044">
        <v>25.5476645746126</v>
      </c>
    </row>
    <row r="284" spans="2:16" s="992" customFormat="1" ht="14.65" thickBot="1" x14ac:dyDescent="0.5">
      <c r="B284" s="17"/>
      <c r="C284" s="1229"/>
      <c r="D284" s="1233"/>
      <c r="E284" s="999" t="s">
        <v>437</v>
      </c>
      <c r="F284" s="568">
        <v>1.620229788138936</v>
      </c>
      <c r="G284" s="568">
        <v>1.5285186680556</v>
      </c>
      <c r="H284" s="568">
        <v>1.4466337394097644</v>
      </c>
      <c r="I284" s="568">
        <v>1.3730760916431657</v>
      </c>
      <c r="J284" s="568">
        <v>1.3066369259184967</v>
      </c>
      <c r="K284" s="1049">
        <v>1.2463306062607198</v>
      </c>
      <c r="L284" s="568">
        <v>1.1913454324550998</v>
      </c>
      <c r="M284" s="568">
        <v>1.1410068930555888</v>
      </c>
      <c r="N284" s="1042">
        <v>1.0947498568506324</v>
      </c>
      <c r="O284" s="1042">
        <v>1.0520972650252831</v>
      </c>
      <c r="P284" s="1042">
        <v>1.0126436175868352</v>
      </c>
    </row>
    <row r="285" spans="2:16" s="992" customFormat="1" ht="14.65" thickBot="1" x14ac:dyDescent="0.5">
      <c r="B285" s="17"/>
      <c r="C285" s="1229"/>
      <c r="D285" s="1231" t="s">
        <v>426</v>
      </c>
      <c r="E285" s="999" t="s">
        <v>433</v>
      </c>
      <c r="F285" s="1052">
        <v>6.9511665444537156</v>
      </c>
      <c r="G285" s="1052">
        <v>8.3413998533444591</v>
      </c>
      <c r="H285" s="1052">
        <v>9.7316331622352017</v>
      </c>
      <c r="I285" s="1052">
        <v>11.121866471125944</v>
      </c>
      <c r="J285" s="1052">
        <v>12.512099780016687</v>
      </c>
      <c r="K285" s="1053">
        <v>13.902333088907429</v>
      </c>
      <c r="L285" s="1052">
        <v>15.292566397798176</v>
      </c>
      <c r="M285" s="1052">
        <v>16.682799706688918</v>
      </c>
      <c r="N285" s="1054">
        <v>18.073033015579661</v>
      </c>
      <c r="O285" s="1054">
        <v>19.463266324470403</v>
      </c>
      <c r="P285" s="1054">
        <v>20.853499633361146</v>
      </c>
    </row>
    <row r="286" spans="2:16" s="992" customFormat="1" ht="14.65" thickBot="1" x14ac:dyDescent="0.5">
      <c r="B286" s="17"/>
      <c r="C286" s="1229"/>
      <c r="D286" s="1232"/>
      <c r="E286" s="999" t="s">
        <v>434</v>
      </c>
      <c r="F286" s="1043">
        <v>26.728436425370447</v>
      </c>
      <c r="G286" s="1043">
        <v>27.671405035585618</v>
      </c>
      <c r="H286" s="1043">
        <v>28.614373645800782</v>
      </c>
      <c r="I286" s="1043">
        <v>29.557342256015943</v>
      </c>
      <c r="J286" s="1043">
        <v>30.500310866231114</v>
      </c>
      <c r="K286" s="1048">
        <v>31.443279476446275</v>
      </c>
      <c r="L286" s="1043">
        <v>32.386248086661446</v>
      </c>
      <c r="M286" s="1043">
        <v>33.329216696876607</v>
      </c>
      <c r="N286" s="1044">
        <v>34.272185307091775</v>
      </c>
      <c r="O286" s="1044">
        <v>35.215153917306942</v>
      </c>
      <c r="P286" s="1044">
        <v>36.158122527522103</v>
      </c>
    </row>
    <row r="287" spans="2:16" s="992" customFormat="1" ht="14.65" thickBot="1" x14ac:dyDescent="0.5">
      <c r="B287" s="17"/>
      <c r="C287" s="1230"/>
      <c r="D287" s="1233"/>
      <c r="E287" s="999" t="s">
        <v>437</v>
      </c>
      <c r="F287" s="568">
        <v>1.0311699437659647</v>
      </c>
      <c r="G287" s="568">
        <v>1.0742020762649158</v>
      </c>
      <c r="H287" s="568">
        <v>1.1172342087638667</v>
      </c>
      <c r="I287" s="568">
        <v>1.160266341262818</v>
      </c>
      <c r="J287" s="568">
        <v>1.2032984737617689</v>
      </c>
      <c r="K287" s="1049">
        <v>1.2463306062607198</v>
      </c>
      <c r="L287" s="568">
        <v>1.2893627387596709</v>
      </c>
      <c r="M287" s="568">
        <v>1.332394871258622</v>
      </c>
      <c r="N287" s="1042">
        <v>1.3754270037575729</v>
      </c>
      <c r="O287" s="1042">
        <v>1.418459136256524</v>
      </c>
      <c r="P287" s="1042">
        <v>1.4614912687554749</v>
      </c>
    </row>
    <row r="288" spans="2:16" s="992" customFormat="1" ht="14.65" thickBot="1" x14ac:dyDescent="0.5">
      <c r="B288" s="17"/>
      <c r="C288" s="17"/>
      <c r="D288" s="1040"/>
      <c r="F288" s="56"/>
      <c r="G288" s="56"/>
      <c r="H288" s="56"/>
      <c r="I288" s="56"/>
      <c r="J288" s="56"/>
      <c r="K288" s="56"/>
      <c r="L288" s="56"/>
      <c r="M288" s="56"/>
      <c r="N288" s="73"/>
      <c r="O288" s="73"/>
      <c r="P288" s="73"/>
    </row>
    <row r="289" spans="2:16" s="992" customFormat="1" ht="14.65" thickBot="1" x14ac:dyDescent="0.5">
      <c r="B289" s="17"/>
      <c r="C289" s="1228" t="s">
        <v>80</v>
      </c>
      <c r="D289" s="1231" t="s">
        <v>20</v>
      </c>
      <c r="E289" s="999" t="s">
        <v>435</v>
      </c>
      <c r="F289" s="486">
        <v>0.03</v>
      </c>
      <c r="G289" s="486">
        <v>3.5999999999999997E-2</v>
      </c>
      <c r="H289" s="486">
        <v>4.1999999999999996E-2</v>
      </c>
      <c r="I289" s="486">
        <v>4.8000000000000001E-2</v>
      </c>
      <c r="J289" s="486">
        <v>5.3999999999999999E-2</v>
      </c>
      <c r="K289" s="1047">
        <v>0.06</v>
      </c>
      <c r="L289" s="486">
        <v>6.6000000000000003E-2</v>
      </c>
      <c r="M289" s="486">
        <v>7.2000000000000008E-2</v>
      </c>
      <c r="N289" s="1045">
        <v>7.8E-2</v>
      </c>
      <c r="O289" s="1045">
        <v>8.3999999999999991E-2</v>
      </c>
      <c r="P289" s="1045">
        <v>0.09</v>
      </c>
    </row>
    <row r="290" spans="2:16" s="992" customFormat="1" ht="14.65" thickBot="1" x14ac:dyDescent="0.5">
      <c r="B290" s="17"/>
      <c r="C290" s="1229"/>
      <c r="D290" s="1232"/>
      <c r="E290" s="999" t="s">
        <v>434</v>
      </c>
      <c r="F290" s="1043">
        <v>25.028910947974676</v>
      </c>
      <c r="G290" s="1043">
        <v>26.407014515593492</v>
      </c>
      <c r="H290" s="1043">
        <v>27.848798005787902</v>
      </c>
      <c r="I290" s="1043">
        <v>29.352832785513083</v>
      </c>
      <c r="J290" s="1043">
        <v>30.917511662881711</v>
      </c>
      <c r="K290" s="1048">
        <v>32.541085660111662</v>
      </c>
      <c r="L290" s="1043">
        <v>34.221699854598448</v>
      </c>
      <c r="M290" s="1043">
        <v>35.957427384772025</v>
      </c>
      <c r="N290" s="1044">
        <v>37.746300910809538</v>
      </c>
      <c r="O290" s="1044">
        <v>39.586341016892341</v>
      </c>
      <c r="P290" s="1044">
        <v>41.475581229557086</v>
      </c>
    </row>
    <row r="291" spans="2:16" s="992" customFormat="1" ht="14.65" thickBot="1" x14ac:dyDescent="0.5">
      <c r="B291" s="17"/>
      <c r="C291" s="1229"/>
      <c r="D291" s="1233"/>
      <c r="E291" s="999" t="s">
        <v>437</v>
      </c>
      <c r="F291" s="568">
        <v>0.992908714391049</v>
      </c>
      <c r="G291" s="568">
        <v>1.0486672465064155</v>
      </c>
      <c r="H291" s="568">
        <v>1.1069552614044822</v>
      </c>
      <c r="I291" s="568">
        <v>1.167719309821508</v>
      </c>
      <c r="J291" s="568">
        <v>1.2308990696836664</v>
      </c>
      <c r="K291" s="1049">
        <v>1.2964287120108966</v>
      </c>
      <c r="L291" s="568">
        <v>1.3642382352088769</v>
      </c>
      <c r="M291" s="568">
        <v>1.4342547345309598</v>
      </c>
      <c r="N291" s="1042">
        <v>1.5064035804415181</v>
      </c>
      <c r="O291" s="1042">
        <v>1.5806094866981077</v>
      </c>
      <c r="P291" s="1042">
        <v>1.6567974557626717</v>
      </c>
    </row>
    <row r="292" spans="2:16" s="992" customFormat="1" ht="14.65" thickBot="1" x14ac:dyDescent="0.5">
      <c r="B292" s="17"/>
      <c r="C292" s="1229"/>
      <c r="D292" s="1231" t="s">
        <v>54</v>
      </c>
      <c r="E292" s="999" t="s">
        <v>433</v>
      </c>
      <c r="F292" s="1033">
        <v>2.0026968159177264E-2</v>
      </c>
      <c r="G292" s="1033">
        <v>2.4032361791012716E-2</v>
      </c>
      <c r="H292" s="1033">
        <v>2.8037755422848171E-2</v>
      </c>
      <c r="I292" s="1033">
        <v>3.2043149054683626E-2</v>
      </c>
      <c r="J292" s="1033">
        <v>3.6048542686519081E-2</v>
      </c>
      <c r="K292" s="1050">
        <v>4.0053936318354535E-2</v>
      </c>
      <c r="L292" s="1033">
        <v>4.4059329950189983E-2</v>
      </c>
      <c r="M292" s="1033">
        <v>4.8064723582025431E-2</v>
      </c>
      <c r="N292" s="1034">
        <v>5.2070117213860886E-2</v>
      </c>
      <c r="O292" s="1034">
        <v>5.6075510845696341E-2</v>
      </c>
      <c r="P292" s="1034">
        <v>6.0080904477531796E-2</v>
      </c>
    </row>
    <row r="293" spans="2:16" s="992" customFormat="1" ht="14.65" thickBot="1" x14ac:dyDescent="0.5">
      <c r="B293" s="17"/>
      <c r="C293" s="1229"/>
      <c r="D293" s="1232"/>
      <c r="E293" s="999" t="s">
        <v>434</v>
      </c>
      <c r="F293" s="1043">
        <v>28.10598647901514</v>
      </c>
      <c r="G293" s="1043">
        <v>28.993006315234439</v>
      </c>
      <c r="H293" s="1043">
        <v>29.880026151453745</v>
      </c>
      <c r="I293" s="1043">
        <v>30.767045987673047</v>
      </c>
      <c r="J293" s="1043">
        <v>31.654065823892349</v>
      </c>
      <c r="K293" s="1048">
        <v>32.541085660111662</v>
      </c>
      <c r="L293" s="1043">
        <v>33.428105496330964</v>
      </c>
      <c r="M293" s="1043">
        <v>34.315125332550267</v>
      </c>
      <c r="N293" s="1044">
        <v>35.202145168769569</v>
      </c>
      <c r="O293" s="1044">
        <v>36.089165004988871</v>
      </c>
      <c r="P293" s="1044">
        <v>36.976184841208173</v>
      </c>
    </row>
    <row r="294" spans="2:16" s="992" customFormat="1" ht="14.65" thickBot="1" x14ac:dyDescent="0.5">
      <c r="B294" s="17"/>
      <c r="C294" s="1229"/>
      <c r="D294" s="1233"/>
      <c r="E294" s="999" t="s">
        <v>437</v>
      </c>
      <c r="F294" s="1042">
        <v>1.1382313055998474</v>
      </c>
      <c r="G294" s="1042">
        <v>1.1698827950211252</v>
      </c>
      <c r="H294" s="1042">
        <v>1.2015342844424028</v>
      </c>
      <c r="I294" s="1042">
        <v>1.2331857738636804</v>
      </c>
      <c r="J294" s="1042">
        <v>1.264837263284958</v>
      </c>
      <c r="K294" s="1049">
        <v>1.2964887527062359</v>
      </c>
      <c r="L294" s="1042">
        <v>1.3281402421275135</v>
      </c>
      <c r="M294" s="1042">
        <v>1.3597917315487908</v>
      </c>
      <c r="N294" s="1042">
        <v>1.3914432209700685</v>
      </c>
      <c r="O294" s="1042">
        <v>1.4230947103913461</v>
      </c>
      <c r="P294" s="1042">
        <v>1.4547461998126237</v>
      </c>
    </row>
    <row r="295" spans="2:16" s="992" customFormat="1" ht="14.65" thickBot="1" x14ac:dyDescent="0.5">
      <c r="B295" s="17"/>
      <c r="C295" s="1229"/>
      <c r="D295" s="1231" t="s">
        <v>112</v>
      </c>
      <c r="E295" s="999" t="s">
        <v>433</v>
      </c>
      <c r="F295" s="1035">
        <v>4.4303801017914193</v>
      </c>
      <c r="G295" s="1035">
        <v>5.3164561221497033</v>
      </c>
      <c r="H295" s="1035">
        <v>6.2025321425079873</v>
      </c>
      <c r="I295" s="1035">
        <v>7.0886081628662705</v>
      </c>
      <c r="J295" s="1035">
        <v>7.9746841832245545</v>
      </c>
      <c r="K295" s="1051">
        <v>8.8607602035828386</v>
      </c>
      <c r="L295" s="1035">
        <v>9.7468362239411217</v>
      </c>
      <c r="M295" s="1035">
        <v>10.632912244299405</v>
      </c>
      <c r="N295" s="1036">
        <v>11.51898826465769</v>
      </c>
      <c r="O295" s="1036">
        <v>12.405064285015975</v>
      </c>
      <c r="P295" s="1036">
        <v>13.291140305374258</v>
      </c>
    </row>
    <row r="296" spans="2:16" s="992" customFormat="1" ht="14.65" thickBot="1" x14ac:dyDescent="0.5">
      <c r="B296" s="17"/>
      <c r="C296" s="1229"/>
      <c r="D296" s="1232"/>
      <c r="E296" s="999" t="s">
        <v>434</v>
      </c>
      <c r="F296" s="1043">
        <v>28.443068542719683</v>
      </c>
      <c r="G296" s="1043">
        <v>29.262671966198081</v>
      </c>
      <c r="H296" s="1043">
        <v>30.082275389676475</v>
      </c>
      <c r="I296" s="1043">
        <v>30.901878813154866</v>
      </c>
      <c r="J296" s="1043">
        <v>31.721482236633264</v>
      </c>
      <c r="K296" s="1048">
        <v>32.541085660111662</v>
      </c>
      <c r="L296" s="1043">
        <v>33.360689083590053</v>
      </c>
      <c r="M296" s="1043">
        <v>34.180292507068451</v>
      </c>
      <c r="N296" s="1044">
        <v>34.999895930546849</v>
      </c>
      <c r="O296" s="1044">
        <v>35.81949935402524</v>
      </c>
      <c r="P296" s="1044">
        <v>36.639102777503638</v>
      </c>
    </row>
    <row r="297" spans="2:16" s="992" customFormat="1" ht="14.65" thickBot="1" x14ac:dyDescent="0.5">
      <c r="B297" s="17"/>
      <c r="C297" s="1229"/>
      <c r="D297" s="1232"/>
      <c r="E297" s="999" t="s">
        <v>437</v>
      </c>
      <c r="F297" s="568">
        <v>1.1094167439896681</v>
      </c>
      <c r="G297" s="568">
        <v>1.1468191375939139</v>
      </c>
      <c r="H297" s="568">
        <v>1.1842215311981594</v>
      </c>
      <c r="I297" s="568">
        <v>1.2216239248024052</v>
      </c>
      <c r="J297" s="568">
        <v>1.2590263184066508</v>
      </c>
      <c r="K297" s="1049">
        <v>1.2964287120108966</v>
      </c>
      <c r="L297" s="568">
        <v>1.3338311056151422</v>
      </c>
      <c r="M297" s="568">
        <v>1.371233499219388</v>
      </c>
      <c r="N297" s="1042">
        <v>1.4086358928236336</v>
      </c>
      <c r="O297" s="1042">
        <v>1.4460382864278798</v>
      </c>
      <c r="P297" s="1042">
        <v>1.4834406800321251</v>
      </c>
    </row>
    <row r="298" spans="2:16" s="992" customFormat="1" ht="14.65" thickBot="1" x14ac:dyDescent="0.5">
      <c r="B298" s="17"/>
      <c r="C298" s="1229"/>
      <c r="D298" s="1231" t="s">
        <v>438</v>
      </c>
      <c r="E298" s="999" t="s">
        <v>433</v>
      </c>
      <c r="F298" s="1055">
        <v>0.5</v>
      </c>
      <c r="G298" s="1055">
        <v>0.53</v>
      </c>
      <c r="H298" s="1055">
        <v>0.56000000000000005</v>
      </c>
      <c r="I298" s="1055">
        <v>0.59000000000000008</v>
      </c>
      <c r="J298" s="1055">
        <v>0.62</v>
      </c>
      <c r="K298" s="1056">
        <v>0.65</v>
      </c>
      <c r="L298" s="1055">
        <v>0.68</v>
      </c>
      <c r="M298" s="1055">
        <v>0.71000000000000008</v>
      </c>
      <c r="N298" s="935">
        <v>0.74</v>
      </c>
      <c r="O298" s="935">
        <v>0.77</v>
      </c>
      <c r="P298" s="935">
        <v>0.8</v>
      </c>
    </row>
    <row r="299" spans="2:16" s="992" customFormat="1" ht="14.65" thickBot="1" x14ac:dyDescent="0.5">
      <c r="B299" s="17"/>
      <c r="C299" s="1229"/>
      <c r="D299" s="1232"/>
      <c r="E299" s="999" t="s">
        <v>434</v>
      </c>
      <c r="F299" s="1043">
        <v>42.303411358145155</v>
      </c>
      <c r="G299" s="1043">
        <v>39.908878639759578</v>
      </c>
      <c r="H299" s="1043">
        <v>37.770902998343892</v>
      </c>
      <c r="I299" s="1043">
        <v>35.850348608597585</v>
      </c>
      <c r="J299" s="1043">
        <v>34.115654321084804</v>
      </c>
      <c r="K299" s="1048">
        <v>32.541085660111662</v>
      </c>
      <c r="L299" s="1043">
        <v>31.10544952804791</v>
      </c>
      <c r="M299" s="1043">
        <v>29.791134759257151</v>
      </c>
      <c r="N299" s="1044">
        <v>28.58338605280078</v>
      </c>
      <c r="O299" s="1044">
        <v>27.469747635159194</v>
      </c>
      <c r="P299" s="1044">
        <v>26.439632098840722</v>
      </c>
    </row>
    <row r="300" spans="2:16" s="992" customFormat="1" ht="14.65" thickBot="1" x14ac:dyDescent="0.5">
      <c r="B300" s="17"/>
      <c r="C300" s="1229"/>
      <c r="D300" s="1233"/>
      <c r="E300" s="999" t="s">
        <v>437</v>
      </c>
      <c r="F300" s="568">
        <v>1.6853573256141654</v>
      </c>
      <c r="G300" s="568">
        <v>1.5899597411454391</v>
      </c>
      <c r="H300" s="568">
        <v>1.5047833264412189</v>
      </c>
      <c r="I300" s="568">
        <v>1.4282689200120042</v>
      </c>
      <c r="J300" s="568">
        <v>1.3591591335598108</v>
      </c>
      <c r="K300" s="1049">
        <v>1.2964287120108966</v>
      </c>
      <c r="L300" s="568">
        <v>1.2392333276574745</v>
      </c>
      <c r="M300" s="568">
        <v>1.1868713560663136</v>
      </c>
      <c r="N300" s="1042">
        <v>1.1387549497393008</v>
      </c>
      <c r="O300" s="1042">
        <v>1.0943878737754322</v>
      </c>
      <c r="P300" s="1042">
        <v>1.0533483285088532</v>
      </c>
    </row>
    <row r="301" spans="2:16" s="992" customFormat="1" ht="14.65" thickBot="1" x14ac:dyDescent="0.5">
      <c r="B301" s="17"/>
      <c r="C301" s="1229"/>
      <c r="D301" s="1231" t="s">
        <v>426</v>
      </c>
      <c r="E301" s="999" t="s">
        <v>433</v>
      </c>
      <c r="F301" s="1052">
        <v>5.7663883344557387</v>
      </c>
      <c r="G301" s="1052">
        <v>6.9196660013468865</v>
      </c>
      <c r="H301" s="1052">
        <v>8.0729436682380342</v>
      </c>
      <c r="I301" s="1052">
        <v>9.226221335129182</v>
      </c>
      <c r="J301" s="1052">
        <v>10.379499002020328</v>
      </c>
      <c r="K301" s="1053">
        <v>11.532776668911477</v>
      </c>
      <c r="L301" s="1052">
        <v>12.686054335802623</v>
      </c>
      <c r="M301" s="1052">
        <v>13.839332002693771</v>
      </c>
      <c r="N301" s="1054">
        <v>14.992609669584919</v>
      </c>
      <c r="O301" s="1054">
        <v>16.145887336476065</v>
      </c>
      <c r="P301" s="1054">
        <v>17.299165003367214</v>
      </c>
    </row>
    <row r="302" spans="2:16" s="992" customFormat="1" ht="14.65" thickBot="1" x14ac:dyDescent="0.5">
      <c r="B302" s="17"/>
      <c r="C302" s="1229"/>
      <c r="D302" s="1232"/>
      <c r="E302" s="999" t="s">
        <v>434</v>
      </c>
      <c r="F302" s="1043">
        <v>28.629854963127976</v>
      </c>
      <c r="G302" s="1043">
        <v>29.412101102524716</v>
      </c>
      <c r="H302" s="1043">
        <v>30.194347241921449</v>
      </c>
      <c r="I302" s="1043">
        <v>30.976593381318185</v>
      </c>
      <c r="J302" s="1043">
        <v>31.758839520714918</v>
      </c>
      <c r="K302" s="1048">
        <v>32.541085660111662</v>
      </c>
      <c r="L302" s="1043">
        <v>33.323331799508395</v>
      </c>
      <c r="M302" s="1043">
        <v>34.105577938905128</v>
      </c>
      <c r="N302" s="1044">
        <v>34.887824078301861</v>
      </c>
      <c r="O302" s="1044">
        <v>35.670070217698601</v>
      </c>
      <c r="P302" s="1044">
        <v>36.452316357095327</v>
      </c>
    </row>
    <row r="303" spans="2:16" s="992" customFormat="1" ht="14.65" thickBot="1" x14ac:dyDescent="0.5">
      <c r="B303" s="17"/>
      <c r="C303" s="1230"/>
      <c r="D303" s="1233"/>
      <c r="E303" s="999" t="s">
        <v>437</v>
      </c>
      <c r="F303" s="568">
        <v>1.1179406947393968</v>
      </c>
      <c r="G303" s="568">
        <v>1.1536382981936968</v>
      </c>
      <c r="H303" s="568">
        <v>1.189335901647997</v>
      </c>
      <c r="I303" s="568">
        <v>1.2250335051022967</v>
      </c>
      <c r="J303" s="568">
        <v>1.2607311085565966</v>
      </c>
      <c r="K303" s="1049">
        <v>1.2964287120108966</v>
      </c>
      <c r="L303" s="568">
        <v>1.3321263154651963</v>
      </c>
      <c r="M303" s="568">
        <v>1.3678239189194963</v>
      </c>
      <c r="N303" s="1042">
        <v>1.4035215223737962</v>
      </c>
      <c r="O303" s="1042">
        <v>1.4392191258280962</v>
      </c>
      <c r="P303" s="1042">
        <v>1.4749167292823959</v>
      </c>
    </row>
    <row r="304" spans="2:16" s="992" customFormat="1" ht="14.65" thickBot="1" x14ac:dyDescent="0.5">
      <c r="B304" s="17"/>
      <c r="C304" s="17"/>
      <c r="M304" s="17"/>
      <c r="N304" s="844"/>
      <c r="O304" s="17"/>
      <c r="P304" s="17"/>
    </row>
    <row r="305" spans="2:16" ht="14.65" thickBot="1" x14ac:dyDescent="0.5">
      <c r="B305" s="17"/>
      <c r="C305" s="17"/>
      <c r="D305" s="343" t="s">
        <v>358</v>
      </c>
      <c r="M305" s="17"/>
      <c r="N305" s="844"/>
      <c r="O305" s="17"/>
      <c r="P305" s="17"/>
    </row>
    <row r="306" spans="2:16" ht="14.65" thickBot="1" x14ac:dyDescent="0.5">
      <c r="B306" s="17"/>
      <c r="C306" s="17"/>
      <c r="M306" s="17"/>
      <c r="N306" s="844"/>
      <c r="O306" s="17"/>
      <c r="P306" s="17"/>
    </row>
    <row r="307" spans="2:16" ht="14.65" thickBot="1" x14ac:dyDescent="0.5">
      <c r="B307" s="17"/>
      <c r="C307" s="17"/>
      <c r="D307" s="24" t="s">
        <v>359</v>
      </c>
      <c r="E307" s="23">
        <f t="shared" ref="E307:J307" si="122">F9</f>
        <v>27</v>
      </c>
      <c r="F307" s="23">
        <f t="shared" si="122"/>
        <v>27</v>
      </c>
      <c r="G307" s="23">
        <f t="shared" si="122"/>
        <v>30</v>
      </c>
      <c r="H307" s="23">
        <f t="shared" si="122"/>
        <v>30</v>
      </c>
      <c r="I307" s="23">
        <f t="shared" si="122"/>
        <v>30</v>
      </c>
      <c r="J307" s="23">
        <f t="shared" si="122"/>
        <v>30</v>
      </c>
      <c r="M307" s="17"/>
      <c r="N307" s="844"/>
      <c r="O307" s="17"/>
      <c r="P307" s="17"/>
    </row>
    <row r="308" spans="2:16" ht="14.65" thickBot="1" x14ac:dyDescent="0.5">
      <c r="B308" s="17"/>
      <c r="C308" s="17"/>
      <c r="D308" s="24" t="s">
        <v>310</v>
      </c>
      <c r="E308" s="530">
        <f t="shared" ref="E308:J308" si="123">(POWER((1+F$8),E307)*F$8)/(POWER((1+F$8),E307)-1)/POWER((1+F$8),-1)</f>
        <v>8.0238996309237712E-2</v>
      </c>
      <c r="F308" s="530">
        <f t="shared" si="123"/>
        <v>8.0238996309237712E-2</v>
      </c>
      <c r="G308" s="530">
        <f t="shared" si="123"/>
        <v>7.7007846179450029E-2</v>
      </c>
      <c r="H308" s="530">
        <f t="shared" si="123"/>
        <v>7.7007846179450029E-2</v>
      </c>
      <c r="I308" s="530">
        <f t="shared" si="123"/>
        <v>7.7007846179450029E-2</v>
      </c>
      <c r="J308" s="530">
        <f t="shared" si="123"/>
        <v>7.7007846179450029E-2</v>
      </c>
      <c r="M308" s="17"/>
      <c r="N308" s="844"/>
      <c r="O308" s="17"/>
      <c r="P308" s="17"/>
    </row>
    <row r="309" spans="2:16" ht="14.65" thickBot="1" x14ac:dyDescent="0.5">
      <c r="B309" s="17"/>
      <c r="C309" s="17"/>
      <c r="D309" s="25"/>
      <c r="E309" s="626"/>
      <c r="F309" s="626"/>
      <c r="G309" s="626"/>
      <c r="H309" s="626"/>
      <c r="I309" s="626"/>
      <c r="J309" s="626"/>
      <c r="M309" s="17"/>
      <c r="N309" s="844"/>
      <c r="O309" s="17"/>
      <c r="P309" s="17"/>
    </row>
    <row r="310" spans="2:16" ht="14.65" thickBot="1" x14ac:dyDescent="0.5">
      <c r="B310" s="17"/>
      <c r="C310" s="17"/>
      <c r="D310" s="24" t="s">
        <v>360</v>
      </c>
      <c r="E310" s="23"/>
      <c r="F310" s="23">
        <f>G77</f>
        <v>15</v>
      </c>
      <c r="G310" s="23">
        <f>H77</f>
        <v>20</v>
      </c>
      <c r="H310" s="23">
        <f>I77</f>
        <v>25</v>
      </c>
      <c r="I310" s="23">
        <f>J77</f>
        <v>20</v>
      </c>
      <c r="J310" s="23">
        <f>K77</f>
        <v>25</v>
      </c>
      <c r="M310" s="17"/>
      <c r="N310" s="844"/>
      <c r="O310" s="17"/>
      <c r="P310" s="17"/>
    </row>
    <row r="311" spans="2:16" ht="14.65" thickBot="1" x14ac:dyDescent="0.5">
      <c r="B311" s="17"/>
      <c r="C311" s="17"/>
      <c r="D311" s="24" t="s">
        <v>310</v>
      </c>
      <c r="E311" s="74"/>
      <c r="F311" s="530">
        <f>(POWER((1+G$8),F310)*G$8)/(POWER((1+G$8),F310)-1)/POWER((1+G$8),-1)</f>
        <v>0.10914052979263139</v>
      </c>
      <c r="G311" s="530">
        <f>(POWER((1+H$8),G310)*H$8)/(POWER((1+H$8),G310)-1)/POWER((1+H$8),-1)</f>
        <v>9.2415630395462495E-2</v>
      </c>
      <c r="H311" s="530">
        <f>(POWER((1+I$8),H310)*I$8)/(POWER((1+I$8),H310)-1)/POWER((1+I$8),-1)</f>
        <v>8.2920321305010397E-2</v>
      </c>
      <c r="I311" s="530">
        <f>(POWER((1+J$8),I310)*J$8)/(POWER((1+J$8),I310)-1)/POWER((1+J$8),-1)</f>
        <v>9.2415630395462495E-2</v>
      </c>
      <c r="J311" s="530">
        <f>(POWER((1+K$8),J310)*K$8)/(POWER((1+K$8),J310)-1)/POWER((1+K$8),-1)</f>
        <v>8.2920321305010397E-2</v>
      </c>
      <c r="M311" s="17"/>
      <c r="N311" s="844"/>
      <c r="O311" s="17"/>
      <c r="P311" s="17"/>
    </row>
    <row r="312" spans="2:16" ht="14.65" thickBot="1" x14ac:dyDescent="0.5">
      <c r="B312" s="17"/>
      <c r="C312" s="17"/>
      <c r="D312" s="1"/>
      <c r="E312" s="321"/>
      <c r="F312" s="321"/>
      <c r="G312" s="321"/>
      <c r="H312" s="321"/>
      <c r="I312" s="626"/>
      <c r="J312" s="626"/>
      <c r="M312" s="17"/>
      <c r="N312" s="844"/>
      <c r="O312" s="17"/>
      <c r="P312" s="17"/>
    </row>
    <row r="313" spans="2:16" ht="14.65" thickBot="1" x14ac:dyDescent="0.5">
      <c r="B313" s="17"/>
      <c r="C313" s="17"/>
      <c r="D313" s="24" t="s">
        <v>361</v>
      </c>
      <c r="E313" s="23"/>
      <c r="F313" s="23">
        <f>G92</f>
        <v>15</v>
      </c>
      <c r="G313" s="23">
        <f>H92</f>
        <v>15</v>
      </c>
      <c r="H313" s="23">
        <f>I92</f>
        <v>15</v>
      </c>
      <c r="I313" s="23">
        <f>J92</f>
        <v>15</v>
      </c>
      <c r="J313" s="23">
        <f>K92</f>
        <v>15</v>
      </c>
      <c r="M313" s="17"/>
      <c r="N313" s="844"/>
      <c r="O313" s="17"/>
      <c r="P313" s="17"/>
    </row>
    <row r="314" spans="2:16" ht="14.65" thickBot="1" x14ac:dyDescent="0.5">
      <c r="B314" s="17"/>
      <c r="C314" s="17"/>
      <c r="D314" s="24" t="s">
        <v>310</v>
      </c>
      <c r="E314" s="74"/>
      <c r="F314" s="530">
        <f>(POWER((1+G$8),F313)*G$8)/(POWER((1+G$8),F313)-1)/POWER((1+G$8),-1)</f>
        <v>0.10914052979263139</v>
      </c>
      <c r="G314" s="530">
        <f>(POWER((1+H$8),G313)*H$8)/(POWER((1+H$8),G313)-1)/POWER((1+H$8),-1)</f>
        <v>0.10914052979263139</v>
      </c>
      <c r="H314" s="530">
        <f>(POWER((1+I$8),H313)*I$8)/(POWER((1+I$8),H313)-1)/POWER((1+I$8),-1)</f>
        <v>0.10914052979263139</v>
      </c>
      <c r="I314" s="530">
        <f>(POWER((1+J$8),I313)*J$8)/(POWER((1+J$8),I313)-1)/POWER((1+J$8),-1)</f>
        <v>0.10914052979263139</v>
      </c>
      <c r="J314" s="530">
        <f>(POWER((1+K$8),J313)*K$8)/(POWER((1+K$8),J313)-1)/POWER((1+K$8),-1)</f>
        <v>0.10914052979263139</v>
      </c>
      <c r="M314" s="17"/>
      <c r="N314" s="844"/>
      <c r="O314" s="17"/>
      <c r="P314" s="17"/>
    </row>
    <row r="315" spans="2:16" x14ac:dyDescent="0.45">
      <c r="B315" s="17"/>
      <c r="C315" s="17"/>
      <c r="D315" s="1"/>
      <c r="E315" s="1"/>
      <c r="F315" s="1"/>
      <c r="G315" s="1"/>
      <c r="H315" s="1"/>
      <c r="M315" s="17"/>
      <c r="N315" s="844"/>
      <c r="O315" s="17"/>
      <c r="P315" s="17"/>
    </row>
    <row r="316" spans="2:16" x14ac:dyDescent="0.45">
      <c r="B316" s="17"/>
      <c r="C316" s="17"/>
      <c r="D316" s="1"/>
      <c r="E316" s="1"/>
      <c r="F316" s="1"/>
      <c r="G316" s="1"/>
      <c r="H316" s="1"/>
      <c r="M316" s="17"/>
      <c r="N316" s="844"/>
      <c r="O316" s="17"/>
      <c r="P316" s="17"/>
    </row>
    <row r="317" spans="2:16" x14ac:dyDescent="0.45">
      <c r="B317" s="17"/>
      <c r="C317" s="17"/>
      <c r="D317" s="1"/>
      <c r="E317" s="1"/>
      <c r="F317" s="1"/>
      <c r="G317" s="1"/>
      <c r="H317" s="1"/>
      <c r="M317" s="17"/>
      <c r="N317" s="844"/>
      <c r="O317" s="17"/>
      <c r="P317" s="17"/>
    </row>
    <row r="318" spans="2:16" x14ac:dyDescent="0.45">
      <c r="B318" s="17"/>
      <c r="C318" s="17"/>
      <c r="D318" s="1"/>
      <c r="E318" s="1"/>
      <c r="F318" s="1"/>
      <c r="G318" s="1"/>
      <c r="H318" s="1"/>
      <c r="M318" s="17"/>
      <c r="N318" s="844"/>
      <c r="O318" s="17"/>
      <c r="P318" s="17"/>
    </row>
    <row r="319" spans="2:16" x14ac:dyDescent="0.45">
      <c r="B319" s="17"/>
      <c r="C319" s="17"/>
      <c r="D319" s="1"/>
      <c r="E319" s="282"/>
      <c r="F319" s="282"/>
      <c r="G319" s="282"/>
      <c r="H319" s="282"/>
      <c r="I319" s="17"/>
      <c r="J319" s="17"/>
      <c r="K319" s="17"/>
      <c r="L319" s="17"/>
      <c r="M319" s="17"/>
      <c r="N319" s="844"/>
      <c r="O319" s="17"/>
      <c r="P319" s="17"/>
    </row>
    <row r="320" spans="2:16" x14ac:dyDescent="0.45">
      <c r="B320" s="17"/>
      <c r="C320" s="17"/>
      <c r="D320" s="1"/>
      <c r="E320" s="282"/>
      <c r="F320" s="282"/>
      <c r="G320" s="282"/>
      <c r="H320" s="282"/>
      <c r="I320" s="17"/>
      <c r="J320" s="17"/>
      <c r="K320" s="17"/>
      <c r="L320" s="17"/>
      <c r="M320" s="17"/>
      <c r="N320" s="844"/>
      <c r="O320" s="17"/>
      <c r="P320" s="17"/>
    </row>
    <row r="321" spans="2:25" x14ac:dyDescent="0.45">
      <c r="B321" s="17"/>
      <c r="C321" s="17"/>
      <c r="D321" s="1"/>
      <c r="E321" s="282"/>
      <c r="F321" s="282"/>
      <c r="G321" s="282"/>
      <c r="H321" s="282"/>
      <c r="I321" s="17"/>
      <c r="J321" s="17"/>
      <c r="K321" s="17"/>
      <c r="L321" s="17"/>
      <c r="M321" s="17"/>
      <c r="N321" s="844"/>
      <c r="O321" s="17"/>
      <c r="P321" s="17"/>
    </row>
    <row r="322" spans="2:25" x14ac:dyDescent="0.45">
      <c r="B322" s="17"/>
      <c r="C322" s="17"/>
      <c r="D322" s="1"/>
      <c r="E322" s="282"/>
      <c r="F322" s="282"/>
      <c r="G322" s="282"/>
      <c r="H322" s="282"/>
      <c r="I322" s="17"/>
      <c r="J322" s="17"/>
      <c r="K322" s="17"/>
      <c r="L322" s="17"/>
      <c r="M322" s="17"/>
      <c r="N322" s="844"/>
      <c r="O322" s="17"/>
      <c r="P322" s="17"/>
    </row>
    <row r="323" spans="2:25" x14ac:dyDescent="0.45">
      <c r="B323" s="17"/>
      <c r="C323" s="17"/>
      <c r="D323" s="1"/>
      <c r="E323" s="282"/>
      <c r="F323" s="282"/>
      <c r="G323" s="282"/>
      <c r="H323" s="282"/>
      <c r="I323" s="17"/>
      <c r="J323" s="17"/>
      <c r="K323" s="17"/>
      <c r="L323" s="17"/>
      <c r="M323" s="17"/>
      <c r="N323" s="844"/>
      <c r="O323" s="17"/>
      <c r="P323" s="17"/>
    </row>
    <row r="324" spans="2:25" x14ac:dyDescent="0.45">
      <c r="B324" s="17"/>
      <c r="C324" s="17"/>
      <c r="D324" s="1"/>
      <c r="E324" s="282"/>
      <c r="F324" s="282"/>
      <c r="G324" s="282"/>
      <c r="H324" s="282"/>
      <c r="I324" s="17"/>
      <c r="J324" s="17"/>
      <c r="K324" s="17"/>
      <c r="L324" s="17"/>
      <c r="M324" s="17"/>
      <c r="N324" s="844"/>
      <c r="O324" s="17"/>
      <c r="P324" s="17"/>
    </row>
    <row r="325" spans="2:25" x14ac:dyDescent="0.45">
      <c r="B325" s="17"/>
      <c r="C325" s="17"/>
      <c r="D325" s="1"/>
      <c r="E325" s="1"/>
      <c r="F325" s="1"/>
      <c r="G325" s="1"/>
      <c r="H325" s="1"/>
      <c r="I325" s="17"/>
      <c r="J325" s="17"/>
      <c r="K325" s="17"/>
      <c r="L325" s="17"/>
      <c r="M325" s="17"/>
      <c r="N325" s="844"/>
      <c r="O325" s="17"/>
      <c r="P325" s="17"/>
    </row>
    <row r="326" spans="2:25" x14ac:dyDescent="0.45">
      <c r="D326" s="1"/>
      <c r="E326" s="1"/>
      <c r="F326" s="1"/>
      <c r="G326" s="1"/>
      <c r="H326" s="1"/>
      <c r="I326" s="17"/>
      <c r="J326" s="17"/>
      <c r="K326" s="17"/>
      <c r="L326" s="17"/>
      <c r="M326" s="17"/>
      <c r="N326" s="844"/>
      <c r="O326" s="17"/>
      <c r="P326" s="17"/>
      <c r="Q326" s="17"/>
      <c r="R326" s="17"/>
      <c r="S326" s="17"/>
      <c r="T326" s="17"/>
      <c r="U326" s="17"/>
      <c r="V326" s="17"/>
      <c r="W326" s="17"/>
      <c r="X326" s="17"/>
      <c r="Y326" s="17"/>
    </row>
    <row r="327" spans="2:25" x14ac:dyDescent="0.45">
      <c r="D327" s="2"/>
      <c r="E327" s="1"/>
      <c r="F327" s="1"/>
      <c r="G327" s="1"/>
      <c r="H327" s="1"/>
      <c r="I327" s="17"/>
      <c r="J327" s="17"/>
      <c r="K327" s="17"/>
      <c r="L327" s="17"/>
      <c r="M327" s="17"/>
      <c r="N327" s="844"/>
      <c r="O327" s="17"/>
      <c r="P327" s="17"/>
      <c r="Q327" s="17"/>
      <c r="R327" s="17"/>
      <c r="S327" s="17"/>
      <c r="T327" s="17"/>
      <c r="U327" s="17"/>
      <c r="V327" s="17"/>
      <c r="W327" s="17"/>
      <c r="X327" s="17"/>
      <c r="Y327" s="17"/>
    </row>
    <row r="328" spans="2:25" x14ac:dyDescent="0.45">
      <c r="D328" s="1"/>
      <c r="E328" s="1"/>
      <c r="F328" s="1"/>
      <c r="G328" s="1"/>
      <c r="H328" s="1"/>
      <c r="I328" s="17"/>
      <c r="J328" s="17"/>
      <c r="K328" s="17"/>
      <c r="L328" s="17"/>
      <c r="M328" s="17"/>
      <c r="N328" s="844"/>
      <c r="O328" s="17"/>
      <c r="P328" s="17"/>
      <c r="Q328" s="17"/>
      <c r="R328" s="17"/>
      <c r="S328" s="17"/>
      <c r="T328" s="17"/>
      <c r="U328" s="17"/>
      <c r="V328" s="17"/>
      <c r="W328" s="17"/>
      <c r="X328" s="17"/>
      <c r="Y328" s="17"/>
    </row>
    <row r="329" spans="2:25" x14ac:dyDescent="0.45">
      <c r="D329" s="1"/>
      <c r="E329" s="1"/>
      <c r="F329" s="1"/>
      <c r="G329" s="1"/>
      <c r="H329" s="1"/>
      <c r="I329" s="17"/>
      <c r="J329" s="17"/>
      <c r="K329" s="17"/>
      <c r="L329" s="17"/>
      <c r="M329" s="17"/>
      <c r="N329" s="844"/>
      <c r="O329" s="17"/>
      <c r="P329" s="17"/>
      <c r="Q329" s="17"/>
      <c r="R329" s="17"/>
      <c r="S329" s="17"/>
      <c r="T329" s="17"/>
      <c r="U329" s="17"/>
      <c r="V329" s="17"/>
      <c r="W329" s="17"/>
      <c r="X329" s="17"/>
      <c r="Y329" s="17"/>
    </row>
    <row r="330" spans="2:25" x14ac:dyDescent="0.45">
      <c r="D330" s="1"/>
      <c r="E330" s="1"/>
      <c r="F330" s="1"/>
      <c r="G330" s="1"/>
      <c r="H330" s="1"/>
      <c r="I330" s="17"/>
      <c r="J330" s="17"/>
      <c r="K330" s="17"/>
      <c r="L330" s="17"/>
      <c r="M330" s="17"/>
      <c r="N330" s="844"/>
      <c r="O330" s="17"/>
      <c r="P330" s="17"/>
      <c r="Q330" s="17"/>
      <c r="R330" s="17"/>
      <c r="S330" s="17"/>
      <c r="T330" s="17"/>
      <c r="U330" s="17"/>
      <c r="V330" s="17"/>
      <c r="W330" s="17"/>
      <c r="X330" s="17"/>
      <c r="Y330" s="17"/>
    </row>
    <row r="331" spans="2:25" x14ac:dyDescent="0.45">
      <c r="D331" s="1220"/>
      <c r="E331" s="1220"/>
      <c r="F331" s="1220"/>
      <c r="G331" s="1220"/>
      <c r="H331" s="1220"/>
      <c r="I331" s="17"/>
      <c r="Y331" s="17"/>
    </row>
    <row r="332" spans="2:25" x14ac:dyDescent="0.45">
      <c r="D332" s="77"/>
      <c r="E332" s="1"/>
      <c r="F332" s="1"/>
      <c r="G332" s="1"/>
      <c r="H332" s="1"/>
      <c r="I332" s="130"/>
      <c r="Y332" s="17"/>
    </row>
    <row r="333" spans="2:25" x14ac:dyDescent="0.45">
      <c r="D333" s="104"/>
      <c r="E333" s="17"/>
      <c r="F333" s="17"/>
      <c r="G333" s="17"/>
      <c r="H333" s="17"/>
      <c r="I333" s="17"/>
      <c r="Y333" s="17"/>
    </row>
    <row r="334" spans="2:25" x14ac:dyDescent="0.45">
      <c r="D334" s="17"/>
      <c r="E334" s="17"/>
      <c r="F334" s="17"/>
      <c r="G334" s="17"/>
      <c r="H334" s="17"/>
      <c r="I334" s="17"/>
      <c r="Y334" s="17"/>
    </row>
    <row r="335" spans="2:25" x14ac:dyDescent="0.45">
      <c r="D335" s="17"/>
      <c r="E335" s="17"/>
      <c r="F335" s="17"/>
      <c r="G335" s="17"/>
      <c r="H335" s="17"/>
      <c r="I335" s="17"/>
      <c r="Y335" s="17"/>
    </row>
    <row r="336" spans="2:25" x14ac:dyDescent="0.45">
      <c r="D336" s="17"/>
      <c r="E336" s="17"/>
      <c r="F336" s="17"/>
      <c r="G336" s="17"/>
      <c r="H336" s="17"/>
      <c r="I336" s="17"/>
      <c r="Y336" s="17"/>
    </row>
    <row r="337" spans="4:25" x14ac:dyDescent="0.45">
      <c r="D337" s="17"/>
      <c r="E337" s="17"/>
      <c r="F337" s="17"/>
      <c r="G337" s="17"/>
      <c r="H337" s="17"/>
      <c r="I337" s="17"/>
      <c r="Y337" s="17"/>
    </row>
    <row r="338" spans="4:25" x14ac:dyDescent="0.45">
      <c r="D338" s="17"/>
      <c r="E338" s="17"/>
      <c r="F338" s="17"/>
      <c r="G338" s="17"/>
      <c r="H338" s="17"/>
      <c r="I338" s="17"/>
      <c r="Y338" s="17"/>
    </row>
    <row r="339" spans="4:25" x14ac:dyDescent="0.45">
      <c r="D339" s="17"/>
      <c r="E339" s="17"/>
      <c r="F339" s="17"/>
      <c r="G339" s="17"/>
      <c r="H339" s="17"/>
      <c r="I339" s="17"/>
      <c r="Y339" s="17"/>
    </row>
    <row r="340" spans="4:25" x14ac:dyDescent="0.45">
      <c r="D340" s="17"/>
      <c r="E340" s="17"/>
      <c r="F340" s="17"/>
      <c r="G340" s="17"/>
      <c r="H340" s="17"/>
      <c r="I340" s="17"/>
      <c r="Y340" s="17"/>
    </row>
    <row r="341" spans="4:25" x14ac:dyDescent="0.45">
      <c r="D341" s="17"/>
      <c r="E341" s="17"/>
      <c r="F341" s="17"/>
      <c r="G341" s="17"/>
      <c r="H341" s="17"/>
      <c r="I341" s="17"/>
      <c r="Y341" s="17"/>
    </row>
    <row r="342" spans="4:25" x14ac:dyDescent="0.45">
      <c r="D342" s="17"/>
      <c r="E342" s="17"/>
      <c r="F342" s="17"/>
      <c r="G342" s="17"/>
      <c r="H342" s="17"/>
      <c r="I342" s="17"/>
      <c r="Y342" s="17"/>
    </row>
    <row r="343" spans="4:25" x14ac:dyDescent="0.45">
      <c r="D343" s="17"/>
      <c r="E343" s="17"/>
      <c r="Y343" s="17"/>
    </row>
    <row r="344" spans="4:25" x14ac:dyDescent="0.45">
      <c r="D344" s="17"/>
      <c r="E344" s="17"/>
      <c r="Y344" s="17"/>
    </row>
    <row r="345" spans="4:25" x14ac:dyDescent="0.45">
      <c r="D345" s="17"/>
      <c r="E345" s="17"/>
      <c r="Y345" s="17"/>
    </row>
    <row r="346" spans="4:25" x14ac:dyDescent="0.45">
      <c r="D346" s="17"/>
      <c r="E346" s="17"/>
      <c r="F346" s="17"/>
      <c r="I346" s="17"/>
      <c r="J346" s="17"/>
      <c r="K346" s="17"/>
      <c r="L346" s="17"/>
      <c r="N346" s="852"/>
      <c r="O346" s="119"/>
      <c r="P346" s="119"/>
      <c r="Q346" s="25"/>
      <c r="R346" s="25"/>
      <c r="S346" s="25"/>
      <c r="T346" s="25"/>
      <c r="U346" s="25"/>
      <c r="V346" s="25"/>
      <c r="W346" s="25"/>
      <c r="Y346" s="17"/>
    </row>
    <row r="347" spans="4:25" x14ac:dyDescent="0.45">
      <c r="D347" s="17"/>
      <c r="E347" s="17"/>
      <c r="F347" s="17"/>
      <c r="I347" s="17"/>
      <c r="J347" s="17"/>
      <c r="K347" s="17"/>
      <c r="L347" s="17"/>
      <c r="N347" s="852"/>
      <c r="O347" s="119"/>
      <c r="P347" s="119"/>
      <c r="Q347" s="25"/>
      <c r="R347" s="25"/>
      <c r="S347" s="25"/>
      <c r="T347" s="25"/>
      <c r="U347" s="25"/>
      <c r="V347" s="25"/>
      <c r="W347" s="25"/>
      <c r="Y347" s="17"/>
    </row>
    <row r="348" spans="4:25" x14ac:dyDescent="0.45">
      <c r="D348" s="17"/>
      <c r="E348" s="17"/>
      <c r="F348" s="17"/>
      <c r="I348" s="17"/>
      <c r="J348" s="17"/>
      <c r="K348" s="17"/>
      <c r="L348" s="17"/>
      <c r="N348" s="852"/>
      <c r="O348" s="119"/>
      <c r="P348" s="119"/>
      <c r="Q348" s="25"/>
      <c r="R348" s="25"/>
      <c r="S348" s="25"/>
      <c r="T348" s="25"/>
      <c r="U348" s="25"/>
      <c r="V348" s="25"/>
      <c r="W348" s="25"/>
      <c r="Y348" s="17"/>
    </row>
    <row r="349" spans="4:25" x14ac:dyDescent="0.45">
      <c r="D349" s="17"/>
      <c r="E349" s="17"/>
      <c r="F349" s="17"/>
      <c r="G349" s="17"/>
      <c r="H349" s="17"/>
      <c r="I349" s="17"/>
      <c r="N349" s="852"/>
      <c r="O349" s="119"/>
      <c r="P349" s="119"/>
      <c r="Q349" s="25"/>
      <c r="R349" s="25"/>
      <c r="S349" s="25"/>
      <c r="T349" s="25"/>
      <c r="U349" s="25"/>
      <c r="V349" s="25"/>
      <c r="W349" s="25"/>
      <c r="Y349" s="17"/>
    </row>
    <row r="350" spans="4:25" x14ac:dyDescent="0.45">
      <c r="D350" s="169"/>
      <c r="E350" s="17"/>
      <c r="F350" s="17"/>
      <c r="N350" s="852"/>
      <c r="O350" s="119"/>
      <c r="P350" s="119"/>
      <c r="Q350" s="25"/>
      <c r="R350" s="25"/>
      <c r="S350" s="25"/>
      <c r="T350" s="25"/>
      <c r="U350" s="25"/>
      <c r="V350" s="25"/>
      <c r="W350" s="25"/>
      <c r="Y350" s="17"/>
    </row>
    <row r="351" spans="4:25" x14ac:dyDescent="0.45">
      <c r="D351" s="17"/>
      <c r="E351" s="17"/>
      <c r="F351" s="17"/>
      <c r="N351" s="852"/>
      <c r="O351" s="119"/>
      <c r="P351" s="119"/>
      <c r="Q351" s="25"/>
      <c r="R351" s="25"/>
      <c r="S351" s="25"/>
      <c r="T351" s="25"/>
      <c r="U351" s="25"/>
      <c r="V351" s="25"/>
      <c r="W351" s="25"/>
      <c r="Y351" s="17"/>
    </row>
    <row r="352" spans="4:25" x14ac:dyDescent="0.45">
      <c r="D352" s="17"/>
      <c r="E352" s="17"/>
      <c r="F352" s="130"/>
      <c r="G352" s="17"/>
      <c r="H352" s="17"/>
      <c r="I352" s="17"/>
      <c r="R352" s="25"/>
      <c r="S352" s="25"/>
      <c r="T352" s="25"/>
      <c r="U352" s="25"/>
      <c r="V352" s="25"/>
      <c r="W352" s="25"/>
      <c r="Y352" s="17"/>
    </row>
    <row r="353" spans="4:25" x14ac:dyDescent="0.45">
      <c r="D353" s="17"/>
      <c r="E353" s="17"/>
      <c r="F353" s="130"/>
      <c r="G353" s="17"/>
      <c r="H353" s="17"/>
      <c r="I353" s="17"/>
      <c r="R353" s="25"/>
      <c r="S353" s="25"/>
      <c r="T353" s="25"/>
      <c r="U353" s="25"/>
      <c r="V353" s="25"/>
      <c r="W353" s="25"/>
      <c r="Y353" s="17"/>
    </row>
    <row r="354" spans="4:25" x14ac:dyDescent="0.45">
      <c r="D354" s="17"/>
      <c r="E354" s="17"/>
      <c r="F354" s="17"/>
      <c r="G354" s="17"/>
      <c r="H354" s="17"/>
      <c r="I354" s="17"/>
      <c r="R354" s="25"/>
      <c r="S354" s="25"/>
      <c r="T354" s="25"/>
      <c r="U354" s="25"/>
      <c r="V354" s="25"/>
      <c r="W354" s="25"/>
      <c r="Y354" s="17"/>
    </row>
    <row r="355" spans="4:25" x14ac:dyDescent="0.45">
      <c r="F355" s="17"/>
      <c r="G355" s="17"/>
      <c r="H355" s="17"/>
      <c r="I355" s="17"/>
      <c r="J355" s="17"/>
      <c r="K355" s="17"/>
      <c r="L355" s="17"/>
      <c r="M355" s="17"/>
      <c r="N355" s="844"/>
      <c r="O355" s="17"/>
      <c r="P355" s="17"/>
      <c r="Q355" s="17"/>
      <c r="R355" s="17"/>
      <c r="S355" s="17"/>
      <c r="T355" s="17"/>
      <c r="U355" s="17"/>
      <c r="V355" s="17"/>
      <c r="W355" s="17"/>
      <c r="X355" s="17"/>
      <c r="Y355" s="17"/>
    </row>
    <row r="356" spans="4:25" x14ac:dyDescent="0.45">
      <c r="F356" s="17"/>
      <c r="G356" s="17"/>
      <c r="H356" s="17"/>
      <c r="I356" s="17"/>
      <c r="J356" s="17"/>
      <c r="K356" s="17"/>
      <c r="L356" s="17"/>
      <c r="M356" s="17"/>
      <c r="N356" s="844"/>
      <c r="O356" s="17"/>
      <c r="P356" s="17"/>
      <c r="Q356" s="17"/>
      <c r="R356" s="17"/>
      <c r="S356" s="17"/>
      <c r="T356" s="17"/>
      <c r="U356" s="17"/>
      <c r="V356" s="17"/>
      <c r="W356" s="17"/>
      <c r="X356" s="17"/>
      <c r="Y356" s="17"/>
    </row>
    <row r="357" spans="4:25" x14ac:dyDescent="0.45">
      <c r="F357" s="17"/>
      <c r="G357" s="17"/>
      <c r="H357" s="17"/>
      <c r="I357" s="17"/>
      <c r="J357" s="17"/>
      <c r="K357" s="17"/>
      <c r="L357" s="17"/>
      <c r="M357" s="17"/>
      <c r="N357" s="844"/>
      <c r="O357" s="17"/>
      <c r="P357" s="17"/>
      <c r="Q357" s="17"/>
      <c r="R357" s="17"/>
      <c r="S357" s="17"/>
      <c r="T357" s="17"/>
      <c r="U357" s="17"/>
      <c r="V357" s="17"/>
      <c r="W357" s="17"/>
      <c r="X357" s="17"/>
      <c r="Y357" s="17"/>
    </row>
    <row r="358" spans="4:25" x14ac:dyDescent="0.45">
      <c r="F358" s="17"/>
      <c r="G358" s="17"/>
      <c r="H358" s="17"/>
      <c r="I358" s="17"/>
      <c r="J358" s="17"/>
      <c r="K358" s="17"/>
      <c r="L358" s="17"/>
      <c r="M358" s="17"/>
      <c r="N358" s="844"/>
      <c r="O358" s="17"/>
      <c r="P358" s="17"/>
      <c r="Q358" s="17"/>
      <c r="R358" s="17"/>
      <c r="S358" s="17"/>
      <c r="T358" s="17"/>
      <c r="U358" s="17"/>
      <c r="V358" s="17"/>
      <c r="W358" s="17"/>
      <c r="X358" s="17"/>
      <c r="Y358" s="17"/>
    </row>
    <row r="359" spans="4:25" x14ac:dyDescent="0.45">
      <c r="F359" s="17"/>
      <c r="G359" s="17"/>
      <c r="H359" s="17"/>
      <c r="I359" s="17"/>
      <c r="J359" s="17"/>
      <c r="K359" s="17"/>
      <c r="L359" s="17"/>
      <c r="M359" s="17"/>
      <c r="N359" s="844"/>
      <c r="O359" s="17"/>
      <c r="P359" s="17"/>
      <c r="Q359" s="17"/>
      <c r="R359" s="17"/>
      <c r="S359" s="17"/>
      <c r="T359" s="17"/>
      <c r="U359" s="17"/>
      <c r="V359" s="17"/>
      <c r="W359" s="17"/>
      <c r="X359" s="17"/>
      <c r="Y359" s="17"/>
    </row>
    <row r="593" spans="13:13" x14ac:dyDescent="0.45">
      <c r="M593">
        <v>2</v>
      </c>
    </row>
  </sheetData>
  <sheetProtection algorithmName="SHA-512" hashValue="vwQVpEfhyDVT7K8B3VtAsVhD8dQ1rYMu8AS30y6V4RCUZ/7E5NGW5pob0k37wQF2TnghBBScbogjmxOL4igCWw==" saltValue="p3Gc83MmvlN/Or/G2Yf2YA==" spinCount="100000" scenarios="1"/>
  <mergeCells count="120">
    <mergeCell ref="Z187:AE187"/>
    <mergeCell ref="Z188:AC188"/>
    <mergeCell ref="AD188:AE188"/>
    <mergeCell ref="P12:U12"/>
    <mergeCell ref="P188:Q188"/>
    <mergeCell ref="P14:U14"/>
    <mergeCell ref="Y3:AB3"/>
    <mergeCell ref="D273:D275"/>
    <mergeCell ref="S187:X187"/>
    <mergeCell ref="S188:V188"/>
    <mergeCell ref="W188:X188"/>
    <mergeCell ref="E212:F212"/>
    <mergeCell ref="L212:M212"/>
    <mergeCell ref="N212:O212"/>
    <mergeCell ref="L211:O211"/>
    <mergeCell ref="L221:O221"/>
    <mergeCell ref="AC3:AD3"/>
    <mergeCell ref="P50:Q50"/>
    <mergeCell ref="P34:Q34"/>
    <mergeCell ref="P21:Q21"/>
    <mergeCell ref="T3:U3"/>
    <mergeCell ref="P3:S3"/>
    <mergeCell ref="P222:Q222"/>
    <mergeCell ref="L222:M222"/>
    <mergeCell ref="BP187:BU187"/>
    <mergeCell ref="BP188:BS188"/>
    <mergeCell ref="BT188:BU188"/>
    <mergeCell ref="AU188:AX188"/>
    <mergeCell ref="AY188:AZ188"/>
    <mergeCell ref="BI187:BN187"/>
    <mergeCell ref="BI188:BL188"/>
    <mergeCell ref="BM188:BN188"/>
    <mergeCell ref="AG187:AL187"/>
    <mergeCell ref="AG188:AJ188"/>
    <mergeCell ref="AK188:AL188"/>
    <mergeCell ref="AN187:AS187"/>
    <mergeCell ref="AN188:AQ188"/>
    <mergeCell ref="AR188:AS188"/>
    <mergeCell ref="AU187:AZ187"/>
    <mergeCell ref="BB187:BG187"/>
    <mergeCell ref="BB188:BE188"/>
    <mergeCell ref="BF188:BG188"/>
    <mergeCell ref="B199:B206"/>
    <mergeCell ref="C199:C200"/>
    <mergeCell ref="C201:C203"/>
    <mergeCell ref="C204:C206"/>
    <mergeCell ref="I188:J188"/>
    <mergeCell ref="D282:D284"/>
    <mergeCell ref="D285:D287"/>
    <mergeCell ref="C211:C219"/>
    <mergeCell ref="G212:H212"/>
    <mergeCell ref="E211:J211"/>
    <mergeCell ref="E221:J221"/>
    <mergeCell ref="I222:J222"/>
    <mergeCell ref="I212:J212"/>
    <mergeCell ref="B190:B197"/>
    <mergeCell ref="E188:H188"/>
    <mergeCell ref="B255:B261"/>
    <mergeCell ref="B263:B269"/>
    <mergeCell ref="B234:B240"/>
    <mergeCell ref="B242:B248"/>
    <mergeCell ref="O144:P144"/>
    <mergeCell ref="S161:V161"/>
    <mergeCell ref="F3:I3"/>
    <mergeCell ref="D13:D14"/>
    <mergeCell ref="L161:O161"/>
    <mergeCell ref="F116:I116"/>
    <mergeCell ref="E187:J187"/>
    <mergeCell ref="J3:K3"/>
    <mergeCell ref="J116:K116"/>
    <mergeCell ref="P161:Q161"/>
    <mergeCell ref="L160:Q160"/>
    <mergeCell ref="K144:N144"/>
    <mergeCell ref="D331:H331"/>
    <mergeCell ref="E222:F222"/>
    <mergeCell ref="G222:H222"/>
    <mergeCell ref="N222:O222"/>
    <mergeCell ref="C255:C257"/>
    <mergeCell ref="C259:C261"/>
    <mergeCell ref="C250:C251"/>
    <mergeCell ref="C263:C265"/>
    <mergeCell ref="C267:C269"/>
    <mergeCell ref="C242:C244"/>
    <mergeCell ref="C246:C248"/>
    <mergeCell ref="C238:C240"/>
    <mergeCell ref="C234:C236"/>
    <mergeCell ref="C221:C230"/>
    <mergeCell ref="C289:C303"/>
    <mergeCell ref="D289:D291"/>
    <mergeCell ref="D292:D294"/>
    <mergeCell ref="C273:C287"/>
    <mergeCell ref="D276:D278"/>
    <mergeCell ref="D279:D281"/>
    <mergeCell ref="D295:D297"/>
    <mergeCell ref="D298:D300"/>
    <mergeCell ref="D301:D303"/>
    <mergeCell ref="W161:X161"/>
    <mergeCell ref="S160:X160"/>
    <mergeCell ref="X59:Y59"/>
    <mergeCell ref="P2:U2"/>
    <mergeCell ref="C190:C191"/>
    <mergeCell ref="C192:C194"/>
    <mergeCell ref="C195:C197"/>
    <mergeCell ref="L187:Q187"/>
    <mergeCell ref="P8:U8"/>
    <mergeCell ref="Y14:AD14"/>
    <mergeCell ref="L188:O188"/>
    <mergeCell ref="P10:U10"/>
    <mergeCell ref="C110:C111"/>
    <mergeCell ref="C112:C113"/>
    <mergeCell ref="M3:N3"/>
    <mergeCell ref="P72:R72"/>
    <mergeCell ref="C174:C175"/>
    <mergeCell ref="C176:C177"/>
    <mergeCell ref="E160:J160"/>
    <mergeCell ref="E161:H161"/>
    <mergeCell ref="I161:J161"/>
    <mergeCell ref="P88:Q88"/>
    <mergeCell ref="P97:Q97"/>
    <mergeCell ref="P59:R59"/>
  </mergeCells>
  <pageMargins left="0.7" right="0.7" top="0.75" bottom="0.75" header="0.3" footer="0.3"/>
  <pageSetup paperSize="9" orientation="portrait" r:id="rId1"/>
  <ignoredErrors>
    <ignoredError sqref="AB26:AC26 F214:F218 N214:N217 M218 F224:F229" formula="1"/>
  </ignoredErrors>
  <drawing r:id="rId2"/>
  <legacyDrawing r:id="rId3"/>
  <controls>
    <mc:AlternateContent xmlns:mc="http://schemas.openxmlformats.org/markup-compatibility/2006">
      <mc:Choice Requires="x14">
        <control shapeId="22792" r:id="rId4" name="CommandButton2">
          <controlPr defaultSize="0" autoFill="0" autoLine="0" autoPict="0" altText="Busy...." r:id="rId5">
            <anchor moveWithCells="1">
              <from>
                <xdr:col>12</xdr:col>
                <xdr:colOff>0</xdr:colOff>
                <xdr:row>4</xdr:row>
                <xdr:rowOff>200025</xdr:rowOff>
              </from>
              <to>
                <xdr:col>13</xdr:col>
                <xdr:colOff>0</xdr:colOff>
                <xdr:row>6</xdr:row>
                <xdr:rowOff>171450</xdr:rowOff>
              </to>
            </anchor>
          </controlPr>
        </control>
      </mc:Choice>
      <mc:Fallback>
        <control shapeId="22792" r:id="rId4" name="CommandButton2"/>
      </mc:Fallback>
    </mc:AlternateContent>
    <mc:AlternateContent xmlns:mc="http://schemas.openxmlformats.org/markup-compatibility/2006">
      <mc:Choice Requires="x14">
        <control shapeId="22791" r:id="rId6" name="ComboBox1">
          <controlPr defaultSize="0" autoLine="0" autoPict="0" r:id="rId7">
            <anchor moveWithCells="1">
              <from>
                <xdr:col>13</xdr:col>
                <xdr:colOff>76200</xdr:colOff>
                <xdr:row>5</xdr:row>
                <xdr:rowOff>85725</xdr:rowOff>
              </from>
              <to>
                <xdr:col>14</xdr:col>
                <xdr:colOff>428625</xdr:colOff>
                <xdr:row>6</xdr:row>
                <xdr:rowOff>142875</xdr:rowOff>
              </to>
            </anchor>
          </controlPr>
        </control>
      </mc:Choice>
      <mc:Fallback>
        <control shapeId="22791" r:id="rId6" name="ComboBox1"/>
      </mc:Fallback>
    </mc:AlternateContent>
    <mc:AlternateContent xmlns:mc="http://schemas.openxmlformats.org/markup-compatibility/2006">
      <mc:Choice Requires="x14">
        <control shapeId="22649" r:id="rId8" name="CommandButton1">
          <controlPr defaultSize="0" autoFill="0" autoLine="0" autoPict="0" r:id="rId9">
            <anchor moveWithCells="1">
              <from>
                <xdr:col>0</xdr:col>
                <xdr:colOff>180975</xdr:colOff>
                <xdr:row>1</xdr:row>
                <xdr:rowOff>190500</xdr:rowOff>
              </from>
              <to>
                <xdr:col>2</xdr:col>
                <xdr:colOff>857250</xdr:colOff>
                <xdr:row>3</xdr:row>
                <xdr:rowOff>219075</xdr:rowOff>
              </to>
            </anchor>
          </controlPr>
        </control>
      </mc:Choice>
      <mc:Fallback>
        <control shapeId="22649" r:id="rId8" name="CommandButton1"/>
      </mc:Fallback>
    </mc:AlternateContent>
    <mc:AlternateContent xmlns:mc="http://schemas.openxmlformats.org/markup-compatibility/2006">
      <mc:Choice Requires="x14">
        <control shapeId="22548" r:id="rId10" name="Drop Down 20">
          <controlPr locked="0" defaultSize="0" autoLine="0" autoPict="0" altText="">
            <anchor moveWithCells="1">
              <from>
                <xdr:col>12</xdr:col>
                <xdr:colOff>9525</xdr:colOff>
                <xdr:row>23</xdr:row>
                <xdr:rowOff>28575</xdr:rowOff>
              </from>
              <to>
                <xdr:col>13</xdr:col>
                <xdr:colOff>352425</xdr:colOff>
                <xdr:row>24</xdr:row>
                <xdr:rowOff>9525</xdr:rowOff>
              </to>
            </anchor>
          </controlPr>
        </control>
      </mc:Choice>
    </mc:AlternateContent>
    <mc:AlternateContent xmlns:mc="http://schemas.openxmlformats.org/markup-compatibility/2006">
      <mc:Choice Requires="x14">
        <control shapeId="22549" r:id="rId11" name="Drop Down 21">
          <controlPr locked="0" defaultSize="0" autoLine="0" autoPict="0" altText="">
            <anchor moveWithCells="1">
              <from>
                <xdr:col>12</xdr:col>
                <xdr:colOff>9525</xdr:colOff>
                <xdr:row>24</xdr:row>
                <xdr:rowOff>28575</xdr:rowOff>
              </from>
              <to>
                <xdr:col>13</xdr:col>
                <xdr:colOff>352425</xdr:colOff>
                <xdr:row>25</xdr:row>
                <xdr:rowOff>9525</xdr:rowOff>
              </to>
            </anchor>
          </controlPr>
        </control>
      </mc:Choice>
    </mc:AlternateContent>
    <mc:AlternateContent xmlns:mc="http://schemas.openxmlformats.org/markup-compatibility/2006">
      <mc:Choice Requires="x14">
        <control shapeId="22553" r:id="rId12" name="Drop Down 25">
          <controlPr locked="0" defaultSize="0" autoLine="0" autoPict="0" altText="">
            <anchor moveWithCells="1">
              <from>
                <xdr:col>12</xdr:col>
                <xdr:colOff>19050</xdr:colOff>
                <xdr:row>26</xdr:row>
                <xdr:rowOff>19050</xdr:rowOff>
              </from>
              <to>
                <xdr:col>13</xdr:col>
                <xdr:colOff>361950</xdr:colOff>
                <xdr:row>27</xdr:row>
                <xdr:rowOff>0</xdr:rowOff>
              </to>
            </anchor>
          </controlPr>
        </control>
      </mc:Choice>
    </mc:AlternateContent>
    <mc:AlternateContent xmlns:mc="http://schemas.openxmlformats.org/markup-compatibility/2006">
      <mc:Choice Requires="x14">
        <control shapeId="22554" r:id="rId13" name="Drop Down 26">
          <controlPr locked="0" defaultSize="0" autoLine="0" autoPict="0" altText="">
            <anchor moveWithCells="1">
              <from>
                <xdr:col>12</xdr:col>
                <xdr:colOff>19050</xdr:colOff>
                <xdr:row>30</xdr:row>
                <xdr:rowOff>19050</xdr:rowOff>
              </from>
              <to>
                <xdr:col>13</xdr:col>
                <xdr:colOff>361950</xdr:colOff>
                <xdr:row>31</xdr:row>
                <xdr:rowOff>0</xdr:rowOff>
              </to>
            </anchor>
          </controlPr>
        </control>
      </mc:Choice>
    </mc:AlternateContent>
    <mc:AlternateContent xmlns:mc="http://schemas.openxmlformats.org/markup-compatibility/2006">
      <mc:Choice Requires="x14">
        <control shapeId="22555" r:id="rId14" name="Drop Down 27">
          <controlPr locked="0" defaultSize="0" autoLine="0" autoPict="0" altText="">
            <anchor moveWithCells="1">
              <from>
                <xdr:col>12</xdr:col>
                <xdr:colOff>19050</xdr:colOff>
                <xdr:row>31</xdr:row>
                <xdr:rowOff>19050</xdr:rowOff>
              </from>
              <to>
                <xdr:col>13</xdr:col>
                <xdr:colOff>361950</xdr:colOff>
                <xdr:row>32</xdr:row>
                <xdr:rowOff>0</xdr:rowOff>
              </to>
            </anchor>
          </controlPr>
        </control>
      </mc:Choice>
    </mc:AlternateContent>
    <mc:AlternateContent xmlns:mc="http://schemas.openxmlformats.org/markup-compatibility/2006">
      <mc:Choice Requires="x14">
        <control shapeId="22596" r:id="rId15" name="Drop Down 68">
          <controlPr locked="0" defaultSize="0" autoLine="0" autoPict="0" altText="">
            <anchor moveWithCells="1">
              <from>
                <xdr:col>12</xdr:col>
                <xdr:colOff>9525</xdr:colOff>
                <xdr:row>11</xdr:row>
                <xdr:rowOff>9525</xdr:rowOff>
              </from>
              <to>
                <xdr:col>13</xdr:col>
                <xdr:colOff>352425</xdr:colOff>
                <xdr:row>11</xdr:row>
                <xdr:rowOff>190500</xdr:rowOff>
              </to>
            </anchor>
          </controlPr>
        </control>
      </mc:Choice>
    </mc:AlternateContent>
    <mc:AlternateContent xmlns:mc="http://schemas.openxmlformats.org/markup-compatibility/2006">
      <mc:Choice Requires="x14">
        <control shapeId="22597" r:id="rId16" name="Drop Down 69">
          <controlPr locked="0" defaultSize="0" autoLine="0" autoPict="0" altText="">
            <anchor moveWithCells="1">
              <from>
                <xdr:col>12</xdr:col>
                <xdr:colOff>0</xdr:colOff>
                <xdr:row>13</xdr:row>
                <xdr:rowOff>19050</xdr:rowOff>
              </from>
              <to>
                <xdr:col>13</xdr:col>
                <xdr:colOff>342900</xdr:colOff>
                <xdr:row>14</xdr:row>
                <xdr:rowOff>0</xdr:rowOff>
              </to>
            </anchor>
          </controlPr>
        </control>
      </mc:Choice>
    </mc:AlternateContent>
    <mc:AlternateContent xmlns:mc="http://schemas.openxmlformats.org/markup-compatibility/2006">
      <mc:Choice Requires="x14">
        <control shapeId="22598" r:id="rId17" name="Drop Down 70">
          <controlPr locked="0" defaultSize="0" autoLine="0" autoPict="0" altText="">
            <anchor moveWithCells="1">
              <from>
                <xdr:col>12</xdr:col>
                <xdr:colOff>19050</xdr:colOff>
                <xdr:row>25</xdr:row>
                <xdr:rowOff>19050</xdr:rowOff>
              </from>
              <to>
                <xdr:col>13</xdr:col>
                <xdr:colOff>361950</xdr:colOff>
                <xdr:row>26</xdr:row>
                <xdr:rowOff>0</xdr:rowOff>
              </to>
            </anchor>
          </controlPr>
        </control>
      </mc:Choice>
    </mc:AlternateContent>
    <mc:AlternateContent xmlns:mc="http://schemas.openxmlformats.org/markup-compatibility/2006">
      <mc:Choice Requires="x14">
        <control shapeId="22599" r:id="rId18" name="Drop Down 71">
          <controlPr locked="0" defaultSize="0" autoLine="0" autoPict="0" altText="">
            <anchor moveWithCells="1">
              <from>
                <xdr:col>12</xdr:col>
                <xdr:colOff>19050</xdr:colOff>
                <xdr:row>27</xdr:row>
                <xdr:rowOff>19050</xdr:rowOff>
              </from>
              <to>
                <xdr:col>13</xdr:col>
                <xdr:colOff>361950</xdr:colOff>
                <xdr:row>28</xdr:row>
                <xdr:rowOff>0</xdr:rowOff>
              </to>
            </anchor>
          </controlPr>
        </control>
      </mc:Choice>
    </mc:AlternateContent>
    <mc:AlternateContent xmlns:mc="http://schemas.openxmlformats.org/markup-compatibility/2006">
      <mc:Choice Requires="x14">
        <control shapeId="22600" r:id="rId19" name="Drop Down 72">
          <controlPr locked="0" defaultSize="0" autoLine="0" autoPict="0" altText="">
            <anchor moveWithCells="1">
              <from>
                <xdr:col>12</xdr:col>
                <xdr:colOff>19050</xdr:colOff>
                <xdr:row>28</xdr:row>
                <xdr:rowOff>9525</xdr:rowOff>
              </from>
              <to>
                <xdr:col>13</xdr:col>
                <xdr:colOff>361950</xdr:colOff>
                <xdr:row>28</xdr:row>
                <xdr:rowOff>190500</xdr:rowOff>
              </to>
            </anchor>
          </controlPr>
        </control>
      </mc:Choice>
    </mc:AlternateContent>
    <mc:AlternateContent xmlns:mc="http://schemas.openxmlformats.org/markup-compatibility/2006">
      <mc:Choice Requires="x14">
        <control shapeId="22602" r:id="rId20" name="Drop Down 74">
          <controlPr locked="0" defaultSize="0" autoLine="0" autoPict="0" altText="">
            <anchor moveWithCells="1">
              <from>
                <xdr:col>12</xdr:col>
                <xdr:colOff>19050</xdr:colOff>
                <xdr:row>37</xdr:row>
                <xdr:rowOff>19050</xdr:rowOff>
              </from>
              <to>
                <xdr:col>13</xdr:col>
                <xdr:colOff>361950</xdr:colOff>
                <xdr:row>38</xdr:row>
                <xdr:rowOff>0</xdr:rowOff>
              </to>
            </anchor>
          </controlPr>
        </control>
      </mc:Choice>
    </mc:AlternateContent>
    <mc:AlternateContent xmlns:mc="http://schemas.openxmlformats.org/markup-compatibility/2006">
      <mc:Choice Requires="x14">
        <control shapeId="22603" r:id="rId21" name="Drop Down 75">
          <controlPr locked="0" defaultSize="0" autoLine="0" autoPict="0" altText="">
            <anchor moveWithCells="1">
              <from>
                <xdr:col>12</xdr:col>
                <xdr:colOff>9525</xdr:colOff>
                <xdr:row>46</xdr:row>
                <xdr:rowOff>9525</xdr:rowOff>
              </from>
              <to>
                <xdr:col>13</xdr:col>
                <xdr:colOff>352425</xdr:colOff>
                <xdr:row>46</xdr:row>
                <xdr:rowOff>190500</xdr:rowOff>
              </to>
            </anchor>
          </controlPr>
        </control>
      </mc:Choice>
    </mc:AlternateContent>
    <mc:AlternateContent xmlns:mc="http://schemas.openxmlformats.org/markup-compatibility/2006">
      <mc:Choice Requires="x14">
        <control shapeId="22604" r:id="rId22" name="Drop Down 76">
          <controlPr locked="0" defaultSize="0" autoLine="0" autoPict="0" altText="">
            <anchor moveWithCells="1">
              <from>
                <xdr:col>12</xdr:col>
                <xdr:colOff>9525</xdr:colOff>
                <xdr:row>47</xdr:row>
                <xdr:rowOff>9525</xdr:rowOff>
              </from>
              <to>
                <xdr:col>13</xdr:col>
                <xdr:colOff>352425</xdr:colOff>
                <xdr:row>47</xdr:row>
                <xdr:rowOff>190500</xdr:rowOff>
              </to>
            </anchor>
          </controlPr>
        </control>
      </mc:Choice>
    </mc:AlternateContent>
    <mc:AlternateContent xmlns:mc="http://schemas.openxmlformats.org/markup-compatibility/2006">
      <mc:Choice Requires="x14">
        <control shapeId="22605" r:id="rId23" name="Drop Down 77">
          <controlPr locked="0" defaultSize="0" autoLine="0" autoPict="0" altText="">
            <anchor moveWithCells="1">
              <from>
                <xdr:col>12</xdr:col>
                <xdr:colOff>19050</xdr:colOff>
                <xdr:row>38</xdr:row>
                <xdr:rowOff>19050</xdr:rowOff>
              </from>
              <to>
                <xdr:col>13</xdr:col>
                <xdr:colOff>361950</xdr:colOff>
                <xdr:row>39</xdr:row>
                <xdr:rowOff>0</xdr:rowOff>
              </to>
            </anchor>
          </controlPr>
        </control>
      </mc:Choice>
    </mc:AlternateContent>
    <mc:AlternateContent xmlns:mc="http://schemas.openxmlformats.org/markup-compatibility/2006">
      <mc:Choice Requires="x14">
        <control shapeId="22606" r:id="rId24" name="Drop Down 78">
          <controlPr locked="0" defaultSize="0" autoLine="0" autoPict="0" altText="">
            <anchor moveWithCells="1">
              <from>
                <xdr:col>12</xdr:col>
                <xdr:colOff>9525</xdr:colOff>
                <xdr:row>45</xdr:row>
                <xdr:rowOff>9525</xdr:rowOff>
              </from>
              <to>
                <xdr:col>13</xdr:col>
                <xdr:colOff>352425</xdr:colOff>
                <xdr:row>45</xdr:row>
                <xdr:rowOff>190500</xdr:rowOff>
              </to>
            </anchor>
          </controlPr>
        </control>
      </mc:Choice>
    </mc:AlternateContent>
    <mc:AlternateContent xmlns:mc="http://schemas.openxmlformats.org/markup-compatibility/2006">
      <mc:Choice Requires="x14">
        <control shapeId="22611" r:id="rId25" name="Drop Down 83">
          <controlPr locked="0" defaultSize="0" autoLine="0" autoPict="0" altText="">
            <anchor moveWithCells="1">
              <from>
                <xdr:col>12</xdr:col>
                <xdr:colOff>9525</xdr:colOff>
                <xdr:row>59</xdr:row>
                <xdr:rowOff>0</xdr:rowOff>
              </from>
              <to>
                <xdr:col>13</xdr:col>
                <xdr:colOff>352425</xdr:colOff>
                <xdr:row>59</xdr:row>
                <xdr:rowOff>180975</xdr:rowOff>
              </to>
            </anchor>
          </controlPr>
        </control>
      </mc:Choice>
    </mc:AlternateContent>
    <mc:AlternateContent xmlns:mc="http://schemas.openxmlformats.org/markup-compatibility/2006">
      <mc:Choice Requires="x14">
        <control shapeId="22612" r:id="rId26" name="Drop Down 84">
          <controlPr locked="0" defaultSize="0" autoLine="0" autoPict="0" altText="">
            <anchor moveWithCells="1">
              <from>
                <xdr:col>12</xdr:col>
                <xdr:colOff>9525</xdr:colOff>
                <xdr:row>60</xdr:row>
                <xdr:rowOff>0</xdr:rowOff>
              </from>
              <to>
                <xdr:col>13</xdr:col>
                <xdr:colOff>352425</xdr:colOff>
                <xdr:row>60</xdr:row>
                <xdr:rowOff>180975</xdr:rowOff>
              </to>
            </anchor>
          </controlPr>
        </control>
      </mc:Choice>
    </mc:AlternateContent>
    <mc:AlternateContent xmlns:mc="http://schemas.openxmlformats.org/markup-compatibility/2006">
      <mc:Choice Requires="x14">
        <control shapeId="22613" r:id="rId27" name="Drop Down 85">
          <controlPr locked="0" defaultSize="0" autoLine="0" autoPict="0" altText="">
            <anchor moveWithCells="1">
              <from>
                <xdr:col>12</xdr:col>
                <xdr:colOff>9525</xdr:colOff>
                <xdr:row>61</xdr:row>
                <xdr:rowOff>0</xdr:rowOff>
              </from>
              <to>
                <xdr:col>13</xdr:col>
                <xdr:colOff>352425</xdr:colOff>
                <xdr:row>61</xdr:row>
                <xdr:rowOff>180975</xdr:rowOff>
              </to>
            </anchor>
          </controlPr>
        </control>
      </mc:Choice>
    </mc:AlternateContent>
    <mc:AlternateContent xmlns:mc="http://schemas.openxmlformats.org/markup-compatibility/2006">
      <mc:Choice Requires="x14">
        <control shapeId="22614" r:id="rId28" name="Drop Down 86">
          <controlPr locked="0" defaultSize="0" autoLine="0" autoPict="0" altText="">
            <anchor moveWithCells="1">
              <from>
                <xdr:col>12</xdr:col>
                <xdr:colOff>9525</xdr:colOff>
                <xdr:row>62</xdr:row>
                <xdr:rowOff>0</xdr:rowOff>
              </from>
              <to>
                <xdr:col>13</xdr:col>
                <xdr:colOff>352425</xdr:colOff>
                <xdr:row>62</xdr:row>
                <xdr:rowOff>180975</xdr:rowOff>
              </to>
            </anchor>
          </controlPr>
        </control>
      </mc:Choice>
    </mc:AlternateContent>
    <mc:AlternateContent xmlns:mc="http://schemas.openxmlformats.org/markup-compatibility/2006">
      <mc:Choice Requires="x14">
        <control shapeId="22615" r:id="rId29" name="Drop Down 87">
          <controlPr locked="0" defaultSize="0" autoLine="0" autoPict="0" altText="">
            <anchor moveWithCells="1">
              <from>
                <xdr:col>12</xdr:col>
                <xdr:colOff>9525</xdr:colOff>
                <xdr:row>63</xdr:row>
                <xdr:rowOff>0</xdr:rowOff>
              </from>
              <to>
                <xdr:col>13</xdr:col>
                <xdr:colOff>352425</xdr:colOff>
                <xdr:row>63</xdr:row>
                <xdr:rowOff>180975</xdr:rowOff>
              </to>
            </anchor>
          </controlPr>
        </control>
      </mc:Choice>
    </mc:AlternateContent>
    <mc:AlternateContent xmlns:mc="http://schemas.openxmlformats.org/markup-compatibility/2006">
      <mc:Choice Requires="x14">
        <control shapeId="22616" r:id="rId30" name="Drop Down 88">
          <controlPr locked="0" defaultSize="0" autoLine="0" autoPict="0" altText="">
            <anchor moveWithCells="1">
              <from>
                <xdr:col>12</xdr:col>
                <xdr:colOff>9525</xdr:colOff>
                <xdr:row>64</xdr:row>
                <xdr:rowOff>0</xdr:rowOff>
              </from>
              <to>
                <xdr:col>13</xdr:col>
                <xdr:colOff>352425</xdr:colOff>
                <xdr:row>64</xdr:row>
                <xdr:rowOff>180975</xdr:rowOff>
              </to>
            </anchor>
          </controlPr>
        </control>
      </mc:Choice>
    </mc:AlternateContent>
    <mc:AlternateContent xmlns:mc="http://schemas.openxmlformats.org/markup-compatibility/2006">
      <mc:Choice Requires="x14">
        <control shapeId="22617" r:id="rId31" name="Drop Down 89">
          <controlPr locked="0" defaultSize="0" autoLine="0" autoPict="0" altText="">
            <anchor moveWithCells="1">
              <from>
                <xdr:col>12</xdr:col>
                <xdr:colOff>0</xdr:colOff>
                <xdr:row>65</xdr:row>
                <xdr:rowOff>28575</xdr:rowOff>
              </from>
              <to>
                <xdr:col>13</xdr:col>
                <xdr:colOff>342900</xdr:colOff>
                <xdr:row>66</xdr:row>
                <xdr:rowOff>9525</xdr:rowOff>
              </to>
            </anchor>
          </controlPr>
        </control>
      </mc:Choice>
    </mc:AlternateContent>
    <mc:AlternateContent xmlns:mc="http://schemas.openxmlformats.org/markup-compatibility/2006">
      <mc:Choice Requires="x14">
        <control shapeId="22618" r:id="rId32" name="Drop Down 90">
          <controlPr locked="0" defaultSize="0" autoLine="0" autoPict="0" altText="">
            <anchor moveWithCells="1">
              <from>
                <xdr:col>12</xdr:col>
                <xdr:colOff>0</xdr:colOff>
                <xdr:row>66</xdr:row>
                <xdr:rowOff>28575</xdr:rowOff>
              </from>
              <to>
                <xdr:col>13</xdr:col>
                <xdr:colOff>342900</xdr:colOff>
                <xdr:row>67</xdr:row>
                <xdr:rowOff>9525</xdr:rowOff>
              </to>
            </anchor>
          </controlPr>
        </control>
      </mc:Choice>
    </mc:AlternateContent>
    <mc:AlternateContent xmlns:mc="http://schemas.openxmlformats.org/markup-compatibility/2006">
      <mc:Choice Requires="x14">
        <control shapeId="22619" r:id="rId33" name="Drop Down 91">
          <controlPr locked="0" defaultSize="0" autoLine="0" autoPict="0" altText="">
            <anchor moveWithCells="1">
              <from>
                <xdr:col>12</xdr:col>
                <xdr:colOff>9525</xdr:colOff>
                <xdr:row>68</xdr:row>
                <xdr:rowOff>0</xdr:rowOff>
              </from>
              <to>
                <xdr:col>13</xdr:col>
                <xdr:colOff>352425</xdr:colOff>
                <xdr:row>68</xdr:row>
                <xdr:rowOff>180975</xdr:rowOff>
              </to>
            </anchor>
          </controlPr>
        </control>
      </mc:Choice>
    </mc:AlternateContent>
    <mc:AlternateContent xmlns:mc="http://schemas.openxmlformats.org/markup-compatibility/2006">
      <mc:Choice Requires="x14">
        <control shapeId="22620" r:id="rId34" name="Drop Down 92">
          <controlPr locked="0" defaultSize="0" autoLine="0" autoPict="0" altText="">
            <anchor moveWithCells="1">
              <from>
                <xdr:col>12</xdr:col>
                <xdr:colOff>9525</xdr:colOff>
                <xdr:row>68</xdr:row>
                <xdr:rowOff>190500</xdr:rowOff>
              </from>
              <to>
                <xdr:col>13</xdr:col>
                <xdr:colOff>352425</xdr:colOff>
                <xdr:row>69</xdr:row>
                <xdr:rowOff>171450</xdr:rowOff>
              </to>
            </anchor>
          </controlPr>
        </control>
      </mc:Choice>
    </mc:AlternateContent>
    <mc:AlternateContent xmlns:mc="http://schemas.openxmlformats.org/markup-compatibility/2006">
      <mc:Choice Requires="x14">
        <control shapeId="22621" r:id="rId35" name="Drop Down 93">
          <controlPr locked="0" defaultSize="0" autoLine="0" autoPict="0" altText="">
            <anchor moveWithCells="1">
              <from>
                <xdr:col>12</xdr:col>
                <xdr:colOff>9525</xdr:colOff>
                <xdr:row>83</xdr:row>
                <xdr:rowOff>19050</xdr:rowOff>
              </from>
              <to>
                <xdr:col>13</xdr:col>
                <xdr:colOff>352425</xdr:colOff>
                <xdr:row>84</xdr:row>
                <xdr:rowOff>0</xdr:rowOff>
              </to>
            </anchor>
          </controlPr>
        </control>
      </mc:Choice>
    </mc:AlternateContent>
    <mc:AlternateContent xmlns:mc="http://schemas.openxmlformats.org/markup-compatibility/2006">
      <mc:Choice Requires="x14">
        <control shapeId="22622" r:id="rId36" name="Drop Down 94">
          <controlPr locked="0" defaultSize="0" autoLine="0" autoPict="0" altText="">
            <anchor moveWithCells="1">
              <from>
                <xdr:col>12</xdr:col>
                <xdr:colOff>9525</xdr:colOff>
                <xdr:row>85</xdr:row>
                <xdr:rowOff>0</xdr:rowOff>
              </from>
              <to>
                <xdr:col>13</xdr:col>
                <xdr:colOff>352425</xdr:colOff>
                <xdr:row>85</xdr:row>
                <xdr:rowOff>180975</xdr:rowOff>
              </to>
            </anchor>
          </controlPr>
        </control>
      </mc:Choice>
    </mc:AlternateContent>
    <mc:AlternateContent xmlns:mc="http://schemas.openxmlformats.org/markup-compatibility/2006">
      <mc:Choice Requires="x14">
        <control shapeId="22623" r:id="rId37" name="Drop Down 95">
          <controlPr locked="0" defaultSize="0" autoLine="0" autoPict="0" altText="">
            <anchor moveWithCells="1">
              <from>
                <xdr:col>12</xdr:col>
                <xdr:colOff>9525</xdr:colOff>
                <xdr:row>88</xdr:row>
                <xdr:rowOff>0</xdr:rowOff>
              </from>
              <to>
                <xdr:col>13</xdr:col>
                <xdr:colOff>352425</xdr:colOff>
                <xdr:row>88</xdr:row>
                <xdr:rowOff>180975</xdr:rowOff>
              </to>
            </anchor>
          </controlPr>
        </control>
      </mc:Choice>
    </mc:AlternateContent>
    <mc:AlternateContent xmlns:mc="http://schemas.openxmlformats.org/markup-compatibility/2006">
      <mc:Choice Requires="x14">
        <control shapeId="22624" r:id="rId38" name="Drop Down 96">
          <controlPr locked="0" defaultSize="0" autoLine="0" autoPict="0" altText="">
            <anchor moveWithCells="1">
              <from>
                <xdr:col>12</xdr:col>
                <xdr:colOff>9525</xdr:colOff>
                <xdr:row>93</xdr:row>
                <xdr:rowOff>0</xdr:rowOff>
              </from>
              <to>
                <xdr:col>13</xdr:col>
                <xdr:colOff>352425</xdr:colOff>
                <xdr:row>93</xdr:row>
                <xdr:rowOff>180975</xdr:rowOff>
              </to>
            </anchor>
          </controlPr>
        </control>
      </mc:Choice>
    </mc:AlternateContent>
    <mc:AlternateContent xmlns:mc="http://schemas.openxmlformats.org/markup-compatibility/2006">
      <mc:Choice Requires="x14">
        <control shapeId="22625" r:id="rId39" name="Drop Down 97">
          <controlPr locked="0" defaultSize="0" autoLine="0" autoPict="0" altText="">
            <anchor moveWithCells="1">
              <from>
                <xdr:col>12</xdr:col>
                <xdr:colOff>9525</xdr:colOff>
                <xdr:row>94</xdr:row>
                <xdr:rowOff>0</xdr:rowOff>
              </from>
              <to>
                <xdr:col>13</xdr:col>
                <xdr:colOff>352425</xdr:colOff>
                <xdr:row>94</xdr:row>
                <xdr:rowOff>180975</xdr:rowOff>
              </to>
            </anchor>
          </controlPr>
        </control>
      </mc:Choice>
    </mc:AlternateContent>
    <mc:AlternateContent xmlns:mc="http://schemas.openxmlformats.org/markup-compatibility/2006">
      <mc:Choice Requires="x14">
        <control shapeId="22626" r:id="rId40" name="Drop Down 98">
          <controlPr locked="0" defaultSize="0" autoLine="0" autoPict="0" altText="">
            <anchor moveWithCells="1">
              <from>
                <xdr:col>12</xdr:col>
                <xdr:colOff>9525</xdr:colOff>
                <xdr:row>99</xdr:row>
                <xdr:rowOff>9525</xdr:rowOff>
              </from>
              <to>
                <xdr:col>13</xdr:col>
                <xdr:colOff>352425</xdr:colOff>
                <xdr:row>99</xdr:row>
                <xdr:rowOff>190500</xdr:rowOff>
              </to>
            </anchor>
          </controlPr>
        </control>
      </mc:Choice>
    </mc:AlternateContent>
    <mc:AlternateContent xmlns:mc="http://schemas.openxmlformats.org/markup-compatibility/2006">
      <mc:Choice Requires="x14">
        <control shapeId="22627" r:id="rId41" name="Drop Down 99">
          <controlPr locked="0" defaultSize="0" autoLine="0" autoPict="0" altText="">
            <anchor moveWithCells="1">
              <from>
                <xdr:col>12</xdr:col>
                <xdr:colOff>9525</xdr:colOff>
                <xdr:row>103</xdr:row>
                <xdr:rowOff>0</xdr:rowOff>
              </from>
              <to>
                <xdr:col>13</xdr:col>
                <xdr:colOff>352425</xdr:colOff>
                <xdr:row>103</xdr:row>
                <xdr:rowOff>180975</xdr:rowOff>
              </to>
            </anchor>
          </controlPr>
        </control>
      </mc:Choice>
    </mc:AlternateContent>
    <mc:AlternateContent xmlns:mc="http://schemas.openxmlformats.org/markup-compatibility/2006">
      <mc:Choice Requires="x14">
        <control shapeId="22631" r:id="rId42" name="Drop Down 103">
          <controlPr locked="0" defaultSize="0" autoLine="0" autoPict="0" altText="">
            <anchor moveWithCells="1">
              <from>
                <xdr:col>12</xdr:col>
                <xdr:colOff>19050</xdr:colOff>
                <xdr:row>29</xdr:row>
                <xdr:rowOff>19050</xdr:rowOff>
              </from>
              <to>
                <xdr:col>13</xdr:col>
                <xdr:colOff>361950</xdr:colOff>
                <xdr:row>30</xdr:row>
                <xdr:rowOff>0</xdr:rowOff>
              </to>
            </anchor>
          </controlPr>
        </control>
      </mc:Choice>
    </mc:AlternateContent>
    <mc:AlternateContent xmlns:mc="http://schemas.openxmlformats.org/markup-compatibility/2006">
      <mc:Choice Requires="x14">
        <control shapeId="22640" r:id="rId43" name="Drop Down 112">
          <controlPr locked="0" defaultSize="0" autoLine="0" autoPict="0" altText="">
            <anchor moveWithCells="1">
              <from>
                <xdr:col>12</xdr:col>
                <xdr:colOff>0</xdr:colOff>
                <xdr:row>50</xdr:row>
                <xdr:rowOff>9525</xdr:rowOff>
              </from>
              <to>
                <xdr:col>13</xdr:col>
                <xdr:colOff>342900</xdr:colOff>
                <xdr:row>50</xdr:row>
                <xdr:rowOff>190500</xdr:rowOff>
              </to>
            </anchor>
          </controlPr>
        </control>
      </mc:Choice>
    </mc:AlternateContent>
    <mc:AlternateContent xmlns:mc="http://schemas.openxmlformats.org/markup-compatibility/2006">
      <mc:Choice Requires="x14">
        <control shapeId="22718" r:id="rId44" name="Drop Down 190">
          <controlPr locked="0" defaultSize="0" autoLine="0" autoPict="0" altText="">
            <anchor moveWithCells="1">
              <from>
                <xdr:col>12</xdr:col>
                <xdr:colOff>0</xdr:colOff>
                <xdr:row>51</xdr:row>
                <xdr:rowOff>0</xdr:rowOff>
              </from>
              <to>
                <xdr:col>13</xdr:col>
                <xdr:colOff>342900</xdr:colOff>
                <xdr:row>51</xdr:row>
                <xdr:rowOff>180975</xdr:rowOff>
              </to>
            </anchor>
          </controlPr>
        </control>
      </mc:Choice>
    </mc:AlternateContent>
    <mc:AlternateContent xmlns:mc="http://schemas.openxmlformats.org/markup-compatibility/2006">
      <mc:Choice Requires="x14">
        <control shapeId="22734" r:id="rId45" name="Drop Down 206">
          <controlPr locked="0" defaultSize="0" autoLine="0" autoPict="0" altText="">
            <anchor moveWithCells="1">
              <from>
                <xdr:col>12</xdr:col>
                <xdr:colOff>0</xdr:colOff>
                <xdr:row>52</xdr:row>
                <xdr:rowOff>0</xdr:rowOff>
              </from>
              <to>
                <xdr:col>13</xdr:col>
                <xdr:colOff>342900</xdr:colOff>
                <xdr:row>52</xdr:row>
                <xdr:rowOff>180975</xdr:rowOff>
              </to>
            </anchor>
          </controlPr>
        </control>
      </mc:Choice>
    </mc:AlternateContent>
    <mc:AlternateContent xmlns:mc="http://schemas.openxmlformats.org/markup-compatibility/2006">
      <mc:Choice Requires="x14">
        <control shapeId="22751" r:id="rId46" name="Drop Down 223">
          <controlPr locked="0" defaultSize="0" autoLine="0" autoPict="0" altText="">
            <anchor moveWithCells="1">
              <from>
                <xdr:col>12</xdr:col>
                <xdr:colOff>0</xdr:colOff>
                <xdr:row>52</xdr:row>
                <xdr:rowOff>190500</xdr:rowOff>
              </from>
              <to>
                <xdr:col>13</xdr:col>
                <xdr:colOff>342900</xdr:colOff>
                <xdr:row>53</xdr:row>
                <xdr:rowOff>171450</xdr:rowOff>
              </to>
            </anchor>
          </controlPr>
        </control>
      </mc:Choice>
    </mc:AlternateContent>
    <mc:AlternateContent xmlns:mc="http://schemas.openxmlformats.org/markup-compatibility/2006">
      <mc:Choice Requires="x14">
        <control shapeId="22769" r:id="rId47" name="Drop Down 241">
          <controlPr locked="0" defaultSize="0" autoLine="0" autoPict="0" altText="">
            <anchor moveWithCells="1">
              <from>
                <xdr:col>12</xdr:col>
                <xdr:colOff>0</xdr:colOff>
                <xdr:row>54</xdr:row>
                <xdr:rowOff>190500</xdr:rowOff>
              </from>
              <to>
                <xdr:col>13</xdr:col>
                <xdr:colOff>342900</xdr:colOff>
                <xdr:row>55</xdr:row>
                <xdr:rowOff>171450</xdr:rowOff>
              </to>
            </anchor>
          </controlPr>
        </control>
      </mc:Choice>
    </mc:AlternateContent>
    <mc:AlternateContent xmlns:mc="http://schemas.openxmlformats.org/markup-compatibility/2006">
      <mc:Choice Requires="x14">
        <control shapeId="22788" r:id="rId48" name="Drop Down 260">
          <controlPr locked="0" defaultSize="0" autoLine="0" autoPict="0" altText="">
            <anchor moveWithCells="1">
              <from>
                <xdr:col>12</xdr:col>
                <xdr:colOff>0</xdr:colOff>
                <xdr:row>55</xdr:row>
                <xdr:rowOff>190500</xdr:rowOff>
              </from>
              <to>
                <xdr:col>13</xdr:col>
                <xdr:colOff>342900</xdr:colOff>
                <xdr:row>56</xdr:row>
                <xdr:rowOff>171450</xdr:rowOff>
              </to>
            </anchor>
          </controlPr>
        </control>
      </mc:Choice>
    </mc:AlternateContent>
    <mc:AlternateContent xmlns:mc="http://schemas.openxmlformats.org/markup-compatibility/2006">
      <mc:Choice Requires="x14">
        <control shapeId="22818" r:id="rId49" name="Drop Down 290">
          <controlPr locked="0" defaultSize="0" autoLine="0" autoPict="0" altText="">
            <anchor moveWithCells="1">
              <from>
                <xdr:col>12</xdr:col>
                <xdr:colOff>9525</xdr:colOff>
                <xdr:row>106</xdr:row>
                <xdr:rowOff>0</xdr:rowOff>
              </from>
              <to>
                <xdr:col>13</xdr:col>
                <xdr:colOff>352425</xdr:colOff>
                <xdr:row>106</xdr:row>
                <xdr:rowOff>180975</xdr:rowOff>
              </to>
            </anchor>
          </controlPr>
        </control>
      </mc:Choice>
    </mc:AlternateContent>
    <mc:AlternateContent xmlns:mc="http://schemas.openxmlformats.org/markup-compatibility/2006">
      <mc:Choice Requires="x14">
        <control shapeId="22820" r:id="rId50" name="Drop Down 292">
          <controlPr defaultSize="0" autoLine="0" autoPict="0">
            <anchor moveWithCells="1">
              <from>
                <xdr:col>1</xdr:col>
                <xdr:colOff>0</xdr:colOff>
                <xdr:row>4</xdr:row>
                <xdr:rowOff>9525</xdr:rowOff>
              </from>
              <to>
                <xdr:col>2</xdr:col>
                <xdr:colOff>895350</xdr:colOff>
                <xdr:row>5</xdr:row>
                <xdr:rowOff>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F9667-C8CC-470F-A890-9D1BFD920CF4}">
  <sheetPr codeName="Blad7"/>
  <dimension ref="A1:AL142"/>
  <sheetViews>
    <sheetView workbookViewId="0">
      <selection activeCell="B10" sqref="B10"/>
    </sheetView>
  </sheetViews>
  <sheetFormatPr defaultRowHeight="14.25" x14ac:dyDescent="0.45"/>
  <cols>
    <col min="3" max="3" width="15.265625" customWidth="1"/>
    <col min="4" max="4" width="39.86328125" customWidth="1"/>
    <col min="5" max="5" width="15.86328125" customWidth="1"/>
    <col min="6" max="6" width="11.265625" customWidth="1"/>
    <col min="7" max="7" width="12.86328125" customWidth="1"/>
    <col min="8" max="8" width="12.73046875" customWidth="1"/>
    <col min="9" max="9" width="12.3984375" customWidth="1"/>
    <col min="10" max="10" width="11.1328125" customWidth="1"/>
    <col min="11" max="11" width="13.86328125" customWidth="1"/>
    <col min="12" max="12" width="13.86328125" style="17" customWidth="1"/>
    <col min="13" max="13" width="8" style="17" customWidth="1"/>
    <col min="14" max="14" width="5.73046875" style="844" customWidth="1"/>
    <col min="15" max="22" width="13.86328125" customWidth="1"/>
    <col min="23" max="23" width="11.86328125" style="340" customWidth="1"/>
    <col min="24" max="26" width="9.1328125" style="340"/>
    <col min="27" max="27" width="10.73046875" style="340" customWidth="1"/>
    <col min="28" max="28" width="9.1328125" style="340"/>
    <col min="29" max="29" width="7.265625" style="340" customWidth="1"/>
  </cols>
  <sheetData>
    <row r="1" spans="2:31" ht="14.65" thickBot="1" x14ac:dyDescent="0.5">
      <c r="O1" s="17"/>
    </row>
    <row r="2" spans="2:31" ht="14.65" thickBot="1" x14ac:dyDescent="0.5">
      <c r="F2" s="1177" t="s">
        <v>390</v>
      </c>
      <c r="G2" s="1182"/>
      <c r="H2" s="1182"/>
      <c r="I2" s="1182"/>
      <c r="J2" s="1182"/>
      <c r="K2" s="1178"/>
      <c r="L2" s="788"/>
      <c r="M2" s="1177" t="s">
        <v>392</v>
      </c>
      <c r="N2" s="1178"/>
      <c r="O2" s="17"/>
      <c r="P2" s="1177" t="s">
        <v>391</v>
      </c>
      <c r="Q2" s="1182"/>
      <c r="R2" s="1182"/>
      <c r="S2" s="1182"/>
      <c r="T2" s="1182"/>
      <c r="U2" s="1178"/>
      <c r="V2" s="788"/>
      <c r="W2" s="1177" t="s">
        <v>490</v>
      </c>
      <c r="X2" s="1182"/>
      <c r="Y2" s="1182"/>
      <c r="Z2" s="1182"/>
      <c r="AA2" s="1182"/>
      <c r="AB2" s="1182"/>
      <c r="AC2" s="1178"/>
      <c r="AD2" s="788"/>
      <c r="AE2" s="788"/>
    </row>
    <row r="3" spans="2:31" ht="14.65" thickBot="1" x14ac:dyDescent="0.5">
      <c r="D3" s="44" t="s">
        <v>160</v>
      </c>
      <c r="E3" s="452"/>
      <c r="F3" s="1177" t="s">
        <v>7</v>
      </c>
      <c r="G3" s="1182"/>
      <c r="H3" s="1182"/>
      <c r="I3" s="1178"/>
      <c r="J3" s="1177" t="s">
        <v>31</v>
      </c>
      <c r="K3" s="1178"/>
      <c r="L3" s="788"/>
      <c r="M3" s="788"/>
      <c r="N3" s="872"/>
      <c r="O3" s="788"/>
      <c r="P3" s="1177" t="s">
        <v>7</v>
      </c>
      <c r="Q3" s="1182"/>
      <c r="R3" s="1182"/>
      <c r="S3" s="1178"/>
      <c r="T3" s="1177" t="s">
        <v>31</v>
      </c>
      <c r="U3" s="1178"/>
      <c r="V3" s="788"/>
      <c r="W3" s="872"/>
      <c r="X3" s="872"/>
    </row>
    <row r="4" spans="2:31" ht="28.9" thickBot="1" x14ac:dyDescent="0.5">
      <c r="D4" s="92"/>
      <c r="E4" s="92"/>
      <c r="F4" s="487" t="s">
        <v>130</v>
      </c>
      <c r="G4" s="139" t="s">
        <v>66</v>
      </c>
      <c r="H4" s="438">
        <v>2035</v>
      </c>
      <c r="I4" s="139">
        <v>2050</v>
      </c>
      <c r="J4" s="251">
        <v>2035</v>
      </c>
      <c r="K4" s="251">
        <v>2050</v>
      </c>
      <c r="L4" s="470"/>
      <c r="M4" s="1177" t="s">
        <v>390</v>
      </c>
      <c r="N4" s="1178"/>
      <c r="O4" s="470"/>
      <c r="P4" s="487" t="s">
        <v>130</v>
      </c>
      <c r="Q4" s="139" t="s">
        <v>66</v>
      </c>
      <c r="R4" s="438">
        <v>2035</v>
      </c>
      <c r="S4" s="139">
        <v>2050</v>
      </c>
      <c r="T4" s="251">
        <v>2035</v>
      </c>
      <c r="U4" s="251">
        <v>2050</v>
      </c>
      <c r="V4" s="470"/>
      <c r="W4" s="874" t="s">
        <v>386</v>
      </c>
      <c r="X4" s="470"/>
      <c r="Y4" s="874" t="s">
        <v>308</v>
      </c>
      <c r="Z4" s="338"/>
      <c r="AA4" s="874" t="s">
        <v>216</v>
      </c>
      <c r="AB4" s="338"/>
      <c r="AC4" s="874" t="s">
        <v>217</v>
      </c>
    </row>
    <row r="5" spans="2:31" ht="14.65" thickBot="1" x14ac:dyDescent="0.5">
      <c r="B5" t="s">
        <v>387</v>
      </c>
      <c r="D5" s="428" t="s">
        <v>241</v>
      </c>
      <c r="E5" s="105"/>
      <c r="F5" s="459"/>
      <c r="G5" s="459"/>
      <c r="H5" s="459"/>
      <c r="I5" s="459"/>
      <c r="J5" s="470"/>
      <c r="K5" s="470"/>
      <c r="L5" s="470"/>
      <c r="M5" s="11"/>
      <c r="N5" s="340"/>
      <c r="O5" s="470"/>
      <c r="P5" s="459"/>
      <c r="Q5" s="459"/>
      <c r="R5" s="459"/>
      <c r="S5" s="459"/>
      <c r="T5" s="470"/>
      <c r="U5" s="470"/>
      <c r="V5" s="470"/>
      <c r="W5" s="873"/>
      <c r="X5" s="873"/>
    </row>
    <row r="6" spans="2:31" ht="14.65" thickBot="1" x14ac:dyDescent="0.5">
      <c r="B6" t="s">
        <v>388</v>
      </c>
      <c r="D6" s="145" t="s">
        <v>26</v>
      </c>
      <c r="E6" s="92" t="s">
        <v>25</v>
      </c>
      <c r="F6" s="537">
        <f>G6</f>
        <v>85</v>
      </c>
      <c r="G6" s="442">
        <f>Results!$D$3</f>
        <v>85</v>
      </c>
      <c r="H6" s="538">
        <f>G6</f>
        <v>85</v>
      </c>
      <c r="I6" s="538">
        <f>G6</f>
        <v>85</v>
      </c>
      <c r="J6" s="538">
        <f>G6</f>
        <v>85</v>
      </c>
      <c r="K6" s="538">
        <f>G6</f>
        <v>85</v>
      </c>
      <c r="L6" s="471"/>
      <c r="M6" s="230"/>
      <c r="N6" s="1117"/>
      <c r="O6" s="471"/>
      <c r="P6" s="811">
        <f>G6</f>
        <v>85</v>
      </c>
      <c r="Q6" s="442">
        <f>Results!$D$3</f>
        <v>85</v>
      </c>
      <c r="R6" s="538">
        <f>G6</f>
        <v>85</v>
      </c>
      <c r="S6" s="538">
        <f>G6</f>
        <v>85</v>
      </c>
      <c r="T6" s="538">
        <f>G6</f>
        <v>85</v>
      </c>
      <c r="U6" s="538">
        <f>G6</f>
        <v>85</v>
      </c>
      <c r="V6" s="471"/>
      <c r="W6" s="1103"/>
      <c r="X6" s="1105"/>
      <c r="Y6" s="1103"/>
      <c r="AA6" s="1103"/>
      <c r="AC6" s="1103"/>
    </row>
    <row r="7" spans="2:31" ht="14.65" thickBot="1" x14ac:dyDescent="0.5">
      <c r="B7" t="s">
        <v>389</v>
      </c>
      <c r="D7" s="145" t="s">
        <v>151</v>
      </c>
      <c r="E7" s="93" t="s">
        <v>36</v>
      </c>
      <c r="F7" s="469">
        <f>G7</f>
        <v>574</v>
      </c>
      <c r="G7" s="621">
        <f>Results!$D$4</f>
        <v>574</v>
      </c>
      <c r="H7" s="334">
        <f>G7</f>
        <v>574</v>
      </c>
      <c r="I7" s="334">
        <f>G7</f>
        <v>574</v>
      </c>
      <c r="J7" s="334">
        <f>G7</f>
        <v>574</v>
      </c>
      <c r="K7" s="334">
        <f>G7</f>
        <v>574</v>
      </c>
      <c r="L7" s="471"/>
      <c r="M7" s="794"/>
      <c r="N7" s="799"/>
      <c r="O7" s="471"/>
      <c r="P7" s="812">
        <f>G7</f>
        <v>574</v>
      </c>
      <c r="Q7" s="621">
        <f>Results!$D$4</f>
        <v>574</v>
      </c>
      <c r="R7" s="334">
        <f>G7</f>
        <v>574</v>
      </c>
      <c r="S7" s="334">
        <f>G7</f>
        <v>574</v>
      </c>
      <c r="T7" s="334">
        <f>G7</f>
        <v>574</v>
      </c>
      <c r="U7" s="334">
        <f>G7</f>
        <v>574</v>
      </c>
      <c r="V7" s="471"/>
      <c r="W7" s="400"/>
      <c r="X7" s="1105"/>
      <c r="Y7" s="400"/>
      <c r="AA7" s="400"/>
      <c r="AC7" s="400"/>
    </row>
    <row r="8" spans="2:31" ht="14.65" thickBot="1" x14ac:dyDescent="0.5">
      <c r="D8" s="677" t="s">
        <v>20</v>
      </c>
      <c r="E8" s="93" t="s">
        <v>24</v>
      </c>
      <c r="F8" s="486">
        <f>G8</f>
        <v>0.06</v>
      </c>
      <c r="G8" s="439">
        <f>Results!D5</f>
        <v>0.06</v>
      </c>
      <c r="H8" s="439">
        <f>G8</f>
        <v>0.06</v>
      </c>
      <c r="I8" s="439">
        <f>G8</f>
        <v>0.06</v>
      </c>
      <c r="J8" s="439">
        <f>G8</f>
        <v>0.06</v>
      </c>
      <c r="K8" s="439">
        <f>G8</f>
        <v>0.06</v>
      </c>
      <c r="L8" s="473"/>
      <c r="M8" s="795"/>
      <c r="N8" s="799"/>
      <c r="O8" s="473"/>
      <c r="P8" s="486">
        <f>Q8</f>
        <v>0.06</v>
      </c>
      <c r="Q8" s="439">
        <f>Results!D5</f>
        <v>0.06</v>
      </c>
      <c r="R8" s="439">
        <f>Q8</f>
        <v>0.06</v>
      </c>
      <c r="S8" s="439">
        <f>Q8</f>
        <v>0.06</v>
      </c>
      <c r="T8" s="439">
        <f>Q8</f>
        <v>0.06</v>
      </c>
      <c r="U8" s="439">
        <f>Q8</f>
        <v>0.06</v>
      </c>
      <c r="V8" s="473"/>
      <c r="W8" s="400"/>
      <c r="X8" s="1105"/>
      <c r="Y8" s="400"/>
      <c r="AA8" s="400"/>
      <c r="AC8" s="400"/>
    </row>
    <row r="9" spans="2:31" ht="14.65" thickBot="1" x14ac:dyDescent="0.5">
      <c r="D9" s="93" t="s">
        <v>242</v>
      </c>
      <c r="E9" s="93" t="s">
        <v>19</v>
      </c>
      <c r="F9" s="177">
        <v>27</v>
      </c>
      <c r="G9" s="647">
        <v>27</v>
      </c>
      <c r="H9" s="648">
        <v>30</v>
      </c>
      <c r="I9" s="649">
        <v>30</v>
      </c>
      <c r="J9" s="648">
        <v>30</v>
      </c>
      <c r="K9" s="649">
        <v>30</v>
      </c>
      <c r="L9" s="820"/>
      <c r="M9" s="843"/>
      <c r="N9" s="799"/>
      <c r="O9" s="820"/>
      <c r="P9" s="813">
        <v>27</v>
      </c>
      <c r="Q9" s="647">
        <v>27</v>
      </c>
      <c r="R9" s="648">
        <v>30</v>
      </c>
      <c r="S9" s="649">
        <v>45</v>
      </c>
      <c r="T9" s="648">
        <v>30</v>
      </c>
      <c r="U9" s="649">
        <v>30</v>
      </c>
      <c r="V9" s="820"/>
      <c r="W9" s="400"/>
      <c r="X9" s="1106"/>
      <c r="Y9" s="400"/>
      <c r="AA9" s="400"/>
      <c r="AC9" s="400"/>
    </row>
    <row r="10" spans="2:31" ht="14.65" thickBot="1" x14ac:dyDescent="0.5">
      <c r="D10" s="93" t="s">
        <v>310</v>
      </c>
      <c r="E10" s="93" t="s">
        <v>24</v>
      </c>
      <c r="F10" s="630">
        <f t="shared" ref="F10:K10" si="0">E270</f>
        <v>0</v>
      </c>
      <c r="G10" s="630">
        <f t="shared" si="0"/>
        <v>0</v>
      </c>
      <c r="H10" s="630">
        <f t="shared" si="0"/>
        <v>0</v>
      </c>
      <c r="I10" s="630">
        <f t="shared" si="0"/>
        <v>0</v>
      </c>
      <c r="J10" s="630">
        <f t="shared" si="0"/>
        <v>0</v>
      </c>
      <c r="K10" s="630">
        <f t="shared" si="0"/>
        <v>0</v>
      </c>
      <c r="L10" s="688"/>
      <c r="M10" s="796"/>
      <c r="N10" s="799"/>
      <c r="O10" s="688"/>
      <c r="P10" s="630">
        <f t="shared" ref="P10:U10" si="1">E270</f>
        <v>0</v>
      </c>
      <c r="Q10" s="630">
        <f t="shared" si="1"/>
        <v>0</v>
      </c>
      <c r="R10" s="630">
        <f t="shared" si="1"/>
        <v>0</v>
      </c>
      <c r="S10" s="630">
        <f t="shared" si="1"/>
        <v>0</v>
      </c>
      <c r="T10" s="630">
        <f t="shared" si="1"/>
        <v>0</v>
      </c>
      <c r="U10" s="630">
        <f t="shared" si="1"/>
        <v>0</v>
      </c>
      <c r="V10" s="688"/>
      <c r="W10" s="400"/>
      <c r="X10" s="1106"/>
      <c r="Y10" s="400"/>
      <c r="AA10" s="400"/>
      <c r="AC10" s="400"/>
    </row>
    <row r="11" spans="2:31" ht="14.65" thickBot="1" x14ac:dyDescent="0.5">
      <c r="D11" s="93" t="s">
        <v>243</v>
      </c>
      <c r="E11" s="92" t="s">
        <v>24</v>
      </c>
      <c r="F11" s="440">
        <v>0.51</v>
      </c>
      <c r="G11" s="650">
        <v>0.51</v>
      </c>
      <c r="H11" s="651">
        <v>0.54</v>
      </c>
      <c r="I11" s="650">
        <v>0.54</v>
      </c>
      <c r="J11" s="651">
        <v>0.65</v>
      </c>
      <c r="K11" s="650">
        <v>0.65</v>
      </c>
      <c r="L11" s="821"/>
      <c r="M11" s="1001"/>
      <c r="N11" s="799"/>
      <c r="O11" s="821"/>
      <c r="P11" s="814">
        <v>0.51</v>
      </c>
      <c r="Q11" s="650">
        <v>0.51</v>
      </c>
      <c r="R11" s="651">
        <v>0.54</v>
      </c>
      <c r="S11" s="650">
        <v>0.54</v>
      </c>
      <c r="T11" s="651">
        <v>0.65</v>
      </c>
      <c r="U11" s="650">
        <v>0.65</v>
      </c>
      <c r="V11" s="821"/>
      <c r="W11" s="400"/>
      <c r="X11" s="1107"/>
      <c r="Y11" s="400"/>
      <c r="AA11" s="400"/>
      <c r="AC11" s="400"/>
    </row>
    <row r="12" spans="2:31" ht="14.65" thickBot="1" x14ac:dyDescent="0.5">
      <c r="D12" s="431" t="s">
        <v>64</v>
      </c>
      <c r="E12" s="92" t="s">
        <v>135</v>
      </c>
      <c r="F12" s="129">
        <v>139</v>
      </c>
      <c r="G12" s="652">
        <v>139</v>
      </c>
      <c r="H12" s="550">
        <f ca="1">INDIRECT("'learning rates'!"&amp;ADDRESS(3+$M12,4))*(IF($M12&lt;6,G12,H12))</f>
        <v>139</v>
      </c>
      <c r="I12" s="550">
        <f ca="1">INDIRECT("'learning rates'!"&amp;ADDRESS(3+$M12,5))*(IF($M12&lt;6,G12,H12))</f>
        <v>139</v>
      </c>
      <c r="J12" s="550">
        <f ca="1">INDIRECT("'learning rates'!"&amp;ADDRESS(3+$M12,4))*(IF($M12&lt;6,G12,H12))</f>
        <v>139</v>
      </c>
      <c r="K12" s="550">
        <f ca="1">INDIRECT("'learning rates'!"&amp;ADDRESS(3+$M12,5))*(IF($M12&lt;6,G12,H12))</f>
        <v>139</v>
      </c>
      <c r="L12" s="822"/>
      <c r="M12" s="1001">
        <f>N12</f>
        <v>3</v>
      </c>
      <c r="N12" s="1118">
        <v>3</v>
      </c>
      <c r="O12" s="822"/>
      <c r="P12" s="815">
        <v>139</v>
      </c>
      <c r="Q12" s="652">
        <v>139</v>
      </c>
      <c r="R12" s="550">
        <f ca="1">INDIRECT("'learning rates'!"&amp;ADDRESS(3+$M12,4))*(IF($M12&lt;6,G12,H12))</f>
        <v>139</v>
      </c>
      <c r="S12" s="550">
        <f ca="1">INDIRECT("'learning rates'!"&amp;ADDRESS(3+$M12,5))*(IF($M12&lt;6,G12,H12))</f>
        <v>139</v>
      </c>
      <c r="T12" s="550">
        <f ca="1">INDIRECT("'learning rates'!"&amp;ADDRESS(3+$M12,4))*(IF($M12&lt;6,G12,H12))</f>
        <v>139</v>
      </c>
      <c r="U12" s="550">
        <f ca="1">INDIRECT("'learning rates'!"&amp;ADDRESS(3+$M12,5))*(IF($M12&lt;6,G12,H12))</f>
        <v>139</v>
      </c>
      <c r="V12" s="822"/>
      <c r="W12" s="400">
        <v>3</v>
      </c>
      <c r="X12" s="1107"/>
      <c r="Y12" s="400">
        <v>1</v>
      </c>
      <c r="AA12" s="400">
        <v>2</v>
      </c>
      <c r="AC12" s="400">
        <v>3</v>
      </c>
    </row>
    <row r="13" spans="2:31" ht="14.65" thickBot="1" x14ac:dyDescent="0.5">
      <c r="D13" s="1243" t="s">
        <v>43</v>
      </c>
      <c r="E13" s="92" t="s">
        <v>135</v>
      </c>
      <c r="F13" s="131">
        <v>246</v>
      </c>
      <c r="G13" s="652">
        <v>250</v>
      </c>
      <c r="H13" s="631"/>
      <c r="I13" s="632"/>
      <c r="J13" s="631"/>
      <c r="K13" s="632"/>
      <c r="L13" s="472"/>
      <c r="M13" s="1001"/>
      <c r="N13" s="1118"/>
      <c r="O13" s="472"/>
      <c r="P13" s="816">
        <v>246</v>
      </c>
      <c r="Q13" s="652">
        <v>250</v>
      </c>
      <c r="R13" s="631"/>
      <c r="S13" s="632"/>
      <c r="T13" s="631"/>
      <c r="U13" s="632"/>
      <c r="V13" s="472"/>
      <c r="W13" s="400"/>
      <c r="X13" s="1107"/>
      <c r="Y13" s="400"/>
      <c r="AA13" s="400"/>
      <c r="AC13" s="400"/>
    </row>
    <row r="14" spans="2:31" ht="14.65" thickBot="1" x14ac:dyDescent="0.5">
      <c r="D14" s="1244"/>
      <c r="E14" s="92" t="s">
        <v>129</v>
      </c>
      <c r="F14" s="443">
        <v>0.104</v>
      </c>
      <c r="G14" s="653">
        <v>0.104</v>
      </c>
      <c r="H14" s="520">
        <f ca="1">INDIRECT("'learning rates'!"&amp;ADDRESS(3+$M14,4))*(IF($M14&lt;6,G14,H14))</f>
        <v>0.104</v>
      </c>
      <c r="I14" s="520">
        <f ca="1">INDIRECT("'learning rates'!"&amp;ADDRESS(3+$M14,5))*(IF($M14&lt;6,G14,H14))</f>
        <v>0.104</v>
      </c>
      <c r="J14" s="520">
        <f ca="1">INDIRECT("'learning rates'!"&amp;ADDRESS(3+$M14,4))*(IF($M14&lt;6,G14,H14))</f>
        <v>0.104</v>
      </c>
      <c r="K14" s="520">
        <f ca="1">INDIRECT("'learning rates'!"&amp;ADDRESS(3+$M14,5))*(IF($M14&lt;6,G14,H14))</f>
        <v>0.104</v>
      </c>
      <c r="L14" s="473"/>
      <c r="M14" s="1001">
        <f>N14</f>
        <v>3</v>
      </c>
      <c r="N14" s="1118">
        <v>3</v>
      </c>
      <c r="O14" s="473"/>
      <c r="P14" s="443">
        <v>0.104</v>
      </c>
      <c r="Q14" s="653">
        <v>0.104</v>
      </c>
      <c r="R14" s="520">
        <f ca="1">INDIRECT("'learning rates'!"&amp;ADDRESS(3+$M14,4))*(IF($M14&lt;6,G14,H14))</f>
        <v>0.104</v>
      </c>
      <c r="S14" s="520">
        <f ca="1">INDIRECT("'learning rates'!"&amp;ADDRESS(3+$M14,5))*(IF($M14&lt;6,G14,H14))</f>
        <v>0.104</v>
      </c>
      <c r="T14" s="520">
        <f ca="1">INDIRECT("'learning rates'!"&amp;ADDRESS(3+$M14,4))*(IF($M14&lt;6,G14,H14))</f>
        <v>0.104</v>
      </c>
      <c r="U14" s="520">
        <f ca="1">INDIRECT("'learning rates'!"&amp;ADDRESS(3+$M14,5))*(IF($M14&lt;6,G14,H14))</f>
        <v>0.104</v>
      </c>
      <c r="V14" s="473"/>
      <c r="W14" s="400">
        <v>3</v>
      </c>
      <c r="X14" s="1108"/>
      <c r="Y14" s="400">
        <v>1</v>
      </c>
      <c r="AA14" s="400">
        <v>2</v>
      </c>
      <c r="AC14" s="400">
        <v>3</v>
      </c>
    </row>
    <row r="15" spans="2:31" ht="14.65" thickBot="1" x14ac:dyDescent="0.5">
      <c r="D15" s="677" t="s">
        <v>282</v>
      </c>
      <c r="E15" s="93" t="s">
        <v>95</v>
      </c>
      <c r="F15" s="466">
        <v>7.85</v>
      </c>
      <c r="G15" s="654">
        <v>7.85</v>
      </c>
      <c r="H15" s="467">
        <v>7.85</v>
      </c>
      <c r="I15" s="467">
        <v>7.85</v>
      </c>
      <c r="J15" s="467">
        <v>7.85</v>
      </c>
      <c r="K15" s="467">
        <v>7.85</v>
      </c>
      <c r="L15" s="474"/>
      <c r="M15" s="997"/>
      <c r="N15" s="801"/>
      <c r="O15" s="474"/>
      <c r="P15" s="817">
        <v>7.85</v>
      </c>
      <c r="Q15" s="654">
        <v>7.85</v>
      </c>
      <c r="R15" s="467">
        <v>7.85</v>
      </c>
      <c r="S15" s="467">
        <v>7.85</v>
      </c>
      <c r="T15" s="467">
        <v>7.85</v>
      </c>
      <c r="U15" s="467">
        <v>7.85</v>
      </c>
      <c r="V15" s="474"/>
      <c r="W15" s="1104"/>
      <c r="X15" s="1109"/>
      <c r="Y15" s="1104"/>
      <c r="AA15" s="1104"/>
      <c r="AC15" s="1104"/>
    </row>
    <row r="16" spans="2:31" ht="14.65" thickBot="1" x14ac:dyDescent="0.5">
      <c r="M16" s="547"/>
      <c r="N16" s="340"/>
      <c r="O16" s="17"/>
      <c r="V16" s="17"/>
      <c r="X16" s="1108"/>
    </row>
    <row r="17" spans="4:29" ht="14.65" thickBot="1" x14ac:dyDescent="0.5">
      <c r="D17" s="534" t="s">
        <v>292</v>
      </c>
      <c r="E17" s="105"/>
      <c r="F17" s="121"/>
      <c r="G17" s="676"/>
      <c r="H17" s="472"/>
      <c r="I17" s="472"/>
      <c r="J17" s="472"/>
      <c r="K17" s="472"/>
      <c r="L17" s="472"/>
      <c r="M17"/>
      <c r="N17" s="340"/>
      <c r="O17" s="472"/>
      <c r="P17" s="121"/>
      <c r="Q17" s="789"/>
      <c r="R17" s="472"/>
      <c r="S17" s="472"/>
      <c r="T17" s="472"/>
      <c r="U17" s="472"/>
      <c r="V17" s="472"/>
      <c r="X17" s="1107"/>
    </row>
    <row r="18" spans="4:29" ht="14.65" thickBot="1" x14ac:dyDescent="0.5">
      <c r="D18" s="478" t="s">
        <v>5</v>
      </c>
      <c r="E18" s="92" t="s">
        <v>44</v>
      </c>
      <c r="F18" s="481">
        <f t="shared" ref="F18:K18" si="2">F11*8760*1000</f>
        <v>4467600</v>
      </c>
      <c r="G18" s="481">
        <f t="shared" si="2"/>
        <v>4467600</v>
      </c>
      <c r="H18" s="481">
        <f t="shared" si="2"/>
        <v>4730400.0000000009</v>
      </c>
      <c r="I18" s="481">
        <f t="shared" si="2"/>
        <v>4730400.0000000009</v>
      </c>
      <c r="J18" s="481">
        <f t="shared" si="2"/>
        <v>5694000</v>
      </c>
      <c r="K18" s="481">
        <f t="shared" si="2"/>
        <v>5694000</v>
      </c>
      <c r="L18" s="823"/>
      <c r="M18"/>
      <c r="N18" s="340"/>
      <c r="O18" s="823"/>
      <c r="P18" s="481">
        <f>F11*8760*1000</f>
        <v>4467600</v>
      </c>
      <c r="Q18" s="481">
        <f t="shared" ref="Q18:U18" si="3">G11*8760*1000</f>
        <v>4467600</v>
      </c>
      <c r="R18" s="481">
        <f t="shared" si="3"/>
        <v>4730400.0000000009</v>
      </c>
      <c r="S18" s="481">
        <f t="shared" si="3"/>
        <v>4730400.0000000009</v>
      </c>
      <c r="T18" s="481">
        <f t="shared" si="3"/>
        <v>5694000</v>
      </c>
      <c r="U18" s="481">
        <f t="shared" si="3"/>
        <v>5694000</v>
      </c>
      <c r="V18" s="823"/>
      <c r="X18" s="1107"/>
    </row>
    <row r="19" spans="4:29" ht="14.65" thickBot="1" x14ac:dyDescent="0.5">
      <c r="D19" s="478" t="s">
        <v>42</v>
      </c>
      <c r="E19" s="92" t="s">
        <v>84</v>
      </c>
      <c r="F19" s="624"/>
      <c r="G19" s="625">
        <f>G18*3.6/141.8*G75</f>
        <v>85067.136812411831</v>
      </c>
      <c r="H19" s="625">
        <f t="shared" ref="H19:K19" si="4">H18*3.6/141.8*H75</f>
        <v>96075.825105782817</v>
      </c>
      <c r="I19" s="625">
        <f t="shared" si="4"/>
        <v>105082.93370944995</v>
      </c>
      <c r="J19" s="625">
        <f t="shared" si="4"/>
        <v>115646.82651622003</v>
      </c>
      <c r="K19" s="625">
        <f t="shared" si="4"/>
        <v>126488.71650211565</v>
      </c>
      <c r="L19" s="824"/>
      <c r="M19"/>
      <c r="N19" s="340"/>
      <c r="O19" s="824"/>
      <c r="P19" s="624"/>
      <c r="Q19" s="625">
        <f>G18*3.6/141.8*G75</f>
        <v>85067.136812411831</v>
      </c>
      <c r="R19" s="625">
        <f t="shared" ref="R19:U19" si="5">H18*3.6/141.8*H75</f>
        <v>96075.825105782817</v>
      </c>
      <c r="S19" s="625">
        <f t="shared" si="5"/>
        <v>105082.93370944995</v>
      </c>
      <c r="T19" s="625">
        <f t="shared" si="5"/>
        <v>115646.82651622003</v>
      </c>
      <c r="U19" s="625">
        <f t="shared" si="5"/>
        <v>126488.71650211565</v>
      </c>
      <c r="V19" s="824"/>
      <c r="X19" s="1107"/>
    </row>
    <row r="20" spans="4:29" ht="14.65" thickBot="1" x14ac:dyDescent="0.5">
      <c r="D20" s="478"/>
      <c r="E20" s="105"/>
      <c r="F20" s="404"/>
      <c r="G20" s="539"/>
      <c r="H20" s="536"/>
      <c r="I20" s="539"/>
      <c r="J20" s="539"/>
      <c r="K20" s="539"/>
      <c r="L20" s="536"/>
      <c r="M20"/>
      <c r="N20" s="340"/>
      <c r="O20" s="536"/>
      <c r="P20" s="404"/>
      <c r="Q20" s="539"/>
      <c r="R20" s="536"/>
      <c r="S20" s="539"/>
      <c r="T20" s="539"/>
      <c r="U20" s="539"/>
      <c r="V20" s="536"/>
      <c r="X20" s="1107"/>
    </row>
    <row r="21" spans="4:29" ht="14.65" thickBot="1" x14ac:dyDescent="0.5">
      <c r="D21" s="428" t="s">
        <v>6</v>
      </c>
      <c r="E21" s="105"/>
      <c r="F21" s="459"/>
      <c r="G21" s="459"/>
      <c r="H21" s="459"/>
      <c r="I21" s="459"/>
      <c r="J21" s="470"/>
      <c r="K21" s="470"/>
      <c r="L21" s="470"/>
      <c r="M21"/>
      <c r="N21" s="340"/>
      <c r="O21" s="470"/>
      <c r="P21" s="459"/>
      <c r="Q21" s="459"/>
      <c r="R21" s="459"/>
      <c r="S21" s="459"/>
      <c r="T21" s="470"/>
      <c r="U21" s="470"/>
      <c r="V21" s="470"/>
      <c r="X21" s="873"/>
    </row>
    <row r="22" spans="4:29" ht="14.65" thickBot="1" x14ac:dyDescent="0.5">
      <c r="D22" s="145" t="s">
        <v>255</v>
      </c>
      <c r="E22" s="92" t="s">
        <v>25</v>
      </c>
      <c r="F22" s="442">
        <v>164</v>
      </c>
      <c r="G22" s="655">
        <v>164</v>
      </c>
      <c r="H22" s="23">
        <v>164</v>
      </c>
      <c r="I22" s="23">
        <v>164</v>
      </c>
      <c r="J22" s="658">
        <v>252</v>
      </c>
      <c r="K22" s="405">
        <v>252</v>
      </c>
      <c r="L22" s="470"/>
      <c r="M22" s="995"/>
      <c r="N22" s="800"/>
      <c r="O22" s="470"/>
      <c r="P22" s="442">
        <v>164</v>
      </c>
      <c r="Q22" s="655">
        <v>164</v>
      </c>
      <c r="R22" s="23">
        <v>164</v>
      </c>
      <c r="S22" s="23">
        <v>164</v>
      </c>
      <c r="T22" s="658">
        <v>252</v>
      </c>
      <c r="U22" s="405">
        <v>252</v>
      </c>
      <c r="V22" s="470"/>
      <c r="W22" s="1103"/>
      <c r="X22" s="873"/>
      <c r="Y22" s="1103"/>
      <c r="AA22" s="1103"/>
      <c r="AC22" s="1103"/>
    </row>
    <row r="23" spans="4:29" ht="14.65" thickBot="1" x14ac:dyDescent="0.5">
      <c r="D23" s="145" t="s">
        <v>268</v>
      </c>
      <c r="E23" s="540" t="s">
        <v>162</v>
      </c>
      <c r="F23" s="697">
        <v>7</v>
      </c>
      <c r="G23" s="698">
        <v>7</v>
      </c>
      <c r="H23" s="482">
        <v>7</v>
      </c>
      <c r="I23" s="482">
        <v>7</v>
      </c>
      <c r="J23" s="699">
        <v>7</v>
      </c>
      <c r="K23" s="700">
        <v>7</v>
      </c>
      <c r="L23" s="806"/>
      <c r="M23" s="1001"/>
      <c r="N23" s="799"/>
      <c r="O23" s="806"/>
      <c r="P23" s="697">
        <v>7</v>
      </c>
      <c r="Q23" s="698">
        <v>7</v>
      </c>
      <c r="R23" s="482">
        <v>7</v>
      </c>
      <c r="S23" s="482">
        <v>7</v>
      </c>
      <c r="T23" s="699">
        <v>7</v>
      </c>
      <c r="U23" s="700">
        <v>7</v>
      </c>
      <c r="V23" s="806"/>
      <c r="W23" s="400"/>
      <c r="X23" s="873"/>
      <c r="Y23" s="400"/>
      <c r="AA23" s="400"/>
      <c r="AC23" s="400"/>
    </row>
    <row r="24" spans="4:29" ht="14.65" thickBot="1" x14ac:dyDescent="0.5">
      <c r="D24" s="93" t="s">
        <v>38</v>
      </c>
      <c r="E24" s="93" t="s">
        <v>135</v>
      </c>
      <c r="F24" s="177">
        <v>766</v>
      </c>
      <c r="G24" s="647">
        <v>661</v>
      </c>
      <c r="H24" s="548">
        <f ca="1">INDIRECT("'learning rates'!"&amp;ADDRESS(3+$M24,4))*(IF($M24&lt;7,$G24,$H24))</f>
        <v>462.34239106756741</v>
      </c>
      <c r="I24" s="548">
        <f t="shared" ref="I24:I32" ca="1" si="6">INDIRECT("'learning rates'!"&amp;ADDRESS(3+$M24,5))*(IF($M24&lt;7,$G24,$H24))</f>
        <v>412.39073038313978</v>
      </c>
      <c r="J24" s="548">
        <f t="shared" ref="J24:J32" ca="1" si="7">INDIRECT("'learning rates'!"&amp;ADDRESS(3+$M24,4))*(IF($M24&lt;7,$G24,$H24))</f>
        <v>462.34239106756741</v>
      </c>
      <c r="K24" s="548">
        <f t="shared" ref="K24:K32" ca="1" si="8">INDIRECT("'learning rates'!"&amp;ADDRESS(3+$M24,5))*(IF($M24&lt;7,$G24,$H24))</f>
        <v>412.39073038313978</v>
      </c>
      <c r="L24" s="823"/>
      <c r="M24" s="797">
        <f>N24+3</f>
        <v>4</v>
      </c>
      <c r="N24" s="798">
        <v>1</v>
      </c>
      <c r="O24" s="805"/>
      <c r="P24" s="813">
        <v>766</v>
      </c>
      <c r="Q24" s="647">
        <v>661</v>
      </c>
      <c r="R24" s="548">
        <f t="shared" ref="R24:U25" ca="1" si="9">INDIRECT("'learning rates'!"&amp;ADDRESS(3+$M24,4))*(IF($M24&lt;7,G24,H24))</f>
        <v>462.34239106756741</v>
      </c>
      <c r="S24" s="548">
        <f t="shared" ca="1" si="9"/>
        <v>323.38954096531836</v>
      </c>
      <c r="T24" s="548">
        <f t="shared" ca="1" si="9"/>
        <v>288.45040293410193</v>
      </c>
      <c r="U24" s="548">
        <f t="shared" ca="1" si="9"/>
        <v>323.38954096531836</v>
      </c>
      <c r="V24" s="823"/>
      <c r="W24" s="400">
        <v>1</v>
      </c>
      <c r="X24" s="1110"/>
      <c r="Y24" s="1116">
        <v>1</v>
      </c>
      <c r="AA24" s="1116">
        <v>2</v>
      </c>
      <c r="AC24" s="1116">
        <v>3</v>
      </c>
    </row>
    <row r="25" spans="4:29" ht="14.65" thickBot="1" x14ac:dyDescent="0.5">
      <c r="D25" s="93" t="s">
        <v>286</v>
      </c>
      <c r="E25" s="93" t="s">
        <v>135</v>
      </c>
      <c r="F25" s="177">
        <v>394</v>
      </c>
      <c r="G25" s="647">
        <v>394</v>
      </c>
      <c r="H25" s="548">
        <f ca="1">INDIRECT("'learning rates'!"&amp;ADDRESS(3+$M25,4))*(IF($M25&lt;7,$G25,$H25))</f>
        <v>394</v>
      </c>
      <c r="I25" s="548">
        <f t="shared" ca="1" si="6"/>
        <v>394</v>
      </c>
      <c r="J25" s="548">
        <f t="shared" ca="1" si="7"/>
        <v>394</v>
      </c>
      <c r="K25" s="548">
        <f t="shared" ca="1" si="8"/>
        <v>394</v>
      </c>
      <c r="L25" s="823"/>
      <c r="M25" s="797">
        <v>3</v>
      </c>
      <c r="N25" s="799">
        <v>1</v>
      </c>
      <c r="O25" s="805"/>
      <c r="P25" s="813">
        <v>394</v>
      </c>
      <c r="Q25" s="647">
        <v>394</v>
      </c>
      <c r="R25" s="548">
        <f t="shared" ca="1" si="9"/>
        <v>394</v>
      </c>
      <c r="S25" s="548">
        <f t="shared" ca="1" si="9"/>
        <v>394</v>
      </c>
      <c r="T25" s="548">
        <f t="shared" ca="1" si="9"/>
        <v>394</v>
      </c>
      <c r="U25" s="548">
        <f t="shared" ca="1" si="9"/>
        <v>394</v>
      </c>
      <c r="V25" s="823"/>
      <c r="W25" s="400">
        <v>3</v>
      </c>
      <c r="X25" s="1110"/>
      <c r="Y25" s="400">
        <v>1</v>
      </c>
      <c r="AA25" s="400">
        <v>2</v>
      </c>
      <c r="AC25" s="400">
        <v>3</v>
      </c>
    </row>
    <row r="26" spans="4:29" ht="14.65" thickBot="1" x14ac:dyDescent="0.5">
      <c r="D26" s="93" t="s">
        <v>287</v>
      </c>
      <c r="E26" s="93" t="s">
        <v>135</v>
      </c>
      <c r="F26" s="177"/>
      <c r="G26" s="180"/>
      <c r="H26" s="648">
        <v>276</v>
      </c>
      <c r="I26" s="548">
        <f t="shared" ca="1" si="6"/>
        <v>127.33450543130232</v>
      </c>
      <c r="J26" s="548">
        <f t="shared" ca="1" si="7"/>
        <v>276</v>
      </c>
      <c r="K26" s="548">
        <f t="shared" ca="1" si="8"/>
        <v>127.33450543130232</v>
      </c>
      <c r="L26" s="823"/>
      <c r="M26" s="1001">
        <f>N26+6</f>
        <v>7</v>
      </c>
      <c r="N26" s="799">
        <v>1</v>
      </c>
      <c r="O26" s="805"/>
      <c r="P26" s="813"/>
      <c r="Q26" s="180"/>
      <c r="R26" s="648">
        <v>394</v>
      </c>
      <c r="S26" s="548">
        <f ca="1">INDIRECT("'learning rates'!"&amp;ADDRESS(3+$M26,5))*(IF($M26&lt;7,G26,H26))</f>
        <v>127.33450543130232</v>
      </c>
      <c r="T26" s="548">
        <f ca="1">INDIRECT("'learning rates'!"&amp;ADDRESS(3+$M26,5))*(IF($M26&lt;7,H26,I26))</f>
        <v>58.746653164617243</v>
      </c>
      <c r="U26" s="548">
        <f ca="1">INDIRECT("'learning rates'!"&amp;ADDRESS(3+$M26,5))*(IF($M26&lt;7,I26,J26))</f>
        <v>127.33450543130232</v>
      </c>
      <c r="V26" s="823"/>
      <c r="W26" s="400">
        <v>3</v>
      </c>
      <c r="X26" s="1110"/>
      <c r="Y26" s="400">
        <v>1</v>
      </c>
      <c r="AA26" s="400">
        <v>2</v>
      </c>
      <c r="AC26" s="400">
        <v>3</v>
      </c>
    </row>
    <row r="27" spans="4:29" ht="14.65" thickBot="1" x14ac:dyDescent="0.5">
      <c r="D27" s="93" t="s">
        <v>288</v>
      </c>
      <c r="E27" s="93" t="s">
        <v>135</v>
      </c>
      <c r="F27" s="461">
        <v>58</v>
      </c>
      <c r="G27" s="659">
        <v>58</v>
      </c>
      <c r="H27" s="696">
        <f ca="1">INDIRECT("'learning rates'!"&amp;ADDRESS(3+$M27,4))*(IF($M27&lt;7,$G27,$H27))</f>
        <v>39.310298081988229</v>
      </c>
      <c r="I27" s="696">
        <f t="shared" ca="1" si="6"/>
        <v>36.913597631131744</v>
      </c>
      <c r="J27" s="696">
        <f t="shared" ca="1" si="7"/>
        <v>39.310298081988229</v>
      </c>
      <c r="K27" s="696">
        <f t="shared" ca="1" si="8"/>
        <v>36.913597631131744</v>
      </c>
      <c r="L27" s="840"/>
      <c r="M27" s="1001">
        <f>N27</f>
        <v>2</v>
      </c>
      <c r="N27" s="799">
        <v>2</v>
      </c>
      <c r="O27" s="818"/>
      <c r="P27" s="825">
        <v>58</v>
      </c>
      <c r="Q27" s="659">
        <v>58</v>
      </c>
      <c r="R27" s="696">
        <f t="shared" ref="R27:U29" ca="1" si="10">INDIRECT("'learning rates'!"&amp;ADDRESS(3+$M27,4))*(IF($M27&lt;7,G27,H27))</f>
        <v>39.310298081988229</v>
      </c>
      <c r="S27" s="696">
        <f t="shared" ca="1" si="10"/>
        <v>26.643095436116681</v>
      </c>
      <c r="T27" s="696">
        <f t="shared" ca="1" si="10"/>
        <v>25.018698726868337</v>
      </c>
      <c r="U27" s="696">
        <f t="shared" ca="1" si="10"/>
        <v>26.643095436116681</v>
      </c>
      <c r="V27" s="840"/>
      <c r="W27" s="400">
        <v>3</v>
      </c>
      <c r="X27" s="1110"/>
      <c r="Y27" s="400">
        <v>1</v>
      </c>
      <c r="AA27" s="400">
        <v>2</v>
      </c>
      <c r="AC27" s="400">
        <v>3</v>
      </c>
    </row>
    <row r="28" spans="4:29" ht="14.65" thickBot="1" x14ac:dyDescent="0.5">
      <c r="D28" s="93" t="s">
        <v>289</v>
      </c>
      <c r="E28" s="93" t="s">
        <v>135</v>
      </c>
      <c r="F28" s="461">
        <v>58</v>
      </c>
      <c r="G28" s="659">
        <v>58</v>
      </c>
      <c r="H28" s="696">
        <f ca="1">INDIRECT("'learning rates'!"&amp;ADDRESS(3+$M28,4))*(IF($M28&lt;7,$G28,$H28))</f>
        <v>39.310298081988229</v>
      </c>
      <c r="I28" s="696">
        <f t="shared" ca="1" si="6"/>
        <v>36.913597631131744</v>
      </c>
      <c r="J28" s="696">
        <f t="shared" ca="1" si="7"/>
        <v>39.310298081988229</v>
      </c>
      <c r="K28" s="696">
        <f t="shared" ca="1" si="8"/>
        <v>36.913597631131744</v>
      </c>
      <c r="L28" s="840"/>
      <c r="M28" s="1001">
        <f>N28</f>
        <v>2</v>
      </c>
      <c r="N28" s="799">
        <v>2</v>
      </c>
      <c r="O28" s="818"/>
      <c r="P28" s="825">
        <v>58</v>
      </c>
      <c r="Q28" s="659">
        <v>58</v>
      </c>
      <c r="R28" s="696">
        <f t="shared" ca="1" si="10"/>
        <v>39.310298081988229</v>
      </c>
      <c r="S28" s="696">
        <f t="shared" ca="1" si="10"/>
        <v>26.643095436116681</v>
      </c>
      <c r="T28" s="696">
        <f t="shared" ca="1" si="10"/>
        <v>25.018698726868337</v>
      </c>
      <c r="U28" s="696">
        <f t="shared" ca="1" si="10"/>
        <v>26.643095436116681</v>
      </c>
      <c r="V28" s="840"/>
      <c r="W28" s="400">
        <v>3</v>
      </c>
      <c r="X28" s="1106"/>
      <c r="Y28" s="400">
        <v>1</v>
      </c>
      <c r="AA28" s="400">
        <v>2</v>
      </c>
      <c r="AC28" s="400">
        <v>3</v>
      </c>
    </row>
    <row r="29" spans="4:29" ht="14.65" thickBot="1" x14ac:dyDescent="0.5">
      <c r="D29" s="93" t="s">
        <v>290</v>
      </c>
      <c r="E29" s="93" t="s">
        <v>24</v>
      </c>
      <c r="F29" s="177"/>
      <c r="G29" s="656">
        <v>0.3</v>
      </c>
      <c r="H29" s="468">
        <f ca="1">INDIRECT("'learning rates'!"&amp;ADDRESS(3+$M29,4))*(IF($M29&lt;7,$G29,$H29))</f>
        <v>0.3</v>
      </c>
      <c r="I29" s="468">
        <f t="shared" ca="1" si="6"/>
        <v>0.3</v>
      </c>
      <c r="J29" s="468">
        <f t="shared" ca="1" si="7"/>
        <v>0.3</v>
      </c>
      <c r="K29" s="468">
        <f t="shared" ca="1" si="8"/>
        <v>0.3</v>
      </c>
      <c r="L29" s="472"/>
      <c r="M29" s="1001">
        <f>N29</f>
        <v>3</v>
      </c>
      <c r="N29" s="799">
        <v>3</v>
      </c>
      <c r="O29" s="808"/>
      <c r="P29" s="813"/>
      <c r="Q29" s="656">
        <v>0.3</v>
      </c>
      <c r="R29" s="468">
        <f t="shared" ca="1" si="10"/>
        <v>0.3</v>
      </c>
      <c r="S29" s="468">
        <f t="shared" ca="1" si="10"/>
        <v>0.3</v>
      </c>
      <c r="T29" s="468">
        <f t="shared" ca="1" si="10"/>
        <v>0.3</v>
      </c>
      <c r="U29" s="468">
        <f t="shared" ca="1" si="10"/>
        <v>0.3</v>
      </c>
      <c r="V29" s="472"/>
      <c r="W29" s="400">
        <v>3</v>
      </c>
      <c r="X29" s="1110"/>
      <c r="Y29" s="400">
        <v>1</v>
      </c>
      <c r="AA29" s="400">
        <v>2</v>
      </c>
      <c r="AC29" s="400">
        <v>3</v>
      </c>
    </row>
    <row r="30" spans="4:29" ht="14.65" thickBot="1" x14ac:dyDescent="0.5">
      <c r="D30" s="93" t="s">
        <v>291</v>
      </c>
      <c r="E30" s="93" t="s">
        <v>24</v>
      </c>
      <c r="F30" s="177"/>
      <c r="G30" s="180"/>
      <c r="H30" s="657">
        <v>0.1</v>
      </c>
      <c r="I30" s="468">
        <f t="shared" ca="1" si="6"/>
        <v>0.1</v>
      </c>
      <c r="J30" s="468">
        <f t="shared" ca="1" si="7"/>
        <v>0.1</v>
      </c>
      <c r="K30" s="468">
        <f t="shared" ca="1" si="8"/>
        <v>0.1</v>
      </c>
      <c r="L30" s="472"/>
      <c r="M30" s="1001">
        <f>N30+6</f>
        <v>9</v>
      </c>
      <c r="N30" s="799">
        <v>3</v>
      </c>
      <c r="O30" s="808"/>
      <c r="P30" s="813"/>
      <c r="Q30" s="180"/>
      <c r="R30" s="657">
        <v>0.1</v>
      </c>
      <c r="S30" s="468">
        <f ca="1">INDIRECT("'learning rates'!"&amp;ADDRESS(3+$M30,5))*(IF($M30&lt;6,G30,H30))</f>
        <v>0.1</v>
      </c>
      <c r="T30" s="468">
        <f ca="1">INDIRECT("'learning rates'!"&amp;ADDRESS(3+$M30,4))*(IF($M30&lt;6,G30,H30))</f>
        <v>0.1</v>
      </c>
      <c r="U30" s="468">
        <f ca="1">INDIRECT("'learning rates'!"&amp;ADDRESS(3+$M30,5))*(IF($M30&lt;6,G30,H30))</f>
        <v>0.1</v>
      </c>
      <c r="V30" s="472"/>
      <c r="W30" s="400">
        <v>3</v>
      </c>
      <c r="X30" s="1110"/>
      <c r="Y30" s="400">
        <v>1</v>
      </c>
      <c r="AA30" s="400">
        <v>2</v>
      </c>
      <c r="AC30" s="400">
        <v>3</v>
      </c>
    </row>
    <row r="31" spans="4:29" ht="14.65" thickBot="1" x14ac:dyDescent="0.5">
      <c r="D31" s="93" t="s">
        <v>35</v>
      </c>
      <c r="E31" s="92" t="s">
        <v>136</v>
      </c>
      <c r="F31" s="435">
        <v>17.3</v>
      </c>
      <c r="G31" s="659">
        <v>17.3</v>
      </c>
      <c r="H31" s="549">
        <f ca="1">INDIRECT("'learning rates'!"&amp;ADDRESS(3+$M31,4))*(IF($M31&lt;7,$G31,$H31))</f>
        <v>9.3722656331557097</v>
      </c>
      <c r="I31" s="549">
        <f t="shared" ca="1" si="6"/>
        <v>8.3924837571570006</v>
      </c>
      <c r="J31" s="549">
        <f t="shared" ca="1" si="7"/>
        <v>9.3722656331557097</v>
      </c>
      <c r="K31" s="549">
        <f t="shared" ca="1" si="8"/>
        <v>8.3924837571570006</v>
      </c>
      <c r="L31" s="837"/>
      <c r="M31" s="1001">
        <f>N31</f>
        <v>1</v>
      </c>
      <c r="N31" s="799">
        <v>1</v>
      </c>
      <c r="O31" s="807"/>
      <c r="P31" s="435">
        <v>17.3</v>
      </c>
      <c r="Q31" s="659">
        <v>17.3</v>
      </c>
      <c r="R31" s="549">
        <f t="shared" ref="R31:U32" ca="1" si="11">INDIRECT("'learning rates'!"&amp;ADDRESS(3+$M31,4))*(IF($M31&lt;7,G31,H31))</f>
        <v>9.3722656331557097</v>
      </c>
      <c r="S31" s="549">
        <f t="shared" ca="1" si="11"/>
        <v>5.0774198322792836</v>
      </c>
      <c r="T31" s="549">
        <f t="shared" ca="1" si="11"/>
        <v>4.5466235314462464</v>
      </c>
      <c r="U31" s="549">
        <f t="shared" ca="1" si="11"/>
        <v>5.0774198322792836</v>
      </c>
      <c r="V31" s="837"/>
      <c r="W31" s="400">
        <v>1</v>
      </c>
      <c r="X31" s="1110"/>
      <c r="Y31" s="400">
        <v>1</v>
      </c>
      <c r="AA31" s="400">
        <v>2</v>
      </c>
      <c r="AC31" s="400">
        <v>3</v>
      </c>
    </row>
    <row r="32" spans="4:29" ht="14.65" thickBot="1" x14ac:dyDescent="0.5">
      <c r="D32" s="92" t="s">
        <v>23</v>
      </c>
      <c r="E32" s="93" t="s">
        <v>136</v>
      </c>
      <c r="F32" s="426">
        <v>34.700000000000003</v>
      </c>
      <c r="G32" s="652">
        <v>34.700000000000003</v>
      </c>
      <c r="H32" s="549">
        <f ca="1">INDIRECT("'learning rates'!"&amp;ADDRESS(3+$M32,4))*(IF($M32&lt;7,$G32,$H32))</f>
        <v>18.798706212167811</v>
      </c>
      <c r="I32" s="549">
        <f t="shared" ca="1" si="6"/>
        <v>16.833478981118379</v>
      </c>
      <c r="J32" s="549">
        <f t="shared" ca="1" si="7"/>
        <v>18.798706212167811</v>
      </c>
      <c r="K32" s="549">
        <f t="shared" ca="1" si="8"/>
        <v>16.833478981118379</v>
      </c>
      <c r="L32" s="837"/>
      <c r="M32" s="997">
        <f>N32</f>
        <v>1</v>
      </c>
      <c r="N32" s="801">
        <v>1</v>
      </c>
      <c r="O32" s="807"/>
      <c r="P32" s="426">
        <v>34.700000000000003</v>
      </c>
      <c r="Q32" s="652">
        <v>34.700000000000003</v>
      </c>
      <c r="R32" s="549">
        <f t="shared" ca="1" si="11"/>
        <v>18.798706212167811</v>
      </c>
      <c r="S32" s="549">
        <f t="shared" ca="1" si="11"/>
        <v>10.184188912143997</v>
      </c>
      <c r="T32" s="549">
        <f t="shared" ca="1" si="11"/>
        <v>9.1195281237679069</v>
      </c>
      <c r="U32" s="549">
        <f t="shared" ca="1" si="11"/>
        <v>10.184188912143997</v>
      </c>
      <c r="V32" s="837"/>
      <c r="W32" s="1104">
        <v>1</v>
      </c>
      <c r="X32" s="1110"/>
      <c r="Y32" s="1104">
        <v>1</v>
      </c>
      <c r="AA32" s="1104">
        <v>2</v>
      </c>
      <c r="AC32" s="1104">
        <v>3</v>
      </c>
    </row>
    <row r="33" spans="4:29" ht="14.65" thickBot="1" x14ac:dyDescent="0.5">
      <c r="D33" s="105"/>
      <c r="E33" s="105"/>
      <c r="H33" s="404"/>
      <c r="I33" s="404"/>
      <c r="J33" s="427"/>
      <c r="K33" s="404"/>
      <c r="L33" s="480"/>
      <c r="M33"/>
      <c r="N33" s="340"/>
      <c r="O33" s="404"/>
      <c r="R33" s="404"/>
      <c r="S33" s="404"/>
      <c r="T33" s="427"/>
      <c r="U33" s="404"/>
      <c r="V33" s="480"/>
      <c r="X33" s="1110"/>
    </row>
    <row r="34" spans="4:29" ht="14.65" thickBot="1" x14ac:dyDescent="0.5">
      <c r="D34" s="428" t="s">
        <v>10</v>
      </c>
      <c r="E34" s="105"/>
      <c r="F34" s="286"/>
      <c r="G34" s="286"/>
      <c r="H34" s="404"/>
      <c r="I34" s="404"/>
      <c r="J34" s="427"/>
      <c r="K34" s="404"/>
      <c r="L34" s="480"/>
      <c r="M34"/>
      <c r="N34" s="340"/>
      <c r="O34" s="404"/>
      <c r="P34" s="286"/>
      <c r="Q34" s="286"/>
      <c r="R34" s="404"/>
      <c r="S34" s="404"/>
      <c r="T34" s="427"/>
      <c r="U34" s="404"/>
      <c r="V34" s="480"/>
      <c r="X34" s="1110"/>
    </row>
    <row r="35" spans="4:29" ht="14.65" thickBot="1" x14ac:dyDescent="0.5">
      <c r="D35" s="145" t="s">
        <v>278</v>
      </c>
      <c r="E35" s="92" t="s">
        <v>25</v>
      </c>
      <c r="F35" s="479">
        <v>9</v>
      </c>
      <c r="G35" s="660">
        <v>9</v>
      </c>
      <c r="H35" s="541">
        <v>9</v>
      </c>
      <c r="I35" s="457">
        <v>9</v>
      </c>
      <c r="J35" s="662">
        <v>11.7</v>
      </c>
      <c r="K35" s="457">
        <v>11.7</v>
      </c>
      <c r="L35" s="835"/>
      <c r="M35" s="995"/>
      <c r="N35" s="800"/>
      <c r="O35" s="809"/>
      <c r="P35" s="826">
        <v>9</v>
      </c>
      <c r="Q35" s="660">
        <v>9</v>
      </c>
      <c r="R35" s="541">
        <v>9</v>
      </c>
      <c r="S35" s="457">
        <v>9</v>
      </c>
      <c r="T35" s="662">
        <v>11.7</v>
      </c>
      <c r="U35" s="457">
        <v>11.7</v>
      </c>
      <c r="V35" s="835"/>
      <c r="W35" s="1103"/>
      <c r="X35" s="1110"/>
      <c r="Y35" s="1103"/>
      <c r="AA35" s="1103"/>
      <c r="AC35" s="1103"/>
    </row>
    <row r="36" spans="4:29" ht="14.65" thickBot="1" x14ac:dyDescent="0.5">
      <c r="D36" s="145" t="s">
        <v>279</v>
      </c>
      <c r="E36" s="93" t="s">
        <v>25</v>
      </c>
      <c r="F36" s="463">
        <v>40</v>
      </c>
      <c r="G36" s="649">
        <v>40</v>
      </c>
      <c r="H36" s="7">
        <v>40</v>
      </c>
      <c r="I36" s="208">
        <v>40</v>
      </c>
      <c r="J36" s="663">
        <v>40</v>
      </c>
      <c r="K36" s="208">
        <v>40</v>
      </c>
      <c r="L36" s="480"/>
      <c r="M36" s="1001"/>
      <c r="N36" s="799"/>
      <c r="O36" s="404"/>
      <c r="P36" s="827">
        <v>40</v>
      </c>
      <c r="Q36" s="649">
        <v>40</v>
      </c>
      <c r="R36" s="7">
        <v>40</v>
      </c>
      <c r="S36" s="208">
        <v>40</v>
      </c>
      <c r="T36" s="663">
        <v>40</v>
      </c>
      <c r="U36" s="208">
        <v>40</v>
      </c>
      <c r="V36" s="480"/>
      <c r="W36" s="400"/>
      <c r="X36" s="1110"/>
      <c r="Y36" s="400"/>
      <c r="AA36" s="400"/>
      <c r="AC36" s="400"/>
    </row>
    <row r="37" spans="4:29" ht="14.65" thickBot="1" x14ac:dyDescent="0.5">
      <c r="D37" s="145" t="s">
        <v>296</v>
      </c>
      <c r="E37" s="540" t="s">
        <v>50</v>
      </c>
      <c r="F37" s="461">
        <v>2</v>
      </c>
      <c r="G37" s="659">
        <v>2</v>
      </c>
      <c r="H37" s="462">
        <v>2</v>
      </c>
      <c r="I37" s="460">
        <v>2</v>
      </c>
      <c r="J37" s="664">
        <v>2</v>
      </c>
      <c r="K37" s="460">
        <v>2</v>
      </c>
      <c r="L37" s="835"/>
      <c r="M37" s="1001"/>
      <c r="N37" s="799"/>
      <c r="O37" s="809"/>
      <c r="P37" s="825">
        <v>2</v>
      </c>
      <c r="Q37" s="659">
        <v>2</v>
      </c>
      <c r="R37" s="462">
        <v>2</v>
      </c>
      <c r="S37" s="460">
        <v>2</v>
      </c>
      <c r="T37" s="664">
        <v>2</v>
      </c>
      <c r="U37" s="460">
        <v>2</v>
      </c>
      <c r="V37" s="835"/>
      <c r="W37" s="400"/>
      <c r="X37" s="1110"/>
      <c r="Y37" s="400"/>
      <c r="AA37" s="400"/>
      <c r="AC37" s="400"/>
    </row>
    <row r="38" spans="4:29" ht="14.65" thickBot="1" x14ac:dyDescent="0.5">
      <c r="D38" s="93" t="s">
        <v>246</v>
      </c>
      <c r="E38" s="93" t="s">
        <v>51</v>
      </c>
      <c r="F38" s="177">
        <v>1400</v>
      </c>
      <c r="G38" s="647">
        <v>1400</v>
      </c>
      <c r="H38" s="548">
        <f ca="1">INDIRECT("'learning rates'!"&amp;ADDRESS(3+$M38,4))*(IF($M38&lt;7,$G38,$H38))</f>
        <v>1400</v>
      </c>
      <c r="I38" s="548">
        <f ca="1">INDIRECT("'learning rates'!"&amp;ADDRESS(3+$M38,5))*(IF($M38&lt;7,$G38,$H38))</f>
        <v>1400</v>
      </c>
      <c r="J38" s="548">
        <f ca="1">INDIRECT("'learning rates'!"&amp;ADDRESS(3+$M38,4))*(IF($M38&lt;7,$G38,$H38))</f>
        <v>1400</v>
      </c>
      <c r="K38" s="548">
        <f ca="1">INDIRECT("'learning rates'!"&amp;ADDRESS(3+$M38,5))*(IF($M38&lt;7,$G38,$H38))</f>
        <v>1400</v>
      </c>
      <c r="L38" s="823"/>
      <c r="M38" s="1001">
        <f>N38</f>
        <v>3</v>
      </c>
      <c r="N38" s="799">
        <v>3</v>
      </c>
      <c r="O38" s="805"/>
      <c r="P38" s="813">
        <v>1400</v>
      </c>
      <c r="Q38" s="647">
        <v>1400</v>
      </c>
      <c r="R38" s="548">
        <f t="shared" ref="R38:U39" ca="1" si="12">INDIRECT("'learning rates'!"&amp;ADDRESS(3+$M38,4))*(IF($M38&lt;7,G38,H38))</f>
        <v>1400</v>
      </c>
      <c r="S38" s="548">
        <f t="shared" ca="1" si="12"/>
        <v>1400</v>
      </c>
      <c r="T38" s="548">
        <f t="shared" ca="1" si="12"/>
        <v>1400</v>
      </c>
      <c r="U38" s="548">
        <f t="shared" ca="1" si="12"/>
        <v>1400</v>
      </c>
      <c r="V38" s="823"/>
      <c r="W38" s="400">
        <v>3</v>
      </c>
      <c r="X38" s="1110"/>
      <c r="Y38" s="400">
        <v>1</v>
      </c>
      <c r="AA38" s="400">
        <v>2</v>
      </c>
      <c r="AC38" s="400">
        <v>3</v>
      </c>
    </row>
    <row r="39" spans="4:29" ht="14.65" thickBot="1" x14ac:dyDescent="0.5">
      <c r="D39" s="93" t="s">
        <v>247</v>
      </c>
      <c r="E39" s="93" t="s">
        <v>51</v>
      </c>
      <c r="F39" s="177">
        <v>3700</v>
      </c>
      <c r="G39" s="647">
        <v>3700</v>
      </c>
      <c r="H39" s="548">
        <f ca="1">INDIRECT("'learning rates'!"&amp;ADDRESS(3+$M39,4))*(IF($M39&lt;7,$G39,$H39))</f>
        <v>3700</v>
      </c>
      <c r="I39" s="548">
        <f ca="1">INDIRECT("'learning rates'!"&amp;ADDRESS(3+$M39,5))*(IF($M39&lt;7,$G39,$H39))</f>
        <v>3700</v>
      </c>
      <c r="J39" s="548">
        <f ca="1">INDIRECT("'learning rates'!"&amp;ADDRESS(3+$M39,4))*(IF($M39&lt;7,$G39,$H39))</f>
        <v>3700</v>
      </c>
      <c r="K39" s="548">
        <f ca="1">INDIRECT("'learning rates'!"&amp;ADDRESS(3+$M39,5))*(IF($M39&lt;7,$G39,$H39))</f>
        <v>3700</v>
      </c>
      <c r="L39" s="823"/>
      <c r="M39" s="1001">
        <f>N39</f>
        <v>3</v>
      </c>
      <c r="N39" s="799">
        <v>3</v>
      </c>
      <c r="O39" s="805"/>
      <c r="P39" s="813">
        <v>3700</v>
      </c>
      <c r="Q39" s="647">
        <v>3700</v>
      </c>
      <c r="R39" s="548">
        <f t="shared" ca="1" si="12"/>
        <v>3700</v>
      </c>
      <c r="S39" s="548">
        <f t="shared" ca="1" si="12"/>
        <v>3700</v>
      </c>
      <c r="T39" s="548">
        <f t="shared" ca="1" si="12"/>
        <v>3700</v>
      </c>
      <c r="U39" s="548">
        <f t="shared" ca="1" si="12"/>
        <v>3700</v>
      </c>
      <c r="V39" s="823"/>
      <c r="W39" s="400">
        <v>3</v>
      </c>
      <c r="X39" s="1110"/>
      <c r="Y39" s="400">
        <v>1</v>
      </c>
      <c r="AA39" s="400">
        <v>2</v>
      </c>
      <c r="AC39" s="400">
        <v>3</v>
      </c>
    </row>
    <row r="40" spans="4:29" ht="14.65" thickBot="1" x14ac:dyDescent="0.5">
      <c r="D40" s="93" t="s">
        <v>248</v>
      </c>
      <c r="E40" s="93" t="s">
        <v>1</v>
      </c>
      <c r="F40" s="177">
        <v>500</v>
      </c>
      <c r="G40" s="647">
        <v>500</v>
      </c>
      <c r="H40" s="7">
        <v>500</v>
      </c>
      <c r="I40" s="208">
        <v>500</v>
      </c>
      <c r="J40" s="7">
        <v>500</v>
      </c>
      <c r="K40" s="208">
        <v>500</v>
      </c>
      <c r="L40" s="480"/>
      <c r="M40" s="1001"/>
      <c r="N40" s="799"/>
      <c r="O40" s="404"/>
      <c r="P40" s="813">
        <v>500</v>
      </c>
      <c r="Q40" s="647">
        <v>500</v>
      </c>
      <c r="R40" s="7">
        <v>500</v>
      </c>
      <c r="S40" s="208">
        <v>500</v>
      </c>
      <c r="T40" s="7">
        <v>500</v>
      </c>
      <c r="U40" s="208">
        <v>500</v>
      </c>
      <c r="V40" s="480"/>
      <c r="W40" s="400"/>
      <c r="X40" s="1110"/>
      <c r="Y40" s="400"/>
      <c r="AA40" s="400"/>
      <c r="AC40" s="400"/>
    </row>
    <row r="41" spans="4:29" ht="14.65" thickBot="1" x14ac:dyDescent="0.5">
      <c r="D41" s="136" t="s">
        <v>303</v>
      </c>
      <c r="E41" s="540" t="s">
        <v>50</v>
      </c>
      <c r="F41" s="177">
        <v>128</v>
      </c>
      <c r="G41" s="647">
        <v>128</v>
      </c>
      <c r="H41" s="7">
        <v>128</v>
      </c>
      <c r="I41" s="208">
        <v>128</v>
      </c>
      <c r="J41" s="7"/>
      <c r="K41" s="208"/>
      <c r="L41" s="480"/>
      <c r="M41" s="1001"/>
      <c r="N41" s="799"/>
      <c r="O41" s="404"/>
      <c r="P41" s="813">
        <v>128</v>
      </c>
      <c r="Q41" s="647">
        <v>128</v>
      </c>
      <c r="R41" s="7">
        <v>128</v>
      </c>
      <c r="S41" s="208">
        <v>128</v>
      </c>
      <c r="T41" s="7"/>
      <c r="U41" s="208"/>
      <c r="V41" s="480"/>
      <c r="W41" s="400"/>
      <c r="X41" s="1110"/>
      <c r="Y41" s="400"/>
      <c r="AA41" s="400"/>
      <c r="AC41" s="400"/>
    </row>
    <row r="42" spans="4:29" ht="14.65" thickBot="1" x14ac:dyDescent="0.5">
      <c r="D42" s="136" t="s">
        <v>302</v>
      </c>
      <c r="E42" s="540"/>
      <c r="F42" s="177">
        <v>90</v>
      </c>
      <c r="G42" s="647">
        <v>90</v>
      </c>
      <c r="H42" s="7">
        <v>90</v>
      </c>
      <c r="I42" s="208">
        <v>90</v>
      </c>
      <c r="J42" s="7"/>
      <c r="K42" s="208"/>
      <c r="L42" s="480"/>
      <c r="M42" s="1001"/>
      <c r="N42" s="799"/>
      <c r="O42" s="404"/>
      <c r="P42" s="813">
        <v>90</v>
      </c>
      <c r="Q42" s="647">
        <v>90</v>
      </c>
      <c r="R42" s="7">
        <v>90</v>
      </c>
      <c r="S42" s="208">
        <v>90</v>
      </c>
      <c r="T42" s="7"/>
      <c r="U42" s="208"/>
      <c r="V42" s="480"/>
      <c r="W42" s="400"/>
      <c r="X42" s="1110"/>
      <c r="Y42" s="400"/>
      <c r="AA42" s="400"/>
      <c r="AC42" s="400"/>
    </row>
    <row r="43" spans="4:29" ht="14.65" thickBot="1" x14ac:dyDescent="0.5">
      <c r="D43" s="93" t="s">
        <v>245</v>
      </c>
      <c r="E43" s="540" t="s">
        <v>50</v>
      </c>
      <c r="F43" s="177"/>
      <c r="G43" s="647">
        <v>200</v>
      </c>
      <c r="H43" s="7"/>
      <c r="I43" s="208"/>
      <c r="J43" s="7">
        <v>200</v>
      </c>
      <c r="K43" s="208">
        <v>200</v>
      </c>
      <c r="L43" s="480"/>
      <c r="M43" s="1001"/>
      <c r="N43" s="799"/>
      <c r="O43" s="404"/>
      <c r="P43" s="813"/>
      <c r="Q43" s="647">
        <v>200</v>
      </c>
      <c r="R43" s="7"/>
      <c r="S43" s="208"/>
      <c r="T43" s="7">
        <v>200</v>
      </c>
      <c r="U43" s="208">
        <v>200</v>
      </c>
      <c r="V43" s="480"/>
      <c r="W43" s="400"/>
      <c r="X43" s="1110"/>
      <c r="Y43" s="400"/>
      <c r="AA43" s="400"/>
      <c r="AC43" s="400"/>
    </row>
    <row r="44" spans="4:29" ht="14.65" thickBot="1" x14ac:dyDescent="0.5">
      <c r="D44" s="93" t="s">
        <v>298</v>
      </c>
      <c r="E44" s="540" t="s">
        <v>50</v>
      </c>
      <c r="F44" s="177"/>
      <c r="G44" s="647">
        <v>140</v>
      </c>
      <c r="H44" s="7"/>
      <c r="I44" s="208"/>
      <c r="J44" s="7">
        <v>140</v>
      </c>
      <c r="K44" s="208">
        <v>140</v>
      </c>
      <c r="L44" s="480"/>
      <c r="M44" s="1001"/>
      <c r="N44" s="799"/>
      <c r="O44" s="404"/>
      <c r="P44" s="813"/>
      <c r="Q44" s="647">
        <v>140</v>
      </c>
      <c r="R44" s="7"/>
      <c r="S44" s="208"/>
      <c r="T44" s="7">
        <v>140</v>
      </c>
      <c r="U44" s="208">
        <v>140</v>
      </c>
      <c r="V44" s="480"/>
      <c r="W44" s="400"/>
      <c r="X44" s="1110"/>
      <c r="Y44" s="400"/>
      <c r="AA44" s="400"/>
      <c r="AC44" s="400"/>
    </row>
    <row r="45" spans="4:29" ht="14.65" thickBot="1" x14ac:dyDescent="0.5">
      <c r="D45" s="93" t="s">
        <v>299</v>
      </c>
      <c r="E45" s="540" t="s">
        <v>162</v>
      </c>
      <c r="F45" s="177">
        <v>70</v>
      </c>
      <c r="G45" s="647">
        <v>70</v>
      </c>
      <c r="H45" s="177">
        <v>70</v>
      </c>
      <c r="I45" s="140">
        <v>70</v>
      </c>
      <c r="J45" s="177">
        <v>70</v>
      </c>
      <c r="K45" s="140">
        <v>70</v>
      </c>
      <c r="L45" s="789"/>
      <c r="M45" s="1001"/>
      <c r="N45" s="799"/>
      <c r="O45" s="286"/>
      <c r="P45" s="813">
        <v>70</v>
      </c>
      <c r="Q45" s="647">
        <v>70</v>
      </c>
      <c r="R45" s="177">
        <v>70</v>
      </c>
      <c r="S45" s="140">
        <v>70</v>
      </c>
      <c r="T45" s="177">
        <v>70</v>
      </c>
      <c r="U45" s="140">
        <v>70</v>
      </c>
      <c r="V45" s="789"/>
      <c r="W45" s="400"/>
      <c r="X45" s="1110"/>
      <c r="Y45" s="400"/>
      <c r="AA45" s="400"/>
      <c r="AC45" s="400"/>
    </row>
    <row r="46" spans="4:29" ht="14.65" thickBot="1" x14ac:dyDescent="0.5">
      <c r="D46" s="450" t="s">
        <v>284</v>
      </c>
      <c r="E46" s="540" t="s">
        <v>285</v>
      </c>
      <c r="F46" s="178">
        <v>0.3</v>
      </c>
      <c r="G46" s="656">
        <v>0.3</v>
      </c>
      <c r="H46" s="468">
        <f ca="1">INDIRECT("'learning rates'!"&amp;ADDRESS(3+$M46,4))*(IF($M46&lt;7,$G46,$H46))</f>
        <v>0.3</v>
      </c>
      <c r="I46" s="468">
        <f ca="1">INDIRECT("'learning rates'!"&amp;ADDRESS(3+$M46,5))*(IF($M46&lt;7,$G46,$H46))</f>
        <v>0.3</v>
      </c>
      <c r="J46" s="468">
        <f ca="1">INDIRECT("'learning rates'!"&amp;ADDRESS(3+$M46,4))*(IF($M46&lt;7,$G46,$H46))</f>
        <v>0.3</v>
      </c>
      <c r="K46" s="468">
        <f ca="1">INDIRECT("'learning rates'!"&amp;ADDRESS(3+$M46,5))*(IF($M46&lt;7,$G46,$H46))</f>
        <v>0.3</v>
      </c>
      <c r="L46" s="472"/>
      <c r="M46" s="1001">
        <f>N46</f>
        <v>3</v>
      </c>
      <c r="N46" s="799">
        <v>3</v>
      </c>
      <c r="O46" s="808"/>
      <c r="P46" s="828">
        <v>0.3</v>
      </c>
      <c r="Q46" s="656">
        <v>0.3</v>
      </c>
      <c r="R46" s="468">
        <f t="shared" ref="R46:U48" ca="1" si="13">INDIRECT("'learning rates'!"&amp;ADDRESS(3+$M46,4))*(IF($M46&lt;7,G46,H46))</f>
        <v>0.3</v>
      </c>
      <c r="S46" s="468">
        <f t="shared" ca="1" si="13"/>
        <v>0.3</v>
      </c>
      <c r="T46" s="468">
        <f t="shared" ca="1" si="13"/>
        <v>0.3</v>
      </c>
      <c r="U46" s="468">
        <f t="shared" ca="1" si="13"/>
        <v>0.3</v>
      </c>
      <c r="V46" s="472"/>
      <c r="W46" s="400">
        <v>3</v>
      </c>
      <c r="X46" s="1110"/>
      <c r="Y46" s="400">
        <v>1</v>
      </c>
      <c r="AA46" s="400">
        <v>2</v>
      </c>
      <c r="AC46" s="400">
        <v>3</v>
      </c>
    </row>
    <row r="47" spans="4:29" ht="14.65" thickBot="1" x14ac:dyDescent="0.5">
      <c r="D47" s="93" t="s">
        <v>12</v>
      </c>
      <c r="E47" s="93" t="s">
        <v>317</v>
      </c>
      <c r="F47" s="177">
        <v>1.1599999999999999</v>
      </c>
      <c r="G47" s="647">
        <v>1.1599999999999999</v>
      </c>
      <c r="H47" s="550">
        <f ca="1">INDIRECT("'learning rates'!"&amp;ADDRESS(3+$M47,4))*(IF($M47&lt;7,$G47,$H47))</f>
        <v>0.78620596163976453</v>
      </c>
      <c r="I47" s="550">
        <f ca="1">INDIRECT("'learning rates'!"&amp;ADDRESS(3+$M47,5))*(IF($M47&lt;7,$G47,$H47))</f>
        <v>0.7382719526226349</v>
      </c>
      <c r="J47" s="550">
        <f ca="1">INDIRECT("'learning rates'!"&amp;ADDRESS(3+$M47,4))*(IF($M47&lt;7,$G47,$H47))</f>
        <v>0.78620596163976453</v>
      </c>
      <c r="K47" s="550">
        <f ca="1">INDIRECT("'learning rates'!"&amp;ADDRESS(3+$M47,5))*(IF($M47&lt;7,$G47,$H47))</f>
        <v>0.7382719526226349</v>
      </c>
      <c r="L47" s="822"/>
      <c r="M47" s="1001">
        <f>N47</f>
        <v>2</v>
      </c>
      <c r="N47" s="799">
        <v>2</v>
      </c>
      <c r="O47" s="803"/>
      <c r="P47" s="813">
        <v>1.1599999999999999</v>
      </c>
      <c r="Q47" s="647">
        <v>1.1599999999999999</v>
      </c>
      <c r="R47" s="550">
        <f t="shared" ca="1" si="13"/>
        <v>0.78620596163976453</v>
      </c>
      <c r="S47" s="550">
        <f t="shared" ca="1" si="13"/>
        <v>0.53286190872233363</v>
      </c>
      <c r="T47" s="550">
        <f t="shared" ca="1" si="13"/>
        <v>0.50037397453736676</v>
      </c>
      <c r="U47" s="550">
        <f t="shared" ca="1" si="13"/>
        <v>0.53286190872233363</v>
      </c>
      <c r="V47" s="822"/>
      <c r="W47" s="400">
        <v>3</v>
      </c>
      <c r="X47" s="1110"/>
      <c r="Y47" s="400">
        <v>1</v>
      </c>
      <c r="AA47" s="400">
        <v>2</v>
      </c>
      <c r="AC47" s="400">
        <v>3</v>
      </c>
    </row>
    <row r="48" spans="4:29" ht="14.65" thickBot="1" x14ac:dyDescent="0.5">
      <c r="D48" s="92" t="s">
        <v>23</v>
      </c>
      <c r="E48" s="92" t="s">
        <v>74</v>
      </c>
      <c r="F48" s="485">
        <v>0.02</v>
      </c>
      <c r="G48" s="661">
        <v>0.02</v>
      </c>
      <c r="H48" s="520">
        <f ca="1">INDIRECT("'learning rates'!"&amp;ADDRESS(3+$M48,4))*(IF($M48&lt;7,$G48,$H48))</f>
        <v>0.02</v>
      </c>
      <c r="I48" s="520">
        <f ca="1">INDIRECT("'learning rates'!"&amp;ADDRESS(3+$M48,5))*(IF($M48&lt;7,$G48,$H48))</f>
        <v>0.02</v>
      </c>
      <c r="J48" s="520">
        <f ca="1">INDIRECT("'learning rates'!"&amp;ADDRESS(3+$M48,4))*(IF($M48&lt;7,$G48,$H48))</f>
        <v>0.02</v>
      </c>
      <c r="K48" s="520">
        <f ca="1">INDIRECT("'learning rates'!"&amp;ADDRESS(3+$M48,5))*(IF($M48&lt;7,$G48,$H48))</f>
        <v>0.02</v>
      </c>
      <c r="L48" s="473"/>
      <c r="M48" s="997">
        <f>N48</f>
        <v>3</v>
      </c>
      <c r="N48" s="801">
        <v>3</v>
      </c>
      <c r="O48" s="804"/>
      <c r="P48" s="829">
        <v>0.02</v>
      </c>
      <c r="Q48" s="661">
        <v>0.02</v>
      </c>
      <c r="R48" s="520">
        <f t="shared" ca="1" si="13"/>
        <v>0.02</v>
      </c>
      <c r="S48" s="520">
        <f t="shared" ca="1" si="13"/>
        <v>0.02</v>
      </c>
      <c r="T48" s="520">
        <f t="shared" ca="1" si="13"/>
        <v>0.02</v>
      </c>
      <c r="U48" s="520">
        <f t="shared" ca="1" si="13"/>
        <v>0.02</v>
      </c>
      <c r="V48" s="473"/>
      <c r="W48" s="1104">
        <v>3</v>
      </c>
      <c r="X48" s="1110"/>
      <c r="Y48" s="1104">
        <v>1</v>
      </c>
      <c r="AA48" s="1104">
        <v>2</v>
      </c>
      <c r="AC48" s="1104">
        <v>3</v>
      </c>
    </row>
    <row r="49" spans="4:29" ht="14.65" thickBot="1" x14ac:dyDescent="0.5">
      <c r="D49" s="105"/>
      <c r="E49" s="105"/>
      <c r="F49" s="286"/>
      <c r="G49" s="286"/>
      <c r="H49" s="404"/>
      <c r="I49" s="404"/>
      <c r="J49" s="427"/>
      <c r="K49" s="404"/>
      <c r="L49" s="480"/>
      <c r="M49"/>
      <c r="N49" s="340"/>
      <c r="O49" s="404"/>
      <c r="P49" s="286"/>
      <c r="Q49" s="286"/>
      <c r="R49" s="404"/>
      <c r="S49" s="404"/>
      <c r="T49" s="427"/>
      <c r="U49" s="404"/>
      <c r="V49" s="480"/>
      <c r="X49" s="1110"/>
    </row>
    <row r="50" spans="4:29" ht="14.65" thickBot="1" x14ac:dyDescent="0.5">
      <c r="D50" s="428" t="s">
        <v>131</v>
      </c>
      <c r="E50" s="105"/>
      <c r="F50" s="286"/>
      <c r="G50" s="286"/>
      <c r="H50" s="475" t="s">
        <v>423</v>
      </c>
      <c r="I50" s="404"/>
      <c r="J50" s="427"/>
      <c r="K50" s="404"/>
      <c r="L50" s="480"/>
      <c r="M50"/>
      <c r="N50" s="340"/>
      <c r="O50" s="404"/>
      <c r="P50" s="286"/>
      <c r="Q50" s="286"/>
      <c r="R50" s="475" t="s">
        <v>423</v>
      </c>
      <c r="S50" s="404"/>
      <c r="T50" s="427"/>
      <c r="U50" s="404"/>
      <c r="V50" s="480"/>
      <c r="X50" s="1110"/>
    </row>
    <row r="51" spans="4:29" ht="14.65" thickBot="1" x14ac:dyDescent="0.5">
      <c r="D51" s="92" t="s">
        <v>228</v>
      </c>
      <c r="E51" s="92" t="s">
        <v>275</v>
      </c>
      <c r="F51" s="140"/>
      <c r="G51" s="140"/>
      <c r="H51" s="665">
        <v>7.2</v>
      </c>
      <c r="I51" s="522">
        <f ca="1">INDIRECT("'learning rates'!"&amp;ADDRESS(3+$M51,5))*(IF($M51&lt;7,$G51,$H51))</f>
        <v>3.3217697069035386</v>
      </c>
      <c r="J51" s="521">
        <f ca="1">INDIRECT("'learning rates'!"&amp;ADDRESS(3+$M51,4))*(IF($M51&lt;7,$G51,$H51))*(1-J55)*2</f>
        <v>10.8</v>
      </c>
      <c r="K51" s="521">
        <f ca="1">INDIRECT("'learning rates'!"&amp;ADDRESS(3+$M51,5))*(IF($M51&lt;7,$G51,$H51))*(1-K55)*2</f>
        <v>4.9826545603553081</v>
      </c>
      <c r="L51" s="822"/>
      <c r="M51" s="995">
        <f>N51+6</f>
        <v>7</v>
      </c>
      <c r="N51" s="800">
        <v>1</v>
      </c>
      <c r="O51" s="803"/>
      <c r="P51" s="140"/>
      <c r="Q51" s="140"/>
      <c r="R51" s="665">
        <v>7.2</v>
      </c>
      <c r="S51" s="522">
        <f t="shared" ref="S51:U54" ca="1" si="14">INDIRECT("'learning rates'!"&amp;ADDRESS(3+$M51,5))*(IF($M51&lt;7,G51,H51))</f>
        <v>3.3217697069035386</v>
      </c>
      <c r="T51" s="521">
        <f t="shared" ca="1" si="14"/>
        <v>1.5325213869030585</v>
      </c>
      <c r="U51" s="521">
        <f t="shared" ca="1" si="14"/>
        <v>4.9826545603553081</v>
      </c>
      <c r="V51" s="822"/>
      <c r="W51" s="1103">
        <v>2</v>
      </c>
      <c r="X51" s="1110"/>
      <c r="Y51" s="1103">
        <v>1</v>
      </c>
      <c r="AA51" s="1103">
        <v>2</v>
      </c>
      <c r="AC51" s="1103">
        <v>3</v>
      </c>
    </row>
    <row r="52" spans="4:29" ht="14.65" thickBot="1" x14ac:dyDescent="0.5">
      <c r="D52" s="92" t="s">
        <v>249</v>
      </c>
      <c r="E52" s="93" t="s">
        <v>275</v>
      </c>
      <c r="F52" s="140"/>
      <c r="G52" s="140"/>
      <c r="H52" s="665">
        <v>4.7</v>
      </c>
      <c r="I52" s="550">
        <f ca="1">INDIRECT("'learning rates'!"&amp;ADDRESS(3+$M52,5))*(IF($M52&lt;7,$G52,$H52))</f>
        <v>2.1683774475620323</v>
      </c>
      <c r="J52" s="550">
        <f ca="1">INDIRECT("'learning rates'!"&amp;ADDRESS(3+$M52,4))*(IF($M52&lt;7,$G52,$H52))*(1-J55)*2</f>
        <v>7.0500000000000007</v>
      </c>
      <c r="K52" s="550">
        <f ca="1">INDIRECT("'learning rates'!"&amp;ADDRESS(3+$M52,5))*(IF($M52&lt;7,$G52,$H52))*(1-K55)*2</f>
        <v>3.2525661713430485</v>
      </c>
      <c r="L52" s="822"/>
      <c r="M52" s="1001">
        <f>N52+6</f>
        <v>7</v>
      </c>
      <c r="N52" s="799">
        <v>1</v>
      </c>
      <c r="O52" s="803"/>
      <c r="P52" s="140"/>
      <c r="Q52" s="140"/>
      <c r="R52" s="665">
        <v>4.7</v>
      </c>
      <c r="S52" s="550">
        <f t="shared" ca="1" si="14"/>
        <v>2.1683774475620323</v>
      </c>
      <c r="T52" s="550">
        <f t="shared" ca="1" si="14"/>
        <v>1.0003959053394966</v>
      </c>
      <c r="U52" s="550">
        <f t="shared" ca="1" si="14"/>
        <v>3.2525661713430485</v>
      </c>
      <c r="V52" s="822"/>
      <c r="W52" s="400">
        <v>2</v>
      </c>
      <c r="X52" s="1110"/>
      <c r="Y52" s="400">
        <v>1</v>
      </c>
      <c r="AA52" s="400">
        <v>2</v>
      </c>
      <c r="AC52" s="400">
        <v>3</v>
      </c>
    </row>
    <row r="53" spans="4:29" ht="14.65" thickBot="1" x14ac:dyDescent="0.5">
      <c r="D53" s="573" t="s">
        <v>283</v>
      </c>
      <c r="E53" s="92" t="s">
        <v>250</v>
      </c>
      <c r="F53" s="336"/>
      <c r="G53" s="336"/>
      <c r="H53" s="666">
        <v>0.06</v>
      </c>
      <c r="I53" s="520">
        <f ca="1">INDIRECT("'learning rates'!"&amp;ADDRESS(3+$M53,5))*(IF($M53&lt;7,$G53,$H53))</f>
        <v>0.06</v>
      </c>
      <c r="J53" s="520">
        <f ca="1">INDIRECT("'learning rates'!"&amp;ADDRESS(3+$M53,4))*(IF($M53&lt;7,$G53,$H53))</f>
        <v>0.06</v>
      </c>
      <c r="K53" s="520">
        <f ca="1">INDIRECT("'learning rates'!"&amp;ADDRESS(3+$M53,5))*(IF($M53&lt;7,$G53,$H53))</f>
        <v>0.06</v>
      </c>
      <c r="L53" s="473"/>
      <c r="M53" s="1001">
        <f>N53+6</f>
        <v>9</v>
      </c>
      <c r="N53" s="799">
        <v>3</v>
      </c>
      <c r="O53" s="473"/>
      <c r="P53" s="336"/>
      <c r="Q53" s="336"/>
      <c r="R53" s="666">
        <v>0.06</v>
      </c>
      <c r="S53" s="520">
        <f t="shared" ca="1" si="14"/>
        <v>0.06</v>
      </c>
      <c r="T53" s="520">
        <f t="shared" ca="1" si="14"/>
        <v>0.06</v>
      </c>
      <c r="U53" s="520">
        <f t="shared" ca="1" si="14"/>
        <v>0.06</v>
      </c>
      <c r="V53" s="473"/>
      <c r="W53" s="400">
        <v>2</v>
      </c>
      <c r="X53" s="1110"/>
      <c r="Y53" s="400">
        <v>1</v>
      </c>
      <c r="AA53" s="400">
        <v>2</v>
      </c>
      <c r="AC53" s="400">
        <v>3</v>
      </c>
    </row>
    <row r="54" spans="4:29" ht="14.65" thickBot="1" x14ac:dyDescent="0.5">
      <c r="D54" s="573" t="s">
        <v>306</v>
      </c>
      <c r="E54" s="92" t="s">
        <v>250</v>
      </c>
      <c r="F54" s="140"/>
      <c r="G54" s="140"/>
      <c r="H54" s="666">
        <v>0.08</v>
      </c>
      <c r="I54" s="520">
        <f ca="1">INDIRECT("'learning rates'!"&amp;ADDRESS(3+$M54,5))*(IF($M54&lt;7,$G54,$H54))</f>
        <v>0.08</v>
      </c>
      <c r="J54" s="520">
        <f ca="1">INDIRECT("'learning rates'!"&amp;ADDRESS(3+$M54,4))*(IF($M54&lt;7,$G54,$H54))</f>
        <v>0.08</v>
      </c>
      <c r="K54" s="520">
        <f ca="1">INDIRECT("'learning rates'!"&amp;ADDRESS(3+$M54,5))*(IF($M54&lt;7,$G54,$H54))</f>
        <v>0.08</v>
      </c>
      <c r="L54" s="473"/>
      <c r="M54" s="1001">
        <f>N54+6</f>
        <v>9</v>
      </c>
      <c r="N54" s="799">
        <v>3</v>
      </c>
      <c r="O54" s="473"/>
      <c r="P54" s="140"/>
      <c r="Q54" s="140"/>
      <c r="R54" s="666">
        <v>0.08</v>
      </c>
      <c r="S54" s="520">
        <f t="shared" ca="1" si="14"/>
        <v>0.08</v>
      </c>
      <c r="T54" s="520">
        <f t="shared" ca="1" si="14"/>
        <v>0.08</v>
      </c>
      <c r="U54" s="520">
        <f t="shared" ca="1" si="14"/>
        <v>0.08</v>
      </c>
      <c r="V54" s="473"/>
      <c r="W54" s="400">
        <v>2</v>
      </c>
      <c r="X54" s="1110"/>
      <c r="Y54" s="400">
        <v>1</v>
      </c>
      <c r="AA54" s="400">
        <v>2</v>
      </c>
      <c r="AC54" s="400">
        <v>3</v>
      </c>
    </row>
    <row r="55" spans="4:29" ht="14.65" thickBot="1" x14ac:dyDescent="0.5">
      <c r="D55" s="92" t="s">
        <v>276</v>
      </c>
      <c r="E55" s="92" t="s">
        <v>277</v>
      </c>
      <c r="F55" s="140"/>
      <c r="G55" s="140"/>
      <c r="H55" s="551"/>
      <c r="I55" s="551"/>
      <c r="J55" s="650">
        <v>0.25</v>
      </c>
      <c r="K55" s="650">
        <v>0.25</v>
      </c>
      <c r="L55" s="821"/>
      <c r="M55" s="1001"/>
      <c r="N55" s="799"/>
      <c r="O55" s="821"/>
      <c r="P55" s="140"/>
      <c r="Q55" s="140"/>
      <c r="R55" s="551"/>
      <c r="S55" s="551"/>
      <c r="T55" s="650">
        <v>0.25</v>
      </c>
      <c r="U55" s="650">
        <v>0.25</v>
      </c>
      <c r="V55" s="821"/>
      <c r="W55" s="400"/>
      <c r="X55" s="1110"/>
      <c r="Y55" s="400"/>
      <c r="AA55" s="400"/>
      <c r="AC55" s="400"/>
    </row>
    <row r="56" spans="4:29" ht="14.65" thickBot="1" x14ac:dyDescent="0.5">
      <c r="D56" s="92" t="s">
        <v>12</v>
      </c>
      <c r="E56" s="93" t="s">
        <v>275</v>
      </c>
      <c r="F56" s="140"/>
      <c r="G56" s="140"/>
      <c r="H56" s="665">
        <v>0.64</v>
      </c>
      <c r="I56" s="550">
        <f ca="1">INDIRECT("'learning rates'!"&amp;ADDRESS(3+$M56,5))*(IF($M56&lt;7,$G56,$H56))</f>
        <v>0.38179466368077586</v>
      </c>
      <c r="J56" s="550">
        <f ca="1">INDIRECT("'learning rates'!"&amp;ADDRESS(3+$M56,4))*(IF($M56&lt;7,$G56,$H56))*(1-J55)*2</f>
        <v>0.96</v>
      </c>
      <c r="K56" s="550">
        <f ca="1">INDIRECT("'learning rates'!"&amp;ADDRESS(3+$M56,5))*(IF($M56&lt;7,$G56,$H56))*(1-K55)*2</f>
        <v>0.57269199552116379</v>
      </c>
      <c r="L56" s="822"/>
      <c r="M56" s="1001">
        <f>N56+6</f>
        <v>8</v>
      </c>
      <c r="N56" s="799">
        <v>2</v>
      </c>
      <c r="O56" s="822"/>
      <c r="P56" s="140"/>
      <c r="Q56" s="140"/>
      <c r="R56" s="665">
        <v>0.64</v>
      </c>
      <c r="S56" s="550">
        <f t="shared" ref="S56:U57" ca="1" si="15">INDIRECT("'learning rates'!"&amp;ADDRESS(3+$M56,5))*(IF($M56&lt;7,G56,H56))</f>
        <v>0.38179466368077586</v>
      </c>
      <c r="T56" s="550">
        <f t="shared" ca="1" si="15"/>
        <v>0.22776119564861991</v>
      </c>
      <c r="U56" s="550">
        <f t="shared" ca="1" si="15"/>
        <v>0.57269199552116379</v>
      </c>
      <c r="V56" s="822"/>
      <c r="W56" s="400">
        <v>2</v>
      </c>
      <c r="X56" s="1110"/>
      <c r="Y56" s="400">
        <v>1</v>
      </c>
      <c r="AA56" s="400">
        <v>2</v>
      </c>
      <c r="AC56" s="400">
        <v>3</v>
      </c>
    </row>
    <row r="57" spans="4:29" ht="14.65" thickBot="1" x14ac:dyDescent="0.5">
      <c r="D57" s="92" t="s">
        <v>229</v>
      </c>
      <c r="E57" s="92" t="s">
        <v>74</v>
      </c>
      <c r="F57" s="483"/>
      <c r="G57" s="483"/>
      <c r="H57" s="666">
        <v>0.02</v>
      </c>
      <c r="I57" s="520">
        <f ca="1">INDIRECT("'learning rates'!"&amp;ADDRESS(3+$M57,5))*(IF($M57&lt;7,$G57,$H57))</f>
        <v>0.02</v>
      </c>
      <c r="J57" s="520">
        <f ca="1">INDIRECT("'learning rates'!"&amp;ADDRESS(3+$M57,4))*(IF($M57&lt;7,$G57,$H57))</f>
        <v>0.02</v>
      </c>
      <c r="K57" s="520">
        <f ca="1">INDIRECT("'learning rates'!"&amp;ADDRESS(3+$M57,5))*(IF($M57&lt;7,$G57,$H57))</f>
        <v>0.02</v>
      </c>
      <c r="L57" s="473"/>
      <c r="M57" s="997">
        <f>N57+6</f>
        <v>9</v>
      </c>
      <c r="N57" s="801">
        <v>3</v>
      </c>
      <c r="O57" s="473"/>
      <c r="P57" s="483"/>
      <c r="Q57" s="483"/>
      <c r="R57" s="666">
        <v>0.02</v>
      </c>
      <c r="S57" s="520">
        <f t="shared" ca="1" si="15"/>
        <v>0.02</v>
      </c>
      <c r="T57" s="520">
        <f t="shared" ca="1" si="15"/>
        <v>0.02</v>
      </c>
      <c r="U57" s="520">
        <f t="shared" ca="1" si="15"/>
        <v>0.02</v>
      </c>
      <c r="V57" s="473"/>
      <c r="W57" s="1104">
        <v>2</v>
      </c>
      <c r="X57" s="1110"/>
      <c r="Y57" s="1104">
        <v>1</v>
      </c>
      <c r="AA57" s="1104">
        <v>2</v>
      </c>
      <c r="AC57" s="1104">
        <v>3</v>
      </c>
    </row>
    <row r="58" spans="4:29" ht="14.65" thickBot="1" x14ac:dyDescent="0.5">
      <c r="D58" s="105"/>
      <c r="E58" s="105"/>
      <c r="F58" s="286"/>
      <c r="G58" s="286"/>
      <c r="H58" s="404"/>
      <c r="I58" s="404"/>
      <c r="J58" s="427"/>
      <c r="K58" s="404"/>
      <c r="L58" s="480"/>
      <c r="M58"/>
      <c r="N58" s="340"/>
      <c r="O58" s="480"/>
      <c r="P58" s="286"/>
      <c r="Q58" s="286"/>
      <c r="R58" s="404"/>
      <c r="S58" s="404"/>
      <c r="T58" s="427"/>
      <c r="U58" s="404"/>
      <c r="V58" s="480"/>
      <c r="X58" s="1110"/>
    </row>
    <row r="59" spans="4:29" ht="14.65" thickBot="1" x14ac:dyDescent="0.5">
      <c r="D59" s="428" t="s">
        <v>214</v>
      </c>
      <c r="E59" s="105"/>
      <c r="F59" s="286"/>
      <c r="G59" s="286"/>
      <c r="H59" s="286"/>
      <c r="I59" s="286"/>
      <c r="J59" s="535"/>
      <c r="K59" s="25"/>
      <c r="L59" s="1"/>
      <c r="M59"/>
      <c r="N59" s="340"/>
      <c r="O59" s="1"/>
      <c r="P59" s="286"/>
      <c r="Q59" s="286"/>
      <c r="R59" s="286"/>
      <c r="S59" s="286"/>
      <c r="T59" s="535"/>
      <c r="U59" s="25"/>
      <c r="V59" s="1"/>
      <c r="X59" s="857"/>
    </row>
    <row r="60" spans="4:29" ht="14.65" thickBot="1" x14ac:dyDescent="0.5">
      <c r="D60" s="93" t="s">
        <v>59</v>
      </c>
      <c r="E60" s="92" t="s">
        <v>271</v>
      </c>
      <c r="F60" s="179">
        <v>0.38</v>
      </c>
      <c r="G60" s="652">
        <v>0.38</v>
      </c>
      <c r="H60" s="522">
        <f t="shared" ref="H60:H67" ca="1" si="16">INDIRECT("'learning rates'!"&amp;ADDRESS(3+$M60,4))*(IF($M60&lt;7,$G60,$H60))</f>
        <v>0.25755022881302636</v>
      </c>
      <c r="I60" s="521">
        <f t="shared" ref="I60:I67" ca="1" si="17">INDIRECT("'learning rates'!"&amp;ADDRESS(3+$M60,5))*(IF($M60&lt;7,$G60,$H60))</f>
        <v>0.24184770861775973</v>
      </c>
      <c r="J60" s="521">
        <f t="shared" ref="J60:J67" ca="1" si="18">INDIRECT("'learning rates'!"&amp;ADDRESS(3+$M60,4))*(IF($M60&lt;7,$G60,$H60))</f>
        <v>0.25755022881302636</v>
      </c>
      <c r="K60" s="521">
        <f t="shared" ref="K60:K67" ca="1" si="19">INDIRECT("'learning rates'!"&amp;ADDRESS(3+$M60,5))*(IF($M60&lt;7,$G60,$H60))</f>
        <v>0.24184770861775973</v>
      </c>
      <c r="L60" s="822"/>
      <c r="M60" s="995">
        <f t="shared" ref="M60:M67" si="20">N60</f>
        <v>2</v>
      </c>
      <c r="N60" s="800">
        <v>2</v>
      </c>
      <c r="O60" s="822"/>
      <c r="P60" s="140">
        <v>0.38</v>
      </c>
      <c r="Q60" s="652">
        <v>0.38</v>
      </c>
      <c r="R60" s="522">
        <f t="shared" ref="R60:U67" ca="1" si="21">INDIRECT("'learning rates'!"&amp;ADDRESS(3+$M60,4))*(IF($M60&lt;7,G60,H60))</f>
        <v>0.25755022881302636</v>
      </c>
      <c r="S60" s="521">
        <f t="shared" ca="1" si="21"/>
        <v>0.17455821147800588</v>
      </c>
      <c r="T60" s="521">
        <f t="shared" ca="1" si="21"/>
        <v>0.16391561234844773</v>
      </c>
      <c r="U60" s="521">
        <f t="shared" ca="1" si="21"/>
        <v>0.17455821147800588</v>
      </c>
      <c r="V60" s="822"/>
      <c r="W60" s="1103">
        <v>1</v>
      </c>
      <c r="X60" s="1111"/>
      <c r="Y60" s="1103">
        <v>1</v>
      </c>
      <c r="AA60" s="1103">
        <v>2</v>
      </c>
      <c r="AC60" s="1103">
        <v>3</v>
      </c>
    </row>
    <row r="61" spans="4:29" ht="14.65" thickBot="1" x14ac:dyDescent="0.5">
      <c r="D61" s="93" t="s">
        <v>62</v>
      </c>
      <c r="E61" s="93" t="s">
        <v>271</v>
      </c>
      <c r="F61" s="177">
        <v>2.5099999999999998</v>
      </c>
      <c r="G61" s="647">
        <v>2.5099999999999998</v>
      </c>
      <c r="H61" s="550">
        <f t="shared" ca="1" si="16"/>
        <v>1.7011870376860423</v>
      </c>
      <c r="I61" s="550">
        <f t="shared" ca="1" si="17"/>
        <v>1.5974677595541495</v>
      </c>
      <c r="J61" s="550">
        <f t="shared" ca="1" si="18"/>
        <v>1.7011870376860423</v>
      </c>
      <c r="K61" s="550">
        <f t="shared" ca="1" si="19"/>
        <v>1.5974677595541495</v>
      </c>
      <c r="L61" s="822"/>
      <c r="M61" s="1001">
        <f t="shared" si="20"/>
        <v>2</v>
      </c>
      <c r="N61" s="799">
        <v>2</v>
      </c>
      <c r="O61" s="822"/>
      <c r="P61" s="830">
        <v>2.5099999999999998</v>
      </c>
      <c r="Q61" s="647">
        <v>2.5099999999999998</v>
      </c>
      <c r="R61" s="550">
        <f t="shared" ca="1" si="21"/>
        <v>1.7011870376860423</v>
      </c>
      <c r="S61" s="550">
        <f t="shared" ca="1" si="21"/>
        <v>1.1530029231836703</v>
      </c>
      <c r="T61" s="550">
        <f t="shared" ca="1" si="21"/>
        <v>1.0827057552489572</v>
      </c>
      <c r="U61" s="550">
        <f t="shared" ca="1" si="21"/>
        <v>1.1530029231836703</v>
      </c>
      <c r="V61" s="822"/>
      <c r="W61" s="400">
        <v>2</v>
      </c>
      <c r="X61" s="1111"/>
      <c r="Y61" s="400">
        <v>1</v>
      </c>
      <c r="AA61" s="400">
        <v>2</v>
      </c>
      <c r="AC61" s="400">
        <v>3</v>
      </c>
    </row>
    <row r="62" spans="4:29" ht="14.65" thickBot="1" x14ac:dyDescent="0.5">
      <c r="D62" s="93" t="s">
        <v>251</v>
      </c>
      <c r="E62" s="93" t="s">
        <v>271</v>
      </c>
      <c r="F62" s="177">
        <v>1.47</v>
      </c>
      <c r="G62" s="647">
        <v>1.47</v>
      </c>
      <c r="H62" s="550">
        <f t="shared" ca="1" si="16"/>
        <v>0.99631272725039133</v>
      </c>
      <c r="I62" s="550">
        <f t="shared" ca="1" si="17"/>
        <v>0.93556876754764939</v>
      </c>
      <c r="J62" s="550">
        <f t="shared" ca="1" si="18"/>
        <v>0.99631272725039133</v>
      </c>
      <c r="K62" s="550">
        <f t="shared" ca="1" si="19"/>
        <v>0.93556876754764939</v>
      </c>
      <c r="L62" s="822"/>
      <c r="M62" s="1001">
        <f t="shared" si="20"/>
        <v>2</v>
      </c>
      <c r="N62" s="799">
        <v>2</v>
      </c>
      <c r="O62" s="822"/>
      <c r="P62" s="830">
        <v>1.47</v>
      </c>
      <c r="Q62" s="647">
        <v>1.47</v>
      </c>
      <c r="R62" s="550">
        <f t="shared" ca="1" si="21"/>
        <v>0.99631272725039133</v>
      </c>
      <c r="S62" s="550">
        <f t="shared" ca="1" si="21"/>
        <v>0.6752646601912331</v>
      </c>
      <c r="T62" s="550">
        <f t="shared" ca="1" si="21"/>
        <v>0.63409460566373199</v>
      </c>
      <c r="U62" s="550">
        <f t="shared" ca="1" si="21"/>
        <v>0.6752646601912331</v>
      </c>
      <c r="V62" s="822"/>
      <c r="W62" s="400">
        <v>1</v>
      </c>
      <c r="X62" s="1111"/>
      <c r="Y62" s="400">
        <v>1</v>
      </c>
      <c r="AA62" s="400">
        <v>2</v>
      </c>
      <c r="AC62" s="400">
        <v>3</v>
      </c>
    </row>
    <row r="63" spans="4:29" ht="14.65" thickBot="1" x14ac:dyDescent="0.5">
      <c r="D63" s="93" t="s">
        <v>252</v>
      </c>
      <c r="E63" s="94" t="s">
        <v>271</v>
      </c>
      <c r="F63" s="177">
        <v>1.47</v>
      </c>
      <c r="G63" s="647">
        <v>1.47</v>
      </c>
      <c r="H63" s="550">
        <f t="shared" ca="1" si="16"/>
        <v>0.99631272725039133</v>
      </c>
      <c r="I63" s="550">
        <f t="shared" ca="1" si="17"/>
        <v>0.93556876754764939</v>
      </c>
      <c r="J63" s="550">
        <f t="shared" ca="1" si="18"/>
        <v>0.99631272725039133</v>
      </c>
      <c r="K63" s="550">
        <f t="shared" ca="1" si="19"/>
        <v>0.93556876754764939</v>
      </c>
      <c r="L63" s="822"/>
      <c r="M63" s="1001">
        <f t="shared" si="20"/>
        <v>2</v>
      </c>
      <c r="N63" s="799">
        <v>2</v>
      </c>
      <c r="O63" s="822"/>
      <c r="P63" s="830">
        <v>1.47</v>
      </c>
      <c r="Q63" s="647">
        <v>1.47</v>
      </c>
      <c r="R63" s="550">
        <f t="shared" ca="1" si="21"/>
        <v>0.99631272725039133</v>
      </c>
      <c r="S63" s="550">
        <f t="shared" ca="1" si="21"/>
        <v>0.6752646601912331</v>
      </c>
      <c r="T63" s="550">
        <f t="shared" ca="1" si="21"/>
        <v>0.63409460566373199</v>
      </c>
      <c r="U63" s="550">
        <f t="shared" ca="1" si="21"/>
        <v>0.6752646601912331</v>
      </c>
      <c r="V63" s="822"/>
      <c r="W63" s="400">
        <v>2</v>
      </c>
      <c r="X63" s="1111"/>
      <c r="Y63" s="400">
        <v>1</v>
      </c>
      <c r="AA63" s="400">
        <v>2</v>
      </c>
      <c r="AC63" s="400">
        <v>3</v>
      </c>
    </row>
    <row r="64" spans="4:29" ht="14.65" thickBot="1" x14ac:dyDescent="0.5">
      <c r="D64" s="93" t="s">
        <v>15</v>
      </c>
      <c r="E64" s="94" t="s">
        <v>135</v>
      </c>
      <c r="F64" s="177">
        <v>145</v>
      </c>
      <c r="G64" s="647">
        <v>145</v>
      </c>
      <c r="H64" s="548">
        <f t="shared" ca="1" si="16"/>
        <v>98.275745204970576</v>
      </c>
      <c r="I64" s="548">
        <f t="shared" ca="1" si="17"/>
        <v>92.283994077829362</v>
      </c>
      <c r="J64" s="548">
        <f t="shared" ca="1" si="18"/>
        <v>98.275745204970576</v>
      </c>
      <c r="K64" s="548">
        <f t="shared" ca="1" si="19"/>
        <v>92.283994077829362</v>
      </c>
      <c r="L64" s="823"/>
      <c r="M64" s="1001">
        <f t="shared" si="20"/>
        <v>2</v>
      </c>
      <c r="N64" s="799">
        <v>2</v>
      </c>
      <c r="O64" s="823"/>
      <c r="P64" s="830">
        <v>145</v>
      </c>
      <c r="Q64" s="647">
        <v>145</v>
      </c>
      <c r="R64" s="548">
        <f t="shared" ca="1" si="21"/>
        <v>98.275745204970576</v>
      </c>
      <c r="S64" s="548">
        <f t="shared" ca="1" si="21"/>
        <v>66.607738590291703</v>
      </c>
      <c r="T64" s="548">
        <f t="shared" ca="1" si="21"/>
        <v>62.546746817170842</v>
      </c>
      <c r="U64" s="548">
        <f t="shared" ca="1" si="21"/>
        <v>66.607738590291703</v>
      </c>
      <c r="V64" s="823"/>
      <c r="W64" s="400">
        <v>1</v>
      </c>
      <c r="X64" s="1110"/>
      <c r="Y64" s="400">
        <v>1</v>
      </c>
      <c r="AA64" s="400">
        <v>2</v>
      </c>
      <c r="AC64" s="400">
        <v>3</v>
      </c>
    </row>
    <row r="65" spans="4:29" ht="14.65" thickBot="1" x14ac:dyDescent="0.5">
      <c r="D65" s="128" t="s">
        <v>17</v>
      </c>
      <c r="E65" s="94" t="s">
        <v>135</v>
      </c>
      <c r="F65" s="129">
        <v>40.6</v>
      </c>
      <c r="G65" s="647">
        <v>40.6</v>
      </c>
      <c r="H65" s="549">
        <f t="shared" ca="1" si="16"/>
        <v>27.517208657391762</v>
      </c>
      <c r="I65" s="549">
        <f t="shared" ca="1" si="17"/>
        <v>25.839518341792221</v>
      </c>
      <c r="J65" s="549">
        <f t="shared" ca="1" si="18"/>
        <v>27.517208657391762</v>
      </c>
      <c r="K65" s="549">
        <f t="shared" ca="1" si="19"/>
        <v>25.839518341792221</v>
      </c>
      <c r="L65" s="837"/>
      <c r="M65" s="1001">
        <f t="shared" si="20"/>
        <v>2</v>
      </c>
      <c r="N65" s="799">
        <v>2</v>
      </c>
      <c r="O65" s="837"/>
      <c r="P65" s="831">
        <v>40.6</v>
      </c>
      <c r="Q65" s="647">
        <v>40.6</v>
      </c>
      <c r="R65" s="549">
        <f t="shared" ca="1" si="21"/>
        <v>27.517208657391762</v>
      </c>
      <c r="S65" s="549">
        <f t="shared" ca="1" si="21"/>
        <v>18.650166805281678</v>
      </c>
      <c r="T65" s="549">
        <f t="shared" ca="1" si="21"/>
        <v>17.513089108807836</v>
      </c>
      <c r="U65" s="549">
        <f t="shared" ca="1" si="21"/>
        <v>18.650166805281678</v>
      </c>
      <c r="V65" s="837"/>
      <c r="W65" s="400">
        <v>1</v>
      </c>
      <c r="X65" s="1110"/>
      <c r="Y65" s="400">
        <v>1</v>
      </c>
      <c r="AA65" s="400">
        <v>2</v>
      </c>
      <c r="AC65" s="400">
        <v>3</v>
      </c>
    </row>
    <row r="66" spans="4:29" ht="14.65" thickBot="1" x14ac:dyDescent="0.5">
      <c r="D66" s="128" t="s">
        <v>16</v>
      </c>
      <c r="E66" s="94" t="s">
        <v>135</v>
      </c>
      <c r="F66" s="129">
        <v>34.799999999999997</v>
      </c>
      <c r="G66" s="647">
        <v>34.799999999999997</v>
      </c>
      <c r="H66" s="549">
        <f t="shared" ca="1" si="16"/>
        <v>23.586178849192937</v>
      </c>
      <c r="I66" s="549">
        <f t="shared" ca="1" si="17"/>
        <v>22.148158578679045</v>
      </c>
      <c r="J66" s="549">
        <f t="shared" ca="1" si="18"/>
        <v>23.586178849192937</v>
      </c>
      <c r="K66" s="549">
        <f t="shared" ca="1" si="19"/>
        <v>22.148158578679045</v>
      </c>
      <c r="L66" s="837"/>
      <c r="M66" s="1001">
        <f t="shared" si="20"/>
        <v>2</v>
      </c>
      <c r="N66" s="799">
        <v>2</v>
      </c>
      <c r="O66" s="837"/>
      <c r="P66" s="831">
        <v>34.799999999999997</v>
      </c>
      <c r="Q66" s="647">
        <v>34.799999999999997</v>
      </c>
      <c r="R66" s="549">
        <f t="shared" ca="1" si="21"/>
        <v>23.586178849192937</v>
      </c>
      <c r="S66" s="549">
        <f t="shared" ca="1" si="21"/>
        <v>15.985857261670008</v>
      </c>
      <c r="T66" s="549">
        <f t="shared" ca="1" si="21"/>
        <v>15.011219236121001</v>
      </c>
      <c r="U66" s="549">
        <f t="shared" ca="1" si="21"/>
        <v>15.985857261670008</v>
      </c>
      <c r="V66" s="837"/>
      <c r="W66" s="400">
        <v>1</v>
      </c>
      <c r="X66" s="1110"/>
      <c r="Y66" s="400">
        <v>1</v>
      </c>
      <c r="AA66" s="400">
        <v>2</v>
      </c>
      <c r="AC66" s="400">
        <v>3</v>
      </c>
    </row>
    <row r="67" spans="4:29" ht="14.65" thickBot="1" x14ac:dyDescent="0.5">
      <c r="D67" s="128" t="s">
        <v>63</v>
      </c>
      <c r="E67" s="94" t="s">
        <v>135</v>
      </c>
      <c r="F67" s="137">
        <v>34.799999999999997</v>
      </c>
      <c r="G67" s="647">
        <v>34.799999999999997</v>
      </c>
      <c r="H67" s="549">
        <f t="shared" ca="1" si="16"/>
        <v>23.586178849192937</v>
      </c>
      <c r="I67" s="549">
        <f t="shared" ca="1" si="17"/>
        <v>22.148158578679045</v>
      </c>
      <c r="J67" s="549">
        <f t="shared" ca="1" si="18"/>
        <v>23.586178849192937</v>
      </c>
      <c r="K67" s="549">
        <f t="shared" ca="1" si="19"/>
        <v>22.148158578679045</v>
      </c>
      <c r="L67" s="837"/>
      <c r="M67" s="1001">
        <f t="shared" si="20"/>
        <v>2</v>
      </c>
      <c r="N67" s="799">
        <v>2</v>
      </c>
      <c r="O67" s="837"/>
      <c r="P67" s="832">
        <v>34.799999999999997</v>
      </c>
      <c r="Q67" s="647">
        <v>34.799999999999997</v>
      </c>
      <c r="R67" s="549">
        <f t="shared" ca="1" si="21"/>
        <v>23.586178849192937</v>
      </c>
      <c r="S67" s="549">
        <f t="shared" ca="1" si="21"/>
        <v>15.985857261670008</v>
      </c>
      <c r="T67" s="549">
        <f t="shared" ca="1" si="21"/>
        <v>15.011219236121001</v>
      </c>
      <c r="U67" s="549">
        <f t="shared" ca="1" si="21"/>
        <v>15.985857261670008</v>
      </c>
      <c r="V67" s="837"/>
      <c r="W67" s="400">
        <v>1</v>
      </c>
      <c r="X67" s="1110"/>
      <c r="Y67" s="400">
        <v>1</v>
      </c>
      <c r="AA67" s="400">
        <v>2</v>
      </c>
      <c r="AC67" s="400">
        <v>3</v>
      </c>
    </row>
    <row r="68" spans="4:29" ht="14.65" thickBot="1" x14ac:dyDescent="0.5">
      <c r="D68" s="128" t="s">
        <v>294</v>
      </c>
      <c r="E68" s="94" t="s">
        <v>295</v>
      </c>
      <c r="F68" s="633">
        <v>2E-3</v>
      </c>
      <c r="G68" s="667">
        <v>2E-3</v>
      </c>
      <c r="H68" s="634">
        <v>2E-3</v>
      </c>
      <c r="I68" s="635">
        <v>2E-3</v>
      </c>
      <c r="J68" s="634">
        <v>2E-3</v>
      </c>
      <c r="K68" s="635">
        <v>2E-3</v>
      </c>
      <c r="L68" s="838"/>
      <c r="M68" s="1001"/>
      <c r="N68" s="799"/>
      <c r="O68" s="838"/>
      <c r="P68" s="833">
        <v>2E-3</v>
      </c>
      <c r="Q68" s="667">
        <v>2E-3</v>
      </c>
      <c r="R68" s="634">
        <v>2E-3</v>
      </c>
      <c r="S68" s="635">
        <v>2E-3</v>
      </c>
      <c r="T68" s="634">
        <v>2E-3</v>
      </c>
      <c r="U68" s="635">
        <v>2E-3</v>
      </c>
      <c r="V68" s="838"/>
      <c r="W68" s="400"/>
      <c r="X68" s="1110"/>
      <c r="Y68" s="400"/>
      <c r="AA68" s="400"/>
      <c r="AC68" s="400"/>
    </row>
    <row r="69" spans="4:29" ht="14.65" thickBot="1" x14ac:dyDescent="0.5">
      <c r="D69" s="128" t="s">
        <v>35</v>
      </c>
      <c r="E69" s="94" t="s">
        <v>136</v>
      </c>
      <c r="F69" s="423">
        <v>11.7</v>
      </c>
      <c r="G69" s="668">
        <v>11.7</v>
      </c>
      <c r="H69" s="549">
        <f ca="1">INDIRECT("'learning rates'!"&amp;ADDRESS(3+$M69,4))*(IF($M69&lt;7,$G69,$H69))</f>
        <v>7.929835992401074</v>
      </c>
      <c r="I69" s="549">
        <f ca="1">INDIRECT("'learning rates'!"&amp;ADDRESS(3+$M69,5))*(IF($M69&lt;7,$G69,$H69))</f>
        <v>7.4463636600731276</v>
      </c>
      <c r="J69" s="549">
        <f ca="1">INDIRECT("'learning rates'!"&amp;ADDRESS(3+$M69,4))*(IF($M69&lt;7,$G69,$H69))</f>
        <v>7.929835992401074</v>
      </c>
      <c r="K69" s="549">
        <f ca="1">INDIRECT("'learning rates'!"&amp;ADDRESS(3+$M69,5))*(IF($M69&lt;7,$G69,$H69))</f>
        <v>7.4463636600731276</v>
      </c>
      <c r="L69" s="837"/>
      <c r="M69" s="1001">
        <f>N69</f>
        <v>2</v>
      </c>
      <c r="N69" s="799">
        <v>2</v>
      </c>
      <c r="O69" s="837"/>
      <c r="P69" s="832">
        <v>11.7</v>
      </c>
      <c r="Q69" s="668">
        <v>11.7</v>
      </c>
      <c r="R69" s="549">
        <f t="shared" ref="R69:U70" ca="1" si="22">INDIRECT("'learning rates'!"&amp;ADDRESS(3+$M69,4))*(IF($M69&lt;7,G69,H69))</f>
        <v>7.929835992401074</v>
      </c>
      <c r="S69" s="549">
        <f t="shared" ca="1" si="22"/>
        <v>5.3745554586649167</v>
      </c>
      <c r="T69" s="549">
        <f t="shared" ca="1" si="22"/>
        <v>5.0468754328337848</v>
      </c>
      <c r="U69" s="549">
        <f t="shared" ca="1" si="22"/>
        <v>5.3745554586649167</v>
      </c>
      <c r="V69" s="837"/>
      <c r="W69" s="400">
        <v>3</v>
      </c>
      <c r="X69" s="1112"/>
      <c r="Y69" s="400">
        <v>1</v>
      </c>
      <c r="AA69" s="400">
        <v>2</v>
      </c>
      <c r="AC69" s="400">
        <v>3</v>
      </c>
    </row>
    <row r="70" spans="4:29" ht="14.65" thickBot="1" x14ac:dyDescent="0.5">
      <c r="D70" s="128" t="s">
        <v>23</v>
      </c>
      <c r="E70" s="94" t="s">
        <v>136</v>
      </c>
      <c r="F70" s="423">
        <v>14.1</v>
      </c>
      <c r="G70" s="668">
        <v>14.1</v>
      </c>
      <c r="H70" s="549">
        <f ca="1">INDIRECT("'learning rates'!"&amp;ADDRESS(3+$M70,4))*(IF($M70&lt;7,$G70,$H70))</f>
        <v>9.5564690164833461</v>
      </c>
      <c r="I70" s="549">
        <f ca="1">INDIRECT("'learning rates'!"&amp;ADDRESS(3+$M70,5))*(IF($M70&lt;7,$G70,$H70))</f>
        <v>8.9738228723958215</v>
      </c>
      <c r="J70" s="549">
        <f ca="1">INDIRECT("'learning rates'!"&amp;ADDRESS(3+$M70,4))*(IF($M70&lt;7,$G70,$H70))</f>
        <v>9.5564690164833461</v>
      </c>
      <c r="K70" s="549">
        <f ca="1">INDIRECT("'learning rates'!"&amp;ADDRESS(3+$M70,5))*(IF($M70&lt;7,$G70,$H70))</f>
        <v>8.9738228723958215</v>
      </c>
      <c r="L70" s="837"/>
      <c r="M70" s="997">
        <f>N70</f>
        <v>2</v>
      </c>
      <c r="N70" s="801">
        <v>2</v>
      </c>
      <c r="O70" s="837"/>
      <c r="P70" s="832">
        <v>14.1</v>
      </c>
      <c r="Q70" s="668">
        <v>14.1</v>
      </c>
      <c r="R70" s="549">
        <f t="shared" ca="1" si="22"/>
        <v>9.5564690164833461</v>
      </c>
      <c r="S70" s="549">
        <f t="shared" ca="1" si="22"/>
        <v>6.4770283732628489</v>
      </c>
      <c r="T70" s="549">
        <f t="shared" ca="1" si="22"/>
        <v>6.0821319318766136</v>
      </c>
      <c r="U70" s="549">
        <f t="shared" ca="1" si="22"/>
        <v>6.4770283732628489</v>
      </c>
      <c r="V70" s="837"/>
      <c r="W70" s="1104">
        <v>3</v>
      </c>
      <c r="X70" s="1112"/>
      <c r="Y70" s="1104">
        <v>1</v>
      </c>
      <c r="AA70" s="1104">
        <v>2</v>
      </c>
      <c r="AC70" s="1104">
        <v>3</v>
      </c>
    </row>
    <row r="71" spans="4:29" ht="14.65" thickBot="1" x14ac:dyDescent="0.5">
      <c r="M71"/>
      <c r="N71" s="340"/>
      <c r="O71" s="17"/>
      <c r="V71" s="17"/>
    </row>
    <row r="72" spans="4:29" ht="14.65" thickBot="1" x14ac:dyDescent="0.5">
      <c r="D72" s="428" t="s">
        <v>232</v>
      </c>
      <c r="E72" s="25"/>
      <c r="F72" s="678"/>
      <c r="G72" s="678"/>
      <c r="H72" s="678"/>
      <c r="I72" s="678"/>
      <c r="J72" s="678"/>
      <c r="K72" s="678"/>
      <c r="L72" s="321"/>
      <c r="M72"/>
      <c r="N72" s="340"/>
      <c r="O72" s="321"/>
      <c r="P72" s="715"/>
      <c r="Q72" s="715"/>
      <c r="R72" s="715"/>
      <c r="S72" s="715"/>
      <c r="T72" s="715"/>
      <c r="U72" s="715"/>
      <c r="V72" s="321"/>
      <c r="X72" s="857"/>
    </row>
    <row r="73" spans="4:29" ht="14.65" thickBot="1" x14ac:dyDescent="0.5">
      <c r="D73" s="432" t="s">
        <v>83</v>
      </c>
      <c r="E73" s="430" t="s">
        <v>57</v>
      </c>
      <c r="F73" s="23"/>
      <c r="G73" s="669">
        <v>1000</v>
      </c>
      <c r="H73" s="669">
        <v>400</v>
      </c>
      <c r="I73" s="669">
        <v>200</v>
      </c>
      <c r="J73" s="23">
        <v>400</v>
      </c>
      <c r="K73" s="23">
        <v>200</v>
      </c>
      <c r="L73" s="321"/>
      <c r="M73" s="995"/>
      <c r="N73" s="800"/>
      <c r="O73" s="321"/>
      <c r="P73" s="23"/>
      <c r="Q73" s="669">
        <v>1000</v>
      </c>
      <c r="R73" s="669">
        <v>400</v>
      </c>
      <c r="S73" s="669">
        <v>200</v>
      </c>
      <c r="T73" s="23">
        <v>400</v>
      </c>
      <c r="U73" s="23">
        <v>200</v>
      </c>
      <c r="V73" s="321"/>
      <c r="W73" s="1103"/>
      <c r="X73" s="857"/>
      <c r="Y73" s="1103"/>
      <c r="AA73" s="1103"/>
      <c r="AC73" s="1103"/>
    </row>
    <row r="74" spans="4:29" ht="14.65" thickBot="1" x14ac:dyDescent="0.5">
      <c r="D74" s="432" t="s">
        <v>77</v>
      </c>
      <c r="E74" s="24" t="s">
        <v>78</v>
      </c>
      <c r="F74" s="23"/>
      <c r="G74" s="669">
        <v>30</v>
      </c>
      <c r="H74" s="669">
        <v>50</v>
      </c>
      <c r="I74" s="669">
        <v>50</v>
      </c>
      <c r="J74" s="669">
        <v>50</v>
      </c>
      <c r="K74" s="669">
        <v>50</v>
      </c>
      <c r="L74" s="836"/>
      <c r="M74" s="1001"/>
      <c r="N74" s="799"/>
      <c r="O74" s="836"/>
      <c r="P74" s="23"/>
      <c r="Q74" s="669">
        <v>30</v>
      </c>
      <c r="R74" s="669">
        <v>50</v>
      </c>
      <c r="S74" s="669">
        <v>50</v>
      </c>
      <c r="T74" s="669">
        <v>50</v>
      </c>
      <c r="U74" s="669">
        <v>50</v>
      </c>
      <c r="V74" s="836"/>
      <c r="W74" s="400"/>
      <c r="X74" s="1113"/>
      <c r="Y74" s="400"/>
      <c r="AA74" s="400"/>
      <c r="AC74" s="400"/>
    </row>
    <row r="75" spans="4:29" ht="14.65" thickBot="1" x14ac:dyDescent="0.5">
      <c r="D75" s="432" t="s">
        <v>233</v>
      </c>
      <c r="E75" s="24" t="s">
        <v>79</v>
      </c>
      <c r="F75" s="23"/>
      <c r="G75" s="670">
        <v>0.75</v>
      </c>
      <c r="H75" s="670">
        <v>0.8</v>
      </c>
      <c r="I75" s="670">
        <v>0.875</v>
      </c>
      <c r="J75" s="465">
        <v>0.8</v>
      </c>
      <c r="K75" s="465">
        <v>0.875</v>
      </c>
      <c r="L75" s="419"/>
      <c r="M75" s="1001"/>
      <c r="N75" s="799"/>
      <c r="O75" s="419"/>
      <c r="P75" s="23"/>
      <c r="Q75" s="670">
        <v>0.75</v>
      </c>
      <c r="R75" s="670">
        <v>0.8</v>
      </c>
      <c r="S75" s="670">
        <v>0.875</v>
      </c>
      <c r="T75" s="465">
        <v>0.8</v>
      </c>
      <c r="U75" s="465">
        <v>0.875</v>
      </c>
      <c r="V75" s="419"/>
      <c r="W75" s="400"/>
      <c r="X75" s="1114"/>
      <c r="Y75" s="400"/>
      <c r="AA75" s="400"/>
      <c r="AC75" s="400"/>
    </row>
    <row r="76" spans="4:29" ht="14.65" thickBot="1" x14ac:dyDescent="0.5">
      <c r="D76" s="432" t="s">
        <v>233</v>
      </c>
      <c r="E76" s="24" t="s">
        <v>39</v>
      </c>
      <c r="F76" s="23"/>
      <c r="G76" s="335">
        <f>141.8/(G75*3.6)</f>
        <v>52.518518518518519</v>
      </c>
      <c r="H76" s="335">
        <f>141.8/(H75*3.6)</f>
        <v>49.236111111111107</v>
      </c>
      <c r="I76" s="335">
        <f>141.8/(I75*3.6)</f>
        <v>45.015873015873019</v>
      </c>
      <c r="J76" s="335">
        <f>141.8/(J75*3.6)</f>
        <v>49.236111111111107</v>
      </c>
      <c r="K76" s="335">
        <f>141.8/(K75*3.6)</f>
        <v>45.015873015873019</v>
      </c>
      <c r="L76" s="476"/>
      <c r="M76" s="1001"/>
      <c r="N76" s="799"/>
      <c r="O76" s="476"/>
      <c r="P76" s="23"/>
      <c r="Q76" s="335">
        <f>141.8/(G75*3.6)</f>
        <v>52.518518518518519</v>
      </c>
      <c r="R76" s="335">
        <f>141.8/(H75*3.6)</f>
        <v>49.236111111111107</v>
      </c>
      <c r="S76" s="335">
        <f>141.8/(I75*3.6)</f>
        <v>45.015873015873019</v>
      </c>
      <c r="T76" s="335">
        <f>141.8/(J75*3.6)</f>
        <v>49.236111111111107</v>
      </c>
      <c r="U76" s="335">
        <f>141.8/(K75*3.6)</f>
        <v>45.015873015873019</v>
      </c>
      <c r="V76" s="476"/>
      <c r="W76" s="400"/>
      <c r="X76" s="1115"/>
      <c r="Y76" s="400"/>
      <c r="AA76" s="400"/>
      <c r="AC76" s="400"/>
    </row>
    <row r="77" spans="4:29" ht="14.65" thickBot="1" x14ac:dyDescent="0.5">
      <c r="D77" s="431" t="s">
        <v>18</v>
      </c>
      <c r="E77" s="24" t="s">
        <v>19</v>
      </c>
      <c r="F77" s="23"/>
      <c r="G77" s="669">
        <v>15</v>
      </c>
      <c r="H77" s="669">
        <v>20</v>
      </c>
      <c r="I77" s="669">
        <v>25</v>
      </c>
      <c r="J77" s="669">
        <v>20</v>
      </c>
      <c r="K77" s="669">
        <v>25</v>
      </c>
      <c r="L77" s="836"/>
      <c r="M77" s="1001"/>
      <c r="N77" s="799"/>
      <c r="O77" s="836"/>
      <c r="P77" s="23"/>
      <c r="Q77" s="669">
        <v>15</v>
      </c>
      <c r="R77" s="669">
        <v>20</v>
      </c>
      <c r="S77" s="669">
        <v>25</v>
      </c>
      <c r="T77" s="669">
        <v>20</v>
      </c>
      <c r="U77" s="669">
        <v>25</v>
      </c>
      <c r="V77" s="836"/>
      <c r="W77" s="400"/>
      <c r="X77" s="857"/>
      <c r="Y77" s="400"/>
      <c r="AA77" s="400"/>
      <c r="AC77" s="400"/>
    </row>
    <row r="78" spans="4:29" ht="14.65" thickBot="1" x14ac:dyDescent="0.5">
      <c r="D78" s="429" t="s">
        <v>310</v>
      </c>
      <c r="E78" s="92" t="s">
        <v>24</v>
      </c>
      <c r="F78" s="529"/>
      <c r="G78" s="530">
        <f>F273</f>
        <v>0</v>
      </c>
      <c r="H78" s="530">
        <f>G273</f>
        <v>0</v>
      </c>
      <c r="I78" s="530">
        <f>H273</f>
        <v>0</v>
      </c>
      <c r="J78" s="530">
        <f>I273</f>
        <v>0</v>
      </c>
      <c r="K78" s="530">
        <f>J273</f>
        <v>0</v>
      </c>
      <c r="L78" s="688"/>
      <c r="M78" s="1001"/>
      <c r="N78" s="799"/>
      <c r="O78" s="688"/>
      <c r="P78" s="834"/>
      <c r="Q78" s="530">
        <f>F273</f>
        <v>0</v>
      </c>
      <c r="R78" s="530">
        <f>G273</f>
        <v>0</v>
      </c>
      <c r="S78" s="530">
        <f>H273</f>
        <v>0</v>
      </c>
      <c r="T78" s="530">
        <f>I273</f>
        <v>0</v>
      </c>
      <c r="U78" s="530">
        <f>J273</f>
        <v>0</v>
      </c>
      <c r="V78" s="688"/>
      <c r="W78" s="400"/>
      <c r="X78" s="857"/>
      <c r="Y78" s="400"/>
      <c r="AA78" s="400"/>
      <c r="AC78" s="400"/>
    </row>
    <row r="79" spans="4:29" ht="14.65" thickBot="1" x14ac:dyDescent="0.5">
      <c r="D79" s="429" t="s">
        <v>234</v>
      </c>
      <c r="E79" s="231" t="s">
        <v>19</v>
      </c>
      <c r="F79" s="23"/>
      <c r="G79" s="669"/>
      <c r="H79" s="669"/>
      <c r="I79" s="669"/>
      <c r="J79" s="669"/>
      <c r="K79" s="669"/>
      <c r="L79" s="836"/>
      <c r="M79" s="1001"/>
      <c r="N79" s="799"/>
      <c r="O79" s="836"/>
      <c r="P79" s="23"/>
      <c r="Q79" s="669"/>
      <c r="R79" s="669"/>
      <c r="S79" s="669"/>
      <c r="T79" s="669"/>
      <c r="U79" s="669"/>
      <c r="V79" s="836"/>
      <c r="W79" s="400"/>
      <c r="X79" s="857"/>
      <c r="Y79" s="400"/>
      <c r="AA79" s="400"/>
      <c r="AC79" s="400"/>
    </row>
    <row r="80" spans="4:29" ht="14.65" thickBot="1" x14ac:dyDescent="0.5">
      <c r="D80" s="431" t="s">
        <v>235</v>
      </c>
      <c r="E80" s="24" t="s">
        <v>74</v>
      </c>
      <c r="F80" s="23"/>
      <c r="G80" s="669">
        <v>0</v>
      </c>
      <c r="H80" s="669">
        <v>0</v>
      </c>
      <c r="I80" s="669">
        <v>0</v>
      </c>
      <c r="J80" s="669">
        <v>0</v>
      </c>
      <c r="K80" s="669">
        <v>0</v>
      </c>
      <c r="L80" s="836"/>
      <c r="M80" s="1001"/>
      <c r="N80" s="799"/>
      <c r="O80" s="836"/>
      <c r="P80" s="23"/>
      <c r="Q80" s="669">
        <v>0</v>
      </c>
      <c r="R80" s="669">
        <v>0</v>
      </c>
      <c r="S80" s="669">
        <v>0</v>
      </c>
      <c r="T80" s="669">
        <v>0</v>
      </c>
      <c r="U80" s="669">
        <v>0</v>
      </c>
      <c r="V80" s="836"/>
      <c r="W80" s="400"/>
      <c r="X80" s="857"/>
      <c r="Y80" s="400"/>
      <c r="AA80" s="400"/>
      <c r="AC80" s="400"/>
    </row>
    <row r="81" spans="4:34" ht="14.65" thickBot="1" x14ac:dyDescent="0.5">
      <c r="D81" s="431" t="s">
        <v>238</v>
      </c>
      <c r="E81" s="24" t="s">
        <v>72</v>
      </c>
      <c r="F81" s="23"/>
      <c r="G81" s="669">
        <v>0</v>
      </c>
      <c r="H81" s="669">
        <v>0</v>
      </c>
      <c r="I81" s="669">
        <v>0</v>
      </c>
      <c r="J81" s="669">
        <v>0</v>
      </c>
      <c r="K81" s="669">
        <v>0</v>
      </c>
      <c r="L81" s="836"/>
      <c r="M81" s="1001"/>
      <c r="N81" s="799"/>
      <c r="O81" s="836"/>
      <c r="P81" s="23"/>
      <c r="Q81" s="669">
        <v>0</v>
      </c>
      <c r="R81" s="669">
        <v>0</v>
      </c>
      <c r="S81" s="669">
        <v>0</v>
      </c>
      <c r="T81" s="669">
        <v>0</v>
      </c>
      <c r="U81" s="669">
        <v>0</v>
      </c>
      <c r="V81" s="836"/>
      <c r="W81" s="400"/>
      <c r="X81" s="857"/>
      <c r="Y81" s="400"/>
      <c r="AA81" s="400"/>
      <c r="AC81" s="400"/>
    </row>
    <row r="82" spans="4:34" ht="14.65" thickBot="1" x14ac:dyDescent="0.5">
      <c r="D82" s="433" t="s">
        <v>236</v>
      </c>
      <c r="E82" s="174" t="s">
        <v>119</v>
      </c>
      <c r="F82" s="23"/>
      <c r="G82" s="669">
        <v>0.34</v>
      </c>
      <c r="H82" s="23">
        <v>0.34</v>
      </c>
      <c r="I82" s="23">
        <v>0.34</v>
      </c>
      <c r="J82" s="23">
        <v>0.34</v>
      </c>
      <c r="K82" s="23">
        <v>0.34</v>
      </c>
      <c r="L82" s="321"/>
      <c r="M82" s="1001"/>
      <c r="N82" s="799"/>
      <c r="O82" s="321"/>
      <c r="P82" s="23"/>
      <c r="Q82" s="669">
        <v>0.34</v>
      </c>
      <c r="R82" s="23">
        <v>0.34</v>
      </c>
      <c r="S82" s="23">
        <v>0.34</v>
      </c>
      <c r="T82" s="23">
        <v>0.34</v>
      </c>
      <c r="U82" s="23">
        <v>0.34</v>
      </c>
      <c r="V82" s="321"/>
      <c r="W82" s="400"/>
      <c r="X82" s="857"/>
      <c r="Y82" s="400"/>
      <c r="AA82" s="400"/>
      <c r="AC82" s="400"/>
    </row>
    <row r="83" spans="4:34" ht="14.65" thickBot="1" x14ac:dyDescent="0.5">
      <c r="D83" s="433" t="s">
        <v>236</v>
      </c>
      <c r="E83" s="174" t="s">
        <v>322</v>
      </c>
      <c r="F83" s="23"/>
      <c r="G83" s="669">
        <v>0</v>
      </c>
      <c r="H83" s="574">
        <v>0</v>
      </c>
      <c r="I83" s="28">
        <v>0</v>
      </c>
      <c r="J83" s="574">
        <v>0</v>
      </c>
      <c r="K83" s="28">
        <v>0</v>
      </c>
      <c r="L83" s="321"/>
      <c r="M83" s="1001"/>
      <c r="N83" s="799"/>
      <c r="O83" s="321"/>
      <c r="P83" s="23"/>
      <c r="Q83" s="669">
        <v>0</v>
      </c>
      <c r="R83" s="574">
        <v>0</v>
      </c>
      <c r="S83" s="28">
        <v>0</v>
      </c>
      <c r="T83" s="574">
        <v>0</v>
      </c>
      <c r="U83" s="28">
        <v>0</v>
      </c>
      <c r="V83" s="321"/>
      <c r="W83" s="400"/>
      <c r="X83" s="857"/>
      <c r="Y83" s="400"/>
      <c r="AA83" s="400"/>
      <c r="AC83" s="400"/>
    </row>
    <row r="84" spans="4:34" ht="14.65" thickBot="1" x14ac:dyDescent="0.5">
      <c r="D84" s="432" t="s">
        <v>239</v>
      </c>
      <c r="E84" s="24" t="s">
        <v>280</v>
      </c>
      <c r="F84" s="23"/>
      <c r="G84" s="701">
        <v>0.5</v>
      </c>
      <c r="H84" s="702">
        <f ca="1">INDIRECT("'learning rates'!"&amp;ADDRESS(3+$M84,4))*(IF($M84&lt;7,$G84,$H84))</f>
        <v>0.5</v>
      </c>
      <c r="I84" s="702">
        <f ca="1">INDIRECT("'learning rates'!"&amp;ADDRESS(3+$M84,5))*(IF($M84&lt;7,$G84,$H84))</f>
        <v>0.5</v>
      </c>
      <c r="J84" s="702">
        <f ca="1">INDIRECT("'learning rates'!"&amp;ADDRESS(3+$M84,4))*(IF($M84&lt;7,$G84,$H84))</f>
        <v>0.5</v>
      </c>
      <c r="K84" s="702">
        <f ca="1">INDIRECT("'learning rates'!"&amp;ADDRESS(3+$M84,5))*(IF($M84&lt;7,$G84,$H84))</f>
        <v>0.5</v>
      </c>
      <c r="L84" s="839"/>
      <c r="M84" s="1001">
        <f>N84</f>
        <v>3</v>
      </c>
      <c r="N84" s="799">
        <v>3</v>
      </c>
      <c r="O84" s="839"/>
      <c r="P84" s="23"/>
      <c r="Q84" s="701">
        <v>0.5</v>
      </c>
      <c r="R84" s="702">
        <f ca="1">INDIRECT("'learning rates'!"&amp;ADDRESS(3+$M84,4))*(IF($M84&lt;7,G84,H84))</f>
        <v>0.5</v>
      </c>
      <c r="S84" s="702">
        <f ca="1">INDIRECT("'learning rates'!"&amp;ADDRESS(3+$M84,4))*(IF($M84&lt;7,H84,I84))</f>
        <v>0.5</v>
      </c>
      <c r="T84" s="702">
        <f ca="1">INDIRECT("'learning rates'!"&amp;ADDRESS(3+$M84,4))*(IF($M84&lt;7,I84,J84))</f>
        <v>0.5</v>
      </c>
      <c r="U84" s="702">
        <f ca="1">INDIRECT("'learning rates'!"&amp;ADDRESS(3+$M84,4))*(IF($M84&lt;7,J84,K84))</f>
        <v>0.5</v>
      </c>
      <c r="V84" s="839"/>
      <c r="W84" s="400">
        <v>3</v>
      </c>
      <c r="X84" s="857"/>
      <c r="Y84" s="400">
        <v>1</v>
      </c>
      <c r="AA84" s="400">
        <v>2</v>
      </c>
      <c r="AC84" s="400">
        <v>3</v>
      </c>
    </row>
    <row r="85" spans="4:34" ht="14.65" thickBot="1" x14ac:dyDescent="0.5">
      <c r="D85" s="432" t="s">
        <v>240</v>
      </c>
      <c r="E85" s="24" t="s">
        <v>39</v>
      </c>
      <c r="F85" s="23"/>
      <c r="G85" s="669">
        <v>4.3999999999999997E-2</v>
      </c>
      <c r="H85" s="23">
        <v>4.3999999999999997E-2</v>
      </c>
      <c r="I85" s="23">
        <v>4.3999999999999997E-2</v>
      </c>
      <c r="J85" s="23">
        <v>4.3999999999999997E-2</v>
      </c>
      <c r="K85" s="23">
        <v>4.3999999999999997E-2</v>
      </c>
      <c r="L85" s="321"/>
      <c r="M85" s="1001"/>
      <c r="N85" s="799"/>
      <c r="O85" s="715"/>
      <c r="P85" s="23"/>
      <c r="Q85" s="669">
        <v>4.3999999999999997E-2</v>
      </c>
      <c r="R85" s="23">
        <v>4.3999999999999997E-2</v>
      </c>
      <c r="S85" s="23">
        <v>4.3999999999999997E-2</v>
      </c>
      <c r="T85" s="23">
        <v>4.3999999999999997E-2</v>
      </c>
      <c r="U85" s="23">
        <v>4.3999999999999997E-2</v>
      </c>
      <c r="V85" s="321"/>
      <c r="W85" s="400"/>
      <c r="X85" s="857"/>
      <c r="Y85" s="400"/>
      <c r="AA85" s="400"/>
      <c r="AC85" s="400"/>
    </row>
    <row r="86" spans="4:34" ht="14.65" thickBot="1" x14ac:dyDescent="0.5">
      <c r="D86" s="431" t="s">
        <v>237</v>
      </c>
      <c r="E86" s="24" t="s">
        <v>74</v>
      </c>
      <c r="F86" s="486"/>
      <c r="G86" s="671">
        <v>0.02</v>
      </c>
      <c r="H86" s="520">
        <f ca="1">INDIRECT("'learning rates'!"&amp;ADDRESS(3+$M86,4))*(IF($M86&lt;7,$G86,$H86))</f>
        <v>0.02</v>
      </c>
      <c r="I86" s="520">
        <f ca="1">INDIRECT("'learning rates'!"&amp;ADDRESS(3+$M86,5))*(IF($M86&lt;7,$G86,$H86))</f>
        <v>0.02</v>
      </c>
      <c r="J86" s="520">
        <f ca="1">INDIRECT("'learning rates'!"&amp;ADDRESS(3+$M86,4))*(IF($M86&lt;7,$G86,$H86))</f>
        <v>0.02</v>
      </c>
      <c r="K86" s="520">
        <f ca="1">INDIRECT("'learning rates'!"&amp;ADDRESS(3+$M86,5))*(IF($M86&lt;7,$G86,$H86))</f>
        <v>0.02</v>
      </c>
      <c r="L86" s="473"/>
      <c r="M86" s="997">
        <f>N86</f>
        <v>3</v>
      </c>
      <c r="N86" s="801">
        <v>3</v>
      </c>
      <c r="O86" s="804"/>
      <c r="P86" s="486"/>
      <c r="Q86" s="671">
        <v>0.02</v>
      </c>
      <c r="R86" s="520">
        <f ca="1">INDIRECT("'learning rates'!"&amp;ADDRESS(3+$M86,4))*(IF($M86&lt;7,G86,H86))</f>
        <v>0.02</v>
      </c>
      <c r="S86" s="520">
        <f ca="1">INDIRECT("'learning rates'!"&amp;ADDRESS(3+$M86,4))*(IF($M86&lt;7,H86,I86))</f>
        <v>0.02</v>
      </c>
      <c r="T86" s="520">
        <f ca="1">INDIRECT("'learning rates'!"&amp;ADDRESS(3+$M86,4))*(IF($M86&lt;7,I86,J86))</f>
        <v>0.02</v>
      </c>
      <c r="U86" s="520">
        <f ca="1">INDIRECT("'learning rates'!"&amp;ADDRESS(3+$M86,4))*(IF($M86&lt;7,J86,K86))</f>
        <v>0.02</v>
      </c>
      <c r="V86" s="473"/>
      <c r="W86" s="1104">
        <v>3</v>
      </c>
      <c r="X86" s="857"/>
      <c r="Y86" s="1104">
        <v>1</v>
      </c>
      <c r="AA86" s="1104">
        <v>2</v>
      </c>
      <c r="AC86" s="1104">
        <v>3</v>
      </c>
    </row>
    <row r="87" spans="4:34" ht="14.65" thickBot="1" x14ac:dyDescent="0.5">
      <c r="F87" s="678"/>
      <c r="G87" s="678"/>
      <c r="H87" s="678"/>
      <c r="I87" s="678"/>
      <c r="J87" s="678"/>
      <c r="K87" s="678"/>
      <c r="L87" s="321"/>
      <c r="M87"/>
      <c r="N87" s="340"/>
      <c r="O87" s="715"/>
      <c r="P87" s="715"/>
      <c r="Q87" s="715"/>
      <c r="R87" s="715"/>
      <c r="S87" s="715"/>
      <c r="T87" s="715"/>
      <c r="U87" s="715"/>
      <c r="V87" s="321"/>
      <c r="X87" s="857"/>
    </row>
    <row r="88" spans="4:34" ht="14.65" thickBot="1" x14ac:dyDescent="0.5">
      <c r="D88" s="428" t="s">
        <v>75</v>
      </c>
      <c r="E88" s="25"/>
      <c r="F88" s="678"/>
      <c r="G88" s="678"/>
      <c r="H88" s="678"/>
      <c r="I88" s="678"/>
      <c r="J88" s="678"/>
      <c r="K88" s="678"/>
      <c r="L88" s="321"/>
      <c r="M88"/>
      <c r="N88" s="340"/>
      <c r="O88" s="715"/>
      <c r="P88" s="715"/>
      <c r="Q88" s="715"/>
      <c r="R88" s="715"/>
      <c r="S88" s="715"/>
      <c r="T88" s="715"/>
      <c r="U88" s="715"/>
      <c r="V88" s="321"/>
      <c r="X88" s="857"/>
    </row>
    <row r="89" spans="4:34" ht="14.65" thickBot="1" x14ac:dyDescent="0.5">
      <c r="D89" s="117" t="s">
        <v>330</v>
      </c>
      <c r="E89" s="24" t="s">
        <v>280</v>
      </c>
      <c r="F89" s="23"/>
      <c r="G89" s="672">
        <v>63</v>
      </c>
      <c r="H89" s="703">
        <f ca="1">INDIRECT("'learning rates'!"&amp;ADDRESS(3+$M89,4))*(IF($M89&lt;7,$G89,$H89))</f>
        <v>34.130215889526575</v>
      </c>
      <c r="I89" s="704">
        <f ca="1">INDIRECT("'learning rates'!"&amp;ADDRESS(3+$M89,5))*(IF($M89&lt;7,$G89,$H89))</f>
        <v>30.562224086756707</v>
      </c>
      <c r="J89" s="704">
        <f ca="1">INDIRECT("'learning rates'!"&amp;ADDRESS(3+$M89,4))*(IF($M89&lt;7,$G89,$H89))</f>
        <v>34.130215889526575</v>
      </c>
      <c r="K89" s="704">
        <f ca="1">INDIRECT("'learning rates'!"&amp;ADDRESS(3+$M89,5))*(IF($M89&lt;7,$G89,$H89))</f>
        <v>30.562224086756707</v>
      </c>
      <c r="L89" s="837"/>
      <c r="M89" s="995">
        <f>N89</f>
        <v>1</v>
      </c>
      <c r="N89" s="800">
        <v>1</v>
      </c>
      <c r="O89" s="807"/>
      <c r="P89" s="23"/>
      <c r="Q89" s="672">
        <v>63</v>
      </c>
      <c r="R89" s="703">
        <f ca="1">INDIRECT("'learning rates'!"&amp;ADDRESS(3+$M89,4))*(IF($M89&lt;7,G89,H89))</f>
        <v>34.130215889526575</v>
      </c>
      <c r="S89" s="704">
        <f ca="1">INDIRECT("'learning rates'!"&amp;ADDRESS(3+$M89,4))*(IF($M89&lt;7,H89,I89))</f>
        <v>18.490025978820512</v>
      </c>
      <c r="T89" s="704">
        <f ca="1">INDIRECT("'learning rates'!"&amp;ADDRESS(3+$M89,4))*(IF($M89&lt;7,I89,J89))</f>
        <v>16.557068351509454</v>
      </c>
      <c r="U89" s="704">
        <f ca="1">INDIRECT("'learning rates'!"&amp;ADDRESS(3+$M89,4))*(IF($M89&lt;7,J89,K89))</f>
        <v>18.490025978820512</v>
      </c>
      <c r="V89" s="837"/>
      <c r="W89" s="1103">
        <v>3</v>
      </c>
      <c r="X89" s="857"/>
      <c r="Y89" s="1103">
        <v>1</v>
      </c>
      <c r="AA89" s="1103">
        <v>2</v>
      </c>
      <c r="AC89" s="1103">
        <v>3</v>
      </c>
    </row>
    <row r="90" spans="4:34" ht="14.65" thickBot="1" x14ac:dyDescent="0.5">
      <c r="D90" s="434" t="s">
        <v>76</v>
      </c>
      <c r="E90" s="24" t="s">
        <v>39</v>
      </c>
      <c r="F90" s="23"/>
      <c r="G90" s="74">
        <v>1.18</v>
      </c>
      <c r="H90" s="23">
        <v>0.67</v>
      </c>
      <c r="I90" s="23">
        <v>0.67</v>
      </c>
      <c r="J90" s="23">
        <v>0.67</v>
      </c>
      <c r="K90" s="23">
        <v>0.67</v>
      </c>
      <c r="L90" s="321"/>
      <c r="M90" s="1001"/>
      <c r="N90" s="799"/>
      <c r="O90" s="321"/>
      <c r="P90" s="23"/>
      <c r="Q90" s="74">
        <v>1.18</v>
      </c>
      <c r="R90" s="23">
        <v>0.67</v>
      </c>
      <c r="S90" s="23">
        <v>0.67</v>
      </c>
      <c r="T90" s="23">
        <v>0.67</v>
      </c>
      <c r="U90" s="23">
        <v>0.67</v>
      </c>
      <c r="V90" s="321"/>
      <c r="W90" s="400"/>
      <c r="X90" s="857"/>
      <c r="Y90" s="400"/>
      <c r="AA90" s="400"/>
      <c r="AC90" s="400"/>
    </row>
    <row r="91" spans="4:34" ht="14.65" thickBot="1" x14ac:dyDescent="0.5">
      <c r="D91" s="117" t="s">
        <v>293</v>
      </c>
      <c r="E91" s="24" t="s">
        <v>3</v>
      </c>
      <c r="F91" s="23"/>
      <c r="G91" s="460">
        <f>G19*G90*1000*3.6/365/24/3600</f>
        <v>11.458815232722142</v>
      </c>
      <c r="H91" s="460">
        <f>H19*H90*1000*3.6/365/24/3600</f>
        <v>7.3482651622002848</v>
      </c>
      <c r="I91" s="460">
        <f>I19*I90*1000*3.6/365/24/3600</f>
        <v>8.0371650211565608</v>
      </c>
      <c r="J91" s="460">
        <f>J19*J90*1000*3.6/365/24/3600</f>
        <v>8.845133991537379</v>
      </c>
      <c r="K91" s="460">
        <f>K19*K90*1000*3.6/365/24/3600</f>
        <v>9.6743653032440058</v>
      </c>
      <c r="L91" s="835"/>
      <c r="M91" s="1001"/>
      <c r="N91" s="799"/>
      <c r="O91" s="835"/>
      <c r="P91" s="23"/>
      <c r="Q91" s="460">
        <f>G19*G90*1000*3.6/365/24/3600</f>
        <v>11.458815232722142</v>
      </c>
      <c r="R91" s="460">
        <f>H19*H90*1000*3.6/365/24/3600</f>
        <v>7.3482651622002848</v>
      </c>
      <c r="S91" s="460">
        <f>I19*I90*1000*3.6/365/24/3600</f>
        <v>8.0371650211565608</v>
      </c>
      <c r="T91" s="460">
        <f>J19*J90*1000*3.6/365/24/3600</f>
        <v>8.845133991537379</v>
      </c>
      <c r="U91" s="460">
        <f>K19*K90*1000*3.6/365/24/3600</f>
        <v>9.6743653032440058</v>
      </c>
      <c r="V91" s="835"/>
      <c r="W91" s="400"/>
      <c r="X91" s="857"/>
      <c r="Y91" s="400"/>
      <c r="AA91" s="400"/>
      <c r="AC91" s="400"/>
    </row>
    <row r="92" spans="4:34" ht="14.65" thickBot="1" x14ac:dyDescent="0.5">
      <c r="D92" s="117" t="s">
        <v>18</v>
      </c>
      <c r="E92" s="24" t="s">
        <v>19</v>
      </c>
      <c r="F92" s="23"/>
      <c r="G92" s="669">
        <v>15</v>
      </c>
      <c r="H92" s="669">
        <v>15</v>
      </c>
      <c r="I92" s="669">
        <v>15</v>
      </c>
      <c r="J92" s="669">
        <v>15</v>
      </c>
      <c r="K92" s="669">
        <v>15</v>
      </c>
      <c r="L92" s="836"/>
      <c r="M92" s="1001"/>
      <c r="N92" s="799"/>
      <c r="O92" s="836"/>
      <c r="P92" s="23"/>
      <c r="Q92" s="669">
        <v>15</v>
      </c>
      <c r="R92" s="669">
        <v>15</v>
      </c>
      <c r="S92" s="669">
        <v>15</v>
      </c>
      <c r="T92" s="669">
        <v>15</v>
      </c>
      <c r="U92" s="669">
        <v>15</v>
      </c>
      <c r="V92" s="836"/>
      <c r="W92" s="400"/>
      <c r="X92" s="857"/>
      <c r="Y92" s="400"/>
      <c r="AA92" s="400"/>
      <c r="AC92" s="400"/>
    </row>
    <row r="93" spans="4:34" ht="14.65" thickBot="1" x14ac:dyDescent="0.5">
      <c r="D93" s="144" t="s">
        <v>310</v>
      </c>
      <c r="E93" s="92" t="s">
        <v>24</v>
      </c>
      <c r="F93" s="529"/>
      <c r="G93" s="530">
        <f>F276</f>
        <v>0</v>
      </c>
      <c r="H93" s="530">
        <f>G276</f>
        <v>0</v>
      </c>
      <c r="I93" s="530">
        <f>H276</f>
        <v>0</v>
      </c>
      <c r="J93" s="530">
        <f>I276</f>
        <v>0</v>
      </c>
      <c r="K93" s="530">
        <f>J276</f>
        <v>0</v>
      </c>
      <c r="L93" s="688"/>
      <c r="M93" s="1001"/>
      <c r="N93" s="799"/>
      <c r="O93" s="688"/>
      <c r="P93" s="834"/>
      <c r="Q93" s="530">
        <f>F276</f>
        <v>0</v>
      </c>
      <c r="R93" s="530">
        <f>G276</f>
        <v>0</v>
      </c>
      <c r="S93" s="530">
        <f>H276</f>
        <v>0</v>
      </c>
      <c r="T93" s="530">
        <f>I276</f>
        <v>0</v>
      </c>
      <c r="U93" s="530">
        <f>J276</f>
        <v>0</v>
      </c>
      <c r="V93" s="688"/>
      <c r="W93" s="400"/>
      <c r="X93" s="857"/>
      <c r="Y93" s="400"/>
      <c r="AA93" s="400"/>
      <c r="AC93" s="400"/>
      <c r="AH93" s="25"/>
    </row>
    <row r="94" spans="4:34" ht="14.65" thickBot="1" x14ac:dyDescent="0.5">
      <c r="D94" s="145" t="s">
        <v>244</v>
      </c>
      <c r="E94" s="143" t="s">
        <v>280</v>
      </c>
      <c r="F94" s="23"/>
      <c r="G94" s="669">
        <v>0</v>
      </c>
      <c r="H94" s="548">
        <f ca="1">INDIRECT("'learning rates'!"&amp;ADDRESS(3+$M94,4))*(IF($M94&lt;7,$G94,$H94))</f>
        <v>0</v>
      </c>
      <c r="I94" s="548">
        <f ca="1">INDIRECT("'learning rates'!"&amp;ADDRESS(3+$M94,5))*(IF($M94&lt;7,$G94,$H94))</f>
        <v>0</v>
      </c>
      <c r="J94" s="548">
        <f ca="1">INDIRECT("'learning rates'!"&amp;ADDRESS(3+$M94,4))*(IF($M94&lt;7,$G94,$H94))</f>
        <v>0</v>
      </c>
      <c r="K94" s="548">
        <f ca="1">INDIRECT("'learning rates'!"&amp;ADDRESS(3+$M94,5))*(IF($M94&lt;7,$G94,$H94))</f>
        <v>0</v>
      </c>
      <c r="L94" s="823"/>
      <c r="M94" s="1001">
        <f>N94</f>
        <v>2</v>
      </c>
      <c r="N94" s="799">
        <v>2</v>
      </c>
      <c r="O94" s="823"/>
      <c r="P94" s="23"/>
      <c r="Q94" s="669">
        <v>0</v>
      </c>
      <c r="R94" s="548">
        <f t="shared" ref="R94:U95" ca="1" si="23">INDIRECT("'learning rates'!"&amp;ADDRESS(3+$M94,4))*(IF($M94&lt;7,G94,H94))</f>
        <v>0</v>
      </c>
      <c r="S94" s="548">
        <f t="shared" ca="1" si="23"/>
        <v>0</v>
      </c>
      <c r="T94" s="548">
        <f t="shared" ca="1" si="23"/>
        <v>0</v>
      </c>
      <c r="U94" s="548">
        <f t="shared" ca="1" si="23"/>
        <v>0</v>
      </c>
      <c r="V94" s="823"/>
      <c r="W94" s="400">
        <v>2</v>
      </c>
      <c r="X94" s="857"/>
      <c r="Y94" s="400">
        <v>1</v>
      </c>
      <c r="AA94" s="400">
        <v>2</v>
      </c>
      <c r="AC94" s="400">
        <v>3</v>
      </c>
    </row>
    <row r="95" spans="4:34" ht="14.65" thickBot="1" x14ac:dyDescent="0.5">
      <c r="D95" s="144" t="s">
        <v>274</v>
      </c>
      <c r="E95" s="24" t="s">
        <v>74</v>
      </c>
      <c r="F95" s="486"/>
      <c r="G95" s="671">
        <v>0.02</v>
      </c>
      <c r="H95" s="520">
        <f ca="1">INDIRECT("'learning rates'!"&amp;ADDRESS(3+$M95,4))*(IF($M95&lt;7,$G95,$H95))</f>
        <v>0.02</v>
      </c>
      <c r="I95" s="520">
        <f ca="1">INDIRECT("'learning rates'!"&amp;ADDRESS(3+$M95,5))*(IF($M95&lt;7,$G95,$H95))</f>
        <v>0.02</v>
      </c>
      <c r="J95" s="520">
        <f ca="1">INDIRECT("'learning rates'!"&amp;ADDRESS(3+$M95,4))*(IF($M95&lt;7,$G95,$H95))</f>
        <v>0.02</v>
      </c>
      <c r="K95" s="520">
        <f ca="1">INDIRECT("'learning rates'!"&amp;ADDRESS(3+$M95,5))*(IF($M95&lt;7,$G95,$H95))</f>
        <v>0.02</v>
      </c>
      <c r="L95" s="473"/>
      <c r="M95" s="997">
        <f>N95</f>
        <v>3</v>
      </c>
      <c r="N95" s="801">
        <v>3</v>
      </c>
      <c r="O95" s="473"/>
      <c r="P95" s="486"/>
      <c r="Q95" s="671">
        <v>0.02</v>
      </c>
      <c r="R95" s="520">
        <f t="shared" ca="1" si="23"/>
        <v>0.02</v>
      </c>
      <c r="S95" s="520">
        <f t="shared" ca="1" si="23"/>
        <v>0.02</v>
      </c>
      <c r="T95" s="520">
        <f t="shared" ca="1" si="23"/>
        <v>0.02</v>
      </c>
      <c r="U95" s="520">
        <f t="shared" ca="1" si="23"/>
        <v>0.02</v>
      </c>
      <c r="V95" s="473"/>
      <c r="W95" s="1104">
        <v>3</v>
      </c>
      <c r="X95" s="857"/>
      <c r="Y95" s="1104">
        <v>1</v>
      </c>
      <c r="AA95" s="1104">
        <v>2</v>
      </c>
      <c r="AC95" s="1104">
        <v>3</v>
      </c>
    </row>
    <row r="96" spans="4:34" ht="14.65" thickBot="1" x14ac:dyDescent="0.5">
      <c r="D96" s="244"/>
      <c r="E96" s="25"/>
      <c r="F96" s="678"/>
      <c r="G96" s="678"/>
      <c r="H96" s="678"/>
      <c r="I96" s="678"/>
      <c r="J96" s="678"/>
      <c r="K96" s="678"/>
      <c r="L96" s="321"/>
      <c r="M96"/>
      <c r="N96" s="340"/>
      <c r="O96" s="321"/>
      <c r="P96" s="715"/>
      <c r="Q96" s="715"/>
      <c r="R96" s="715"/>
      <c r="S96" s="715"/>
      <c r="T96" s="715"/>
      <c r="U96" s="715"/>
      <c r="V96" s="321"/>
      <c r="X96" s="857"/>
    </row>
    <row r="97" spans="3:38" ht="14.65" thickBot="1" x14ac:dyDescent="0.5">
      <c r="D97" s="428" t="s">
        <v>71</v>
      </c>
      <c r="E97" s="25"/>
      <c r="F97" s="678"/>
      <c r="G97" s="678"/>
      <c r="H97" s="678"/>
      <c r="I97" s="678"/>
      <c r="J97" s="678"/>
      <c r="K97" s="678"/>
      <c r="L97" s="321"/>
      <c r="M97"/>
      <c r="N97" s="340"/>
      <c r="O97" s="715"/>
      <c r="P97" s="715"/>
      <c r="Q97" s="715"/>
      <c r="R97" s="715"/>
      <c r="S97" s="715"/>
      <c r="T97" s="715"/>
      <c r="U97" s="715"/>
      <c r="V97" s="321"/>
      <c r="X97" s="857"/>
    </row>
    <row r="98" spans="3:38" ht="14.65" thickBot="1" x14ac:dyDescent="0.5">
      <c r="D98" s="145" t="s">
        <v>256</v>
      </c>
      <c r="E98" s="346" t="s">
        <v>50</v>
      </c>
      <c r="F98" s="23"/>
      <c r="G98" s="464">
        <v>10</v>
      </c>
      <c r="H98" s="23">
        <v>10</v>
      </c>
      <c r="I98" s="23">
        <v>10</v>
      </c>
      <c r="J98" s="23">
        <v>10</v>
      </c>
      <c r="K98" s="23">
        <v>10</v>
      </c>
      <c r="L98" s="321"/>
      <c r="M98" s="995"/>
      <c r="N98" s="800"/>
      <c r="O98" s="715"/>
      <c r="P98" s="23"/>
      <c r="Q98" s="464">
        <v>10</v>
      </c>
      <c r="R98" s="23">
        <v>10</v>
      </c>
      <c r="S98" s="23">
        <v>10</v>
      </c>
      <c r="T98" s="23">
        <v>10</v>
      </c>
      <c r="U98" s="23">
        <v>10</v>
      </c>
      <c r="V98" s="321"/>
      <c r="W98" s="1103"/>
      <c r="X98" s="857"/>
      <c r="Y98" s="1103"/>
      <c r="AA98" s="1103"/>
      <c r="AC98" s="1103"/>
    </row>
    <row r="99" spans="3:38" ht="14.65" thickBot="1" x14ac:dyDescent="0.5">
      <c r="D99" s="145" t="s">
        <v>140</v>
      </c>
      <c r="E99" s="24" t="s">
        <v>36</v>
      </c>
      <c r="F99" s="23"/>
      <c r="G99" s="464">
        <v>10</v>
      </c>
      <c r="H99" s="23">
        <v>10</v>
      </c>
      <c r="I99" s="23">
        <v>10</v>
      </c>
      <c r="J99" s="23">
        <v>10</v>
      </c>
      <c r="K99" s="23">
        <v>10</v>
      </c>
      <c r="L99" s="321"/>
      <c r="M99" s="1001"/>
      <c r="N99" s="799"/>
      <c r="O99" s="715"/>
      <c r="P99" s="23"/>
      <c r="Q99" s="464">
        <v>10</v>
      </c>
      <c r="R99" s="23">
        <v>10</v>
      </c>
      <c r="S99" s="23">
        <v>10</v>
      </c>
      <c r="T99" s="23">
        <v>10</v>
      </c>
      <c r="U99" s="23">
        <v>10</v>
      </c>
      <c r="V99" s="321"/>
      <c r="W99" s="400"/>
      <c r="X99" s="857"/>
      <c r="Y99" s="400"/>
      <c r="AA99" s="400"/>
      <c r="AC99" s="400"/>
    </row>
    <row r="100" spans="3:38" ht="14.65" thickBot="1" x14ac:dyDescent="0.5">
      <c r="D100" s="145" t="s">
        <v>272</v>
      </c>
      <c r="E100" s="24" t="s">
        <v>273</v>
      </c>
      <c r="F100" s="23"/>
      <c r="G100" s="464">
        <v>67.569999999999993</v>
      </c>
      <c r="H100" s="550">
        <f ca="1">INDIRECT("'learning rates'!"&amp;ADDRESS(3+$M100,4))*(IF($M100&lt;7,G100,H100))</f>
        <v>45.796497265516287</v>
      </c>
      <c r="I100" s="550">
        <f ca="1">INDIRECT("'learning rates'!"&amp;ADDRESS(3+$M100,4))*(IF($M100&lt;7,H100,I100))</f>
        <v>31.039206183075933</v>
      </c>
      <c r="J100" s="550">
        <f ca="1">INDIRECT("'learning rates'!"&amp;ADDRESS(3+$M100,4))*(IF($M100&lt;7,I100,J100))</f>
        <v>21.037249091120813</v>
      </c>
      <c r="K100" s="550">
        <f ca="1">INDIRECT("'learning rates'!"&amp;ADDRESS(3+$M100,4))*(IF($M100&lt;7,J100,K100))</f>
        <v>14.258285044775779</v>
      </c>
      <c r="L100" s="822"/>
      <c r="M100" s="1001">
        <f>N100</f>
        <v>2</v>
      </c>
      <c r="N100" s="799">
        <v>2</v>
      </c>
      <c r="O100" s="803"/>
      <c r="P100" s="23"/>
      <c r="Q100" s="464">
        <v>67.569999999999993</v>
      </c>
      <c r="R100" s="550">
        <f ca="1">INDIRECT("'learning rates'!"&amp;ADDRESS(3+$M100,4))*(IF($M100&lt;7,G100,H100))</f>
        <v>45.796497265516287</v>
      </c>
      <c r="S100" s="550">
        <f ca="1">INDIRECT("'learning rates'!"&amp;ADDRESS(3+$M100,4))*(IF($M100&lt;7,H100,I100))</f>
        <v>31.039206183075933</v>
      </c>
      <c r="T100" s="550">
        <f ca="1">INDIRECT("'learning rates'!"&amp;ADDRESS(3+$M100,4))*(IF($M100&lt;7,I100,J100))</f>
        <v>21.037249091120813</v>
      </c>
      <c r="U100" s="550">
        <f ca="1">INDIRECT("'learning rates'!"&amp;ADDRESS(3+$M100,4))*(IF($M100&lt;7,J100,K100))</f>
        <v>14.258285044775779</v>
      </c>
      <c r="V100" s="822"/>
      <c r="W100" s="400">
        <v>3</v>
      </c>
      <c r="X100" s="857"/>
      <c r="Y100" s="400">
        <v>1</v>
      </c>
      <c r="AA100" s="400">
        <v>2</v>
      </c>
      <c r="AC100" s="400">
        <v>3</v>
      </c>
    </row>
    <row r="101" spans="3:38" ht="14.65" thickBot="1" x14ac:dyDescent="0.5">
      <c r="D101" s="216" t="s">
        <v>134</v>
      </c>
      <c r="E101" s="24" t="s">
        <v>73</v>
      </c>
      <c r="F101" s="219"/>
      <c r="G101" s="451">
        <f>12*G100/1000</f>
        <v>0.81083999999999989</v>
      </c>
      <c r="H101" s="451">
        <f t="shared" ref="H101:K101" ca="1" si="24">12*H100/1000</f>
        <v>0.54955796718619543</v>
      </c>
      <c r="I101" s="451">
        <f t="shared" ca="1" si="24"/>
        <v>0.37247047419691121</v>
      </c>
      <c r="J101" s="451">
        <f t="shared" ca="1" si="24"/>
        <v>0.25244698909344976</v>
      </c>
      <c r="K101" s="451">
        <f t="shared" ca="1" si="24"/>
        <v>0.17109942053730937</v>
      </c>
      <c r="L101" s="841"/>
      <c r="M101" s="1001"/>
      <c r="N101" s="799"/>
      <c r="O101" s="810"/>
      <c r="P101" s="219"/>
      <c r="Q101" s="451">
        <f>12*Q100/1000</f>
        <v>0.81083999999999989</v>
      </c>
      <c r="R101" s="451">
        <f t="shared" ref="R101:U101" ca="1" si="25">12*R100/1000</f>
        <v>0.54955796718619543</v>
      </c>
      <c r="S101" s="451">
        <f t="shared" ca="1" si="25"/>
        <v>0.37247047419691121</v>
      </c>
      <c r="T101" s="451">
        <f t="shared" ca="1" si="25"/>
        <v>0.25244698909344976</v>
      </c>
      <c r="U101" s="451">
        <f t="shared" ca="1" si="25"/>
        <v>0.17109942053730937</v>
      </c>
      <c r="V101" s="841"/>
      <c r="W101" s="400"/>
      <c r="X101" s="857"/>
      <c r="Y101" s="400"/>
      <c r="AA101" s="400"/>
      <c r="AC101" s="400"/>
    </row>
    <row r="102" spans="3:38" ht="14.65" thickBot="1" x14ac:dyDescent="0.5">
      <c r="D102" s="117" t="s">
        <v>141</v>
      </c>
      <c r="E102" s="24" t="s">
        <v>73</v>
      </c>
      <c r="F102" s="8"/>
      <c r="G102" s="289">
        <f>48*G100/1000</f>
        <v>3.2433599999999996</v>
      </c>
      <c r="H102" s="289">
        <f t="shared" ref="H102:K102" ca="1" si="26">48*H100/1000</f>
        <v>2.1982318687447817</v>
      </c>
      <c r="I102" s="289">
        <f t="shared" ca="1" si="26"/>
        <v>1.4898818967876448</v>
      </c>
      <c r="J102" s="289">
        <f t="shared" ca="1" si="26"/>
        <v>1.009787956373799</v>
      </c>
      <c r="K102" s="289">
        <f t="shared" ca="1" si="26"/>
        <v>0.68439768214923746</v>
      </c>
      <c r="L102" s="842"/>
      <c r="M102" s="1001"/>
      <c r="N102" s="799"/>
      <c r="O102" s="475"/>
      <c r="P102" s="8"/>
      <c r="Q102" s="289">
        <f>48*Q100/1000</f>
        <v>3.2433599999999996</v>
      </c>
      <c r="R102" s="289">
        <f t="shared" ref="R102:U102" ca="1" si="27">48*R100/1000</f>
        <v>2.1982318687447817</v>
      </c>
      <c r="S102" s="289">
        <f t="shared" ca="1" si="27"/>
        <v>1.4898818967876448</v>
      </c>
      <c r="T102" s="289">
        <f t="shared" ca="1" si="27"/>
        <v>1.009787956373799</v>
      </c>
      <c r="U102" s="289">
        <f t="shared" ca="1" si="27"/>
        <v>0.68439768214923746</v>
      </c>
      <c r="V102" s="842"/>
      <c r="W102" s="400"/>
      <c r="X102" s="857"/>
      <c r="Y102" s="400"/>
      <c r="AA102" s="400"/>
      <c r="AC102" s="400"/>
    </row>
    <row r="103" spans="3:38" ht="14.65" thickBot="1" x14ac:dyDescent="0.5">
      <c r="D103" s="117" t="s">
        <v>362</v>
      </c>
      <c r="E103" s="24" t="s">
        <v>281</v>
      </c>
      <c r="F103" s="441"/>
      <c r="G103" s="636">
        <v>0.02</v>
      </c>
      <c r="H103" s="637">
        <v>0.02</v>
      </c>
      <c r="I103" s="637">
        <v>0.02</v>
      </c>
      <c r="J103" s="637">
        <v>0.02</v>
      </c>
      <c r="K103" s="637">
        <v>0.02</v>
      </c>
      <c r="L103" s="193"/>
      <c r="M103" s="1001"/>
      <c r="N103" s="799"/>
      <c r="O103" s="193"/>
      <c r="P103" s="441"/>
      <c r="Q103" s="636">
        <v>0.02</v>
      </c>
      <c r="R103" s="637">
        <v>0.02</v>
      </c>
      <c r="S103" s="637">
        <v>0.02</v>
      </c>
      <c r="T103" s="637">
        <v>0.02</v>
      </c>
      <c r="U103" s="637">
        <v>0.02</v>
      </c>
      <c r="V103" s="193"/>
      <c r="W103" s="400"/>
      <c r="X103" s="857"/>
      <c r="Y103" s="400"/>
      <c r="AA103" s="400"/>
      <c r="AC103" s="400"/>
    </row>
    <row r="104" spans="3:38" ht="14.65" thickBot="1" x14ac:dyDescent="0.5">
      <c r="D104" s="144" t="s">
        <v>274</v>
      </c>
      <c r="E104" s="24" t="s">
        <v>74</v>
      </c>
      <c r="F104" s="483"/>
      <c r="G104" s="484">
        <v>0.02</v>
      </c>
      <c r="H104" s="520">
        <f ca="1">INDIRECT("'learning rates'!"&amp;ADDRESS(3+$M104,4))*(IF($M104&lt;7,G104,H104))</f>
        <v>0.02</v>
      </c>
      <c r="I104" s="520">
        <f ca="1">INDIRECT("'learning rates'!"&amp;ADDRESS(3+$M104,4))*(IF($M104&lt;7,H104,I104))</f>
        <v>0.02</v>
      </c>
      <c r="J104" s="520">
        <f ca="1">INDIRECT("'learning rates'!"&amp;ADDRESS(3+$M104,4))*(IF($M104&lt;7,I104,J104))</f>
        <v>0.02</v>
      </c>
      <c r="K104" s="520">
        <f ca="1">INDIRECT("'learning rates'!"&amp;ADDRESS(3+$M104,4))*(IF($M104&lt;7,J104,K104))</f>
        <v>0.02</v>
      </c>
      <c r="L104" s="473"/>
      <c r="M104" s="997">
        <f>N104</f>
        <v>3</v>
      </c>
      <c r="N104" s="801">
        <v>3</v>
      </c>
      <c r="O104" s="804"/>
      <c r="P104" s="483"/>
      <c r="Q104" s="484">
        <v>0.02</v>
      </c>
      <c r="R104" s="520">
        <f ca="1">INDIRECT("'learning rates'!"&amp;ADDRESS(3+$M104,4))*(IF($M104&lt;7,G104,H104))</f>
        <v>0.02</v>
      </c>
      <c r="S104" s="520">
        <f ca="1">INDIRECT("'learning rates'!"&amp;ADDRESS(3+$M104,4))*(IF($M104&lt;7,H104,I104))</f>
        <v>0.02</v>
      </c>
      <c r="T104" s="520">
        <f ca="1">INDIRECT("'learning rates'!"&amp;ADDRESS(3+$M104,4))*(IF($M104&lt;7,I104,J104))</f>
        <v>0.02</v>
      </c>
      <c r="U104" s="520">
        <f ca="1">INDIRECT("'learning rates'!"&amp;ADDRESS(3+$M104,4))*(IF($M104&lt;7,J104,K104))</f>
        <v>0.02</v>
      </c>
      <c r="V104" s="473"/>
      <c r="W104" s="1104">
        <v>2</v>
      </c>
      <c r="X104" s="857"/>
      <c r="Y104" s="1104">
        <v>1</v>
      </c>
      <c r="AA104" s="1104">
        <v>2</v>
      </c>
      <c r="AC104" s="1104">
        <v>3</v>
      </c>
    </row>
    <row r="105" spans="3:38" ht="14.65" thickBot="1" x14ac:dyDescent="0.5">
      <c r="D105" s="25"/>
      <c r="E105" s="25"/>
      <c r="F105" s="678"/>
      <c r="G105" s="678"/>
      <c r="H105" s="678"/>
      <c r="I105" s="678"/>
      <c r="J105" s="678"/>
      <c r="K105" s="678"/>
      <c r="L105" s="321"/>
      <c r="M105"/>
      <c r="N105" s="340"/>
      <c r="O105" s="715"/>
      <c r="P105" s="715"/>
      <c r="Q105" s="715"/>
      <c r="R105" s="715"/>
      <c r="S105" s="715"/>
      <c r="T105" s="715"/>
      <c r="U105" s="715"/>
      <c r="V105" s="321"/>
      <c r="X105" s="857"/>
    </row>
    <row r="106" spans="3:38" ht="14.65" thickBot="1" x14ac:dyDescent="0.5">
      <c r="D106" s="163" t="s">
        <v>23</v>
      </c>
      <c r="E106" s="25"/>
      <c r="F106" s="678"/>
      <c r="G106" s="678"/>
      <c r="H106" s="678"/>
      <c r="I106" s="678"/>
      <c r="J106" s="678"/>
      <c r="K106" s="678"/>
      <c r="L106" s="321"/>
      <c r="M106"/>
      <c r="N106" s="340"/>
      <c r="O106" s="715"/>
      <c r="P106" s="715"/>
      <c r="Q106" s="715"/>
      <c r="R106" s="715"/>
      <c r="S106" s="715"/>
      <c r="T106" s="715"/>
      <c r="U106" s="715"/>
      <c r="V106" s="321"/>
      <c r="X106" s="857"/>
    </row>
    <row r="107" spans="3:38" ht="14.65" thickBot="1" x14ac:dyDescent="0.5">
      <c r="D107" s="577" t="s">
        <v>307</v>
      </c>
      <c r="E107" s="71"/>
      <c r="F107" s="41">
        <v>0.09</v>
      </c>
      <c r="G107" s="673">
        <v>0.09</v>
      </c>
      <c r="H107" s="332">
        <f ca="1">INDIRECT("'learning rates'!"&amp;ADDRESS(3+$M107,4))*(IF($M107&lt;7,G107,H107))</f>
        <v>0.09</v>
      </c>
      <c r="I107" s="41">
        <f ca="1">INDIRECT("'learning rates'!"&amp;ADDRESS(3+$M107,4))*(IF($M107&lt;7,H107,I107))</f>
        <v>0.09</v>
      </c>
      <c r="J107" s="332">
        <f ca="1">INDIRECT("'learning rates'!"&amp;ADDRESS(3+$M107,4))*(IF($M107&lt;7,I107,J107))</f>
        <v>0.09</v>
      </c>
      <c r="K107" s="41">
        <f ca="1">INDIRECT("'learning rates'!"&amp;ADDRESS(3+$M107,4))*(IF($M107&lt;7,J107,K107))</f>
        <v>0.09</v>
      </c>
      <c r="L107" s="412"/>
      <c r="M107" s="22">
        <f>N107</f>
        <v>3</v>
      </c>
      <c r="N107" s="871">
        <v>3</v>
      </c>
      <c r="O107" s="123"/>
      <c r="P107" s="41">
        <v>0.09</v>
      </c>
      <c r="Q107" s="673">
        <v>0.09</v>
      </c>
      <c r="R107" s="332">
        <f ca="1">INDIRECT("'learning rates'!"&amp;ADDRESS(3+$M107,4))*(IF($M107&lt;7,G107,H107))</f>
        <v>0.09</v>
      </c>
      <c r="S107" s="41">
        <f ca="1">INDIRECT("'learning rates'!"&amp;ADDRESS(3+$M107,4))*(IF($M107&lt;7,H107,I107))</f>
        <v>0.09</v>
      </c>
      <c r="T107" s="332">
        <f ca="1">INDIRECT("'learning rates'!"&amp;ADDRESS(3+$M107,4))*(IF($M107&lt;7,I107,J107))</f>
        <v>0.09</v>
      </c>
      <c r="U107" s="41">
        <f ca="1">INDIRECT("'learning rates'!"&amp;ADDRESS(3+$M107,4))*(IF($M107&lt;7,J107,K107))</f>
        <v>0.09</v>
      </c>
      <c r="V107" s="412"/>
      <c r="W107" s="578">
        <v>3</v>
      </c>
      <c r="X107" s="857"/>
      <c r="Y107" s="578">
        <v>1</v>
      </c>
      <c r="AA107" s="578">
        <v>2</v>
      </c>
      <c r="AC107" s="578">
        <v>3</v>
      </c>
    </row>
    <row r="108" spans="3:38" ht="14.65" thickBot="1" x14ac:dyDescent="0.5"/>
    <row r="109" spans="3:38" s="992" customFormat="1" ht="14.65" thickBot="1" x14ac:dyDescent="0.5">
      <c r="C109" s="17"/>
      <c r="D109" s="163" t="s">
        <v>533</v>
      </c>
      <c r="E109" s="25"/>
      <c r="F109" s="715"/>
      <c r="G109" s="715"/>
      <c r="H109" s="715"/>
      <c r="I109" s="715"/>
      <c r="J109" s="715"/>
      <c r="K109" s="715"/>
      <c r="L109" s="715"/>
      <c r="N109" s="340"/>
      <c r="AL109" s="64"/>
    </row>
    <row r="110" spans="3:38" s="992" customFormat="1" ht="14.65" thickBot="1" x14ac:dyDescent="0.5">
      <c r="C110" s="1234" t="s">
        <v>534</v>
      </c>
      <c r="D110" s="144" t="s">
        <v>374</v>
      </c>
      <c r="E110" s="430" t="s">
        <v>41</v>
      </c>
      <c r="F110" s="637">
        <v>5.3162477771813758E-2</v>
      </c>
      <c r="G110" s="637">
        <v>5.1080531211654644E-2</v>
      </c>
      <c r="H110" s="637">
        <v>3.4945225726073163E-2</v>
      </c>
      <c r="I110" s="637">
        <v>3.2740294034352455E-2</v>
      </c>
      <c r="J110" s="637">
        <v>2.3972021859757504E-2</v>
      </c>
      <c r="K110" s="637">
        <v>2.6396094939370337E-2</v>
      </c>
      <c r="L110" s="715"/>
      <c r="N110" s="340"/>
      <c r="AL110" s="64"/>
    </row>
    <row r="111" spans="3:38" s="992" customFormat="1" ht="14.65" thickBot="1" x14ac:dyDescent="0.5">
      <c r="C111" s="1235"/>
      <c r="D111" s="145" t="s">
        <v>96</v>
      </c>
      <c r="E111" s="430" t="s">
        <v>41</v>
      </c>
      <c r="F111" s="74"/>
      <c r="G111" s="74"/>
      <c r="H111" s="637">
        <v>5.0200731053469928E-2</v>
      </c>
      <c r="I111" s="637">
        <v>3.3745173866126292E-2</v>
      </c>
      <c r="J111" s="637">
        <v>3.5888527966223605E-2</v>
      </c>
      <c r="K111" s="637">
        <v>2.9705308578864872E-2</v>
      </c>
      <c r="L111" s="715"/>
      <c r="N111" s="340"/>
      <c r="AL111" s="64"/>
    </row>
    <row r="112" spans="3:38" s="992" customFormat="1" ht="14.65" thickBot="1" x14ac:dyDescent="0.5">
      <c r="C112" s="1236" t="s">
        <v>535</v>
      </c>
      <c r="D112" s="144" t="s">
        <v>374</v>
      </c>
      <c r="E112" s="430" t="s">
        <v>41</v>
      </c>
      <c r="F112" s="637">
        <v>7.3312532813169143E-2</v>
      </c>
      <c r="G112" s="637">
        <v>7.1223105735741532E-2</v>
      </c>
      <c r="H112" s="637">
        <v>4.7481151612934029E-2</v>
      </c>
      <c r="I112" s="637">
        <v>4.4511652767896925E-2</v>
      </c>
      <c r="J112" s="637">
        <v>3.4355256301056784E-2</v>
      </c>
      <c r="K112" s="637">
        <v>3.6158122527522103E-2</v>
      </c>
      <c r="L112" s="715"/>
      <c r="N112" s="340"/>
      <c r="AL112" s="64"/>
    </row>
    <row r="113" spans="1:38" s="992" customFormat="1" ht="14.65" thickBot="1" x14ac:dyDescent="0.5">
      <c r="C113" s="1237"/>
      <c r="D113" s="145" t="s">
        <v>96</v>
      </c>
      <c r="E113" s="430" t="s">
        <v>41</v>
      </c>
      <c r="F113" s="74"/>
      <c r="G113" s="74"/>
      <c r="H113" s="637">
        <v>6.2791470581192332E-2</v>
      </c>
      <c r="I113" s="637">
        <v>4.5520143173101532E-2</v>
      </c>
      <c r="J113" s="637">
        <v>4.6308092498019794E-2</v>
      </c>
      <c r="K113" s="637">
        <v>3.9477425032823636E-2</v>
      </c>
      <c r="L113" s="715"/>
      <c r="N113" s="340"/>
      <c r="AL113" s="64"/>
    </row>
    <row r="114" spans="1:38" x14ac:dyDescent="0.45">
      <c r="A114" s="342" t="s">
        <v>152</v>
      </c>
    </row>
    <row r="115" spans="1:38" ht="14.65" thickBot="1" x14ac:dyDescent="0.5"/>
    <row r="116" spans="1:38" ht="14.65" thickBot="1" x14ac:dyDescent="0.5">
      <c r="D116" s="1093" t="s">
        <v>46</v>
      </c>
      <c r="E116" s="422"/>
      <c r="F116" s="819"/>
      <c r="G116" s="30" t="s">
        <v>107</v>
      </c>
      <c r="H116" s="45"/>
      <c r="I116" s="46"/>
      <c r="L116"/>
    </row>
    <row r="117" spans="1:38" x14ac:dyDescent="0.45">
      <c r="D117" s="1001" t="s">
        <v>20</v>
      </c>
      <c r="E117" s="142">
        <f>Results!$D$5</f>
        <v>0.06</v>
      </c>
      <c r="F117" s="1095"/>
      <c r="G117" s="12" t="s">
        <v>108</v>
      </c>
      <c r="H117" s="13"/>
      <c r="I117" s="14"/>
      <c r="L117"/>
    </row>
    <row r="118" spans="1:38" x14ac:dyDescent="0.45">
      <c r="D118" s="1001" t="s">
        <v>81</v>
      </c>
      <c r="E118" s="232">
        <v>27</v>
      </c>
      <c r="F118" s="1"/>
      <c r="G118" s="37"/>
      <c r="H118" s="25"/>
      <c r="I118" s="38"/>
      <c r="L118"/>
    </row>
    <row r="119" spans="1:38" x14ac:dyDescent="0.45">
      <c r="D119" s="1001" t="s">
        <v>30</v>
      </c>
      <c r="E119" s="109">
        <f>POWER((1+E117),E118)</f>
        <v>4.8223459407037845</v>
      </c>
      <c r="F119" s="1096"/>
      <c r="G119" s="37"/>
      <c r="H119" s="25"/>
      <c r="I119" s="38"/>
      <c r="L119"/>
    </row>
    <row r="120" spans="1:38" x14ac:dyDescent="0.45">
      <c r="D120" s="1001"/>
      <c r="E120" s="109"/>
      <c r="F120" s="1096"/>
      <c r="G120" s="37"/>
      <c r="H120" s="25"/>
      <c r="I120" s="38"/>
      <c r="L120"/>
    </row>
    <row r="121" spans="1:38" x14ac:dyDescent="0.45">
      <c r="D121" s="1001" t="s">
        <v>28</v>
      </c>
      <c r="E121" s="109">
        <f>E119*E117</f>
        <v>0.28934075644222707</v>
      </c>
      <c r="F121" s="1096"/>
      <c r="G121" s="15" t="s">
        <v>65</v>
      </c>
      <c r="H121" s="195" t="s">
        <v>20</v>
      </c>
      <c r="I121" s="38"/>
      <c r="L121"/>
    </row>
    <row r="122" spans="1:38" ht="14.65" thickBot="1" x14ac:dyDescent="0.5">
      <c r="D122" s="1001"/>
      <c r="E122" s="109"/>
      <c r="F122" s="1096"/>
      <c r="G122" s="98">
        <v>0.01</v>
      </c>
      <c r="H122" s="124">
        <f>(1+Hidden!E117)/(1+G122)-1</f>
        <v>4.9504950495049549E-2</v>
      </c>
      <c r="I122" s="21"/>
      <c r="L122"/>
    </row>
    <row r="123" spans="1:38" ht="14.65" thickBot="1" x14ac:dyDescent="0.5">
      <c r="D123" s="1001" t="s">
        <v>27</v>
      </c>
      <c r="E123" s="109">
        <f>E119-1</f>
        <v>3.8223459407037845</v>
      </c>
      <c r="F123" s="1096"/>
      <c r="G123" t="s">
        <v>55</v>
      </c>
      <c r="L123"/>
    </row>
    <row r="124" spans="1:38" ht="14.65" thickBot="1" x14ac:dyDescent="0.5">
      <c r="D124" s="54" t="s">
        <v>29</v>
      </c>
      <c r="E124" s="141">
        <f>E121/E123</f>
        <v>7.5697166329469531E-2</v>
      </c>
      <c r="F124" s="1094"/>
      <c r="G124" s="1094"/>
    </row>
    <row r="125" spans="1:38" x14ac:dyDescent="0.45">
      <c r="D125" s="1001"/>
      <c r="E125" s="1097"/>
      <c r="F125" s="1094"/>
      <c r="G125" s="1"/>
    </row>
    <row r="126" spans="1:38" ht="28.9" thickBot="1" x14ac:dyDescent="0.5">
      <c r="D126" s="1001"/>
      <c r="E126" s="1098" t="s">
        <v>47</v>
      </c>
      <c r="F126" s="1"/>
      <c r="G126" s="1"/>
    </row>
    <row r="127" spans="1:38" ht="14.65" thickBot="1" x14ac:dyDescent="0.5">
      <c r="D127" s="997"/>
      <c r="E127" s="54">
        <f>1/POWER((1+E117),-1)</f>
        <v>1.06</v>
      </c>
      <c r="F127" s="1"/>
      <c r="G127" s="1"/>
    </row>
    <row r="130" spans="1:29" s="1099" customFormat="1" ht="9.75" customHeight="1" x14ac:dyDescent="0.45">
      <c r="N130" s="1100"/>
      <c r="W130" s="1100"/>
      <c r="X130" s="1100"/>
      <c r="Y130" s="1100"/>
      <c r="Z130" s="1100"/>
      <c r="AA130" s="1100"/>
      <c r="AB130" s="1100"/>
      <c r="AC130" s="1100"/>
    </row>
    <row r="133" spans="1:29" x14ac:dyDescent="0.45">
      <c r="A133" s="397"/>
      <c r="B133" s="397"/>
      <c r="C133" s="397"/>
      <c r="D133" s="397"/>
      <c r="E133" s="397"/>
      <c r="F133" s="397"/>
    </row>
    <row r="134" spans="1:29" x14ac:dyDescent="0.45">
      <c r="A134" s="397"/>
      <c r="B134" s="397"/>
      <c r="C134" s="397"/>
      <c r="D134" s="397"/>
      <c r="E134" s="397"/>
      <c r="F134" s="397"/>
    </row>
    <row r="135" spans="1:29" x14ac:dyDescent="0.45">
      <c r="A135" s="591"/>
      <c r="B135" s="591"/>
      <c r="C135" s="591"/>
      <c r="D135" s="591"/>
      <c r="E135" s="591"/>
      <c r="F135" s="591"/>
    </row>
    <row r="136" spans="1:29" x14ac:dyDescent="0.45">
      <c r="A136" s="591"/>
      <c r="B136" s="591"/>
      <c r="C136" s="591"/>
      <c r="D136" s="591"/>
      <c r="E136" s="591"/>
      <c r="F136" s="591"/>
    </row>
    <row r="137" spans="1:29" x14ac:dyDescent="0.45">
      <c r="A137" s="594"/>
      <c r="B137" s="594"/>
      <c r="C137" s="594"/>
      <c r="D137" s="594"/>
      <c r="E137" s="594"/>
      <c r="F137" s="594"/>
    </row>
    <row r="138" spans="1:29" x14ac:dyDescent="0.45">
      <c r="A138" s="594"/>
      <c r="B138" s="594"/>
      <c r="C138" s="594"/>
      <c r="D138" s="594"/>
      <c r="E138" s="594"/>
      <c r="F138" s="594"/>
    </row>
    <row r="139" spans="1:29" x14ac:dyDescent="0.45">
      <c r="A139" s="594"/>
      <c r="B139" s="594"/>
      <c r="C139" s="594"/>
      <c r="D139" s="594"/>
      <c r="E139" s="594"/>
      <c r="F139" s="594"/>
    </row>
    <row r="140" spans="1:29" x14ac:dyDescent="0.45">
      <c r="A140" s="597"/>
      <c r="B140" s="597"/>
      <c r="C140" s="597"/>
      <c r="D140" s="597"/>
      <c r="E140" s="597"/>
      <c r="F140" s="597"/>
    </row>
    <row r="141" spans="1:29" x14ac:dyDescent="0.45">
      <c r="A141" s="594"/>
      <c r="B141" s="594"/>
      <c r="C141" s="594"/>
      <c r="D141" s="594"/>
      <c r="E141" s="594"/>
      <c r="F141" s="594"/>
    </row>
    <row r="142" spans="1:29" x14ac:dyDescent="0.45">
      <c r="A142" s="597"/>
      <c r="B142" s="597"/>
      <c r="C142" s="597"/>
      <c r="D142" s="597"/>
      <c r="E142" s="597"/>
      <c r="F142" s="597"/>
    </row>
  </sheetData>
  <sheetProtection algorithmName="SHA-512" hashValue="gUlqmKE4sHoFIkGOZnh9os96SNii7cHbRDbQl04eA/E1CXy2oP43Jsb4DU4Hb9GRwjVFEfeM9IPZWlPdVHGAWA==" saltValue="78FWzr+fGcV31rrIsyJR8w==" spinCount="100000" scenarios="1"/>
  <mergeCells count="12">
    <mergeCell ref="C110:C111"/>
    <mergeCell ref="C112:C113"/>
    <mergeCell ref="W2:AC2"/>
    <mergeCell ref="M2:N2"/>
    <mergeCell ref="F3:I3"/>
    <mergeCell ref="J3:K3"/>
    <mergeCell ref="D13:D14"/>
    <mergeCell ref="M4:N4"/>
    <mergeCell ref="F2:K2"/>
    <mergeCell ref="P2:U2"/>
    <mergeCell ref="P3:S3"/>
    <mergeCell ref="T3:U3"/>
  </mergeCells>
  <hyperlinks>
    <hyperlink ref="A114" r:id="rId1" display="https://urldefense.proofpoint.com/v2/url?u=https-3A__docs.google.com_spreadsheets_d_1fEHhIudqpqXpNEl6jy9pdoFYd33rbDb0cALiPGyNKCQ_edit-23gid-3D1344368619&amp;d=DwMFaQ&amp;c=XYzUhXBD2cD-CornpT4QE19xOJBbRy-TBPLK0X9U2o8&amp;r=E2FVMz8ZZg_RkW0Ez399JpPTN_lKeaNMR4tomxPRHQw&amp;m=39GC34x5a6g2JnZ7Pt5v1zox7ZmTIgG6b1jDpa22nks&amp;s=eyD3cmpBUASAWX8verca2Cmtez0vu_unsF7SwwnlMz0&amp;e=" xr:uid="{3343F660-F962-4B25-AD8A-18F3AFD7999F}"/>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26679" r:id="rId5" name="CommandButton1">
          <controlPr defaultSize="0" autoFill="0" autoLine="0" r:id="rId6">
            <anchor moveWithCells="1">
              <from>
                <xdr:col>1</xdr:col>
                <xdr:colOff>9525</xdr:colOff>
                <xdr:row>2</xdr:row>
                <xdr:rowOff>19050</xdr:rowOff>
              </from>
              <to>
                <xdr:col>2</xdr:col>
                <xdr:colOff>361950</xdr:colOff>
                <xdr:row>3</xdr:row>
                <xdr:rowOff>252413</xdr:rowOff>
              </to>
            </anchor>
          </controlPr>
        </control>
      </mc:Choice>
      <mc:Fallback>
        <control shapeId="26679" r:id="rId5"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FF7A9-D1DB-471F-8BA7-5DD19629372B}">
  <sheetPr codeName="Blad4"/>
  <dimension ref="B1:BQ136"/>
  <sheetViews>
    <sheetView zoomScale="95" zoomScaleNormal="95" workbookViewId="0">
      <selection activeCell="B19" sqref="B19"/>
    </sheetView>
  </sheetViews>
  <sheetFormatPr defaultRowHeight="14.25" x14ac:dyDescent="0.45"/>
  <cols>
    <col min="2" max="2" width="24.59765625" customWidth="1"/>
    <col min="3" max="3" width="17.1328125" customWidth="1"/>
    <col min="4" max="4" width="12.3984375" customWidth="1"/>
    <col min="5" max="5" width="11.59765625" bestFit="1" customWidth="1"/>
    <col min="12" max="12" width="12.59765625" customWidth="1"/>
    <col min="13" max="13" width="11.1328125" bestFit="1" customWidth="1"/>
    <col min="14" max="14" width="12.1328125" bestFit="1" customWidth="1"/>
    <col min="15" max="16" width="12.1328125" customWidth="1"/>
    <col min="17" max="17" width="12.1328125" style="25" customWidth="1"/>
    <col min="18" max="19" width="11.73046875" customWidth="1"/>
    <col min="20" max="20" width="10.265625" customWidth="1"/>
    <col min="21" max="21" width="10" bestFit="1" customWidth="1"/>
    <col min="22" max="22" width="11.1328125" bestFit="1" customWidth="1"/>
    <col min="23" max="23" width="12.1328125" bestFit="1" customWidth="1"/>
    <col min="24" max="25" width="10.3984375" customWidth="1"/>
    <col min="26" max="26" width="10.59765625" customWidth="1"/>
    <col min="27" max="32" width="12.3984375" customWidth="1"/>
    <col min="33" max="33" width="12.1328125" customWidth="1"/>
    <col min="34" max="35" width="12.3984375" customWidth="1"/>
    <col min="38" max="39" width="12.86328125" customWidth="1"/>
    <col min="49" max="49" width="11.265625" customWidth="1"/>
  </cols>
  <sheetData>
    <row r="1" spans="2:5" ht="14.65" thickBot="1" x14ac:dyDescent="0.5"/>
    <row r="2" spans="2:5" ht="14.65" thickBot="1" x14ac:dyDescent="0.5">
      <c r="B2" s="689" t="s">
        <v>97</v>
      </c>
    </row>
    <row r="3" spans="2:5" ht="14.65" thickBot="1" x14ac:dyDescent="0.5">
      <c r="B3" s="690"/>
      <c r="C3" s="13"/>
      <c r="D3" s="695">
        <v>2035</v>
      </c>
      <c r="E3" s="694">
        <v>2050</v>
      </c>
    </row>
    <row r="4" spans="2:5" x14ac:dyDescent="0.45">
      <c r="B4" s="12">
        <v>1</v>
      </c>
      <c r="C4" s="35" t="s">
        <v>308</v>
      </c>
      <c r="D4" s="691">
        <f>'Learning rates'!D96</f>
        <v>0.54174945856391388</v>
      </c>
      <c r="E4" s="792">
        <f>'Learning rates'!D111</f>
        <v>0.48511466804375725</v>
      </c>
    </row>
    <row r="5" spans="2:5" x14ac:dyDescent="0.45">
      <c r="B5" s="37">
        <v>2</v>
      </c>
      <c r="C5" s="26" t="s">
        <v>216</v>
      </c>
      <c r="D5" s="692">
        <f>'Learning rates'!F96</f>
        <v>0.67776376003427985</v>
      </c>
      <c r="E5" s="793">
        <f>'Learning rates'!F111</f>
        <v>0.63644133846778872</v>
      </c>
    </row>
    <row r="6" spans="2:5" x14ac:dyDescent="0.45">
      <c r="B6" s="37">
        <v>3</v>
      </c>
      <c r="C6" s="26" t="s">
        <v>217</v>
      </c>
      <c r="D6" s="692">
        <f>'Learning rates'!H96</f>
        <v>1</v>
      </c>
      <c r="E6" s="793">
        <f>'Learning rates'!H111</f>
        <v>1</v>
      </c>
    </row>
    <row r="7" spans="2:5" x14ac:dyDescent="0.45">
      <c r="B7" s="37">
        <v>4</v>
      </c>
      <c r="C7" s="26" t="s">
        <v>218</v>
      </c>
      <c r="D7" s="692">
        <f>'Learning rates'!J96</f>
        <v>0.69945898799934558</v>
      </c>
      <c r="E7" s="793">
        <f>'Learning rates'!J111</f>
        <v>0.62388915337842632</v>
      </c>
    </row>
    <row r="8" spans="2:5" x14ac:dyDescent="0.45">
      <c r="B8" s="37">
        <v>5</v>
      </c>
      <c r="C8" s="26" t="s">
        <v>219</v>
      </c>
      <c r="D8" s="692">
        <f>'Learning rates'!L96</f>
        <v>0.80760223568165801</v>
      </c>
      <c r="E8" s="793">
        <f>'Learning rates'!L111</f>
        <v>0.75836372219254744</v>
      </c>
    </row>
    <row r="9" spans="2:5" x14ac:dyDescent="0.45">
      <c r="B9" s="37">
        <v>6</v>
      </c>
      <c r="C9" s="26" t="s">
        <v>217</v>
      </c>
      <c r="D9" s="692">
        <f>'Learning rates'!H96</f>
        <v>1</v>
      </c>
      <c r="E9" s="793">
        <f>'Learning rates'!H111</f>
        <v>1</v>
      </c>
    </row>
    <row r="10" spans="2:5" x14ac:dyDescent="0.45">
      <c r="B10" s="37">
        <v>7</v>
      </c>
      <c r="C10" s="26" t="s">
        <v>230</v>
      </c>
      <c r="D10" s="692">
        <f>'Learning rates'!N96</f>
        <v>1</v>
      </c>
      <c r="E10" s="793">
        <f>'Learning rates'!N111</f>
        <v>0.4613569037366026</v>
      </c>
    </row>
    <row r="11" spans="2:5" x14ac:dyDescent="0.45">
      <c r="B11" s="37">
        <v>8</v>
      </c>
      <c r="C11" s="26" t="s">
        <v>231</v>
      </c>
      <c r="D11" s="692">
        <f>'Learning rates'!P96</f>
        <v>1</v>
      </c>
      <c r="E11" s="793">
        <f>'Learning rates'!P111</f>
        <v>0.59655416200121225</v>
      </c>
    </row>
    <row r="12" spans="2:5" ht="14.65" thickBot="1" x14ac:dyDescent="0.5">
      <c r="B12" s="790">
        <v>9</v>
      </c>
      <c r="C12" s="214" t="s">
        <v>217</v>
      </c>
      <c r="D12" s="693">
        <f>'Learning rates'!H96</f>
        <v>1</v>
      </c>
      <c r="E12" s="791">
        <f>'Learning rates'!H111</f>
        <v>1</v>
      </c>
    </row>
    <row r="13" spans="2:5" x14ac:dyDescent="0.45">
      <c r="B13" s="25"/>
      <c r="C13" s="25"/>
      <c r="D13" s="546"/>
      <c r="E13" s="546"/>
    </row>
    <row r="14" spans="2:5" x14ac:dyDescent="0.45">
      <c r="B14" s="25"/>
      <c r="C14" s="25"/>
      <c r="D14" s="546"/>
      <c r="E14" s="546"/>
    </row>
    <row r="15" spans="2:5" x14ac:dyDescent="0.45">
      <c r="B15" s="25"/>
      <c r="C15" s="25"/>
      <c r="D15" s="546"/>
      <c r="E15" s="546"/>
    </row>
    <row r="16" spans="2:5" x14ac:dyDescent="0.45">
      <c r="B16" s="25"/>
      <c r="C16" s="25"/>
      <c r="D16" s="546"/>
      <c r="E16" s="546"/>
    </row>
    <row r="17" spans="2:5" x14ac:dyDescent="0.45">
      <c r="B17" s="25"/>
      <c r="C17" s="25"/>
      <c r="D17" s="546"/>
      <c r="E17" s="546"/>
    </row>
    <row r="18" spans="2:5" x14ac:dyDescent="0.45">
      <c r="B18" s="25"/>
      <c r="C18" s="25"/>
      <c r="D18" s="546"/>
      <c r="E18" s="546"/>
    </row>
    <row r="19" spans="2:5" x14ac:dyDescent="0.45">
      <c r="B19" s="25"/>
      <c r="C19" s="25"/>
      <c r="D19" s="546"/>
      <c r="E19" s="546"/>
    </row>
    <row r="20" spans="2:5" x14ac:dyDescent="0.45">
      <c r="B20" s="25"/>
      <c r="C20" s="25"/>
      <c r="D20" s="546"/>
      <c r="E20" s="546"/>
    </row>
    <row r="21" spans="2:5" x14ac:dyDescent="0.45">
      <c r="B21" s="25"/>
      <c r="C21" s="25"/>
      <c r="D21" s="546"/>
      <c r="E21" s="546"/>
    </row>
    <row r="22" spans="2:5" x14ac:dyDescent="0.45">
      <c r="B22" s="25"/>
      <c r="C22" s="25"/>
      <c r="D22" s="546"/>
      <c r="E22" s="546"/>
    </row>
    <row r="23" spans="2:5" x14ac:dyDescent="0.45">
      <c r="B23" s="25"/>
      <c r="C23" s="25"/>
      <c r="D23" s="546"/>
      <c r="E23" s="546"/>
    </row>
    <row r="61" spans="18:38" ht="15.75" customHeight="1" x14ac:dyDescent="0.45">
      <c r="T61" s="11"/>
      <c r="AK61" s="17"/>
      <c r="AL61" s="17"/>
    </row>
    <row r="62" spans="18:38" ht="15.75" customHeight="1" x14ac:dyDescent="0.45">
      <c r="T62" s="11"/>
    </row>
    <row r="63" spans="18:38" ht="15.75" customHeight="1" thickBot="1" x14ac:dyDescent="0.5">
      <c r="T63" s="11"/>
    </row>
    <row r="64" spans="18:38" ht="15.75" customHeight="1" thickBot="1" x14ac:dyDescent="0.5">
      <c r="R64" s="1177" t="s">
        <v>376</v>
      </c>
      <c r="S64" s="1182"/>
      <c r="T64" s="1182"/>
      <c r="U64" s="1182"/>
      <c r="V64" s="1182"/>
      <c r="W64" s="1182"/>
      <c r="X64" s="1178"/>
      <c r="AA64" s="1177" t="s">
        <v>227</v>
      </c>
      <c r="AB64" s="1182"/>
      <c r="AC64" s="1178"/>
    </row>
    <row r="65" spans="2:65" ht="15" customHeight="1" thickBot="1" x14ac:dyDescent="0.5">
      <c r="B65" s="69"/>
      <c r="C65" s="69"/>
      <c r="D65" s="69"/>
      <c r="E65" s="69"/>
      <c r="F65" s="69"/>
      <c r="G65" s="69"/>
      <c r="H65" s="69"/>
      <c r="I65" s="69"/>
      <c r="J65" s="69"/>
      <c r="K65" s="69"/>
      <c r="L65" s="69"/>
      <c r="M65" s="69"/>
      <c r="N65" s="69"/>
      <c r="O65" s="69"/>
      <c r="P65" s="69"/>
      <c r="Q65" s="70"/>
      <c r="R65" s="733" t="s">
        <v>102</v>
      </c>
      <c r="S65" s="1179" t="s">
        <v>105</v>
      </c>
      <c r="T65" s="1181"/>
      <c r="U65" s="1180" t="s">
        <v>80</v>
      </c>
      <c r="V65" s="1181"/>
      <c r="W65" s="1177" t="s">
        <v>375</v>
      </c>
      <c r="X65" s="1178"/>
      <c r="Y65" s="339"/>
      <c r="AA65" s="731" t="s">
        <v>22</v>
      </c>
      <c r="AB65" s="732" t="s">
        <v>6</v>
      </c>
      <c r="AC65" s="733" t="s">
        <v>103</v>
      </c>
      <c r="AI65" s="722"/>
      <c r="AJ65" s="722"/>
      <c r="AK65" s="724"/>
      <c r="AL65" s="722"/>
      <c r="AM65" s="722"/>
      <c r="AN65" s="722"/>
      <c r="AO65" s="722"/>
      <c r="AP65" s="722"/>
      <c r="AQ65" s="722"/>
      <c r="AR65" s="722"/>
      <c r="AS65" s="722"/>
      <c r="AT65" s="722"/>
      <c r="AU65" s="722"/>
      <c r="AV65" s="722"/>
      <c r="AW65" s="1"/>
      <c r="AX65" s="1"/>
      <c r="AY65" s="722"/>
      <c r="AZ65" s="722"/>
      <c r="BA65" s="722"/>
      <c r="BB65" s="722"/>
      <c r="BC65" s="722"/>
      <c r="BD65" s="722"/>
      <c r="BE65" s="722"/>
      <c r="BF65" s="722"/>
      <c r="BG65" s="69"/>
      <c r="BH65" s="69"/>
      <c r="BI65" s="69"/>
      <c r="BJ65" s="69"/>
    </row>
    <row r="66" spans="2:65" ht="14.65" thickBot="1" x14ac:dyDescent="0.5">
      <c r="B66" s="12"/>
      <c r="C66" s="1177" t="s">
        <v>226</v>
      </c>
      <c r="D66" s="1182"/>
      <c r="E66" s="1182"/>
      <c r="F66" s="1182"/>
      <c r="G66" s="1182"/>
      <c r="H66" s="1182"/>
      <c r="I66" s="1182"/>
      <c r="J66" s="1182"/>
      <c r="K66" s="1182"/>
      <c r="L66" s="1182"/>
      <c r="M66" s="1182"/>
      <c r="N66" s="1178"/>
      <c r="O66" s="708"/>
      <c r="P66" s="709"/>
      <c r="Q66" s="339"/>
      <c r="R66" s="35"/>
      <c r="S66" s="12"/>
      <c r="T66" s="14"/>
      <c r="U66" s="13"/>
      <c r="V66" s="710" t="s">
        <v>60</v>
      </c>
      <c r="W66" s="25"/>
      <c r="X66" s="710" t="s">
        <v>60</v>
      </c>
      <c r="Y66" s="339"/>
      <c r="AA66" s="12"/>
      <c r="AB66" s="27"/>
      <c r="AC66" s="35"/>
      <c r="AI66" s="321"/>
      <c r="AJ66" s="321"/>
      <c r="AK66" s="321"/>
      <c r="AL66" s="321"/>
      <c r="AM66" s="321"/>
      <c r="AN66" s="321"/>
      <c r="AO66" s="321"/>
      <c r="AP66" s="321"/>
      <c r="AQ66" s="321"/>
      <c r="AR66" s="321"/>
      <c r="AS66" s="321"/>
      <c r="AT66" s="321"/>
      <c r="AU66" s="321"/>
      <c r="AV66" s="321"/>
      <c r="AW66" s="1"/>
      <c r="AX66" s="1"/>
      <c r="AY66" s="1"/>
      <c r="AZ66" s="1"/>
      <c r="BA66" s="1"/>
      <c r="BB66" s="1"/>
      <c r="BC66" s="1"/>
      <c r="BD66" s="1"/>
      <c r="BE66" s="1"/>
      <c r="BF66" s="1"/>
    </row>
    <row r="67" spans="2:65" ht="14.65" thickBot="1" x14ac:dyDescent="0.5">
      <c r="B67" s="26"/>
      <c r="C67" s="1173" t="s">
        <v>221</v>
      </c>
      <c r="D67" s="1175"/>
      <c r="E67" s="1256" t="s">
        <v>222</v>
      </c>
      <c r="F67" s="1257"/>
      <c r="G67" s="1221" t="s">
        <v>223</v>
      </c>
      <c r="H67" s="1172"/>
      <c r="I67" s="1221" t="s">
        <v>224</v>
      </c>
      <c r="J67" s="1171"/>
      <c r="K67" s="1221" t="s">
        <v>225</v>
      </c>
      <c r="L67" s="1172"/>
      <c r="M67" s="1221" t="s">
        <v>319</v>
      </c>
      <c r="N67" s="1172"/>
      <c r="O67" s="1258" t="s">
        <v>318</v>
      </c>
      <c r="P67" s="1259"/>
      <c r="Q67" s="339"/>
      <c r="R67" s="27" t="s">
        <v>2</v>
      </c>
      <c r="S67" s="714" t="s">
        <v>4</v>
      </c>
      <c r="T67" s="38" t="s">
        <v>4</v>
      </c>
      <c r="U67" s="715" t="s">
        <v>104</v>
      </c>
      <c r="V67" s="16" t="s">
        <v>24</v>
      </c>
      <c r="W67" s="321" t="s">
        <v>4</v>
      </c>
      <c r="X67" s="16" t="s">
        <v>24</v>
      </c>
      <c r="Y67" s="339"/>
      <c r="AA67" s="730" t="s">
        <v>41</v>
      </c>
      <c r="AB67" s="91" t="s">
        <v>57</v>
      </c>
      <c r="AC67" s="106" t="s">
        <v>57</v>
      </c>
      <c r="AI67" s="723"/>
      <c r="AJ67" s="723"/>
      <c r="AK67" s="723"/>
      <c r="AL67" s="723"/>
      <c r="AM67" s="723"/>
      <c r="AN67" s="723"/>
      <c r="AO67" s="723"/>
      <c r="AP67" s="723"/>
      <c r="AQ67" s="723"/>
      <c r="AR67" s="723"/>
      <c r="AS67" s="723"/>
      <c r="AT67" s="723"/>
      <c r="AU67" s="723"/>
      <c r="AV67" s="723"/>
      <c r="AW67" s="1"/>
      <c r="AX67" s="1"/>
      <c r="AY67" s="1"/>
      <c r="AZ67" s="1"/>
      <c r="BA67" s="1"/>
      <c r="BB67" s="1"/>
      <c r="BC67" s="1"/>
      <c r="BD67" s="1"/>
      <c r="BE67" s="1"/>
      <c r="BF67" s="1"/>
      <c r="BM67" s="407"/>
    </row>
    <row r="68" spans="2:65" ht="14.65" thickBot="1" x14ac:dyDescent="0.5">
      <c r="B68" s="127"/>
      <c r="C68" s="393" t="s">
        <v>220</v>
      </c>
      <c r="D68" s="394" t="s">
        <v>24</v>
      </c>
      <c r="E68" s="393" t="s">
        <v>220</v>
      </c>
      <c r="F68" s="394" t="s">
        <v>24</v>
      </c>
      <c r="G68" s="393" t="s">
        <v>220</v>
      </c>
      <c r="H68" s="394" t="s">
        <v>24</v>
      </c>
      <c r="I68" s="393" t="s">
        <v>220</v>
      </c>
      <c r="J68" s="395" t="s">
        <v>24</v>
      </c>
      <c r="K68" s="393" t="s">
        <v>220</v>
      </c>
      <c r="L68" s="394" t="s">
        <v>24</v>
      </c>
      <c r="M68" s="455" t="s">
        <v>220</v>
      </c>
      <c r="N68" s="456" t="s">
        <v>24</v>
      </c>
      <c r="O68" s="711" t="s">
        <v>220</v>
      </c>
      <c r="P68" s="713" t="s">
        <v>24</v>
      </c>
      <c r="Q68" s="339"/>
      <c r="R68" s="23"/>
      <c r="S68" s="711"/>
      <c r="T68" s="713"/>
      <c r="U68" s="712"/>
      <c r="V68" s="713"/>
      <c r="W68" s="22"/>
      <c r="X68" s="120"/>
      <c r="Y68" s="25"/>
      <c r="Z68" s="138" t="s">
        <v>377</v>
      </c>
      <c r="AA68" s="711">
        <v>3</v>
      </c>
      <c r="AB68" s="52">
        <v>3</v>
      </c>
      <c r="AC68" s="23" t="s">
        <v>106</v>
      </c>
      <c r="AI68" s="321"/>
      <c r="AJ68" s="321"/>
      <c r="AK68" s="723"/>
      <c r="AL68" s="723"/>
      <c r="AM68" s="321"/>
      <c r="AN68" s="321"/>
      <c r="AO68" s="321"/>
      <c r="AP68" s="321"/>
      <c r="AQ68" s="321"/>
      <c r="AR68" s="321"/>
      <c r="AS68" s="321"/>
      <c r="AT68" s="321"/>
      <c r="AU68" s="321"/>
      <c r="AV68" s="321"/>
      <c r="AW68" s="1"/>
      <c r="AX68" s="1"/>
      <c r="AY68" s="1"/>
      <c r="AZ68" s="1"/>
      <c r="BA68" s="1"/>
      <c r="BB68" s="1"/>
      <c r="BC68" s="1"/>
      <c r="BD68" s="1"/>
      <c r="BE68" s="1"/>
      <c r="BF68" s="1"/>
      <c r="BM68" s="275"/>
    </row>
    <row r="69" spans="2:65" x14ac:dyDescent="0.45">
      <c r="B69" s="35">
        <v>2008</v>
      </c>
      <c r="C69" s="757">
        <v>0.26</v>
      </c>
      <c r="D69" s="16"/>
      <c r="E69" s="339"/>
      <c r="F69" s="121"/>
      <c r="G69" s="37"/>
      <c r="H69" s="38"/>
      <c r="I69" s="757">
        <v>0.26</v>
      </c>
      <c r="J69" s="25"/>
      <c r="K69" s="37"/>
      <c r="L69" s="38"/>
      <c r="M69" s="200"/>
      <c r="N69" s="16"/>
      <c r="O69" s="714"/>
      <c r="P69" s="16"/>
      <c r="Q69" s="339"/>
      <c r="R69" s="35"/>
      <c r="S69" s="12"/>
      <c r="T69" s="14"/>
      <c r="U69" s="197"/>
      <c r="V69" s="14"/>
      <c r="W69" s="776">
        <v>115.56307999999996</v>
      </c>
      <c r="X69" s="14"/>
      <c r="Y69" s="25"/>
      <c r="AA69" s="742">
        <v>0.15129999999999999</v>
      </c>
      <c r="AB69" s="204">
        <v>1586.1</v>
      </c>
      <c r="AC69" s="35"/>
      <c r="AI69" s="419"/>
      <c r="AJ69" s="321"/>
      <c r="AK69" s="321"/>
      <c r="AL69" s="321"/>
      <c r="AM69" s="419"/>
      <c r="AN69" s="1"/>
      <c r="AO69" s="1"/>
      <c r="AP69" s="1"/>
      <c r="AQ69" s="1"/>
      <c r="AR69" s="1"/>
      <c r="AS69" s="1"/>
      <c r="AT69" s="1"/>
      <c r="AU69" s="1"/>
      <c r="AV69" s="1"/>
      <c r="AW69" s="1"/>
      <c r="AX69" s="1"/>
      <c r="AY69" s="1"/>
      <c r="AZ69" s="1"/>
      <c r="BA69" s="1"/>
      <c r="BB69" s="1"/>
      <c r="BC69" s="1"/>
      <c r="BD69" s="1"/>
      <c r="BE69" s="1"/>
      <c r="BF69" s="1"/>
      <c r="BM69" s="275"/>
    </row>
    <row r="70" spans="2:65" x14ac:dyDescent="0.45">
      <c r="B70" s="26">
        <v>2009</v>
      </c>
      <c r="C70" s="39">
        <v>0.26</v>
      </c>
      <c r="D70" s="16"/>
      <c r="E70" s="339"/>
      <c r="F70" s="121"/>
      <c r="G70" s="37"/>
      <c r="H70" s="38"/>
      <c r="I70" s="39">
        <v>0.26</v>
      </c>
      <c r="J70" s="25"/>
      <c r="K70" s="37"/>
      <c r="L70" s="38"/>
      <c r="M70" s="200"/>
      <c r="N70" s="16"/>
      <c r="O70" s="714"/>
      <c r="P70" s="16"/>
      <c r="Q70" s="339"/>
      <c r="R70" s="26"/>
      <c r="S70" s="37"/>
      <c r="T70" s="38"/>
      <c r="U70" s="198"/>
      <c r="V70" s="38"/>
      <c r="W70" s="445">
        <v>150.11857299999997</v>
      </c>
      <c r="X70" s="38"/>
      <c r="Y70" s="25"/>
      <c r="AA70" s="743">
        <v>0.13344999999999999</v>
      </c>
      <c r="AB70" s="205">
        <v>1459.45</v>
      </c>
      <c r="AC70" s="26"/>
      <c r="AI70" s="419"/>
      <c r="AJ70" s="321"/>
      <c r="AK70" s="321"/>
      <c r="AL70" s="321"/>
      <c r="AM70" s="419"/>
      <c r="AN70" s="1"/>
      <c r="AO70" s="1"/>
      <c r="AP70" s="1"/>
      <c r="AQ70" s="1"/>
      <c r="AR70" s="1"/>
      <c r="AS70" s="1"/>
      <c r="AT70" s="1"/>
      <c r="AU70" s="1"/>
      <c r="AV70" s="1"/>
      <c r="AW70" s="1"/>
      <c r="AX70" s="1"/>
      <c r="AY70" s="1"/>
      <c r="AZ70" s="1"/>
      <c r="BA70" s="1"/>
      <c r="BB70" s="1"/>
      <c r="BC70" s="1"/>
      <c r="BD70" s="1"/>
      <c r="BE70" s="1"/>
      <c r="BF70" s="1"/>
      <c r="BM70" s="275"/>
    </row>
    <row r="71" spans="2:65" x14ac:dyDescent="0.45">
      <c r="B71" s="26">
        <v>2010</v>
      </c>
      <c r="C71" s="39">
        <v>0.26</v>
      </c>
      <c r="D71" s="16"/>
      <c r="E71" s="339"/>
      <c r="F71" s="121"/>
      <c r="G71" s="37"/>
      <c r="H71" s="38"/>
      <c r="I71" s="39">
        <v>0.26</v>
      </c>
      <c r="J71" s="25"/>
      <c r="K71" s="37"/>
      <c r="L71" s="38"/>
      <c r="M71" s="200"/>
      <c r="N71" s="16"/>
      <c r="O71" s="714"/>
      <c r="P71" s="16"/>
      <c r="Q71" s="339"/>
      <c r="R71" s="89"/>
      <c r="S71" s="192"/>
      <c r="T71" s="112"/>
      <c r="U71" s="199"/>
      <c r="V71" s="38"/>
      <c r="W71" s="445">
        <v>180.849289</v>
      </c>
      <c r="X71" s="38"/>
      <c r="Y71" s="25"/>
      <c r="AA71" s="743">
        <v>0.13685</v>
      </c>
      <c r="AB71" s="205">
        <v>1306.45</v>
      </c>
      <c r="AC71" s="26"/>
      <c r="AI71" s="419"/>
      <c r="AJ71" s="321"/>
      <c r="AK71" s="321"/>
      <c r="AL71" s="321"/>
      <c r="AM71" s="419"/>
      <c r="AN71" s="1"/>
      <c r="AO71" s="1"/>
      <c r="AP71" s="1"/>
      <c r="AQ71" s="1"/>
      <c r="AR71" s="1"/>
      <c r="AS71" s="1"/>
      <c r="AT71" s="1"/>
      <c r="AU71" s="1"/>
      <c r="AV71" s="1"/>
      <c r="AW71" s="1"/>
      <c r="AX71" s="1"/>
      <c r="AY71" s="1"/>
      <c r="AZ71" s="1"/>
      <c r="BA71" s="1"/>
      <c r="BB71" s="1"/>
      <c r="BC71" s="1"/>
      <c r="BD71" s="1"/>
      <c r="BE71" s="1"/>
      <c r="BF71" s="1"/>
      <c r="BM71" s="275"/>
    </row>
    <row r="72" spans="2:65" x14ac:dyDescent="0.45">
      <c r="B72" s="26">
        <v>2011</v>
      </c>
      <c r="C72" s="39">
        <v>0.26</v>
      </c>
      <c r="D72" s="16"/>
      <c r="E72" s="339"/>
      <c r="F72" s="121"/>
      <c r="G72" s="37"/>
      <c r="H72" s="38"/>
      <c r="I72" s="39">
        <v>0.26</v>
      </c>
      <c r="J72" s="25"/>
      <c r="K72" s="37"/>
      <c r="L72" s="38"/>
      <c r="M72" s="200"/>
      <c r="N72" s="16"/>
      <c r="O72" s="714"/>
      <c r="P72" s="16"/>
      <c r="Q72" s="339"/>
      <c r="R72" s="89"/>
      <c r="S72" s="192"/>
      <c r="T72" s="112"/>
      <c r="U72" s="199"/>
      <c r="V72" s="38"/>
      <c r="W72" s="445">
        <v>220.01909000000006</v>
      </c>
      <c r="X72" s="38"/>
      <c r="Y72" s="25"/>
      <c r="AA72" s="743">
        <v>0.14874999999999999</v>
      </c>
      <c r="AB72" s="205">
        <v>1338.75</v>
      </c>
      <c r="AC72" s="26"/>
      <c r="AI72" s="419"/>
      <c r="AJ72" s="321"/>
      <c r="AK72" s="321"/>
      <c r="AL72" s="321"/>
      <c r="AM72" s="419"/>
      <c r="AN72" s="1"/>
      <c r="AO72" s="1"/>
      <c r="AP72" s="1"/>
      <c r="AQ72" s="1"/>
      <c r="AR72" s="1"/>
      <c r="AS72" s="1"/>
      <c r="AT72" s="1"/>
      <c r="AU72" s="1"/>
      <c r="AV72" s="1"/>
      <c r="AW72" s="1"/>
      <c r="AX72" s="1"/>
      <c r="AY72" s="1"/>
      <c r="AZ72" s="1"/>
      <c r="BA72" s="1"/>
      <c r="BB72" s="1"/>
      <c r="BC72" s="1"/>
      <c r="BD72" s="1"/>
      <c r="BE72" s="1"/>
      <c r="BF72" s="1"/>
      <c r="BM72" s="275"/>
    </row>
    <row r="73" spans="2:65" x14ac:dyDescent="0.45">
      <c r="B73" s="26">
        <v>2012</v>
      </c>
      <c r="C73" s="39">
        <v>0.26</v>
      </c>
      <c r="D73" s="16"/>
      <c r="E73" s="339"/>
      <c r="F73" s="121"/>
      <c r="G73" s="37"/>
      <c r="H73" s="38"/>
      <c r="I73" s="39">
        <v>0.26</v>
      </c>
      <c r="J73" s="25"/>
      <c r="K73" s="37"/>
      <c r="L73" s="38"/>
      <c r="M73" s="200"/>
      <c r="N73" s="16"/>
      <c r="O73" s="714"/>
      <c r="P73" s="16"/>
      <c r="Q73" s="339"/>
      <c r="R73" s="89"/>
      <c r="S73" s="192"/>
      <c r="T73" s="112"/>
      <c r="U73" s="199"/>
      <c r="V73" s="38"/>
      <c r="W73" s="445">
        <v>266.90755000000001</v>
      </c>
      <c r="X73" s="38"/>
      <c r="Y73" s="25"/>
      <c r="AA73" s="743">
        <v>0.13089999999999999</v>
      </c>
      <c r="AB73" s="205">
        <v>1248.6499999999999</v>
      </c>
      <c r="AC73" s="26"/>
      <c r="AI73" s="419"/>
      <c r="AJ73" s="321"/>
      <c r="AK73" s="321"/>
      <c r="AL73" s="321"/>
      <c r="AM73" s="419"/>
      <c r="AN73" s="1"/>
      <c r="AO73" s="1"/>
      <c r="AP73" s="1"/>
      <c r="AQ73" s="1"/>
      <c r="AR73" s="1"/>
      <c r="AS73" s="1"/>
      <c r="AT73" s="1"/>
      <c r="AU73" s="1"/>
      <c r="AV73" s="1"/>
      <c r="AW73" s="1"/>
      <c r="AX73" s="1"/>
      <c r="AY73" s="1"/>
      <c r="AZ73" s="1"/>
      <c r="BA73" s="1"/>
      <c r="BB73" s="1"/>
      <c r="BC73" s="1"/>
      <c r="BD73" s="1"/>
      <c r="BE73" s="1"/>
      <c r="BF73" s="1"/>
      <c r="BM73" s="275"/>
    </row>
    <row r="74" spans="2:65" x14ac:dyDescent="0.45">
      <c r="B74" s="26">
        <v>2013</v>
      </c>
      <c r="C74" s="39">
        <v>0.26</v>
      </c>
      <c r="D74" s="16"/>
      <c r="E74" s="339"/>
      <c r="F74" s="121"/>
      <c r="G74" s="37"/>
      <c r="H74" s="38"/>
      <c r="I74" s="39">
        <v>0.26</v>
      </c>
      <c r="J74" s="25"/>
      <c r="K74" s="37"/>
      <c r="L74" s="38"/>
      <c r="M74" s="200"/>
      <c r="N74" s="16"/>
      <c r="O74" s="714"/>
      <c r="P74" s="16"/>
      <c r="Q74" s="339"/>
      <c r="R74" s="89"/>
      <c r="S74" s="192"/>
      <c r="T74" s="112"/>
      <c r="U74" s="199"/>
      <c r="V74" s="38"/>
      <c r="W74" s="445">
        <v>299.91860500000007</v>
      </c>
      <c r="X74" s="38"/>
      <c r="Y74" s="25"/>
      <c r="AA74" s="743">
        <v>0.15045</v>
      </c>
      <c r="AB74" s="205">
        <v>1212.0999999999999</v>
      </c>
      <c r="AC74" s="26"/>
      <c r="AI74" s="419"/>
      <c r="AJ74" s="321"/>
      <c r="AK74" s="321"/>
      <c r="AL74" s="321"/>
      <c r="AM74" s="419"/>
      <c r="AN74" s="1"/>
      <c r="AO74" s="1"/>
      <c r="AP74" s="1"/>
      <c r="AQ74" s="1"/>
      <c r="AR74" s="1"/>
      <c r="AS74" s="1"/>
      <c r="AT74" s="1"/>
      <c r="AU74" s="1"/>
      <c r="AV74" s="1"/>
      <c r="AW74" s="1"/>
      <c r="AX74" s="1"/>
      <c r="AY74" s="1"/>
      <c r="AZ74" s="1"/>
      <c r="BA74" s="1"/>
      <c r="BB74" s="1"/>
      <c r="BC74" s="1"/>
      <c r="BD74" s="1"/>
      <c r="BE74" s="1"/>
      <c r="BF74" s="1"/>
      <c r="BM74" s="275"/>
    </row>
    <row r="75" spans="2:65" x14ac:dyDescent="0.45">
      <c r="B75" s="26">
        <v>2014</v>
      </c>
      <c r="C75" s="39">
        <v>0.26</v>
      </c>
      <c r="D75" s="16"/>
      <c r="E75" s="339"/>
      <c r="F75" s="121"/>
      <c r="G75" s="37"/>
      <c r="H75" s="38"/>
      <c r="I75" s="39">
        <v>0.26</v>
      </c>
      <c r="J75" s="25"/>
      <c r="K75" s="37"/>
      <c r="L75" s="38"/>
      <c r="M75" s="200"/>
      <c r="N75" s="16"/>
      <c r="O75" s="714"/>
      <c r="P75" s="16"/>
      <c r="Q75" s="339"/>
      <c r="R75" s="89"/>
      <c r="S75" s="192"/>
      <c r="T75" s="112"/>
      <c r="U75" s="199"/>
      <c r="V75" s="38"/>
      <c r="W75" s="445">
        <v>349.29990700000008</v>
      </c>
      <c r="X75" s="38"/>
      <c r="Y75" s="25"/>
      <c r="AA75" s="743">
        <v>0.15554999999999999</v>
      </c>
      <c r="AB75" s="205">
        <v>1085.45</v>
      </c>
      <c r="AC75" s="26"/>
      <c r="AI75" s="419"/>
      <c r="AJ75" s="321"/>
      <c r="AK75" s="321"/>
      <c r="AL75" s="321"/>
      <c r="AM75" s="419"/>
      <c r="AN75" s="1"/>
      <c r="AO75" s="1"/>
      <c r="AP75" s="1"/>
      <c r="AQ75" s="1"/>
      <c r="AR75" s="1"/>
      <c r="AS75" s="1"/>
      <c r="AT75" s="1"/>
      <c r="AU75" s="1"/>
      <c r="AV75" s="1"/>
      <c r="AW75" s="1"/>
      <c r="AX75" s="1"/>
      <c r="AY75" s="1"/>
      <c r="AZ75" s="1"/>
      <c r="BA75" s="1"/>
      <c r="BB75" s="1"/>
      <c r="BC75" s="1"/>
      <c r="BD75" s="1"/>
      <c r="BE75" s="1"/>
      <c r="BF75" s="1"/>
      <c r="BM75" s="275"/>
    </row>
    <row r="76" spans="2:65" x14ac:dyDescent="0.45">
      <c r="B76" s="26">
        <v>2015</v>
      </c>
      <c r="C76" s="39">
        <v>0.26</v>
      </c>
      <c r="D76" s="16"/>
      <c r="E76" s="339"/>
      <c r="F76" s="121"/>
      <c r="G76" s="37"/>
      <c r="H76" s="38"/>
      <c r="I76" s="39">
        <v>0.26</v>
      </c>
      <c r="J76" s="25"/>
      <c r="K76" s="37"/>
      <c r="L76" s="38"/>
      <c r="M76" s="200"/>
      <c r="N76" s="16"/>
      <c r="O76" s="714"/>
      <c r="P76" s="16"/>
      <c r="Q76" s="339"/>
      <c r="R76" s="89"/>
      <c r="S76" s="192"/>
      <c r="T76" s="112"/>
      <c r="U76" s="199"/>
      <c r="V76" s="38"/>
      <c r="W76" s="445">
        <v>416.24831700000027</v>
      </c>
      <c r="X76" s="38"/>
      <c r="Y76" s="25"/>
      <c r="AA76" s="743">
        <v>0.14365</v>
      </c>
      <c r="AB76" s="205">
        <v>927.35</v>
      </c>
      <c r="AC76" s="26"/>
      <c r="AI76" s="419"/>
      <c r="AJ76" s="321"/>
      <c r="AK76" s="321"/>
      <c r="AL76" s="321"/>
      <c r="AM76" s="419"/>
      <c r="AN76" s="1"/>
      <c r="AO76" s="1"/>
      <c r="AP76" s="1"/>
      <c r="AQ76" s="1"/>
      <c r="AR76" s="1"/>
      <c r="AS76" s="1"/>
      <c r="AT76" s="1"/>
      <c r="AU76" s="1"/>
      <c r="AV76" s="1"/>
      <c r="AW76" s="1"/>
      <c r="AX76" s="1"/>
      <c r="AY76" s="1"/>
      <c r="AZ76" s="1"/>
      <c r="BA76" s="1"/>
      <c r="BB76" s="1"/>
      <c r="BC76" s="1"/>
      <c r="BD76" s="1"/>
      <c r="BE76" s="1"/>
      <c r="BF76" s="1"/>
      <c r="BM76" s="275"/>
    </row>
    <row r="77" spans="2:65" x14ac:dyDescent="0.45">
      <c r="B77" s="26">
        <v>2016</v>
      </c>
      <c r="C77" s="39">
        <v>0.26</v>
      </c>
      <c r="D77" s="16"/>
      <c r="E77" s="339"/>
      <c r="F77" s="121"/>
      <c r="G77" s="37"/>
      <c r="H77" s="38"/>
      <c r="I77" s="39">
        <v>0.26</v>
      </c>
      <c r="J77" s="25"/>
      <c r="K77" s="37"/>
      <c r="L77" s="38"/>
      <c r="M77" s="200"/>
      <c r="N77" s="16"/>
      <c r="O77" s="714"/>
      <c r="P77" s="16"/>
      <c r="Q77" s="339"/>
      <c r="R77" s="89"/>
      <c r="S77" s="192"/>
      <c r="T77" s="112"/>
      <c r="U77" s="199"/>
      <c r="V77" s="38"/>
      <c r="W77" s="445">
        <v>466.86423000000019</v>
      </c>
      <c r="X77" s="38"/>
      <c r="Y77" s="25"/>
      <c r="AA77" s="743">
        <v>0.12409999999999999</v>
      </c>
      <c r="AB77" s="205">
        <v>903.55</v>
      </c>
      <c r="AC77" s="26"/>
      <c r="AI77" s="419"/>
      <c r="AJ77" s="321"/>
      <c r="AK77" s="321"/>
      <c r="AL77" s="321"/>
      <c r="AM77" s="419"/>
      <c r="AN77" s="1"/>
      <c r="AO77" s="1"/>
      <c r="AP77" s="1"/>
      <c r="AQ77" s="1"/>
      <c r="AR77" s="1"/>
      <c r="AS77" s="1"/>
      <c r="AT77" s="1"/>
      <c r="AU77" s="1"/>
      <c r="AV77" s="1"/>
      <c r="AW77" s="1"/>
      <c r="AX77" s="1"/>
      <c r="AY77" s="1"/>
      <c r="AZ77" s="1"/>
      <c r="BA77" s="1"/>
      <c r="BB77" s="1"/>
      <c r="BC77" s="1"/>
      <c r="BD77" s="1"/>
      <c r="BE77" s="1"/>
      <c r="BF77" s="1"/>
      <c r="BM77" s="275"/>
    </row>
    <row r="78" spans="2:65" x14ac:dyDescent="0.45">
      <c r="B78" s="26">
        <v>2017</v>
      </c>
      <c r="C78" s="39">
        <v>0.26</v>
      </c>
      <c r="D78" s="16"/>
      <c r="E78" s="339"/>
      <c r="F78" s="121"/>
      <c r="G78" s="37"/>
      <c r="H78" s="38"/>
      <c r="I78" s="39">
        <v>0.26</v>
      </c>
      <c r="J78" s="25"/>
      <c r="K78" s="37"/>
      <c r="L78" s="38"/>
      <c r="M78" s="200"/>
      <c r="N78" s="16"/>
      <c r="O78" s="714"/>
      <c r="P78" s="16"/>
      <c r="Q78" s="339"/>
      <c r="R78" s="89"/>
      <c r="S78" s="192"/>
      <c r="T78" s="112"/>
      <c r="U78" s="199"/>
      <c r="V78" s="38"/>
      <c r="W78" s="445">
        <v>514.37380000000007</v>
      </c>
      <c r="X78" s="38"/>
      <c r="Y78" s="25"/>
      <c r="AA78" s="743">
        <v>0.11135</v>
      </c>
      <c r="AB78" s="205">
        <v>795.6</v>
      </c>
      <c r="AC78" s="26"/>
      <c r="AI78" s="419"/>
      <c r="AJ78" s="321"/>
      <c r="AK78" s="321"/>
      <c r="AL78" s="321"/>
      <c r="AM78" s="419"/>
      <c r="AN78" s="1"/>
      <c r="AO78" s="1"/>
      <c r="AP78" s="1"/>
      <c r="AQ78" s="1"/>
      <c r="AR78" s="1"/>
      <c r="AS78" s="1"/>
      <c r="AT78" s="1"/>
      <c r="AU78" s="1"/>
      <c r="AV78" s="1"/>
      <c r="AW78" s="1"/>
      <c r="AX78" s="1"/>
      <c r="AY78" s="1"/>
      <c r="AZ78" s="1"/>
      <c r="BA78" s="1"/>
      <c r="BB78" s="1"/>
      <c r="BC78" s="1"/>
      <c r="BD78" s="1"/>
      <c r="BE78" s="1"/>
      <c r="BF78" s="1"/>
      <c r="BM78" s="275"/>
    </row>
    <row r="79" spans="2:65" ht="14.65" thickBot="1" x14ac:dyDescent="0.5">
      <c r="B79" s="26">
        <v>2018</v>
      </c>
      <c r="C79" s="39">
        <v>0.26</v>
      </c>
      <c r="D79" s="16"/>
      <c r="E79" s="339"/>
      <c r="F79" s="121"/>
      <c r="G79" s="37"/>
      <c r="H79" s="38"/>
      <c r="I79" s="39">
        <v>0.26</v>
      </c>
      <c r="J79" s="25"/>
      <c r="K79" s="37"/>
      <c r="L79" s="38"/>
      <c r="M79" s="200"/>
      <c r="N79" s="16"/>
      <c r="O79" s="714"/>
      <c r="P79" s="16"/>
      <c r="Q79" s="339"/>
      <c r="R79" s="89"/>
      <c r="S79" s="192"/>
      <c r="T79" s="112"/>
      <c r="U79" s="199"/>
      <c r="V79" s="38"/>
      <c r="W79" s="445">
        <v>563.8298530000003</v>
      </c>
      <c r="X79" s="38"/>
      <c r="Y79" s="25"/>
      <c r="AA79" s="743">
        <v>0.10795</v>
      </c>
      <c r="AB79" s="205">
        <v>762.44999999999993</v>
      </c>
      <c r="AC79" s="26"/>
      <c r="AI79" s="419"/>
      <c r="AJ79" s="321"/>
      <c r="AK79" s="321"/>
      <c r="AL79" s="321"/>
      <c r="AM79" s="419"/>
      <c r="AN79" s="1"/>
      <c r="AO79" s="1"/>
      <c r="AP79" s="1"/>
      <c r="AQ79" s="1"/>
      <c r="AR79" s="1"/>
      <c r="AS79" s="1"/>
      <c r="AT79" s="1"/>
      <c r="AU79" s="1"/>
      <c r="AV79" s="1"/>
      <c r="AW79" s="1"/>
      <c r="AX79" s="1"/>
      <c r="AY79" s="1"/>
      <c r="AZ79" s="1"/>
      <c r="BA79" s="1"/>
      <c r="BB79" s="1"/>
      <c r="BC79" s="1"/>
      <c r="BD79" s="1"/>
      <c r="BE79" s="1"/>
      <c r="BF79" s="1"/>
      <c r="BM79" s="275"/>
    </row>
    <row r="80" spans="2:65" ht="14.65" thickBot="1" x14ac:dyDescent="0.5">
      <c r="B80" s="175">
        <v>2019</v>
      </c>
      <c r="C80" s="758">
        <v>0.26</v>
      </c>
      <c r="D80" s="259"/>
      <c r="E80" s="257"/>
      <c r="F80" s="260"/>
      <c r="G80" s="258"/>
      <c r="H80" s="176"/>
      <c r="I80" s="758">
        <v>0.26</v>
      </c>
      <c r="J80" s="256"/>
      <c r="K80" s="258"/>
      <c r="L80" s="176"/>
      <c r="M80" s="261"/>
      <c r="N80" s="259"/>
      <c r="O80" s="727"/>
      <c r="P80" s="259"/>
      <c r="Q80" s="321"/>
      <c r="R80" s="728"/>
      <c r="S80" s="253"/>
      <c r="T80" s="254"/>
      <c r="U80" s="255"/>
      <c r="V80" s="176"/>
      <c r="W80" s="777">
        <v>622.2488470000003</v>
      </c>
      <c r="X80" s="176"/>
      <c r="Y80" s="1"/>
      <c r="AA80" s="744">
        <v>9.7750000000000004E-2</v>
      </c>
      <c r="AB80" s="740">
        <v>730.05497577991309</v>
      </c>
      <c r="AC80" s="175"/>
      <c r="AI80" s="419"/>
      <c r="AJ80" s="321"/>
      <c r="AK80" s="321"/>
      <c r="AL80" s="321"/>
      <c r="AM80" s="419"/>
      <c r="AN80" s="1"/>
      <c r="AO80" s="1"/>
      <c r="AP80" s="725"/>
      <c r="AQ80" s="725"/>
      <c r="AR80" s="726"/>
      <c r="AS80" s="725"/>
      <c r="AT80" s="725"/>
      <c r="AU80" s="1"/>
      <c r="AV80" s="1"/>
      <c r="AW80" s="1"/>
      <c r="AX80" s="1"/>
      <c r="AY80" s="1"/>
      <c r="AZ80" s="1"/>
      <c r="BA80" s="1"/>
      <c r="BB80" s="1"/>
      <c r="BC80" s="1"/>
      <c r="BD80" s="1"/>
      <c r="BE80" s="1"/>
      <c r="BF80" s="1"/>
      <c r="BM80" s="275"/>
    </row>
    <row r="81" spans="2:69" ht="14.65" thickBot="1" x14ac:dyDescent="0.5">
      <c r="B81" s="26">
        <v>2020</v>
      </c>
      <c r="C81" s="39">
        <v>0.26</v>
      </c>
      <c r="D81" s="16"/>
      <c r="E81" s="339"/>
      <c r="F81" s="121"/>
      <c r="G81" s="37"/>
      <c r="H81" s="38"/>
      <c r="I81" s="39">
        <v>0.26</v>
      </c>
      <c r="J81" s="25"/>
      <c r="K81" s="37"/>
      <c r="L81" s="38"/>
      <c r="M81" s="200"/>
      <c r="N81" s="16"/>
      <c r="O81" s="714"/>
      <c r="P81" s="16"/>
      <c r="Q81" s="321"/>
      <c r="R81" s="295">
        <v>35000.000000000007</v>
      </c>
      <c r="S81" s="776">
        <v>35</v>
      </c>
      <c r="T81" s="112"/>
      <c r="U81" s="196"/>
      <c r="V81" s="38"/>
      <c r="W81" s="89">
        <v>731</v>
      </c>
      <c r="X81" s="38"/>
      <c r="Y81" s="25"/>
      <c r="AA81" s="743">
        <v>0.10795</v>
      </c>
      <c r="AB81" s="206">
        <v>702.99777844683831</v>
      </c>
      <c r="AC81" s="26"/>
      <c r="AI81" s="419"/>
      <c r="AJ81" s="321"/>
      <c r="AK81" s="321"/>
      <c r="AL81" s="321"/>
      <c r="AM81" s="419"/>
      <c r="AN81" s="1"/>
      <c r="AO81" s="1"/>
      <c r="AP81" s="725"/>
      <c r="AQ81" s="725"/>
      <c r="AR81" s="726"/>
      <c r="AS81" s="725"/>
      <c r="AT81" s="725"/>
      <c r="AU81" s="1"/>
      <c r="AV81" s="1"/>
      <c r="AW81" s="1"/>
      <c r="AX81" s="1"/>
      <c r="AY81" s="1"/>
      <c r="AZ81" s="1"/>
      <c r="BA81" s="1"/>
      <c r="BB81" s="1"/>
      <c r="BC81" s="1"/>
      <c r="BD81" s="1"/>
      <c r="BE81" s="1"/>
      <c r="BF81" s="1"/>
      <c r="BM81" s="275"/>
    </row>
    <row r="82" spans="2:69" x14ac:dyDescent="0.45">
      <c r="B82" s="26">
        <v>2021</v>
      </c>
      <c r="C82" s="39">
        <v>0.26</v>
      </c>
      <c r="D82" s="16"/>
      <c r="E82" s="339"/>
      <c r="F82" s="121"/>
      <c r="G82" s="37"/>
      <c r="H82" s="38"/>
      <c r="I82" s="39">
        <v>0.26</v>
      </c>
      <c r="J82" s="25"/>
      <c r="K82" s="37"/>
      <c r="L82" s="38"/>
      <c r="M82" s="200"/>
      <c r="N82" s="16"/>
      <c r="O82" s="714"/>
      <c r="P82" s="16"/>
      <c r="Q82" s="321"/>
      <c r="R82" s="738">
        <v>47500.000000000007</v>
      </c>
      <c r="S82" s="34">
        <f t="shared" ref="S82:S111" si="0">(1+T82)*S81</f>
        <v>45.5</v>
      </c>
      <c r="T82" s="757">
        <v>0.3</v>
      </c>
      <c r="U82" s="196"/>
      <c r="V82" s="38"/>
      <c r="W82" s="34">
        <f>(1+X82)*W81</f>
        <v>804.1</v>
      </c>
      <c r="X82" s="331">
        <v>0.1</v>
      </c>
      <c r="Y82" s="123"/>
      <c r="AA82" s="743">
        <v>0.11815000000000001</v>
      </c>
      <c r="AB82" s="206">
        <v>687.46217250742529</v>
      </c>
      <c r="AC82" s="26"/>
      <c r="AI82" s="419"/>
      <c r="AJ82" s="321"/>
      <c r="AK82" s="321"/>
      <c r="AL82" s="321"/>
      <c r="AM82" s="419"/>
      <c r="AN82" s="1"/>
      <c r="AO82" s="1"/>
      <c r="AP82" s="725"/>
      <c r="AQ82" s="725"/>
      <c r="AR82" s="726"/>
      <c r="AS82" s="725"/>
      <c r="AT82" s="725"/>
      <c r="AU82" s="1"/>
      <c r="AV82" s="1"/>
      <c r="AW82" s="1"/>
      <c r="AX82" s="1"/>
      <c r="AY82" s="1"/>
      <c r="AZ82" s="1"/>
      <c r="BA82" s="1"/>
      <c r="BB82" s="1"/>
      <c r="BC82" s="1"/>
      <c r="BD82" s="1"/>
      <c r="BE82" s="1"/>
      <c r="BF82" s="1"/>
      <c r="BM82" s="275"/>
    </row>
    <row r="83" spans="2:69" ht="14.65" thickBot="1" x14ac:dyDescent="0.5">
      <c r="B83" s="232">
        <v>2022</v>
      </c>
      <c r="C83" s="39">
        <v>0.26</v>
      </c>
      <c r="D83" s="416"/>
      <c r="E83" s="123"/>
      <c r="F83" s="285"/>
      <c r="G83" s="63"/>
      <c r="H83" s="122"/>
      <c r="I83" s="39">
        <v>0.26</v>
      </c>
      <c r="J83" s="123"/>
      <c r="K83" s="63"/>
      <c r="L83" s="122"/>
      <c r="M83" s="200"/>
      <c r="N83" s="16"/>
      <c r="O83" s="714"/>
      <c r="P83" s="16"/>
      <c r="Q83" s="321"/>
      <c r="R83" s="596">
        <v>60000</v>
      </c>
      <c r="S83" s="84">
        <f t="shared" si="0"/>
        <v>58.24</v>
      </c>
      <c r="T83" s="103">
        <v>0.28000000000000003</v>
      </c>
      <c r="U83" s="411"/>
      <c r="V83" s="87"/>
      <c r="W83" s="84">
        <f t="shared" ref="W83:W111" si="1">(1+X83)*W82</f>
        <v>884.5100000000001</v>
      </c>
      <c r="X83" s="410">
        <v>0.1</v>
      </c>
      <c r="Y83" s="412"/>
      <c r="AA83" s="745">
        <v>8.2449999999999996E-2</v>
      </c>
      <c r="AB83" s="415">
        <v>672.26988920615486</v>
      </c>
      <c r="AC83" s="27"/>
      <c r="AI83" s="1"/>
      <c r="AJ83" s="1"/>
      <c r="AK83" s="1"/>
      <c r="AL83" s="1"/>
      <c r="AM83" s="1"/>
      <c r="AN83" s="1"/>
      <c r="AO83" s="1"/>
      <c r="AP83" s="1"/>
      <c r="AQ83" s="1"/>
      <c r="AR83" s="1"/>
      <c r="AS83" s="1"/>
      <c r="AT83" s="1"/>
      <c r="AU83" s="1"/>
      <c r="AV83" s="1"/>
      <c r="AW83" s="1"/>
      <c r="AX83" s="1"/>
      <c r="AY83" s="321"/>
      <c r="AZ83" s="321"/>
      <c r="BA83" s="1"/>
      <c r="BB83" s="1"/>
      <c r="BC83" s="1"/>
      <c r="BD83" s="1"/>
      <c r="BE83" s="1"/>
      <c r="BF83" s="1"/>
      <c r="BM83" s="275"/>
      <c r="BN83" s="338"/>
      <c r="BO83" s="338"/>
      <c r="BP83" s="338"/>
      <c r="BQ83" s="338"/>
    </row>
    <row r="84" spans="2:69" ht="14.65" thickBot="1" x14ac:dyDescent="0.5">
      <c r="B84" s="283">
        <v>2023</v>
      </c>
      <c r="C84" s="759">
        <v>0.25</v>
      </c>
      <c r="D84" s="756">
        <v>1</v>
      </c>
      <c r="E84" s="753">
        <v>0.15</v>
      </c>
      <c r="F84" s="754">
        <v>1</v>
      </c>
      <c r="G84" s="753">
        <v>0</v>
      </c>
      <c r="H84" s="755">
        <v>1</v>
      </c>
      <c r="I84" s="763">
        <v>0.26</v>
      </c>
      <c r="J84" s="753">
        <v>1</v>
      </c>
      <c r="K84" s="753">
        <v>0.15</v>
      </c>
      <c r="L84" s="755">
        <v>1</v>
      </c>
      <c r="M84" s="284"/>
      <c r="N84" s="314"/>
      <c r="O84" s="413"/>
      <c r="P84" s="314"/>
      <c r="Q84" s="321"/>
      <c r="R84" s="739">
        <v>75000</v>
      </c>
      <c r="S84" s="741">
        <f t="shared" si="0"/>
        <v>73.382400000000004</v>
      </c>
      <c r="T84" s="763">
        <v>0.26</v>
      </c>
      <c r="U84" s="307"/>
      <c r="V84" s="308"/>
      <c r="W84" s="741">
        <f t="shared" si="1"/>
        <v>972.96100000000024</v>
      </c>
      <c r="X84" s="306">
        <v>0.1</v>
      </c>
      <c r="Y84" s="412"/>
      <c r="AA84" s="746">
        <v>6.9699999999999998E-2</v>
      </c>
      <c r="AB84" s="741">
        <f>Calculations!G24</f>
        <v>661</v>
      </c>
      <c r="AC84" s="305"/>
      <c r="AI84" s="398"/>
      <c r="AJ84" s="398"/>
      <c r="AK84" s="398"/>
      <c r="AL84" s="398"/>
      <c r="AM84" s="398"/>
      <c r="AN84" s="398"/>
      <c r="AO84" s="398"/>
      <c r="AP84" s="725"/>
      <c r="AQ84" s="725"/>
      <c r="AR84" s="726"/>
      <c r="AS84" s="725"/>
      <c r="AT84" s="725"/>
      <c r="AU84" s="398"/>
      <c r="AV84" s="398"/>
      <c r="AW84" s="1"/>
      <c r="AX84" s="1"/>
      <c r="AY84" s="321"/>
      <c r="AZ84" s="321"/>
      <c r="BA84" s="1"/>
      <c r="BB84" s="1"/>
      <c r="BC84" s="1"/>
      <c r="BD84" s="1"/>
      <c r="BE84" s="1"/>
      <c r="BF84" s="1"/>
      <c r="BM84" s="275"/>
      <c r="BN84" s="338"/>
      <c r="BO84" s="338"/>
      <c r="BP84" s="338"/>
      <c r="BQ84" s="338"/>
    </row>
    <row r="85" spans="2:69" ht="14.65" thickBot="1" x14ac:dyDescent="0.5">
      <c r="B85" s="26">
        <v>2024</v>
      </c>
      <c r="C85" s="760">
        <v>0.24</v>
      </c>
      <c r="D85" s="716">
        <f t="shared" ref="D85:D111" si="2">($S85/$S84)^(LOG(1-C85)/LOG(2))*D84</f>
        <v>0.9154413951948005</v>
      </c>
      <c r="E85" s="228">
        <v>0.15</v>
      </c>
      <c r="F85" s="716">
        <f t="shared" ref="F85:F111" si="3">($S85/$S84)^(LOG(1-E85)/LOG(2))*F84</f>
        <v>0.94902569074178389</v>
      </c>
      <c r="G85" s="228">
        <v>0</v>
      </c>
      <c r="H85" s="416">
        <f t="shared" ref="H85:H111" si="4">($S85/$S84)^(LOG(1-G85)/LOG(2))*H84</f>
        <v>1</v>
      </c>
      <c r="I85" s="764">
        <v>0.25</v>
      </c>
      <c r="J85" s="765">
        <f t="shared" ref="J85:J111" si="5">($W85/$W84)^(LOG(1-I85)/LOG(2))*J84</f>
        <v>0.96121487606733802</v>
      </c>
      <c r="K85" s="228">
        <v>0.15</v>
      </c>
      <c r="L85" s="716">
        <f t="shared" ref="L85:L111" si="6">($W85/$W84)^(LOG(1-K85)/LOG(2))*L84</f>
        <v>0.97790091744850682</v>
      </c>
      <c r="M85" s="200"/>
      <c r="N85" s="16"/>
      <c r="O85" s="714"/>
      <c r="P85" s="16"/>
      <c r="Q85" s="321"/>
      <c r="R85" s="27">
        <v>88750</v>
      </c>
      <c r="S85" s="34">
        <f t="shared" si="0"/>
        <v>91.728000000000009</v>
      </c>
      <c r="T85" s="39">
        <v>0.25</v>
      </c>
      <c r="U85" s="196"/>
      <c r="V85" s="38"/>
      <c r="W85" s="34">
        <f t="shared" si="1"/>
        <v>1070.2571000000003</v>
      </c>
      <c r="X85" s="122">
        <v>0.1</v>
      </c>
      <c r="Y85" s="412"/>
      <c r="AA85" s="748">
        <f>D85*$AA$84</f>
        <v>6.3806265245077598E-2</v>
      </c>
      <c r="AB85" s="750">
        <f>J85*$AB$84</f>
        <v>635.36303308051038</v>
      </c>
      <c r="AC85" s="27"/>
      <c r="AI85" s="725"/>
      <c r="AJ85" s="398"/>
      <c r="AK85" s="725"/>
      <c r="AL85" s="725"/>
      <c r="AM85" s="398"/>
      <c r="AN85" s="725"/>
      <c r="AO85" s="725"/>
      <c r="AP85" s="725"/>
      <c r="AQ85" s="725"/>
      <c r="AR85" s="726"/>
      <c r="AS85" s="725"/>
      <c r="AT85" s="725"/>
      <c r="AU85" s="398"/>
      <c r="AV85" s="398"/>
      <c r="AW85" s="1"/>
      <c r="AX85" s="1"/>
      <c r="AY85" s="321"/>
      <c r="AZ85" s="321"/>
      <c r="BA85" s="1"/>
      <c r="BB85" s="1"/>
      <c r="BC85" s="1"/>
      <c r="BD85" s="1"/>
      <c r="BE85" s="1"/>
      <c r="BF85" s="1"/>
      <c r="BM85" s="275"/>
    </row>
    <row r="86" spans="2:69" x14ac:dyDescent="0.45">
      <c r="B86" s="26">
        <v>2025</v>
      </c>
      <c r="C86" s="760">
        <v>0.23</v>
      </c>
      <c r="D86" s="716">
        <f t="shared" si="2"/>
        <v>0.8441197561077024</v>
      </c>
      <c r="E86" s="228">
        <v>0.15</v>
      </c>
      <c r="F86" s="716">
        <f t="shared" si="3"/>
        <v>0.90234752218312997</v>
      </c>
      <c r="G86" s="228">
        <v>0</v>
      </c>
      <c r="H86" s="416">
        <f t="shared" si="4"/>
        <v>1</v>
      </c>
      <c r="I86" s="764">
        <v>0.24</v>
      </c>
      <c r="J86" s="765">
        <f t="shared" si="5"/>
        <v>0.92561830030186465</v>
      </c>
      <c r="K86" s="228">
        <v>0.15</v>
      </c>
      <c r="L86" s="716">
        <f t="shared" si="6"/>
        <v>0.95629020434663137</v>
      </c>
      <c r="M86" s="200"/>
      <c r="N86" s="16"/>
      <c r="O86" s="714"/>
      <c r="P86" s="16"/>
      <c r="Q86" s="321"/>
      <c r="R86" s="27">
        <v>107500</v>
      </c>
      <c r="S86" s="34">
        <f t="shared" si="0"/>
        <v>113.74272000000001</v>
      </c>
      <c r="T86" s="39">
        <v>0.24</v>
      </c>
      <c r="U86" s="772">
        <v>0.1</v>
      </c>
      <c r="V86" s="38"/>
      <c r="W86" s="34">
        <f t="shared" si="1"/>
        <v>1177.2828100000004</v>
      </c>
      <c r="X86" s="122">
        <v>0.1</v>
      </c>
      <c r="Y86" s="412"/>
      <c r="AA86" s="747">
        <f t="shared" ref="AA86:AA111" si="7">D86*$AA$84</f>
        <v>5.8835147000706856E-2</v>
      </c>
      <c r="AB86" s="34">
        <f t="shared" ref="AB86:AB111" si="8">J86*$AB$84</f>
        <v>611.83369649953249</v>
      </c>
      <c r="AC86" s="27"/>
      <c r="AI86" s="725"/>
      <c r="AJ86" s="398"/>
      <c r="AK86" s="725"/>
      <c r="AL86" s="725"/>
      <c r="AM86" s="398"/>
      <c r="AN86" s="725"/>
      <c r="AO86" s="725"/>
      <c r="AP86" s="725"/>
      <c r="AQ86" s="725"/>
      <c r="AR86" s="726"/>
      <c r="AS86" s="725"/>
      <c r="AT86" s="725"/>
      <c r="AU86" s="398"/>
      <c r="AV86" s="398"/>
      <c r="AW86" s="1"/>
      <c r="AX86" s="1"/>
      <c r="AY86" s="321"/>
      <c r="AZ86" s="321"/>
      <c r="BA86" s="1"/>
      <c r="BB86" s="1"/>
      <c r="BC86" s="1"/>
      <c r="BD86" s="1"/>
      <c r="BE86" s="1"/>
      <c r="BF86" s="1"/>
      <c r="BM86" s="275"/>
    </row>
    <row r="87" spans="2:69" x14ac:dyDescent="0.45">
      <c r="B87" s="26">
        <v>2026</v>
      </c>
      <c r="C87" s="760">
        <v>0.22</v>
      </c>
      <c r="D87" s="716">
        <f t="shared" si="2"/>
        <v>0.78374939859369985</v>
      </c>
      <c r="E87" s="228">
        <v>0.15</v>
      </c>
      <c r="F87" s="716">
        <f t="shared" si="3"/>
        <v>0.85959564265065969</v>
      </c>
      <c r="G87" s="228">
        <v>0</v>
      </c>
      <c r="H87" s="416">
        <f t="shared" si="4"/>
        <v>1</v>
      </c>
      <c r="I87" s="764">
        <v>0.23</v>
      </c>
      <c r="J87" s="765">
        <f t="shared" si="5"/>
        <v>0.89294355529009528</v>
      </c>
      <c r="K87" s="228">
        <v>0.15</v>
      </c>
      <c r="L87" s="716">
        <f t="shared" si="6"/>
        <v>0.93515706817759092</v>
      </c>
      <c r="M87" s="200"/>
      <c r="N87" s="16"/>
      <c r="O87" s="714"/>
      <c r="P87" s="16"/>
      <c r="Q87" s="321"/>
      <c r="R87" s="27">
        <v>128750</v>
      </c>
      <c r="S87" s="34">
        <f t="shared" si="0"/>
        <v>139.9035456</v>
      </c>
      <c r="T87" s="39">
        <v>0.23</v>
      </c>
      <c r="U87" s="773">
        <v>1</v>
      </c>
      <c r="V87" s="38"/>
      <c r="W87" s="34">
        <f t="shared" si="1"/>
        <v>1295.0110910000005</v>
      </c>
      <c r="X87" s="122">
        <v>0.1</v>
      </c>
      <c r="Y87" s="412"/>
      <c r="AA87" s="747">
        <f t="shared" si="7"/>
        <v>5.4627333081980881E-2</v>
      </c>
      <c r="AB87" s="34">
        <f t="shared" si="8"/>
        <v>590.23569004675301</v>
      </c>
      <c r="AC87" s="27"/>
      <c r="AI87" s="725"/>
      <c r="AJ87" s="398"/>
      <c r="AK87" s="725"/>
      <c r="AL87" s="725"/>
      <c r="AM87" s="398"/>
      <c r="AN87" s="725"/>
      <c r="AO87" s="725"/>
      <c r="AP87" s="725"/>
      <c r="AQ87" s="725"/>
      <c r="AR87" s="726"/>
      <c r="AS87" s="725"/>
      <c r="AT87" s="725"/>
      <c r="AU87" s="398"/>
      <c r="AV87" s="398"/>
      <c r="AW87" s="1"/>
      <c r="AX87" s="1"/>
      <c r="AY87" s="321"/>
      <c r="AZ87" s="321"/>
      <c r="BA87" s="1"/>
      <c r="BB87" s="1"/>
      <c r="BC87" s="1"/>
      <c r="BD87" s="1"/>
      <c r="BE87" s="1"/>
      <c r="BF87" s="1"/>
      <c r="BM87" s="275"/>
    </row>
    <row r="88" spans="2:69" x14ac:dyDescent="0.45">
      <c r="B88" s="26">
        <v>2027</v>
      </c>
      <c r="C88" s="760">
        <v>0.21</v>
      </c>
      <c r="D88" s="716">
        <f t="shared" si="2"/>
        <v>0.73250123800751754</v>
      </c>
      <c r="E88" s="228">
        <v>0.15</v>
      </c>
      <c r="F88" s="716">
        <f t="shared" si="3"/>
        <v>0.82043811050195026</v>
      </c>
      <c r="G88" s="228">
        <v>0</v>
      </c>
      <c r="H88" s="416">
        <f t="shared" si="4"/>
        <v>1</v>
      </c>
      <c r="I88" s="764">
        <v>0.22</v>
      </c>
      <c r="J88" s="765">
        <f t="shared" si="5"/>
        <v>0.86295199041400361</v>
      </c>
      <c r="K88" s="228">
        <v>0.15</v>
      </c>
      <c r="L88" s="716">
        <f t="shared" si="6"/>
        <v>0.91449095492932198</v>
      </c>
      <c r="M88" s="200"/>
      <c r="N88" s="16"/>
      <c r="O88" s="714"/>
      <c r="P88" s="16"/>
      <c r="Q88" s="321"/>
      <c r="R88" s="27">
        <v>155000</v>
      </c>
      <c r="S88" s="34">
        <f t="shared" si="0"/>
        <v>170.68232563199999</v>
      </c>
      <c r="T88" s="39">
        <v>0.22</v>
      </c>
      <c r="U88" s="773">
        <v>2</v>
      </c>
      <c r="V88" s="38"/>
      <c r="W88" s="34">
        <f t="shared" si="1"/>
        <v>1424.5122001000007</v>
      </c>
      <c r="X88" s="122">
        <v>0.1</v>
      </c>
      <c r="Y88" s="412"/>
      <c r="AA88" s="747">
        <f t="shared" si="7"/>
        <v>5.1055336289123975E-2</v>
      </c>
      <c r="AB88" s="34">
        <f t="shared" si="8"/>
        <v>570.41126566365642</v>
      </c>
      <c r="AC88" s="27"/>
      <c r="AI88" s="725"/>
      <c r="AJ88" s="398"/>
      <c r="AK88" s="725"/>
      <c r="AL88" s="725"/>
      <c r="AM88" s="398"/>
      <c r="AN88" s="725"/>
      <c r="AO88" s="725"/>
      <c r="AP88" s="725"/>
      <c r="AQ88" s="725"/>
      <c r="AR88" s="726"/>
      <c r="AS88" s="725"/>
      <c r="AT88" s="725"/>
      <c r="AU88" s="398"/>
      <c r="AV88" s="398"/>
      <c r="AW88" s="1"/>
      <c r="AX88" s="1"/>
      <c r="AY88" s="321"/>
      <c r="AZ88" s="321"/>
      <c r="BA88" s="1"/>
      <c r="BB88" s="1"/>
      <c r="BC88" s="1"/>
      <c r="BD88" s="1"/>
      <c r="BE88" s="1"/>
      <c r="BF88" s="1"/>
      <c r="BM88" s="275"/>
    </row>
    <row r="89" spans="2:69" x14ac:dyDescent="0.45">
      <c r="B89" s="26">
        <v>2028</v>
      </c>
      <c r="C89" s="760">
        <v>0.2</v>
      </c>
      <c r="D89" s="716">
        <f t="shared" si="2"/>
        <v>0.68890196969724948</v>
      </c>
      <c r="E89" s="228">
        <v>0.15</v>
      </c>
      <c r="F89" s="716">
        <f t="shared" si="3"/>
        <v>0.78457692834567405</v>
      </c>
      <c r="G89" s="228">
        <v>0</v>
      </c>
      <c r="H89" s="416">
        <f t="shared" si="4"/>
        <v>1</v>
      </c>
      <c r="I89" s="764">
        <v>0.21</v>
      </c>
      <c r="J89" s="765">
        <f t="shared" si="5"/>
        <v>0.83542987021835402</v>
      </c>
      <c r="K89" s="228">
        <v>0.15</v>
      </c>
      <c r="L89" s="716">
        <f t="shared" si="6"/>
        <v>0.89428154382374503</v>
      </c>
      <c r="M89" s="200"/>
      <c r="N89" s="16"/>
      <c r="O89" s="714"/>
      <c r="P89" s="16"/>
      <c r="Q89" s="321"/>
      <c r="R89" s="27">
        <v>181250</v>
      </c>
      <c r="S89" s="34">
        <f t="shared" si="0"/>
        <v>206.52561401471999</v>
      </c>
      <c r="T89" s="39">
        <v>0.21</v>
      </c>
      <c r="U89" s="773">
        <v>4</v>
      </c>
      <c r="V89" s="38"/>
      <c r="W89" s="34">
        <f t="shared" si="1"/>
        <v>1566.9634201100009</v>
      </c>
      <c r="X89" s="122">
        <v>0.1</v>
      </c>
      <c r="Y89" s="412"/>
      <c r="AA89" s="747">
        <f t="shared" si="7"/>
        <v>4.8016467287898289E-2</v>
      </c>
      <c r="AB89" s="34">
        <f t="shared" si="8"/>
        <v>552.219144214332</v>
      </c>
      <c r="AC89" s="27"/>
      <c r="AI89" s="725"/>
      <c r="AJ89" s="398"/>
      <c r="AK89" s="725"/>
      <c r="AL89" s="725"/>
      <c r="AM89" s="398"/>
      <c r="AN89" s="725"/>
      <c r="AO89" s="725"/>
      <c r="AP89" s="725"/>
      <c r="AQ89" s="725"/>
      <c r="AR89" s="726"/>
      <c r="AS89" s="725"/>
      <c r="AT89" s="725"/>
      <c r="AU89" s="398"/>
      <c r="AV89" s="398"/>
      <c r="AW89" s="1"/>
      <c r="AX89" s="1"/>
      <c r="AY89" s="321"/>
      <c r="AZ89" s="321"/>
      <c r="BA89" s="1"/>
      <c r="BB89" s="1"/>
      <c r="BC89" s="1"/>
      <c r="BD89" s="1"/>
      <c r="BE89" s="1"/>
      <c r="BF89" s="1"/>
      <c r="BM89" s="275"/>
    </row>
    <row r="90" spans="2:69" x14ac:dyDescent="0.45">
      <c r="B90" s="26">
        <v>2029</v>
      </c>
      <c r="C90" s="760">
        <v>0.19</v>
      </c>
      <c r="D90" s="716">
        <f t="shared" si="2"/>
        <v>0.65175720038116958</v>
      </c>
      <c r="E90" s="228">
        <v>0.11</v>
      </c>
      <c r="F90" s="716">
        <f t="shared" si="3"/>
        <v>0.7608926051653534</v>
      </c>
      <c r="G90" s="228">
        <v>0</v>
      </c>
      <c r="H90" s="416">
        <f t="shared" si="4"/>
        <v>1</v>
      </c>
      <c r="I90" s="764">
        <v>0.2</v>
      </c>
      <c r="J90" s="765">
        <f t="shared" si="5"/>
        <v>0.81018562040281672</v>
      </c>
      <c r="K90" s="228">
        <v>0.11</v>
      </c>
      <c r="L90" s="716">
        <f t="shared" si="6"/>
        <v>0.88006594415186457</v>
      </c>
      <c r="M90" s="200"/>
      <c r="N90" s="16"/>
      <c r="O90" s="714"/>
      <c r="P90" s="16"/>
      <c r="Q90" s="321"/>
      <c r="R90" s="27">
        <v>206250</v>
      </c>
      <c r="S90" s="34">
        <f t="shared" si="0"/>
        <v>247.83073681766399</v>
      </c>
      <c r="T90" s="39">
        <v>0.2</v>
      </c>
      <c r="U90" s="773">
        <v>8</v>
      </c>
      <c r="V90" s="38"/>
      <c r="W90" s="34">
        <f t="shared" si="1"/>
        <v>1723.6597621210012</v>
      </c>
      <c r="X90" s="122">
        <v>0.1</v>
      </c>
      <c r="Y90" s="412"/>
      <c r="AA90" s="747">
        <f t="shared" si="7"/>
        <v>4.542747686656752E-2</v>
      </c>
      <c r="AB90" s="34">
        <f t="shared" si="8"/>
        <v>535.53269508626181</v>
      </c>
      <c r="AC90" s="27"/>
      <c r="AI90" s="725"/>
      <c r="AJ90" s="398"/>
      <c r="AK90" s="725"/>
      <c r="AL90" s="725"/>
      <c r="AM90" s="398"/>
      <c r="AN90" s="725"/>
      <c r="AO90" s="725"/>
      <c r="AP90" s="725"/>
      <c r="AQ90" s="725"/>
      <c r="AR90" s="726"/>
      <c r="AS90" s="725"/>
      <c r="AT90" s="725"/>
      <c r="AU90" s="398"/>
      <c r="AV90" s="398"/>
      <c r="AW90" s="1"/>
      <c r="AX90" s="1"/>
      <c r="AY90" s="321"/>
      <c r="AZ90" s="321"/>
      <c r="BA90" s="1"/>
      <c r="BB90" s="1"/>
      <c r="BC90" s="1"/>
      <c r="BD90" s="1"/>
      <c r="BE90" s="1"/>
      <c r="BF90" s="1"/>
      <c r="BM90" s="275"/>
    </row>
    <row r="91" spans="2:69" ht="14.65" thickBot="1" x14ac:dyDescent="0.5">
      <c r="B91" s="232">
        <v>2030</v>
      </c>
      <c r="C91" s="760">
        <v>0.18</v>
      </c>
      <c r="D91" s="716">
        <f t="shared" si="2"/>
        <v>0.62159243208140724</v>
      </c>
      <c r="E91" s="228">
        <v>0.11</v>
      </c>
      <c r="F91" s="716">
        <f t="shared" si="3"/>
        <v>0.74001131792832853</v>
      </c>
      <c r="G91" s="228">
        <v>0</v>
      </c>
      <c r="H91" s="416">
        <f t="shared" si="4"/>
        <v>1</v>
      </c>
      <c r="I91" s="764">
        <v>0.19</v>
      </c>
      <c r="J91" s="765">
        <f t="shared" si="5"/>
        <v>0.78704741790513333</v>
      </c>
      <c r="K91" s="228">
        <v>0.11</v>
      </c>
      <c r="L91" s="716">
        <f t="shared" si="6"/>
        <v>0.86607631724597356</v>
      </c>
      <c r="M91" s="15"/>
      <c r="N91" s="16"/>
      <c r="O91" s="714"/>
      <c r="P91" s="16"/>
      <c r="Q91" s="321"/>
      <c r="R91" s="28">
        <v>232500</v>
      </c>
      <c r="S91" s="34">
        <f t="shared" si="0"/>
        <v>292.44026944484347</v>
      </c>
      <c r="T91" s="39">
        <v>0.18</v>
      </c>
      <c r="U91" s="773">
        <v>12</v>
      </c>
      <c r="V91" s="38"/>
      <c r="W91" s="34">
        <f t="shared" si="1"/>
        <v>1896.0257383331016</v>
      </c>
      <c r="X91" s="122">
        <v>0.1</v>
      </c>
      <c r="Y91" s="412"/>
      <c r="AA91" s="747">
        <f t="shared" si="7"/>
        <v>4.3324992516074086E-2</v>
      </c>
      <c r="AB91" s="34">
        <f t="shared" si="8"/>
        <v>520.23834323529309</v>
      </c>
      <c r="AC91" s="27"/>
      <c r="AI91" s="725"/>
      <c r="AJ91" s="398"/>
      <c r="AK91" s="725"/>
      <c r="AL91" s="725"/>
      <c r="AM91" s="398"/>
      <c r="AN91" s="725"/>
      <c r="AO91" s="725"/>
      <c r="AP91" s="725"/>
      <c r="AQ91" s="725"/>
      <c r="AR91" s="726"/>
      <c r="AS91" s="725"/>
      <c r="AT91" s="725"/>
      <c r="AU91" s="398"/>
      <c r="AV91" s="398"/>
      <c r="AW91" s="1"/>
      <c r="AX91" s="1"/>
      <c r="AY91" s="321"/>
      <c r="AZ91" s="321"/>
      <c r="BA91" s="1"/>
      <c r="BB91" s="1"/>
      <c r="BC91" s="1"/>
      <c r="BD91" s="1"/>
      <c r="BE91" s="1"/>
      <c r="BF91" s="1"/>
      <c r="BM91" s="1"/>
    </row>
    <row r="92" spans="2:69" x14ac:dyDescent="0.45">
      <c r="B92" s="26">
        <v>2031</v>
      </c>
      <c r="C92" s="760">
        <v>0.17</v>
      </c>
      <c r="D92" s="716">
        <f t="shared" si="2"/>
        <v>0.5972804923083066</v>
      </c>
      <c r="E92" s="228">
        <v>0.11</v>
      </c>
      <c r="F92" s="716">
        <f t="shared" si="3"/>
        <v>0.72177445425201503</v>
      </c>
      <c r="G92" s="228">
        <v>0</v>
      </c>
      <c r="H92" s="416">
        <f t="shared" si="4"/>
        <v>1</v>
      </c>
      <c r="I92" s="764">
        <v>0.18</v>
      </c>
      <c r="J92" s="765">
        <f t="shared" si="5"/>
        <v>0.76586107932081104</v>
      </c>
      <c r="K92" s="228">
        <v>0.11</v>
      </c>
      <c r="L92" s="716">
        <f t="shared" si="6"/>
        <v>0.85230907101765174</v>
      </c>
      <c r="M92" s="15"/>
      <c r="N92" s="16"/>
      <c r="O92" s="714"/>
      <c r="P92" s="16"/>
      <c r="Q92" s="321"/>
      <c r="R92" s="27"/>
      <c r="S92" s="34">
        <f t="shared" si="0"/>
        <v>339.23071255601837</v>
      </c>
      <c r="T92" s="39">
        <v>0.16</v>
      </c>
      <c r="U92" s="773">
        <f t="shared" ref="U92:U111" si="9">(1+V92)*U91</f>
        <v>15.600000000000001</v>
      </c>
      <c r="V92" s="331">
        <v>0.3</v>
      </c>
      <c r="W92" s="34">
        <f t="shared" si="1"/>
        <v>2085.6283121664119</v>
      </c>
      <c r="X92" s="122">
        <v>0.1</v>
      </c>
      <c r="Y92" s="412"/>
      <c r="AA92" s="747">
        <f t="shared" si="7"/>
        <v>4.163045031388897E-2</v>
      </c>
      <c r="AB92" s="34">
        <f t="shared" si="8"/>
        <v>506.23417343105609</v>
      </c>
      <c r="AC92" s="84"/>
      <c r="AI92" s="725"/>
      <c r="AJ92" s="398"/>
      <c r="AK92" s="725"/>
      <c r="AL92" s="725"/>
      <c r="AM92" s="398"/>
      <c r="AN92" s="725"/>
      <c r="AO92" s="725"/>
      <c r="AP92" s="725"/>
      <c r="AQ92" s="725"/>
      <c r="AR92" s="726"/>
      <c r="AS92" s="725"/>
      <c r="AT92" s="725"/>
      <c r="AU92" s="398"/>
      <c r="AV92" s="398"/>
      <c r="AW92" s="1"/>
      <c r="AX92" s="1"/>
      <c r="AY92" s="321"/>
      <c r="AZ92" s="321"/>
      <c r="BA92" s="1"/>
      <c r="BB92" s="1"/>
      <c r="BC92" s="1"/>
      <c r="BD92" s="1"/>
      <c r="BE92" s="1"/>
      <c r="BF92" s="1"/>
      <c r="BM92" s="1"/>
    </row>
    <row r="93" spans="2:69" x14ac:dyDescent="0.45">
      <c r="B93" s="26">
        <v>2032</v>
      </c>
      <c r="C93" s="760">
        <v>0.16</v>
      </c>
      <c r="D93" s="716">
        <f t="shared" si="2"/>
        <v>0.57791578181226888</v>
      </c>
      <c r="E93" s="228">
        <v>0.11</v>
      </c>
      <c r="F93" s="716">
        <f t="shared" si="3"/>
        <v>0.70604845402280736</v>
      </c>
      <c r="G93" s="228">
        <v>0</v>
      </c>
      <c r="H93" s="416">
        <f t="shared" si="4"/>
        <v>1</v>
      </c>
      <c r="I93" s="764">
        <v>0.17</v>
      </c>
      <c r="J93" s="765">
        <f t="shared" si="5"/>
        <v>0.74648820848714714</v>
      </c>
      <c r="K93" s="228">
        <v>0.11</v>
      </c>
      <c r="L93" s="716">
        <f t="shared" si="6"/>
        <v>0.83876067047871894</v>
      </c>
      <c r="M93" s="15"/>
      <c r="N93" s="16"/>
      <c r="O93" s="714"/>
      <c r="P93" s="16"/>
      <c r="Q93" s="321"/>
      <c r="R93" s="27"/>
      <c r="S93" s="34">
        <f t="shared" si="0"/>
        <v>386.72301231386098</v>
      </c>
      <c r="T93" s="39">
        <v>0.14000000000000001</v>
      </c>
      <c r="U93" s="773">
        <f t="shared" si="9"/>
        <v>20.28</v>
      </c>
      <c r="V93" s="122">
        <v>0.3</v>
      </c>
      <c r="W93" s="34">
        <f t="shared" si="1"/>
        <v>2294.1911433830533</v>
      </c>
      <c r="X93" s="122">
        <v>0.1</v>
      </c>
      <c r="Y93" s="412"/>
      <c r="AA93" s="747">
        <f t="shared" si="7"/>
        <v>4.0280729992315141E-2</v>
      </c>
      <c r="AB93" s="34">
        <f t="shared" si="8"/>
        <v>493.42870581000426</v>
      </c>
      <c r="AC93" s="84"/>
      <c r="AI93" s="725"/>
      <c r="AJ93" s="398"/>
      <c r="AK93" s="725"/>
      <c r="AL93" s="725"/>
      <c r="AM93" s="398"/>
      <c r="AN93" s="725"/>
      <c r="AO93" s="725"/>
      <c r="AP93" s="725"/>
      <c r="AQ93" s="725"/>
      <c r="AR93" s="726"/>
      <c r="AS93" s="725"/>
      <c r="AT93" s="725"/>
      <c r="AU93" s="398"/>
      <c r="AV93" s="398"/>
      <c r="AW93" s="1"/>
      <c r="AX93" s="1"/>
      <c r="AY93" s="321"/>
      <c r="AZ93" s="321"/>
      <c r="BA93" s="1"/>
      <c r="BB93" s="1"/>
      <c r="BC93" s="1"/>
      <c r="BD93" s="1"/>
      <c r="BE93" s="1"/>
      <c r="BF93" s="1"/>
      <c r="BM93" s="1"/>
    </row>
    <row r="94" spans="2:69" x14ac:dyDescent="0.45">
      <c r="B94" s="26">
        <v>2033</v>
      </c>
      <c r="C94" s="760">
        <v>0.15</v>
      </c>
      <c r="D94" s="716">
        <f t="shared" si="2"/>
        <v>0.56276183651126821</v>
      </c>
      <c r="E94" s="228">
        <v>0.11</v>
      </c>
      <c r="F94" s="716">
        <f t="shared" si="3"/>
        <v>0.69272336561119796</v>
      </c>
      <c r="G94" s="228">
        <v>0</v>
      </c>
      <c r="H94" s="416">
        <f t="shared" si="4"/>
        <v>1</v>
      </c>
      <c r="I94" s="764">
        <v>0.16</v>
      </c>
      <c r="J94" s="765">
        <f t="shared" si="5"/>
        <v>0.72880456963992279</v>
      </c>
      <c r="K94" s="228">
        <v>0.11</v>
      </c>
      <c r="L94" s="716">
        <f t="shared" si="6"/>
        <v>0.82542763683356357</v>
      </c>
      <c r="M94" s="15"/>
      <c r="N94" s="16"/>
      <c r="O94" s="714"/>
      <c r="P94" s="16"/>
      <c r="Q94" s="321"/>
      <c r="R94" s="27"/>
      <c r="S94" s="34">
        <f t="shared" si="0"/>
        <v>433.12977379152431</v>
      </c>
      <c r="T94" s="39">
        <v>0.12</v>
      </c>
      <c r="U94" s="773">
        <f t="shared" si="9"/>
        <v>26.364000000000001</v>
      </c>
      <c r="V94" s="122">
        <v>0.3</v>
      </c>
      <c r="W94" s="34">
        <f t="shared" si="1"/>
        <v>2523.6102577213587</v>
      </c>
      <c r="X94" s="122">
        <v>0.1</v>
      </c>
      <c r="Y94" s="412"/>
      <c r="AA94" s="747">
        <f t="shared" si="7"/>
        <v>3.9224500004835391E-2</v>
      </c>
      <c r="AB94" s="34">
        <f t="shared" si="8"/>
        <v>481.73982053198898</v>
      </c>
      <c r="AC94" s="84"/>
      <c r="AI94" s="725"/>
      <c r="AJ94" s="398"/>
      <c r="AK94" s="725"/>
      <c r="AL94" s="725"/>
      <c r="AM94" s="398"/>
      <c r="AN94" s="725"/>
      <c r="AO94" s="725"/>
      <c r="AP94" s="725"/>
      <c r="AQ94" s="725"/>
      <c r="AR94" s="726"/>
      <c r="AS94" s="725"/>
      <c r="AT94" s="725"/>
      <c r="AU94" s="398"/>
      <c r="AV94" s="398"/>
      <c r="AW94" s="1"/>
      <c r="AX94" s="1"/>
      <c r="AY94" s="321"/>
      <c r="AZ94" s="321"/>
      <c r="BA94" s="1"/>
      <c r="BB94" s="1"/>
      <c r="BC94" s="1"/>
      <c r="BD94" s="1"/>
      <c r="BE94" s="1"/>
      <c r="BF94" s="1"/>
      <c r="BM94" s="1"/>
    </row>
    <row r="95" spans="2:69" ht="14.65" thickBot="1" x14ac:dyDescent="0.5">
      <c r="B95" s="26">
        <v>2034</v>
      </c>
      <c r="C95" s="760">
        <v>0.14000000000000001</v>
      </c>
      <c r="D95" s="716">
        <f t="shared" si="2"/>
        <v>0.55121108717104028</v>
      </c>
      <c r="E95" s="228">
        <v>0.08</v>
      </c>
      <c r="F95" s="716">
        <f t="shared" si="3"/>
        <v>0.68482646515523105</v>
      </c>
      <c r="G95" s="228">
        <v>0</v>
      </c>
      <c r="H95" s="416">
        <f t="shared" si="4"/>
        <v>1</v>
      </c>
      <c r="I95" s="764">
        <v>0.15</v>
      </c>
      <c r="J95" s="765">
        <f t="shared" si="5"/>
        <v>0.71269865729154469</v>
      </c>
      <c r="K95" s="228">
        <v>0.08</v>
      </c>
      <c r="L95" s="716">
        <f t="shared" si="6"/>
        <v>0.81601793563786695</v>
      </c>
      <c r="M95" s="15"/>
      <c r="N95" s="16"/>
      <c r="O95" s="714"/>
      <c r="P95" s="16"/>
      <c r="Q95" s="321"/>
      <c r="R95" s="27"/>
      <c r="S95" s="34">
        <f t="shared" si="0"/>
        <v>476.44275117067679</v>
      </c>
      <c r="T95" s="39">
        <v>0.1</v>
      </c>
      <c r="U95" s="773">
        <f t="shared" si="9"/>
        <v>33.745919999999998</v>
      </c>
      <c r="V95" s="122">
        <v>0.28000000000000003</v>
      </c>
      <c r="W95" s="34">
        <f t="shared" si="1"/>
        <v>2775.9712834934949</v>
      </c>
      <c r="X95" s="122">
        <v>0.1</v>
      </c>
      <c r="Y95" s="412"/>
      <c r="AA95" s="747">
        <f t="shared" si="7"/>
        <v>3.8419412775821504E-2</v>
      </c>
      <c r="AB95" s="34">
        <f t="shared" si="8"/>
        <v>471.09381246971105</v>
      </c>
      <c r="AC95" s="84"/>
      <c r="AI95" s="725"/>
      <c r="AJ95" s="398"/>
      <c r="AK95" s="725"/>
      <c r="AL95" s="725"/>
      <c r="AM95" s="398"/>
      <c r="AN95" s="725"/>
      <c r="AO95" s="725"/>
      <c r="AP95" s="725"/>
      <c r="AQ95" s="725"/>
      <c r="AR95" s="726"/>
      <c r="AS95" s="725"/>
      <c r="AT95" s="725"/>
      <c r="AU95" s="398"/>
      <c r="AV95" s="398"/>
      <c r="AW95" s="1"/>
      <c r="AX95" s="1"/>
      <c r="AY95" s="321"/>
      <c r="AZ95" s="321"/>
      <c r="BA95" s="1"/>
      <c r="BB95" s="1"/>
      <c r="BC95" s="1"/>
      <c r="BD95" s="1"/>
      <c r="BE95" s="1"/>
      <c r="BF95" s="1"/>
      <c r="BM95" s="1"/>
    </row>
    <row r="96" spans="2:69" x14ac:dyDescent="0.45">
      <c r="B96" s="90">
        <v>2035</v>
      </c>
      <c r="C96" s="761">
        <v>0.13</v>
      </c>
      <c r="D96" s="717">
        <f t="shared" si="2"/>
        <v>0.54174945856391388</v>
      </c>
      <c r="E96" s="250">
        <v>0.08</v>
      </c>
      <c r="F96" s="717">
        <f t="shared" si="3"/>
        <v>0.67776376003427985</v>
      </c>
      <c r="G96" s="250">
        <v>0</v>
      </c>
      <c r="H96" s="420">
        <f t="shared" si="4"/>
        <v>1</v>
      </c>
      <c r="I96" s="761">
        <v>0.14000000000000001</v>
      </c>
      <c r="J96" s="766">
        <f t="shared" si="5"/>
        <v>0.69945898799934558</v>
      </c>
      <c r="K96" s="250">
        <v>0.08</v>
      </c>
      <c r="L96" s="717">
        <f t="shared" si="6"/>
        <v>0.80760223568165801</v>
      </c>
      <c r="M96" s="768">
        <v>0.2</v>
      </c>
      <c r="N96" s="769">
        <v>1</v>
      </c>
      <c r="O96" s="768">
        <v>0.15</v>
      </c>
      <c r="P96" s="769">
        <v>1</v>
      </c>
      <c r="Q96" s="275"/>
      <c r="R96" s="72"/>
      <c r="S96" s="249">
        <f t="shared" si="0"/>
        <v>519.32259877603769</v>
      </c>
      <c r="T96" s="770">
        <v>0.09</v>
      </c>
      <c r="U96" s="774">
        <f t="shared" si="9"/>
        <v>42.519859199999999</v>
      </c>
      <c r="V96" s="248">
        <v>0.26</v>
      </c>
      <c r="W96" s="249">
        <f t="shared" si="1"/>
        <v>3025.8086990079096</v>
      </c>
      <c r="X96" s="248">
        <v>0.09</v>
      </c>
      <c r="Y96" s="412"/>
      <c r="AA96" s="752">
        <f t="shared" si="7"/>
        <v>3.7759937261904797E-2</v>
      </c>
      <c r="AB96" s="249">
        <f t="shared" si="8"/>
        <v>462.34239106756741</v>
      </c>
      <c r="AC96" s="751">
        <f>SUM(Calculations!H51:H52,Calculations!H56)*100</f>
        <v>1254</v>
      </c>
      <c r="AI96" s="725"/>
      <c r="AJ96" s="398"/>
      <c r="AK96" s="725"/>
      <c r="AL96" s="725"/>
      <c r="AM96" s="398"/>
      <c r="AN96" s="725"/>
      <c r="AO96" s="725"/>
      <c r="AP96" s="725"/>
      <c r="AQ96" s="725"/>
      <c r="AR96" s="726"/>
      <c r="AS96" s="725"/>
      <c r="AT96" s="725"/>
      <c r="AU96" s="398"/>
      <c r="AV96" s="398"/>
      <c r="AW96" s="1"/>
      <c r="AX96" s="1"/>
      <c r="AY96" s="321"/>
      <c r="AZ96" s="321"/>
      <c r="BA96" s="1"/>
      <c r="BB96" s="1"/>
      <c r="BC96" s="1"/>
      <c r="BD96" s="1"/>
      <c r="BE96" s="1"/>
      <c r="BF96" s="1"/>
      <c r="BM96" s="1"/>
    </row>
    <row r="97" spans="2:65" x14ac:dyDescent="0.45">
      <c r="B97" s="26">
        <v>2036</v>
      </c>
      <c r="C97" s="760">
        <v>0.12</v>
      </c>
      <c r="D97" s="716">
        <f t="shared" si="2"/>
        <v>0.5332073411587962</v>
      </c>
      <c r="E97" s="228">
        <v>0.08</v>
      </c>
      <c r="F97" s="716">
        <f t="shared" si="3"/>
        <v>0.67077389351721373</v>
      </c>
      <c r="G97" s="228">
        <v>0</v>
      </c>
      <c r="H97" s="416">
        <f t="shared" si="4"/>
        <v>1</v>
      </c>
      <c r="I97" s="764">
        <v>0.13</v>
      </c>
      <c r="J97" s="765">
        <f t="shared" si="5"/>
        <v>0.687452659889489</v>
      </c>
      <c r="K97" s="228">
        <v>0.08</v>
      </c>
      <c r="L97" s="716">
        <f t="shared" si="6"/>
        <v>0.79927332794245787</v>
      </c>
      <c r="M97" s="200">
        <v>0.2</v>
      </c>
      <c r="N97" s="202">
        <f t="shared" ref="N97:N111" si="10">(U92/U91)^(LOG(1-M97)/LOG(2))*N96</f>
        <v>0.91900618378791876</v>
      </c>
      <c r="O97" s="200">
        <v>0.15</v>
      </c>
      <c r="P97" s="202">
        <f>(U92/U91)^(LOG(1-O97)/LOG(2))*P96</f>
        <v>0.9403385548632891</v>
      </c>
      <c r="Q97" s="275"/>
      <c r="R97" s="27"/>
      <c r="S97" s="34">
        <f t="shared" si="0"/>
        <v>566.06163266588112</v>
      </c>
      <c r="T97" s="39">
        <v>0.09</v>
      </c>
      <c r="U97" s="773">
        <f t="shared" si="9"/>
        <v>53.149823999999995</v>
      </c>
      <c r="V97" s="122">
        <v>0.25</v>
      </c>
      <c r="W97" s="34">
        <f t="shared" si="1"/>
        <v>3298.1314819186218</v>
      </c>
      <c r="X97" s="122">
        <v>0.09</v>
      </c>
      <c r="Y97" s="412"/>
      <c r="AA97" s="747">
        <f t="shared" si="7"/>
        <v>3.7164551678768094E-2</v>
      </c>
      <c r="AB97" s="34">
        <f t="shared" si="8"/>
        <v>454.40620818695226</v>
      </c>
      <c r="AC97" s="84">
        <f t="shared" ref="AC97:AC111" si="11">N97*$AC$96</f>
        <v>1152.4337544700502</v>
      </c>
      <c r="AI97" s="725"/>
      <c r="AJ97" s="398"/>
      <c r="AK97" s="725"/>
      <c r="AL97" s="725"/>
      <c r="AM97" s="398"/>
      <c r="AN97" s="725"/>
      <c r="AO97" s="725"/>
      <c r="AP97" s="725"/>
      <c r="AQ97" s="725"/>
      <c r="AR97" s="726"/>
      <c r="AS97" s="725"/>
      <c r="AT97" s="725"/>
      <c r="AU97" s="398"/>
      <c r="AV97" s="398"/>
      <c r="AW97" s="1"/>
      <c r="AX97" s="1"/>
      <c r="AY97" s="321"/>
      <c r="AZ97" s="321"/>
      <c r="BA97" s="1"/>
      <c r="BB97" s="1"/>
      <c r="BC97" s="1"/>
      <c r="BD97" s="1"/>
      <c r="BE97" s="1"/>
      <c r="BF97" s="1"/>
      <c r="BM97" s="1"/>
    </row>
    <row r="98" spans="2:65" x14ac:dyDescent="0.45">
      <c r="B98" s="26">
        <v>2037</v>
      </c>
      <c r="C98" s="760">
        <v>0.11</v>
      </c>
      <c r="D98" s="716">
        <f t="shared" si="2"/>
        <v>0.52635266495398036</v>
      </c>
      <c r="E98" s="228">
        <v>0.08</v>
      </c>
      <c r="F98" s="716">
        <f t="shared" si="3"/>
        <v>0.66459254679983526</v>
      </c>
      <c r="G98" s="228">
        <v>0</v>
      </c>
      <c r="H98" s="416">
        <f t="shared" si="4"/>
        <v>1</v>
      </c>
      <c r="I98" s="764">
        <v>0.12</v>
      </c>
      <c r="J98" s="765">
        <f t="shared" si="5"/>
        <v>0.67776421489987404</v>
      </c>
      <c r="K98" s="228">
        <v>0.08</v>
      </c>
      <c r="L98" s="716">
        <f t="shared" si="6"/>
        <v>0.79190782727268783</v>
      </c>
      <c r="M98" s="200">
        <v>0.2</v>
      </c>
      <c r="N98" s="202">
        <f t="shared" si="10"/>
        <v>0.84457236584043394</v>
      </c>
      <c r="O98" s="200">
        <v>0.15</v>
      </c>
      <c r="P98" s="202">
        <f t="shared" ref="P98:P111" si="12">(U93/U92)^(LOG(1-O98)/LOG(2))*P97</f>
        <v>0.88423659776237895</v>
      </c>
      <c r="Q98" s="275"/>
      <c r="R98" s="27"/>
      <c r="S98" s="34">
        <f t="shared" si="0"/>
        <v>611.34656327915161</v>
      </c>
      <c r="T98" s="39">
        <v>0.08</v>
      </c>
      <c r="U98" s="773">
        <f t="shared" si="9"/>
        <v>65.905781759999996</v>
      </c>
      <c r="V98" s="122">
        <v>0.24</v>
      </c>
      <c r="W98" s="34">
        <f t="shared" si="1"/>
        <v>3561.9820004721118</v>
      </c>
      <c r="X98" s="122">
        <v>0.08</v>
      </c>
      <c r="Y98" s="412"/>
      <c r="AA98" s="747">
        <f t="shared" si="7"/>
        <v>3.6686780747292431E-2</v>
      </c>
      <c r="AB98" s="34">
        <f t="shared" si="8"/>
        <v>448.00214604881671</v>
      </c>
      <c r="AC98" s="84">
        <f t="shared" si="11"/>
        <v>1059.0937467639042</v>
      </c>
      <c r="AI98" s="725"/>
      <c r="AJ98" s="398"/>
      <c r="AK98" s="725"/>
      <c r="AL98" s="725"/>
      <c r="AM98" s="398"/>
      <c r="AN98" s="725"/>
      <c r="AO98" s="725"/>
      <c r="AP98" s="725"/>
      <c r="AQ98" s="725"/>
      <c r="AR98" s="726"/>
      <c r="AS98" s="725"/>
      <c r="AT98" s="725"/>
      <c r="AU98" s="398"/>
      <c r="AV98" s="398"/>
      <c r="AW98" s="1"/>
      <c r="AX98" s="1"/>
      <c r="AY98" s="321"/>
      <c r="AZ98" s="321"/>
      <c r="BA98" s="1"/>
      <c r="BB98" s="1"/>
      <c r="BC98" s="1"/>
      <c r="BD98" s="1"/>
      <c r="BE98" s="1"/>
      <c r="BF98" s="1"/>
      <c r="BM98" s="1"/>
    </row>
    <row r="99" spans="2:65" x14ac:dyDescent="0.45">
      <c r="B99" s="26">
        <v>2038</v>
      </c>
      <c r="C99" s="760">
        <v>0.1</v>
      </c>
      <c r="D99" s="716">
        <f t="shared" si="2"/>
        <v>0.52023110078805912</v>
      </c>
      <c r="E99" s="228">
        <v>0.08</v>
      </c>
      <c r="F99" s="716">
        <f t="shared" si="3"/>
        <v>0.6584681627156328</v>
      </c>
      <c r="G99" s="228">
        <v>0</v>
      </c>
      <c r="H99" s="416">
        <f t="shared" si="4"/>
        <v>1</v>
      </c>
      <c r="I99" s="764">
        <v>0.11</v>
      </c>
      <c r="J99" s="765">
        <f t="shared" si="5"/>
        <v>0.6690511798800387</v>
      </c>
      <c r="K99" s="228">
        <v>0.08</v>
      </c>
      <c r="L99" s="716">
        <f t="shared" si="6"/>
        <v>0.78461020150655814</v>
      </c>
      <c r="M99" s="200">
        <v>0.2</v>
      </c>
      <c r="N99" s="202">
        <f t="shared" si="10"/>
        <v>0.77616722686375117</v>
      </c>
      <c r="O99" s="200">
        <v>0.15</v>
      </c>
      <c r="P99" s="202">
        <f t="shared" si="12"/>
        <v>0.83148176449710687</v>
      </c>
      <c r="Q99" s="275"/>
      <c r="R99" s="27"/>
      <c r="S99" s="34">
        <f t="shared" si="0"/>
        <v>660.25428834148374</v>
      </c>
      <c r="T99" s="39">
        <v>0.08</v>
      </c>
      <c r="U99" s="773">
        <f t="shared" si="9"/>
        <v>80.4050537472</v>
      </c>
      <c r="V99" s="122">
        <v>0.22</v>
      </c>
      <c r="W99" s="34">
        <f t="shared" si="1"/>
        <v>3846.9405605098809</v>
      </c>
      <c r="X99" s="122">
        <v>0.08</v>
      </c>
      <c r="Y99" s="412"/>
      <c r="AA99" s="747">
        <f t="shared" si="7"/>
        <v>3.6260107724927722E-2</v>
      </c>
      <c r="AB99" s="34">
        <f t="shared" si="8"/>
        <v>442.2428299007056</v>
      </c>
      <c r="AC99" s="84">
        <f t="shared" si="11"/>
        <v>973.31370248714393</v>
      </c>
      <c r="AI99" s="725"/>
      <c r="AJ99" s="398"/>
      <c r="AK99" s="725"/>
      <c r="AL99" s="725"/>
      <c r="AM99" s="398"/>
      <c r="AN99" s="725"/>
      <c r="AO99" s="725"/>
      <c r="AP99" s="725"/>
      <c r="AQ99" s="725"/>
      <c r="AR99" s="726"/>
      <c r="AS99" s="725"/>
      <c r="AT99" s="725"/>
      <c r="AU99" s="398"/>
      <c r="AV99" s="398"/>
      <c r="AW99" s="1"/>
      <c r="AX99" s="1"/>
      <c r="AY99" s="321"/>
      <c r="AZ99" s="321"/>
      <c r="BA99" s="1"/>
      <c r="BB99" s="1"/>
      <c r="BC99" s="1"/>
      <c r="BD99" s="1"/>
      <c r="BE99" s="1"/>
      <c r="BF99" s="1"/>
      <c r="BM99" s="1"/>
    </row>
    <row r="100" spans="2:65" x14ac:dyDescent="0.45">
      <c r="B100" s="26">
        <v>2039</v>
      </c>
      <c r="C100" s="760">
        <v>0.1</v>
      </c>
      <c r="D100" s="716">
        <f t="shared" si="2"/>
        <v>0.51564373096751615</v>
      </c>
      <c r="E100" s="228">
        <v>0.05</v>
      </c>
      <c r="F100" s="716">
        <f t="shared" si="3"/>
        <v>0.65563500464554669</v>
      </c>
      <c r="G100" s="228">
        <v>0</v>
      </c>
      <c r="H100" s="416">
        <f t="shared" si="4"/>
        <v>1</v>
      </c>
      <c r="I100" s="764">
        <v>0.1</v>
      </c>
      <c r="J100" s="765">
        <f t="shared" si="5"/>
        <v>0.66315152261938848</v>
      </c>
      <c r="K100" s="228">
        <v>0.05</v>
      </c>
      <c r="L100" s="716">
        <f t="shared" si="6"/>
        <v>0.78123429838756375</v>
      </c>
      <c r="M100" s="200">
        <v>0.2</v>
      </c>
      <c r="N100" s="202">
        <f t="shared" si="10"/>
        <v>0.71687164003383919</v>
      </c>
      <c r="O100" s="200">
        <v>0.15</v>
      </c>
      <c r="P100" s="202">
        <f t="shared" si="12"/>
        <v>0.784721797403236</v>
      </c>
      <c r="Q100" s="275"/>
      <c r="R100" s="27"/>
      <c r="S100" s="34">
        <f t="shared" si="0"/>
        <v>699.86954564197276</v>
      </c>
      <c r="T100" s="39">
        <v>0.06</v>
      </c>
      <c r="U100" s="773">
        <f t="shared" si="9"/>
        <v>97.290115034111992</v>
      </c>
      <c r="V100" s="122">
        <v>0.21</v>
      </c>
      <c r="W100" s="34">
        <f t="shared" si="1"/>
        <v>4077.756994140474</v>
      </c>
      <c r="X100" s="122">
        <v>0.06</v>
      </c>
      <c r="Y100" s="412"/>
      <c r="AA100" s="747">
        <f t="shared" si="7"/>
        <v>3.5940368048435874E-2</v>
      </c>
      <c r="AB100" s="34">
        <f t="shared" si="8"/>
        <v>438.34315645141578</v>
      </c>
      <c r="AC100" s="84">
        <f t="shared" si="11"/>
        <v>898.9570366024343</v>
      </c>
      <c r="AI100" s="725"/>
      <c r="AJ100" s="398"/>
      <c r="AK100" s="725"/>
      <c r="AL100" s="725"/>
      <c r="AM100" s="398"/>
      <c r="AN100" s="725"/>
      <c r="AO100" s="725"/>
      <c r="AP100" s="725"/>
      <c r="AQ100" s="725"/>
      <c r="AR100" s="726"/>
      <c r="AS100" s="725"/>
      <c r="AT100" s="725"/>
      <c r="AU100" s="398"/>
      <c r="AV100" s="398"/>
      <c r="AW100" s="1"/>
      <c r="AX100" s="1"/>
      <c r="AY100" s="321"/>
      <c r="AZ100" s="321"/>
      <c r="BA100" s="1"/>
      <c r="BB100" s="1"/>
      <c r="BC100" s="1"/>
      <c r="BD100" s="1"/>
      <c r="BE100" s="1"/>
      <c r="BF100" s="1"/>
      <c r="BM100" s="1"/>
    </row>
    <row r="101" spans="2:65" x14ac:dyDescent="0.45">
      <c r="B101" s="26">
        <v>2040</v>
      </c>
      <c r="C101" s="760">
        <v>0.1</v>
      </c>
      <c r="D101" s="716">
        <f t="shared" si="2"/>
        <v>0.51109681232691717</v>
      </c>
      <c r="E101" s="228">
        <v>0.05</v>
      </c>
      <c r="F101" s="716">
        <f t="shared" si="3"/>
        <v>0.65281403666315896</v>
      </c>
      <c r="G101" s="228">
        <v>0</v>
      </c>
      <c r="H101" s="416">
        <f t="shared" si="4"/>
        <v>1</v>
      </c>
      <c r="I101" s="764">
        <v>0.1</v>
      </c>
      <c r="J101" s="765">
        <f t="shared" si="5"/>
        <v>0.65730388821863273</v>
      </c>
      <c r="K101" s="228">
        <v>0.05</v>
      </c>
      <c r="L101" s="716">
        <f t="shared" si="6"/>
        <v>0.77787292059827695</v>
      </c>
      <c r="M101" s="200">
        <v>0.19</v>
      </c>
      <c r="N101" s="202">
        <f t="shared" si="10"/>
        <v>0.66823332927866463</v>
      </c>
      <c r="O101" s="200">
        <v>0.11</v>
      </c>
      <c r="P101" s="202">
        <f t="shared" si="12"/>
        <v>0.75481607978163512</v>
      </c>
      <c r="Q101" s="275"/>
      <c r="R101" s="27"/>
      <c r="S101" s="34">
        <f t="shared" si="0"/>
        <v>741.8617183804912</v>
      </c>
      <c r="T101" s="39">
        <v>0.06</v>
      </c>
      <c r="U101" s="773">
        <f t="shared" si="9"/>
        <v>116.74813804093438</v>
      </c>
      <c r="V101" s="122">
        <v>0.2</v>
      </c>
      <c r="W101" s="34">
        <f t="shared" si="1"/>
        <v>4322.4224137889023</v>
      </c>
      <c r="X101" s="122">
        <v>0.06</v>
      </c>
      <c r="Y101" s="412"/>
      <c r="AA101" s="747">
        <f t="shared" si="7"/>
        <v>3.5623447819186124E-2</v>
      </c>
      <c r="AB101" s="34">
        <f t="shared" si="8"/>
        <v>434.47787011251626</v>
      </c>
      <c r="AC101" s="84">
        <f t="shared" si="11"/>
        <v>837.96459491544545</v>
      </c>
      <c r="AI101" s="725"/>
      <c r="AJ101" s="398"/>
      <c r="AK101" s="725"/>
      <c r="AL101" s="725"/>
      <c r="AM101" s="398"/>
      <c r="AN101" s="725"/>
      <c r="AO101" s="725"/>
      <c r="AP101" s="725"/>
      <c r="AQ101" s="725"/>
      <c r="AR101" s="726"/>
      <c r="AS101" s="725"/>
      <c r="AT101" s="725"/>
      <c r="AU101" s="398"/>
      <c r="AV101" s="398"/>
      <c r="AW101" s="1"/>
      <c r="AX101" s="1"/>
      <c r="AY101" s="321"/>
      <c r="AZ101" s="321"/>
      <c r="BA101" s="1"/>
      <c r="BB101" s="1"/>
      <c r="BC101" s="1"/>
      <c r="BD101" s="1"/>
      <c r="BE101" s="1"/>
      <c r="BF101" s="1"/>
      <c r="BM101" s="1"/>
    </row>
    <row r="102" spans="2:65" x14ac:dyDescent="0.45">
      <c r="B102" s="26">
        <v>2041</v>
      </c>
      <c r="C102" s="760">
        <v>0.1</v>
      </c>
      <c r="D102" s="716">
        <f t="shared" si="2"/>
        <v>0.50732040828361025</v>
      </c>
      <c r="E102" s="228">
        <v>0.05</v>
      </c>
      <c r="F102" s="716">
        <f t="shared" si="3"/>
        <v>0.65046130107842337</v>
      </c>
      <c r="G102" s="228">
        <v>0</v>
      </c>
      <c r="H102" s="416">
        <f t="shared" si="4"/>
        <v>1</v>
      </c>
      <c r="I102" s="764">
        <v>0.1</v>
      </c>
      <c r="J102" s="765">
        <f t="shared" si="5"/>
        <v>0.65244718592411233</v>
      </c>
      <c r="K102" s="228">
        <v>0.05</v>
      </c>
      <c r="L102" s="716">
        <f t="shared" si="6"/>
        <v>0.77506947398421755</v>
      </c>
      <c r="M102" s="200">
        <v>0.18</v>
      </c>
      <c r="N102" s="202">
        <f t="shared" si="10"/>
        <v>0.62687707905093648</v>
      </c>
      <c r="O102" s="200">
        <v>0.11</v>
      </c>
      <c r="P102" s="202">
        <f t="shared" si="12"/>
        <v>0.72702335862645706</v>
      </c>
      <c r="Q102" s="275"/>
      <c r="R102" s="27"/>
      <c r="S102" s="34">
        <f t="shared" si="0"/>
        <v>778.95480429951579</v>
      </c>
      <c r="T102" s="39">
        <v>0.05</v>
      </c>
      <c r="U102" s="773">
        <f t="shared" si="9"/>
        <v>137.76280288830256</v>
      </c>
      <c r="V102" s="122">
        <v>0.18</v>
      </c>
      <c r="W102" s="34">
        <f t="shared" si="1"/>
        <v>4538.5435344783473</v>
      </c>
      <c r="X102" s="122">
        <v>0.05</v>
      </c>
      <c r="Y102" s="412"/>
      <c r="AA102" s="747">
        <f t="shared" si="7"/>
        <v>3.5360232457367635E-2</v>
      </c>
      <c r="AB102" s="34">
        <f t="shared" si="8"/>
        <v>431.26758989583823</v>
      </c>
      <c r="AC102" s="84">
        <f t="shared" si="11"/>
        <v>786.10385712987431</v>
      </c>
      <c r="AI102" s="725"/>
      <c r="AJ102" s="398"/>
      <c r="AK102" s="725"/>
      <c r="AL102" s="725"/>
      <c r="AM102" s="398"/>
      <c r="AN102" s="725"/>
      <c r="AO102" s="725"/>
      <c r="AP102" s="725"/>
      <c r="AQ102" s="725"/>
      <c r="AR102" s="726"/>
      <c r="AS102" s="725"/>
      <c r="AT102" s="725"/>
      <c r="AU102" s="398"/>
      <c r="AV102" s="398"/>
      <c r="AW102" s="1"/>
      <c r="AX102" s="1"/>
      <c r="AY102" s="321"/>
      <c r="AZ102" s="321"/>
      <c r="BA102" s="1"/>
      <c r="BB102" s="1"/>
      <c r="BC102" s="1"/>
      <c r="BD102" s="1"/>
      <c r="BE102" s="1"/>
      <c r="BF102" s="1"/>
      <c r="BM102" s="1"/>
    </row>
    <row r="103" spans="2:65" x14ac:dyDescent="0.45">
      <c r="B103" s="26">
        <v>2042</v>
      </c>
      <c r="C103" s="760">
        <v>0.1</v>
      </c>
      <c r="D103" s="716">
        <f t="shared" si="2"/>
        <v>0.50357190742254665</v>
      </c>
      <c r="E103" s="228">
        <v>0.05</v>
      </c>
      <c r="F103" s="716">
        <f t="shared" si="3"/>
        <v>0.64811704473037812</v>
      </c>
      <c r="G103" s="228">
        <v>0</v>
      </c>
      <c r="H103" s="416">
        <f t="shared" si="4"/>
        <v>1</v>
      </c>
      <c r="I103" s="764">
        <v>0.1</v>
      </c>
      <c r="J103" s="765">
        <f t="shared" si="5"/>
        <v>0.64762636894474124</v>
      </c>
      <c r="K103" s="228">
        <v>0.05</v>
      </c>
      <c r="L103" s="716">
        <f t="shared" si="6"/>
        <v>0.77227613096511527</v>
      </c>
      <c r="M103" s="200">
        <v>0.17</v>
      </c>
      <c r="N103" s="202">
        <f t="shared" si="10"/>
        <v>0.59165573172143426</v>
      </c>
      <c r="O103" s="200">
        <v>0.11</v>
      </c>
      <c r="P103" s="202">
        <f t="shared" si="12"/>
        <v>0.70120023527942521</v>
      </c>
      <c r="Q103" s="275"/>
      <c r="R103" s="27"/>
      <c r="S103" s="34">
        <f t="shared" si="0"/>
        <v>817.90254451449164</v>
      </c>
      <c r="T103" s="39">
        <v>0.05</v>
      </c>
      <c r="U103" s="773">
        <f t="shared" si="9"/>
        <v>159.80485135043097</v>
      </c>
      <c r="V103" s="122">
        <v>0.16</v>
      </c>
      <c r="W103" s="34">
        <f t="shared" si="1"/>
        <v>4765.4707112022652</v>
      </c>
      <c r="X103" s="122">
        <v>0.05</v>
      </c>
      <c r="Y103" s="412"/>
      <c r="AA103" s="747">
        <f t="shared" si="7"/>
        <v>3.5098961947351501E-2</v>
      </c>
      <c r="AB103" s="34">
        <f t="shared" si="8"/>
        <v>428.08102987247395</v>
      </c>
      <c r="AC103" s="84">
        <f t="shared" si="11"/>
        <v>741.93628757867862</v>
      </c>
      <c r="AI103" s="725"/>
      <c r="AJ103" s="398"/>
      <c r="AK103" s="725"/>
      <c r="AL103" s="725"/>
      <c r="AM103" s="398"/>
      <c r="AN103" s="725"/>
      <c r="AO103" s="725"/>
      <c r="AP103" s="725"/>
      <c r="AQ103" s="725"/>
      <c r="AR103" s="726"/>
      <c r="AS103" s="725"/>
      <c r="AT103" s="725"/>
      <c r="AU103" s="398"/>
      <c r="AV103" s="398"/>
      <c r="AW103" s="1"/>
      <c r="AX103" s="1"/>
      <c r="AY103" s="321"/>
      <c r="AZ103" s="321"/>
      <c r="BA103" s="1"/>
      <c r="BB103" s="1"/>
      <c r="BC103" s="1"/>
      <c r="BD103" s="1"/>
      <c r="BE103" s="1"/>
      <c r="BF103" s="1"/>
      <c r="BM103" s="1"/>
    </row>
    <row r="104" spans="2:65" x14ac:dyDescent="0.45">
      <c r="B104" s="26">
        <v>2043</v>
      </c>
      <c r="C104" s="760">
        <v>0.1</v>
      </c>
      <c r="D104" s="716">
        <f t="shared" si="2"/>
        <v>0.49985110357204271</v>
      </c>
      <c r="E104" s="228">
        <v>0.05</v>
      </c>
      <c r="F104" s="716">
        <f t="shared" si="3"/>
        <v>0.64578123705993484</v>
      </c>
      <c r="G104" s="228">
        <v>0</v>
      </c>
      <c r="H104" s="416">
        <f t="shared" si="4"/>
        <v>1</v>
      </c>
      <c r="I104" s="764">
        <v>0.1</v>
      </c>
      <c r="J104" s="765">
        <f t="shared" si="5"/>
        <v>0.64284117213026626</v>
      </c>
      <c r="K104" s="228">
        <v>0.05</v>
      </c>
      <c r="L104" s="716">
        <f t="shared" si="6"/>
        <v>0.76949285512771004</v>
      </c>
      <c r="M104" s="200">
        <v>0.16</v>
      </c>
      <c r="N104" s="202">
        <f t="shared" si="10"/>
        <v>0.56278981701852482</v>
      </c>
      <c r="O104" s="200">
        <v>0.11</v>
      </c>
      <c r="P104" s="202">
        <f t="shared" si="12"/>
        <v>0.67814568102079043</v>
      </c>
      <c r="Q104" s="275"/>
      <c r="R104" s="27"/>
      <c r="S104" s="34">
        <f t="shared" si="0"/>
        <v>858.79767174021629</v>
      </c>
      <c r="T104" s="39">
        <v>0.05</v>
      </c>
      <c r="U104" s="773">
        <f t="shared" si="9"/>
        <v>182.17753053949133</v>
      </c>
      <c r="V104" s="122">
        <v>0.14000000000000001</v>
      </c>
      <c r="W104" s="34">
        <f t="shared" si="1"/>
        <v>5003.7442467623787</v>
      </c>
      <c r="X104" s="122">
        <v>0.05</v>
      </c>
      <c r="Y104" s="412"/>
      <c r="AA104" s="747">
        <f t="shared" si="7"/>
        <v>3.4839621918971379E-2</v>
      </c>
      <c r="AB104" s="34">
        <f t="shared" si="8"/>
        <v>424.918014778106</v>
      </c>
      <c r="AC104" s="84">
        <f t="shared" si="11"/>
        <v>705.73843054123017</v>
      </c>
      <c r="AI104" s="725"/>
      <c r="AJ104" s="398"/>
      <c r="AK104" s="725"/>
      <c r="AL104" s="725"/>
      <c r="AM104" s="398"/>
      <c r="AN104" s="725"/>
      <c r="AO104" s="725"/>
      <c r="AP104" s="725"/>
      <c r="AQ104" s="725"/>
      <c r="AR104" s="726"/>
      <c r="AS104" s="725"/>
      <c r="AT104" s="725"/>
      <c r="AU104" s="398"/>
      <c r="AV104" s="398"/>
      <c r="AW104" s="1"/>
      <c r="AX104" s="1"/>
      <c r="AY104" s="321"/>
      <c r="AZ104" s="321"/>
      <c r="BA104" s="1"/>
      <c r="BB104" s="1"/>
      <c r="BC104" s="1"/>
      <c r="BD104" s="1"/>
      <c r="BE104" s="1"/>
      <c r="BF104" s="1"/>
      <c r="BM104" s="1"/>
    </row>
    <row r="105" spans="2:65" x14ac:dyDescent="0.45">
      <c r="B105" s="26">
        <v>2044</v>
      </c>
      <c r="C105" s="760">
        <v>0.1</v>
      </c>
      <c r="D105" s="716">
        <f t="shared" si="2"/>
        <v>0.49688002148494886</v>
      </c>
      <c r="E105" s="228">
        <v>0.05</v>
      </c>
      <c r="F105" s="716">
        <f t="shared" si="3"/>
        <v>0.64390966757824974</v>
      </c>
      <c r="G105" s="228">
        <v>0</v>
      </c>
      <c r="H105" s="416">
        <f t="shared" si="4"/>
        <v>1</v>
      </c>
      <c r="I105" s="764">
        <v>0.1</v>
      </c>
      <c r="J105" s="765">
        <f t="shared" si="5"/>
        <v>0.63902016647935567</v>
      </c>
      <c r="K105" s="228">
        <v>0.05</v>
      </c>
      <c r="L105" s="716">
        <f t="shared" si="6"/>
        <v>0.76726275109032982</v>
      </c>
      <c r="M105" s="200">
        <v>0.15</v>
      </c>
      <c r="N105" s="202">
        <f t="shared" si="10"/>
        <v>0.53819038912084827</v>
      </c>
      <c r="O105" s="200">
        <v>0.11</v>
      </c>
      <c r="P105" s="202">
        <f t="shared" si="12"/>
        <v>0.65675727966326647</v>
      </c>
      <c r="Q105" s="275"/>
      <c r="R105" s="27"/>
      <c r="S105" s="34">
        <f t="shared" si="0"/>
        <v>893.14957860982497</v>
      </c>
      <c r="T105" s="39">
        <v>0.04</v>
      </c>
      <c r="U105" s="773">
        <f t="shared" si="9"/>
        <v>204.03883420423031</v>
      </c>
      <c r="V105" s="122">
        <v>0.12</v>
      </c>
      <c r="W105" s="34">
        <f t="shared" si="1"/>
        <v>5203.8940166328739</v>
      </c>
      <c r="X105" s="122">
        <v>0.04</v>
      </c>
      <c r="Y105" s="412"/>
      <c r="AA105" s="747">
        <f t="shared" si="7"/>
        <v>3.4632537497500934E-2</v>
      </c>
      <c r="AB105" s="34">
        <f t="shared" si="8"/>
        <v>422.3923300428541</v>
      </c>
      <c r="AC105" s="84">
        <f t="shared" si="11"/>
        <v>674.89074795754368</v>
      </c>
      <c r="AI105" s="725"/>
      <c r="AJ105" s="398"/>
      <c r="AK105" s="725"/>
      <c r="AL105" s="725"/>
      <c r="AM105" s="398"/>
      <c r="AN105" s="725"/>
      <c r="AO105" s="725"/>
      <c r="AP105" s="725"/>
      <c r="AQ105" s="725"/>
      <c r="AR105" s="726"/>
      <c r="AS105" s="725"/>
      <c r="AT105" s="725"/>
      <c r="AU105" s="398"/>
      <c r="AV105" s="398"/>
      <c r="AW105" s="1"/>
      <c r="AX105" s="1"/>
      <c r="AY105" s="321"/>
      <c r="AZ105" s="321"/>
      <c r="BA105" s="1"/>
      <c r="BB105" s="1"/>
      <c r="BC105" s="1"/>
      <c r="BD105" s="1"/>
      <c r="BE105" s="1"/>
      <c r="BF105" s="1"/>
      <c r="BM105" s="1"/>
    </row>
    <row r="106" spans="2:65" x14ac:dyDescent="0.45">
      <c r="B106" s="26">
        <v>2045</v>
      </c>
      <c r="C106" s="760">
        <v>0.1</v>
      </c>
      <c r="D106" s="716">
        <f t="shared" si="2"/>
        <v>0.49392659931438848</v>
      </c>
      <c r="E106" s="228">
        <v>0.05</v>
      </c>
      <c r="F106" s="716">
        <f t="shared" si="3"/>
        <v>0.64204352218157013</v>
      </c>
      <c r="G106" s="228">
        <v>0</v>
      </c>
      <c r="H106" s="416">
        <f t="shared" si="4"/>
        <v>1</v>
      </c>
      <c r="I106" s="764">
        <v>0.1</v>
      </c>
      <c r="J106" s="765">
        <f t="shared" si="5"/>
        <v>0.63522187263474694</v>
      </c>
      <c r="K106" s="228">
        <v>0.05</v>
      </c>
      <c r="L106" s="716">
        <f t="shared" si="6"/>
        <v>0.76503911022409454</v>
      </c>
      <c r="M106" s="200">
        <v>0.14000000000000001</v>
      </c>
      <c r="N106" s="202">
        <f t="shared" si="10"/>
        <v>0.51725747683608836</v>
      </c>
      <c r="O106" s="200">
        <v>0.08</v>
      </c>
      <c r="P106" s="202">
        <f t="shared" si="12"/>
        <v>0.64250993579003257</v>
      </c>
      <c r="Q106" s="275"/>
      <c r="R106" s="27"/>
      <c r="S106" s="34">
        <f t="shared" si="0"/>
        <v>928.87556175421798</v>
      </c>
      <c r="T106" s="39">
        <v>0.04</v>
      </c>
      <c r="U106" s="773">
        <f t="shared" si="9"/>
        <v>224.44271762465337</v>
      </c>
      <c r="V106" s="122">
        <v>0.1</v>
      </c>
      <c r="W106" s="34">
        <f t="shared" si="1"/>
        <v>5412.0497772981889</v>
      </c>
      <c r="X106" s="122">
        <v>0.04</v>
      </c>
      <c r="Y106" s="412"/>
      <c r="AA106" s="747">
        <f t="shared" si="7"/>
        <v>3.4426683972212879E-2</v>
      </c>
      <c r="AB106" s="34">
        <f t="shared" si="8"/>
        <v>419.88165781156772</v>
      </c>
      <c r="AC106" s="84">
        <f t="shared" si="11"/>
        <v>648.64087595245485</v>
      </c>
      <c r="AI106" s="725"/>
      <c r="AJ106" s="398"/>
      <c r="AK106" s="725"/>
      <c r="AL106" s="725"/>
      <c r="AM106" s="398"/>
      <c r="AN106" s="725"/>
      <c r="AO106" s="725"/>
      <c r="AP106" s="725"/>
      <c r="AQ106" s="725"/>
      <c r="AR106" s="726"/>
      <c r="AS106" s="725"/>
      <c r="AT106" s="725"/>
      <c r="AU106" s="398"/>
      <c r="AV106" s="398"/>
      <c r="AW106" s="1"/>
      <c r="AX106" s="1"/>
      <c r="AY106" s="321"/>
      <c r="AZ106" s="321"/>
      <c r="BA106" s="1"/>
      <c r="BB106" s="1"/>
      <c r="BC106" s="1"/>
      <c r="BD106" s="1"/>
      <c r="BE106" s="1"/>
      <c r="BF106" s="1"/>
      <c r="BM106" s="1"/>
    </row>
    <row r="107" spans="2:65" x14ac:dyDescent="0.45">
      <c r="B107" s="26">
        <v>2046</v>
      </c>
      <c r="C107" s="760">
        <v>0.1</v>
      </c>
      <c r="D107" s="716">
        <f t="shared" si="2"/>
        <v>0.49171235065958402</v>
      </c>
      <c r="E107" s="228">
        <v>0.05</v>
      </c>
      <c r="F107" s="716">
        <f t="shared" si="3"/>
        <v>0.64064067120710433</v>
      </c>
      <c r="G107" s="228">
        <v>0</v>
      </c>
      <c r="H107" s="416">
        <f t="shared" si="4"/>
        <v>1</v>
      </c>
      <c r="I107" s="764">
        <v>0.1</v>
      </c>
      <c r="J107" s="765">
        <f t="shared" si="5"/>
        <v>0.63237420421815171</v>
      </c>
      <c r="K107" s="228">
        <v>0.05</v>
      </c>
      <c r="L107" s="716">
        <f t="shared" si="6"/>
        <v>0.76336751659499658</v>
      </c>
      <c r="M107" s="200">
        <v>0.13</v>
      </c>
      <c r="N107" s="202">
        <f t="shared" si="10"/>
        <v>0.50033947586989547</v>
      </c>
      <c r="O107" s="200">
        <v>0.08</v>
      </c>
      <c r="P107" s="202">
        <f t="shared" si="12"/>
        <v>0.62984379762691545</v>
      </c>
      <c r="Q107" s="275"/>
      <c r="R107" s="27"/>
      <c r="S107" s="34">
        <f t="shared" si="0"/>
        <v>956.74182860684459</v>
      </c>
      <c r="T107" s="39">
        <v>0.03</v>
      </c>
      <c r="U107" s="773">
        <f t="shared" si="9"/>
        <v>246.88698938711872</v>
      </c>
      <c r="V107" s="122">
        <v>0.1</v>
      </c>
      <c r="W107" s="34">
        <f t="shared" si="1"/>
        <v>5574.4112706171345</v>
      </c>
      <c r="X107" s="122">
        <v>0.03</v>
      </c>
      <c r="Y107" s="412"/>
      <c r="AA107" s="747">
        <f t="shared" si="7"/>
        <v>3.4272350840973007E-2</v>
      </c>
      <c r="AB107" s="34">
        <f t="shared" si="8"/>
        <v>417.99934898819828</v>
      </c>
      <c r="AC107" s="84">
        <f t="shared" si="11"/>
        <v>627.42570274084892</v>
      </c>
      <c r="AI107" s="725"/>
      <c r="AJ107" s="398"/>
      <c r="AK107" s="725"/>
      <c r="AL107" s="725"/>
      <c r="AM107" s="398"/>
      <c r="AN107" s="725"/>
      <c r="AO107" s="725"/>
      <c r="AP107" s="725"/>
      <c r="AQ107" s="725"/>
      <c r="AR107" s="726"/>
      <c r="AS107" s="725"/>
      <c r="AT107" s="725"/>
      <c r="AU107" s="398"/>
      <c r="AV107" s="398"/>
      <c r="AW107" s="1"/>
      <c r="AX107" s="1"/>
      <c r="AY107" s="321"/>
      <c r="AZ107" s="321"/>
      <c r="BA107" s="1"/>
      <c r="BB107" s="1"/>
      <c r="BC107" s="1"/>
      <c r="BD107" s="1"/>
      <c r="BE107" s="1"/>
      <c r="BF107" s="1"/>
      <c r="BM107" s="1"/>
    </row>
    <row r="108" spans="2:65" x14ac:dyDescent="0.45">
      <c r="B108" s="26">
        <v>2047</v>
      </c>
      <c r="C108" s="760">
        <v>0.1</v>
      </c>
      <c r="D108" s="716">
        <f t="shared" si="2"/>
        <v>0.48950802837260848</v>
      </c>
      <c r="E108" s="228">
        <v>0.05</v>
      </c>
      <c r="F108" s="716">
        <f t="shared" si="3"/>
        <v>0.63924088543116253</v>
      </c>
      <c r="G108" s="228">
        <v>0</v>
      </c>
      <c r="H108" s="416">
        <f t="shared" si="4"/>
        <v>1</v>
      </c>
      <c r="I108" s="764">
        <v>0.1</v>
      </c>
      <c r="J108" s="765">
        <f t="shared" si="5"/>
        <v>0.62953930175902773</v>
      </c>
      <c r="K108" s="228">
        <v>0.05</v>
      </c>
      <c r="L108" s="716">
        <f t="shared" si="6"/>
        <v>0.76169957536121213</v>
      </c>
      <c r="M108" s="200">
        <v>0.12</v>
      </c>
      <c r="N108" s="202">
        <f t="shared" si="10"/>
        <v>0.48682977499712898</v>
      </c>
      <c r="O108" s="200">
        <v>0.08</v>
      </c>
      <c r="P108" s="202">
        <f t="shared" si="12"/>
        <v>0.61869831407421305</v>
      </c>
      <c r="Q108" s="275"/>
      <c r="R108" s="27"/>
      <c r="S108" s="34">
        <f t="shared" si="0"/>
        <v>985.44408346504997</v>
      </c>
      <c r="T108" s="39">
        <v>0.03</v>
      </c>
      <c r="U108" s="773">
        <f t="shared" si="9"/>
        <v>271.57568832583058</v>
      </c>
      <c r="V108" s="122">
        <v>0.1</v>
      </c>
      <c r="W108" s="34">
        <f t="shared" si="1"/>
        <v>5741.6436087356487</v>
      </c>
      <c r="X108" s="122">
        <v>0.03</v>
      </c>
      <c r="Y108" s="412"/>
      <c r="AA108" s="747">
        <f t="shared" si="7"/>
        <v>3.4118709577570808E-2</v>
      </c>
      <c r="AB108" s="34">
        <f t="shared" si="8"/>
        <v>416.12547846271735</v>
      </c>
      <c r="AC108" s="84">
        <f t="shared" si="11"/>
        <v>610.48453784639969</v>
      </c>
      <c r="AI108" s="96"/>
      <c r="AJ108" s="68"/>
      <c r="AK108" s="96"/>
      <c r="AL108" s="96"/>
      <c r="AM108" s="68"/>
      <c r="AN108" s="96"/>
      <c r="AO108" s="96"/>
      <c r="AP108" s="96"/>
      <c r="AQ108" s="96"/>
      <c r="AR108" s="245"/>
      <c r="AS108" s="96"/>
      <c r="AT108" s="96"/>
      <c r="AU108" s="68"/>
      <c r="AV108" s="68"/>
      <c r="AY108" s="321"/>
      <c r="AZ108" s="321"/>
      <c r="BM108" s="1"/>
    </row>
    <row r="109" spans="2:65" x14ac:dyDescent="0.45">
      <c r="B109" s="26">
        <v>2048</v>
      </c>
      <c r="C109" s="760">
        <v>0.1</v>
      </c>
      <c r="D109" s="716">
        <f t="shared" si="2"/>
        <v>0.48731358795404311</v>
      </c>
      <c r="E109" s="228">
        <v>0.05</v>
      </c>
      <c r="F109" s="716">
        <f t="shared" si="3"/>
        <v>0.63784415815635342</v>
      </c>
      <c r="G109" s="228">
        <v>0</v>
      </c>
      <c r="H109" s="416">
        <f t="shared" si="4"/>
        <v>1</v>
      </c>
      <c r="I109" s="764">
        <v>0.1</v>
      </c>
      <c r="J109" s="765">
        <f t="shared" si="5"/>
        <v>0.62671710802821545</v>
      </c>
      <c r="K109" s="228">
        <v>0.05</v>
      </c>
      <c r="L109" s="716">
        <f t="shared" si="6"/>
        <v>0.76003527854233777</v>
      </c>
      <c r="M109" s="200">
        <v>0.11</v>
      </c>
      <c r="N109" s="202">
        <f t="shared" si="10"/>
        <v>0.47622274241501322</v>
      </c>
      <c r="O109" s="200">
        <v>0.08</v>
      </c>
      <c r="P109" s="202">
        <f t="shared" si="12"/>
        <v>0.60902287779061159</v>
      </c>
      <c r="Q109" s="275"/>
      <c r="R109" s="27"/>
      <c r="S109" s="34">
        <f t="shared" si="0"/>
        <v>1015.0074059690015</v>
      </c>
      <c r="T109" s="39">
        <v>0.03</v>
      </c>
      <c r="U109" s="773">
        <f t="shared" si="9"/>
        <v>298.73325715841366</v>
      </c>
      <c r="V109" s="122">
        <v>0.1</v>
      </c>
      <c r="W109" s="34">
        <f t="shared" si="1"/>
        <v>5913.8929169977182</v>
      </c>
      <c r="X109" s="122">
        <v>0.03</v>
      </c>
      <c r="Y109" s="412"/>
      <c r="AA109" s="747">
        <f t="shared" si="7"/>
        <v>3.3965757080396806E-2</v>
      </c>
      <c r="AB109" s="34">
        <f t="shared" si="8"/>
        <v>414.2600084066504</v>
      </c>
      <c r="AC109" s="84">
        <f t="shared" si="11"/>
        <v>597.18331898842655</v>
      </c>
      <c r="AI109" s="96"/>
      <c r="AJ109" s="68"/>
      <c r="AK109" s="96"/>
      <c r="AL109" s="96"/>
      <c r="AM109" s="68"/>
      <c r="AN109" s="96"/>
      <c r="AO109" s="96"/>
      <c r="AP109" s="96"/>
      <c r="AQ109" s="96"/>
      <c r="AR109" s="245"/>
      <c r="AS109" s="96"/>
      <c r="AT109" s="96"/>
      <c r="AU109" s="68"/>
      <c r="AV109" s="68"/>
      <c r="AY109" s="321"/>
      <c r="AZ109" s="321"/>
      <c r="BM109" s="1"/>
    </row>
    <row r="110" spans="2:65" x14ac:dyDescent="0.45">
      <c r="B110" s="26">
        <v>2049</v>
      </c>
      <c r="C110" s="760">
        <v>0.1</v>
      </c>
      <c r="D110" s="716">
        <f t="shared" si="2"/>
        <v>0.48584894994995037</v>
      </c>
      <c r="E110" s="228">
        <v>0.05</v>
      </c>
      <c r="F110" s="716">
        <f t="shared" si="3"/>
        <v>0.63691014206550789</v>
      </c>
      <c r="G110" s="228">
        <v>0</v>
      </c>
      <c r="H110" s="416">
        <f t="shared" si="4"/>
        <v>1</v>
      </c>
      <c r="I110" s="764">
        <v>0.1</v>
      </c>
      <c r="J110" s="765">
        <f t="shared" si="5"/>
        <v>0.62483348787699611</v>
      </c>
      <c r="K110" s="228">
        <v>0.05</v>
      </c>
      <c r="L110" s="716">
        <f t="shared" si="6"/>
        <v>0.75892233399202524</v>
      </c>
      <c r="M110" s="200">
        <v>0.1</v>
      </c>
      <c r="N110" s="202">
        <f t="shared" si="10"/>
        <v>0.46808943602904018</v>
      </c>
      <c r="O110" s="200">
        <v>0.08</v>
      </c>
      <c r="P110" s="202">
        <f t="shared" si="12"/>
        <v>0.60077653642793605</v>
      </c>
      <c r="Q110" s="275"/>
      <c r="R110" s="27"/>
      <c r="S110" s="34">
        <f t="shared" si="0"/>
        <v>1035.3075540883815</v>
      </c>
      <c r="T110" s="39">
        <v>0.02</v>
      </c>
      <c r="U110" s="773">
        <f t="shared" si="9"/>
        <v>328.60658287425508</v>
      </c>
      <c r="V110" s="122">
        <v>0.1</v>
      </c>
      <c r="W110" s="34">
        <f t="shared" si="1"/>
        <v>6032.1707753376722</v>
      </c>
      <c r="X110" s="122">
        <v>0.02</v>
      </c>
      <c r="Y110" s="412"/>
      <c r="AA110" s="747">
        <f t="shared" si="7"/>
        <v>3.3863671811511536E-2</v>
      </c>
      <c r="AB110" s="34">
        <f t="shared" si="8"/>
        <v>413.01493548669441</v>
      </c>
      <c r="AC110" s="84">
        <f t="shared" si="11"/>
        <v>586.98415278041637</v>
      </c>
      <c r="AI110" s="96"/>
      <c r="AJ110" s="68"/>
      <c r="AK110" s="96"/>
      <c r="AL110" s="96"/>
      <c r="AM110" s="68"/>
      <c r="AN110" s="96"/>
      <c r="AO110" s="96"/>
      <c r="AP110" s="96"/>
      <c r="AQ110" s="96"/>
      <c r="AR110" s="245"/>
      <c r="AS110" s="96"/>
      <c r="AT110" s="96"/>
      <c r="AU110" s="68"/>
      <c r="AV110" s="68"/>
      <c r="AY110" s="321"/>
      <c r="AZ110" s="321"/>
      <c r="BM110" s="1"/>
    </row>
    <row r="111" spans="2:65" ht="14.65" thickBot="1" x14ac:dyDescent="0.5">
      <c r="B111" s="315">
        <v>2050</v>
      </c>
      <c r="C111" s="762">
        <v>0.1</v>
      </c>
      <c r="D111" s="718">
        <f t="shared" si="2"/>
        <v>0.48511466804375725</v>
      </c>
      <c r="E111" s="319">
        <v>0.05</v>
      </c>
      <c r="F111" s="718">
        <f t="shared" si="3"/>
        <v>0.63644133846778872</v>
      </c>
      <c r="G111" s="319">
        <v>0</v>
      </c>
      <c r="H111" s="425">
        <f t="shared" si="4"/>
        <v>1</v>
      </c>
      <c r="I111" s="762">
        <v>0.1</v>
      </c>
      <c r="J111" s="767">
        <f t="shared" si="5"/>
        <v>0.62388915337842632</v>
      </c>
      <c r="K111" s="319">
        <v>0.05</v>
      </c>
      <c r="L111" s="718">
        <f t="shared" si="6"/>
        <v>0.75836372219254744</v>
      </c>
      <c r="M111" s="320">
        <v>0.1</v>
      </c>
      <c r="N111" s="417">
        <f t="shared" si="10"/>
        <v>0.4613569037366026</v>
      </c>
      <c r="O111" s="320">
        <v>0.05</v>
      </c>
      <c r="P111" s="417">
        <f t="shared" si="12"/>
        <v>0.59655416200121225</v>
      </c>
      <c r="Q111" s="275"/>
      <c r="R111" s="729"/>
      <c r="S111" s="317">
        <f t="shared" si="0"/>
        <v>1045.6606296292653</v>
      </c>
      <c r="T111" s="771">
        <v>0.01</v>
      </c>
      <c r="U111" s="775">
        <f t="shared" si="9"/>
        <v>361.46724116168065</v>
      </c>
      <c r="V111" s="316">
        <v>0.1</v>
      </c>
      <c r="W111" s="317">
        <f t="shared" si="1"/>
        <v>6092.4924830910486</v>
      </c>
      <c r="X111" s="316">
        <v>0.01</v>
      </c>
      <c r="Y111" s="412"/>
      <c r="AA111" s="749">
        <f t="shared" si="7"/>
        <v>3.3812492362649882E-2</v>
      </c>
      <c r="AB111" s="43">
        <f t="shared" si="8"/>
        <v>412.39073038313978</v>
      </c>
      <c r="AC111" s="317">
        <f t="shared" si="11"/>
        <v>578.5415572856997</v>
      </c>
      <c r="AI111" s="96"/>
      <c r="AJ111" s="68"/>
      <c r="AK111" s="96"/>
      <c r="AL111" s="96"/>
      <c r="AM111" s="68"/>
      <c r="AN111" s="96"/>
      <c r="AO111" s="96"/>
      <c r="AP111" s="96"/>
      <c r="AQ111" s="96"/>
      <c r="AR111" s="318"/>
      <c r="AS111" s="96"/>
      <c r="AT111" s="96"/>
      <c r="AU111" s="68"/>
      <c r="AV111" s="68"/>
      <c r="AY111" s="321"/>
      <c r="AZ111" s="321"/>
      <c r="BM111" s="1"/>
    </row>
    <row r="112" spans="2:65" s="17" customFormat="1" x14ac:dyDescent="0.45">
      <c r="B112" s="1"/>
      <c r="C112" s="419"/>
      <c r="D112" s="734"/>
      <c r="E112" s="412"/>
      <c r="F112" s="734"/>
      <c r="G112" s="412"/>
      <c r="H112" s="418"/>
      <c r="I112" s="419"/>
      <c r="J112" s="418"/>
      <c r="K112" s="412"/>
      <c r="L112" s="734"/>
      <c r="M112" s="275"/>
      <c r="N112" s="275"/>
      <c r="O112" s="275"/>
      <c r="P112" s="275"/>
      <c r="Q112" s="275"/>
      <c r="R112" s="321"/>
      <c r="S112" s="398"/>
      <c r="T112" s="412"/>
      <c r="U112" s="735"/>
      <c r="V112" s="412"/>
      <c r="W112" s="398"/>
      <c r="X112" s="412"/>
      <c r="Y112" s="412"/>
      <c r="Z112" s="193"/>
      <c r="AA112" s="398"/>
      <c r="AB112" s="398"/>
      <c r="AC112" s="398"/>
      <c r="AD112" s="398"/>
      <c r="AE112" s="736"/>
      <c r="AF112" s="736"/>
      <c r="AG112" s="736"/>
      <c r="AH112" s="736"/>
      <c r="AI112" s="737"/>
      <c r="AJ112" s="736"/>
      <c r="AK112" s="737"/>
      <c r="AL112" s="737"/>
      <c r="AM112" s="736"/>
      <c r="AN112" s="737"/>
      <c r="AO112" s="737"/>
      <c r="AP112" s="737"/>
      <c r="AQ112" s="737"/>
      <c r="AR112" s="726"/>
      <c r="AS112" s="737"/>
      <c r="AT112" s="737"/>
      <c r="AU112" s="736"/>
      <c r="AV112" s="736"/>
      <c r="AY112" s="321"/>
      <c r="AZ112" s="321"/>
      <c r="BM112" s="1"/>
    </row>
    <row r="113" spans="2:65" s="17" customFormat="1" x14ac:dyDescent="0.45">
      <c r="B113" s="1"/>
      <c r="C113" s="419"/>
      <c r="D113" s="734"/>
      <c r="E113" s="412"/>
      <c r="F113" s="734"/>
      <c r="G113" s="412"/>
      <c r="H113" s="418"/>
      <c r="I113" s="419"/>
      <c r="J113" s="418"/>
      <c r="K113" s="412"/>
      <c r="L113" s="734"/>
      <c r="M113" s="275"/>
      <c r="N113" s="275"/>
      <c r="O113" s="275"/>
      <c r="P113" s="275"/>
      <c r="Q113" s="275"/>
      <c r="R113" s="17" t="s">
        <v>101</v>
      </c>
      <c r="U113" s="735"/>
      <c r="V113" s="412"/>
      <c r="W113" s="398"/>
      <c r="X113" s="412"/>
      <c r="Y113" s="412"/>
      <c r="Z113" s="193"/>
      <c r="AA113" s="398"/>
      <c r="AB113" s="398"/>
      <c r="AC113" s="398"/>
      <c r="AD113" s="398"/>
      <c r="AE113" s="736"/>
      <c r="AF113" s="736"/>
      <c r="AG113" s="736"/>
      <c r="AH113" s="736"/>
      <c r="AI113" s="737"/>
      <c r="AJ113" s="736"/>
      <c r="AK113" s="737"/>
      <c r="AL113" s="737"/>
      <c r="AM113" s="736"/>
      <c r="AN113" s="737"/>
      <c r="AO113" s="737"/>
      <c r="AP113" s="737"/>
      <c r="AQ113" s="737"/>
      <c r="AR113" s="726"/>
      <c r="AS113" s="737"/>
      <c r="AT113" s="737"/>
      <c r="AU113" s="736"/>
      <c r="AV113" s="736"/>
      <c r="AY113" s="321"/>
      <c r="AZ113" s="321"/>
      <c r="BM113" s="1"/>
    </row>
    <row r="114" spans="2:65" ht="14.65" thickBot="1" x14ac:dyDescent="0.5">
      <c r="Y114" s="25"/>
      <c r="AY114" s="1"/>
      <c r="AZ114" s="1"/>
      <c r="BB114" s="418"/>
      <c r="BC114" s="412"/>
      <c r="BD114" s="418"/>
      <c r="BE114" s="412"/>
      <c r="BF114" s="418"/>
      <c r="BG114" s="419"/>
      <c r="BH114" s="418"/>
      <c r="BI114" s="412"/>
      <c r="BJ114" s="418"/>
      <c r="BK114" s="1"/>
    </row>
    <row r="115" spans="2:65" ht="14.65" thickBot="1" x14ac:dyDescent="0.5">
      <c r="B115" s="44" t="s">
        <v>98</v>
      </c>
      <c r="C115" s="25"/>
      <c r="D115" s="25"/>
      <c r="E115" s="25"/>
      <c r="F115" s="25"/>
      <c r="I115" s="11"/>
    </row>
    <row r="116" spans="2:65" ht="14.65" thickBot="1" x14ac:dyDescent="0.5">
      <c r="B116" s="35"/>
      <c r="C116" s="301" t="s">
        <v>99</v>
      </c>
      <c r="D116" s="42" t="s">
        <v>6</v>
      </c>
      <c r="E116" s="304" t="s">
        <v>100</v>
      </c>
      <c r="F116" s="42" t="s">
        <v>22</v>
      </c>
      <c r="G116" s="304" t="s">
        <v>6</v>
      </c>
      <c r="H116" s="42" t="s">
        <v>22</v>
      </c>
      <c r="I116" s="304" t="s">
        <v>138</v>
      </c>
      <c r="J116" s="1254" t="s">
        <v>6</v>
      </c>
      <c r="K116" s="1255"/>
      <c r="L116" s="42" t="s">
        <v>22</v>
      </c>
    </row>
    <row r="117" spans="2:65" ht="14.65" thickBot="1" x14ac:dyDescent="0.5">
      <c r="B117" s="26"/>
      <c r="C117" s="299" t="s">
        <v>4</v>
      </c>
      <c r="D117" s="52" t="s">
        <v>21</v>
      </c>
      <c r="E117" s="134" t="s">
        <v>4</v>
      </c>
      <c r="F117" s="52" t="s">
        <v>41</v>
      </c>
      <c r="G117" s="300" t="s">
        <v>24</v>
      </c>
      <c r="H117" s="23" t="s">
        <v>24</v>
      </c>
      <c r="I117" s="300"/>
      <c r="J117" s="302" t="s">
        <v>21</v>
      </c>
      <c r="K117" s="303" t="s">
        <v>21</v>
      </c>
      <c r="L117" s="303" t="s">
        <v>41</v>
      </c>
    </row>
    <row r="118" spans="2:65" x14ac:dyDescent="0.45">
      <c r="B118" s="26">
        <v>2008</v>
      </c>
      <c r="C118" s="65">
        <v>115.56307999999996</v>
      </c>
      <c r="D118" s="184">
        <v>1586.1</v>
      </c>
      <c r="E118" s="183">
        <v>1.44245</v>
      </c>
      <c r="F118" s="719">
        <v>0.15129999999999999</v>
      </c>
      <c r="G118" s="213">
        <f t="shared" ref="G118:G132" si="13">D118/$D$133*$G$133</f>
        <v>2.4842847985914047</v>
      </c>
      <c r="H118" s="213">
        <f t="shared" ref="H118:H131" si="14">F118/$F$133*$H$133</f>
        <v>2.1707317073170729</v>
      </c>
      <c r="I118" s="12"/>
      <c r="J118" s="35"/>
      <c r="K118" s="35"/>
      <c r="L118" s="14"/>
    </row>
    <row r="119" spans="2:65" x14ac:dyDescent="0.45">
      <c r="B119" s="26">
        <v>2009</v>
      </c>
      <c r="C119" s="66">
        <v>150.11857299999997</v>
      </c>
      <c r="D119" s="185">
        <v>1459.45</v>
      </c>
      <c r="E119" s="182">
        <v>2.13375</v>
      </c>
      <c r="F119" s="720">
        <v>0.13344999999999999</v>
      </c>
      <c r="G119" s="309">
        <f t="shared" si="13"/>
        <v>2.2859147905581145</v>
      </c>
      <c r="H119" s="309">
        <f t="shared" si="14"/>
        <v>1.9146341463414633</v>
      </c>
      <c r="I119" s="99">
        <f t="shared" ref="I119:I133" si="15">C119/C118</f>
        <v>1.2990184494909622</v>
      </c>
      <c r="J119" s="85">
        <f>(C119/C118)^$K$136*D118</f>
        <v>1415.714726138335</v>
      </c>
      <c r="K119" s="85"/>
      <c r="L119" s="164"/>
      <c r="N119" s="115"/>
      <c r="O119" s="115"/>
      <c r="P119" s="115"/>
      <c r="Q119" s="118"/>
    </row>
    <row r="120" spans="2:65" x14ac:dyDescent="0.45">
      <c r="B120" s="26">
        <v>2010</v>
      </c>
      <c r="C120" s="188">
        <v>180.849289</v>
      </c>
      <c r="D120" s="185">
        <v>1306.45</v>
      </c>
      <c r="E120" s="182">
        <v>3.0558000000000005</v>
      </c>
      <c r="F120" s="720">
        <v>0.13685</v>
      </c>
      <c r="G120" s="309">
        <f t="shared" si="13"/>
        <v>2.0462731701152141</v>
      </c>
      <c r="H120" s="309">
        <f t="shared" si="14"/>
        <v>1.9634146341463414</v>
      </c>
      <c r="I120" s="99">
        <f t="shared" si="15"/>
        <v>1.2047096197750298</v>
      </c>
      <c r="J120" s="85">
        <f t="shared" ref="J120:J127" si="16">(C120/C119)^$K$136*J119</f>
        <v>1305.6904151400768</v>
      </c>
      <c r="K120" s="85"/>
      <c r="L120" s="164"/>
      <c r="N120" s="115"/>
      <c r="O120" s="115"/>
      <c r="P120" s="115"/>
      <c r="Q120" s="118"/>
    </row>
    <row r="121" spans="2:65" x14ac:dyDescent="0.45">
      <c r="B121" s="26">
        <v>2011</v>
      </c>
      <c r="C121" s="188">
        <v>220.01909000000006</v>
      </c>
      <c r="D121" s="185">
        <v>1338.75</v>
      </c>
      <c r="E121" s="182">
        <v>3.7760599999999998</v>
      </c>
      <c r="F121" s="720">
        <v>0.14874999999999999</v>
      </c>
      <c r="G121" s="309">
        <f t="shared" si="13"/>
        <v>2.0968641788753817</v>
      </c>
      <c r="H121" s="309">
        <f t="shared" si="14"/>
        <v>2.1341463414634148</v>
      </c>
      <c r="I121" s="99">
        <f t="shared" si="15"/>
        <v>1.2165880840150831</v>
      </c>
      <c r="J121" s="85">
        <f t="shared" si="16"/>
        <v>1199.0950600551107</v>
      </c>
      <c r="K121" s="85"/>
      <c r="L121" s="164"/>
      <c r="N121" s="115"/>
      <c r="O121" s="115"/>
      <c r="P121" s="115"/>
      <c r="Q121" s="118"/>
    </row>
    <row r="122" spans="2:65" x14ac:dyDescent="0.45">
      <c r="B122" s="26">
        <v>2012</v>
      </c>
      <c r="C122" s="188">
        <v>266.90755000000001</v>
      </c>
      <c r="D122" s="185">
        <v>1248.6499999999999</v>
      </c>
      <c r="E122" s="182">
        <v>5.3343999999999996</v>
      </c>
      <c r="F122" s="720">
        <v>0.13089999999999999</v>
      </c>
      <c r="G122" s="309">
        <f t="shared" si="13"/>
        <v>1.955741891281229</v>
      </c>
      <c r="H122" s="309">
        <f t="shared" si="14"/>
        <v>1.8780487804878048</v>
      </c>
      <c r="I122" s="99">
        <f t="shared" si="15"/>
        <v>1.2131108714248384</v>
      </c>
      <c r="J122" s="85">
        <f t="shared" si="16"/>
        <v>1102.5721082816883</v>
      </c>
      <c r="K122" s="85"/>
      <c r="L122" s="164"/>
      <c r="N122" s="115"/>
      <c r="O122" s="115"/>
      <c r="P122" s="115"/>
      <c r="Q122" s="118"/>
    </row>
    <row r="123" spans="2:65" x14ac:dyDescent="0.45">
      <c r="B123" s="26">
        <v>2013</v>
      </c>
      <c r="C123" s="188">
        <v>299.91860500000007</v>
      </c>
      <c r="D123" s="185">
        <v>1212.0999999999999</v>
      </c>
      <c r="E123" s="182">
        <v>7.1711999999999998</v>
      </c>
      <c r="F123" s="720">
        <v>0.15045</v>
      </c>
      <c r="G123" s="309">
        <f t="shared" si="13"/>
        <v>1.8984941708420915</v>
      </c>
      <c r="H123" s="309">
        <f t="shared" si="14"/>
        <v>2.1585365853658538</v>
      </c>
      <c r="I123" s="99">
        <f t="shared" si="15"/>
        <v>1.1236797347995591</v>
      </c>
      <c r="J123" s="85">
        <f t="shared" si="16"/>
        <v>1048.1121025987054</v>
      </c>
      <c r="K123" s="85"/>
      <c r="L123" s="164"/>
      <c r="N123" s="115"/>
      <c r="O123" s="115"/>
      <c r="P123" s="115"/>
      <c r="Q123" s="118"/>
    </row>
    <row r="124" spans="2:65" x14ac:dyDescent="0.45">
      <c r="B124" s="26">
        <v>2014</v>
      </c>
      <c r="C124" s="188">
        <v>349.29990700000008</v>
      </c>
      <c r="D124" s="185">
        <v>1085.45</v>
      </c>
      <c r="E124" s="182">
        <v>8.49207</v>
      </c>
      <c r="F124" s="720">
        <v>0.15554999999999999</v>
      </c>
      <c r="G124" s="309">
        <f t="shared" si="13"/>
        <v>1.7001241628088017</v>
      </c>
      <c r="H124" s="309">
        <f t="shared" si="14"/>
        <v>2.2317073170731705</v>
      </c>
      <c r="I124" s="99">
        <f t="shared" si="15"/>
        <v>1.1646490120211115</v>
      </c>
      <c r="J124" s="85">
        <f t="shared" si="16"/>
        <v>980.96251829239975</v>
      </c>
      <c r="K124" s="85"/>
      <c r="L124" s="164"/>
      <c r="N124" s="115"/>
      <c r="O124" s="115"/>
      <c r="P124" s="115"/>
      <c r="Q124" s="118"/>
    </row>
    <row r="125" spans="2:65" x14ac:dyDescent="0.45">
      <c r="B125" s="26">
        <v>2015</v>
      </c>
      <c r="C125" s="188">
        <v>416.24831700000027</v>
      </c>
      <c r="D125" s="185">
        <v>927.35</v>
      </c>
      <c r="E125" s="182">
        <v>11.71747</v>
      </c>
      <c r="F125" s="720">
        <v>0.14365</v>
      </c>
      <c r="G125" s="309">
        <f t="shared" si="13"/>
        <v>1.4524944883511375</v>
      </c>
      <c r="H125" s="309">
        <f t="shared" si="14"/>
        <v>2.0609756097560976</v>
      </c>
      <c r="I125" s="99">
        <f t="shared" si="15"/>
        <v>1.1916645514595003</v>
      </c>
      <c r="J125" s="85">
        <f t="shared" si="16"/>
        <v>909.01467004007213</v>
      </c>
      <c r="K125" s="85">
        <v>927</v>
      </c>
      <c r="L125" s="164">
        <v>0.14399999999999999</v>
      </c>
    </row>
    <row r="126" spans="2:65" x14ac:dyDescent="0.45">
      <c r="B126" s="26">
        <v>2016</v>
      </c>
      <c r="C126" s="188">
        <v>466.86423000000019</v>
      </c>
      <c r="D126" s="185">
        <v>903.55</v>
      </c>
      <c r="E126" s="182">
        <v>14.341849999999997</v>
      </c>
      <c r="F126" s="720">
        <v>0.12409999999999999</v>
      </c>
      <c r="G126" s="309">
        <f t="shared" si="13"/>
        <v>1.4152169029489083</v>
      </c>
      <c r="H126" s="309">
        <f t="shared" si="14"/>
        <v>1.7804878048780486</v>
      </c>
      <c r="I126" s="99">
        <f t="shared" si="15"/>
        <v>1.1216002826505118</v>
      </c>
      <c r="J126" s="85">
        <f t="shared" si="16"/>
        <v>864.81074376874108</v>
      </c>
      <c r="K126" s="85">
        <f t="shared" ref="K126:K133" si="17">(C126/C125)^$D$136*K125</f>
        <v>902.39032221864773</v>
      </c>
      <c r="L126" s="164">
        <f t="shared" ref="L126:L133" si="18">(E125/E124)^$L$136*L125</f>
        <v>0.12728409606273863</v>
      </c>
    </row>
    <row r="127" spans="2:65" x14ac:dyDescent="0.45">
      <c r="B127" s="26">
        <v>2017</v>
      </c>
      <c r="C127" s="66">
        <v>514.37380000000007</v>
      </c>
      <c r="D127" s="185">
        <v>795.6</v>
      </c>
      <c r="E127" s="182">
        <v>18.836749999999999</v>
      </c>
      <c r="F127" s="720">
        <v>0.11135</v>
      </c>
      <c r="G127" s="309">
        <f t="shared" si="13"/>
        <v>1.2461364263030841</v>
      </c>
      <c r="H127" s="309">
        <f t="shared" si="14"/>
        <v>1.5975609756097562</v>
      </c>
      <c r="I127" s="99">
        <f t="shared" si="15"/>
        <v>1.1017631400032508</v>
      </c>
      <c r="J127" s="85">
        <f t="shared" si="16"/>
        <v>829.15901424324818</v>
      </c>
      <c r="K127" s="85">
        <f t="shared" si="17"/>
        <v>882.11701553391322</v>
      </c>
      <c r="L127" s="164">
        <f t="shared" si="18"/>
        <v>0.11779704205283825</v>
      </c>
    </row>
    <row r="128" spans="2:65" x14ac:dyDescent="0.45">
      <c r="B128" s="26">
        <v>2018</v>
      </c>
      <c r="C128" s="66">
        <v>563.8298530000003</v>
      </c>
      <c r="D128" s="185">
        <v>762.44999999999993</v>
      </c>
      <c r="E128" s="182">
        <v>23.625599999999995</v>
      </c>
      <c r="F128" s="720">
        <v>0.10795</v>
      </c>
      <c r="G128" s="309">
        <f t="shared" si="13"/>
        <v>1.1942140752071222</v>
      </c>
      <c r="H128" s="309">
        <f t="shared" si="14"/>
        <v>1.5487804878048781</v>
      </c>
      <c r="I128" s="99">
        <f t="shared" si="15"/>
        <v>1.0961480794706111</v>
      </c>
      <c r="J128" s="85">
        <v>762</v>
      </c>
      <c r="K128" s="85">
        <f t="shared" si="17"/>
        <v>863.33281966678817</v>
      </c>
      <c r="L128" s="164">
        <f t="shared" si="18"/>
        <v>0.10610977534593653</v>
      </c>
    </row>
    <row r="129" spans="2:12" x14ac:dyDescent="0.45">
      <c r="B129" s="26">
        <v>2019</v>
      </c>
      <c r="C129" s="66">
        <v>622.2488470000003</v>
      </c>
      <c r="D129" s="185">
        <v>709</v>
      </c>
      <c r="E129" s="182">
        <v>28.354733</v>
      </c>
      <c r="F129" s="720">
        <v>9.7750000000000004E-2</v>
      </c>
      <c r="G129" s="309">
        <f t="shared" si="13"/>
        <v>1.1104961365622004</v>
      </c>
      <c r="H129" s="309">
        <f t="shared" si="14"/>
        <v>1.402439024390244</v>
      </c>
      <c r="I129" s="99">
        <f t="shared" si="15"/>
        <v>1.1036110338769167</v>
      </c>
      <c r="J129" s="85">
        <f>(C129/C128)^$K$136*J128</f>
        <v>730.05497577991309</v>
      </c>
      <c r="K129" s="85">
        <f t="shared" si="17"/>
        <v>843.60545376847153</v>
      </c>
      <c r="L129" s="164">
        <f t="shared" si="18"/>
        <v>9.7286122197869557E-2</v>
      </c>
    </row>
    <row r="130" spans="2:12" x14ac:dyDescent="0.45">
      <c r="B130" s="26">
        <v>2020</v>
      </c>
      <c r="C130" s="66">
        <v>731</v>
      </c>
      <c r="D130" s="186">
        <f>(C130/C129)^$D$136*D129</f>
        <v>682.72313929008385</v>
      </c>
      <c r="E130" s="189">
        <v>34.808099999999996</v>
      </c>
      <c r="F130" s="720">
        <v>0.10795</v>
      </c>
      <c r="G130" s="309">
        <f t="shared" si="13"/>
        <v>1.0693390811329408</v>
      </c>
      <c r="H130" s="309">
        <f t="shared" si="14"/>
        <v>1.5487804878048781</v>
      </c>
      <c r="I130" s="99">
        <f t="shared" si="15"/>
        <v>1.1747711603232582</v>
      </c>
      <c r="J130" s="85">
        <f>(C130/C129)^$J$136*J129</f>
        <v>702.99777844683831</v>
      </c>
      <c r="K130" s="85">
        <f t="shared" si="17"/>
        <v>812.33986420175813</v>
      </c>
      <c r="L130" s="164">
        <f t="shared" si="18"/>
        <v>9.0715157939075891E-2</v>
      </c>
    </row>
    <row r="131" spans="2:12" x14ac:dyDescent="0.45">
      <c r="B131" s="26">
        <v>2021</v>
      </c>
      <c r="C131" s="186">
        <f>W82</f>
        <v>804.1</v>
      </c>
      <c r="D131" s="186">
        <f>(C131/C130)^$D$136*D130</f>
        <v>667.6355842750977</v>
      </c>
      <c r="E131" s="189">
        <v>44.308099999999996</v>
      </c>
      <c r="F131" s="720">
        <v>0.11815000000000001</v>
      </c>
      <c r="G131" s="309">
        <f t="shared" si="13"/>
        <v>1.0457076685034461</v>
      </c>
      <c r="H131" s="309">
        <f t="shared" si="14"/>
        <v>1.6951219512195124</v>
      </c>
      <c r="I131" s="99">
        <f t="shared" si="15"/>
        <v>1.1000000000000001</v>
      </c>
      <c r="J131" s="85">
        <f>(C131/C130)^$J$136*J130</f>
        <v>687.46217250742529</v>
      </c>
      <c r="K131" s="85">
        <f t="shared" si="17"/>
        <v>794.38789848289468</v>
      </c>
      <c r="L131" s="164">
        <f t="shared" si="18"/>
        <v>8.3858716023012606E-2</v>
      </c>
    </row>
    <row r="132" spans="2:12" x14ac:dyDescent="0.45">
      <c r="B132" s="26">
        <v>2022</v>
      </c>
      <c r="C132" s="186">
        <f>W83</f>
        <v>884.5100000000001</v>
      </c>
      <c r="D132" s="186">
        <f>(C132/C131)^$D$136*D131</f>
        <v>652.88145038388791</v>
      </c>
      <c r="E132" s="189">
        <v>53.308099999999996</v>
      </c>
      <c r="F132" s="720">
        <v>8.2449999999999996E-2</v>
      </c>
      <c r="G132" s="309">
        <f t="shared" si="13"/>
        <v>1.022598488412459</v>
      </c>
      <c r="H132" s="309">
        <f>F132/$F$133*$H$133</f>
        <v>1.1829268292682926</v>
      </c>
      <c r="I132" s="99">
        <f t="shared" si="15"/>
        <v>1.1000000000000001</v>
      </c>
      <c r="J132" s="85">
        <f>(C132/C131)^$J$136*J131</f>
        <v>672.26988920615486</v>
      </c>
      <c r="K132" s="85">
        <f t="shared" si="17"/>
        <v>776.83265473641404</v>
      </c>
      <c r="L132" s="164">
        <f t="shared" si="18"/>
        <v>7.6450593975181599E-2</v>
      </c>
    </row>
    <row r="133" spans="2:12" ht="14.65" thickBot="1" x14ac:dyDescent="0.5">
      <c r="B133" s="31">
        <v>2023</v>
      </c>
      <c r="C133" s="187">
        <f>W84</f>
        <v>972.96100000000024</v>
      </c>
      <c r="D133" s="187">
        <f>(C133/C132)^$D$136*D132</f>
        <v>638.45336931551583</v>
      </c>
      <c r="E133" s="190">
        <v>62.308099999999996</v>
      </c>
      <c r="F133" s="721">
        <v>6.9699999999999998E-2</v>
      </c>
      <c r="G133" s="310">
        <v>1</v>
      </c>
      <c r="H133" s="310">
        <v>1</v>
      </c>
      <c r="I133" s="100">
        <f t="shared" si="15"/>
        <v>1.1000000000000001</v>
      </c>
      <c r="J133" s="32">
        <f>(C133/C132)^$J$136*J132</f>
        <v>657.41334142770484</v>
      </c>
      <c r="K133" s="32">
        <f t="shared" si="17"/>
        <v>759.66536577069849</v>
      </c>
      <c r="L133" s="311">
        <f t="shared" si="18"/>
        <v>7.1219799877155876E-2</v>
      </c>
    </row>
    <row r="134" spans="2:12" ht="14.65" thickBot="1" x14ac:dyDescent="0.5"/>
    <row r="135" spans="2:12" x14ac:dyDescent="0.45">
      <c r="C135" s="12" t="s">
        <v>37</v>
      </c>
      <c r="D135" s="213">
        <v>0.15</v>
      </c>
      <c r="E135" s="13"/>
      <c r="F135" s="13"/>
      <c r="G135" s="13"/>
      <c r="H135" s="13"/>
      <c r="I135" s="13"/>
      <c r="J135" s="213">
        <v>0.15</v>
      </c>
      <c r="K135" s="312">
        <v>0.26</v>
      </c>
      <c r="L135" s="213">
        <v>0.23330000000000001</v>
      </c>
    </row>
    <row r="136" spans="2:12" ht="14.65" thickBot="1" x14ac:dyDescent="0.5">
      <c r="C136" s="20" t="s">
        <v>53</v>
      </c>
      <c r="D136" s="67">
        <f>LOG(1-D135)/LOG(2)</f>
        <v>-0.234465253637023</v>
      </c>
      <c r="E136" s="50"/>
      <c r="F136" s="50"/>
      <c r="G136" s="50"/>
      <c r="H136" s="50"/>
      <c r="I136" s="50"/>
      <c r="J136" s="67">
        <f>LOG(1-J135)/LOG(2)</f>
        <v>-0.234465253637023</v>
      </c>
      <c r="K136" s="313">
        <f>LOG(1-K135)/LOG(2)</f>
        <v>-0.43440282414577497</v>
      </c>
      <c r="L136" s="67">
        <f>LOG(1-L135)/LOG(2)</f>
        <v>-0.38326591504372914</v>
      </c>
    </row>
  </sheetData>
  <sheetProtection algorithmName="SHA-512" hashValue="rv5u+gXTgUUA42sWPZLmPV1me7U+iYKN1/aH+mKlulX2RXMYDa0t/JiTGgUkqGDbVMR14pRluj6AOJ6/glIOOg==" saltValue="xNpIwTXUjY6xslQWmd9HOA==" spinCount="100000" scenarios="1"/>
  <mergeCells count="14">
    <mergeCell ref="R64:X64"/>
    <mergeCell ref="AA64:AC64"/>
    <mergeCell ref="J116:K116"/>
    <mergeCell ref="G67:H67"/>
    <mergeCell ref="C67:D67"/>
    <mergeCell ref="E67:F67"/>
    <mergeCell ref="S65:T65"/>
    <mergeCell ref="W65:X65"/>
    <mergeCell ref="U65:V65"/>
    <mergeCell ref="I67:J67"/>
    <mergeCell ref="K67:L67"/>
    <mergeCell ref="M67:N67"/>
    <mergeCell ref="C66:N66"/>
    <mergeCell ref="O67:P67"/>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CE03D-2858-4F86-A8F5-95D50F3BA4BF}">
  <sheetPr codeName="Blad1"/>
  <dimension ref="C1:BW269"/>
  <sheetViews>
    <sheetView tabSelected="1" topLeftCell="D22" workbookViewId="0">
      <selection activeCell="E11" sqref="E11"/>
    </sheetView>
  </sheetViews>
  <sheetFormatPr defaultRowHeight="14.25" x14ac:dyDescent="0.45"/>
  <cols>
    <col min="1" max="1" width="3.59765625" customWidth="1"/>
    <col min="2" max="2" width="3.86328125" customWidth="1"/>
    <col min="4" max="4" width="78.59765625" customWidth="1"/>
    <col min="5" max="5" width="13.1328125" customWidth="1"/>
    <col min="6" max="6" width="12.73046875" bestFit="1" customWidth="1"/>
    <col min="7" max="7" width="13.3984375" bestFit="1" customWidth="1"/>
    <col min="8" max="16" width="12.86328125" bestFit="1" customWidth="1"/>
    <col min="17" max="17" width="16.86328125" bestFit="1" customWidth="1"/>
    <col min="18" max="21" width="12.59765625" bestFit="1" customWidth="1"/>
    <col min="22" max="23" width="13.73046875" bestFit="1" customWidth="1"/>
    <col min="24" max="35" width="10.59765625" bestFit="1" customWidth="1"/>
  </cols>
  <sheetData>
    <row r="1" spans="4:17" ht="14.65" thickBot="1" x14ac:dyDescent="0.5"/>
    <row r="2" spans="4:17" ht="20.25" customHeight="1" thickBot="1" x14ac:dyDescent="0.5">
      <c r="D2" s="373" t="s">
        <v>169</v>
      </c>
    </row>
    <row r="3" spans="4:17" ht="14.65" thickBot="1" x14ac:dyDescent="0.5"/>
    <row r="4" spans="4:17" ht="14.65" thickBot="1" x14ac:dyDescent="0.5">
      <c r="D4" s="346" t="s">
        <v>19</v>
      </c>
      <c r="E4" s="23">
        <f>IF(F4=3,2050,IF(F4=2,2040,2030))</f>
        <v>2050</v>
      </c>
      <c r="F4" s="340">
        <v>3</v>
      </c>
      <c r="K4" s="108" t="s">
        <v>412</v>
      </c>
      <c r="M4" s="881" t="s">
        <v>413</v>
      </c>
    </row>
    <row r="5" spans="4:17" ht="14.65" thickBot="1" x14ac:dyDescent="0.5">
      <c r="K5" s="882" t="s">
        <v>414</v>
      </c>
      <c r="M5" t="s">
        <v>415</v>
      </c>
      <c r="P5" s="344"/>
      <c r="Q5" s="1"/>
    </row>
    <row r="6" spans="4:17" ht="14.65" thickBot="1" x14ac:dyDescent="0.5">
      <c r="D6" s="348"/>
      <c r="E6" s="47" t="s">
        <v>170</v>
      </c>
      <c r="F6" s="71"/>
      <c r="G6" s="367">
        <v>2050</v>
      </c>
      <c r="H6" s="352">
        <v>2040</v>
      </c>
      <c r="I6" s="353">
        <v>2030</v>
      </c>
      <c r="M6" t="s">
        <v>414</v>
      </c>
      <c r="P6" s="344"/>
      <c r="Q6" s="1"/>
    </row>
    <row r="7" spans="4:17" ht="14.65" thickBot="1" x14ac:dyDescent="0.5">
      <c r="D7" s="883"/>
      <c r="E7" s="884"/>
      <c r="G7" s="885"/>
      <c r="H7" s="886"/>
      <c r="I7" s="887"/>
      <c r="P7" s="344"/>
      <c r="Q7" s="1"/>
    </row>
    <row r="8" spans="4:17" ht="14.65" thickBot="1" x14ac:dyDescent="0.5">
      <c r="D8" s="347" t="s">
        <v>201</v>
      </c>
      <c r="G8" s="888"/>
      <c r="H8" s="889"/>
      <c r="I8" s="890"/>
      <c r="P8" s="344"/>
      <c r="Q8" s="1"/>
    </row>
    <row r="9" spans="4:17" ht="14.65" thickBot="1" x14ac:dyDescent="0.5">
      <c r="D9" s="891" t="s">
        <v>202</v>
      </c>
      <c r="E9" s="42">
        <f>IF($F$4=1,I9,IF($F$4=2,H9,G9))</f>
        <v>10</v>
      </c>
      <c r="F9" s="366" t="s">
        <v>162</v>
      </c>
      <c r="G9" s="360">
        <v>10</v>
      </c>
      <c r="H9" s="354">
        <v>10</v>
      </c>
      <c r="I9" s="355">
        <v>10</v>
      </c>
      <c r="P9" s="344"/>
      <c r="Q9" s="1"/>
    </row>
    <row r="10" spans="4:17" ht="14.65" thickBot="1" x14ac:dyDescent="0.5">
      <c r="D10" s="892" t="s">
        <v>203</v>
      </c>
      <c r="E10" s="27">
        <v>6</v>
      </c>
      <c r="F10" s="893" t="s">
        <v>162</v>
      </c>
      <c r="G10" s="361">
        <v>10</v>
      </c>
      <c r="H10" s="356">
        <v>10</v>
      </c>
      <c r="I10" s="357">
        <v>10</v>
      </c>
      <c r="P10" s="344"/>
      <c r="Q10" s="1"/>
    </row>
    <row r="11" spans="4:17" ht="14.65" thickBot="1" x14ac:dyDescent="0.5">
      <c r="D11" s="894" t="s">
        <v>204</v>
      </c>
      <c r="E11" s="28">
        <f>IF($F$4=1,I11,IF($F$4=2,H11,G11))</f>
        <v>1</v>
      </c>
      <c r="F11" s="50" t="s">
        <v>4</v>
      </c>
      <c r="G11" s="362">
        <v>1</v>
      </c>
      <c r="H11" s="358">
        <v>1</v>
      </c>
      <c r="I11" s="359">
        <v>1</v>
      </c>
      <c r="P11" s="344"/>
      <c r="Q11" s="1"/>
    </row>
    <row r="12" spans="4:17" ht="14.65" thickBot="1" x14ac:dyDescent="0.5">
      <c r="D12" s="895"/>
      <c r="E12" s="27"/>
      <c r="F12" s="12"/>
      <c r="G12" s="896"/>
      <c r="H12" s="897"/>
      <c r="I12" s="898"/>
      <c r="P12" s="344"/>
      <c r="Q12" s="1"/>
    </row>
    <row r="13" spans="4:17" ht="14.65" thickBot="1" x14ac:dyDescent="0.5">
      <c r="D13" s="349" t="s">
        <v>196</v>
      </c>
      <c r="E13" s="89"/>
      <c r="F13" s="37"/>
      <c r="G13" s="885"/>
      <c r="H13" s="886"/>
      <c r="I13" s="887"/>
      <c r="P13" s="344"/>
      <c r="Q13" s="1"/>
    </row>
    <row r="14" spans="4:17" ht="14.65" thickBot="1" x14ac:dyDescent="0.5">
      <c r="D14" s="899" t="s">
        <v>185</v>
      </c>
      <c r="E14" s="42">
        <f>IF($F$4=1,I14,IF($F$4=2,H14,G14))</f>
        <v>20</v>
      </c>
      <c r="F14" s="12" t="s">
        <v>2</v>
      </c>
      <c r="G14" s="360">
        <v>20</v>
      </c>
      <c r="H14" s="354">
        <v>18</v>
      </c>
      <c r="I14" s="355">
        <v>15</v>
      </c>
      <c r="P14" s="345"/>
      <c r="Q14" s="1"/>
    </row>
    <row r="15" spans="4:17" ht="14.65" thickBot="1" x14ac:dyDescent="0.5">
      <c r="D15" s="900" t="s">
        <v>186</v>
      </c>
      <c r="E15" s="27">
        <f t="shared" ref="E15:E44" si="0">IF($F$4=1,I15,IF($F$4=2,H15,G15))</f>
        <v>185</v>
      </c>
      <c r="F15" s="37" t="s">
        <v>25</v>
      </c>
      <c r="G15" s="361">
        <v>185</v>
      </c>
      <c r="H15" s="356">
        <v>180</v>
      </c>
      <c r="I15" s="357">
        <v>160</v>
      </c>
      <c r="P15" s="345"/>
      <c r="Q15" s="1"/>
    </row>
    <row r="16" spans="4:17" ht="14.65" thickBot="1" x14ac:dyDescent="0.5">
      <c r="D16" s="900" t="s">
        <v>187</v>
      </c>
      <c r="E16" s="27">
        <f t="shared" si="0"/>
        <v>252</v>
      </c>
      <c r="F16" s="37" t="s">
        <v>25</v>
      </c>
      <c r="G16" s="361">
        <f>Calculations!K22</f>
        <v>252</v>
      </c>
      <c r="H16" s="356">
        <v>244</v>
      </c>
      <c r="I16" s="357">
        <v>236</v>
      </c>
      <c r="K16" t="s">
        <v>460</v>
      </c>
      <c r="P16" s="345"/>
      <c r="Q16" s="1"/>
    </row>
    <row r="17" spans="4:17" ht="14.65" thickBot="1" x14ac:dyDescent="0.5">
      <c r="D17" s="900" t="s">
        <v>188</v>
      </c>
      <c r="E17" s="27">
        <f t="shared" si="0"/>
        <v>25</v>
      </c>
      <c r="F17" s="37" t="s">
        <v>171</v>
      </c>
      <c r="G17" s="361">
        <v>25</v>
      </c>
      <c r="H17" s="356">
        <v>25</v>
      </c>
      <c r="I17" s="357">
        <v>22</v>
      </c>
      <c r="K17" t="s">
        <v>461</v>
      </c>
      <c r="P17" s="345"/>
      <c r="Q17" s="1"/>
    </row>
    <row r="18" spans="4:17" ht="14.65" thickBot="1" x14ac:dyDescent="0.5">
      <c r="D18" s="901" t="s">
        <v>189</v>
      </c>
      <c r="E18" s="28">
        <f t="shared" si="0"/>
        <v>4.5</v>
      </c>
      <c r="F18" s="20" t="s">
        <v>171</v>
      </c>
      <c r="G18" s="362">
        <v>4.5</v>
      </c>
      <c r="H18" s="358">
        <v>4.5</v>
      </c>
      <c r="I18" s="359">
        <v>4.5</v>
      </c>
      <c r="P18" s="345"/>
      <c r="Q18" s="1"/>
    </row>
    <row r="19" spans="4:17" ht="14.65" thickBot="1" x14ac:dyDescent="0.5">
      <c r="E19" s="26"/>
      <c r="F19" s="37"/>
      <c r="G19" s="714"/>
      <c r="H19" s="338"/>
      <c r="I19" s="16"/>
      <c r="P19" s="345"/>
      <c r="Q19" s="1"/>
    </row>
    <row r="20" spans="4:17" ht="14.65" thickBot="1" x14ac:dyDescent="0.5">
      <c r="D20" s="350" t="s">
        <v>14</v>
      </c>
      <c r="E20" s="26"/>
      <c r="F20" s="20"/>
      <c r="G20" s="902"/>
      <c r="H20" s="903"/>
      <c r="I20" s="890"/>
      <c r="P20" s="345"/>
      <c r="Q20" s="1"/>
    </row>
    <row r="21" spans="4:17" ht="14.65" thickBot="1" x14ac:dyDescent="0.5">
      <c r="D21" s="891" t="s">
        <v>184</v>
      </c>
      <c r="E21" s="42">
        <f t="shared" si="0"/>
        <v>90</v>
      </c>
      <c r="F21" s="13" t="s">
        <v>172</v>
      </c>
      <c r="G21" s="360">
        <v>90</v>
      </c>
      <c r="H21" s="354">
        <v>66</v>
      </c>
      <c r="I21" s="355">
        <v>66</v>
      </c>
      <c r="M21" s="895"/>
      <c r="P21" s="345"/>
      <c r="Q21" s="1"/>
    </row>
    <row r="22" spans="4:17" ht="14.65" thickBot="1" x14ac:dyDescent="0.5">
      <c r="D22" s="892" t="s">
        <v>191</v>
      </c>
      <c r="E22" s="27">
        <f t="shared" si="0"/>
        <v>775</v>
      </c>
      <c r="F22" t="s">
        <v>173</v>
      </c>
      <c r="G22" s="361">
        <v>775</v>
      </c>
      <c r="H22" s="356">
        <v>775</v>
      </c>
      <c r="I22" s="357">
        <v>775</v>
      </c>
      <c r="M22" s="895"/>
      <c r="P22" s="345"/>
      <c r="Q22" s="1"/>
    </row>
    <row r="23" spans="4:17" ht="14.65" thickBot="1" x14ac:dyDescent="0.5">
      <c r="D23" s="892" t="s">
        <v>182</v>
      </c>
      <c r="E23" s="27">
        <f t="shared" si="0"/>
        <v>800</v>
      </c>
      <c r="F23" t="s">
        <v>174</v>
      </c>
      <c r="G23" s="361">
        <v>800</v>
      </c>
      <c r="H23" s="356">
        <v>800</v>
      </c>
      <c r="I23" s="357">
        <v>800</v>
      </c>
      <c r="M23" s="895"/>
      <c r="P23" s="345"/>
      <c r="Q23" s="1"/>
    </row>
    <row r="24" spans="4:17" ht="14.65" thickBot="1" x14ac:dyDescent="0.5">
      <c r="D24" s="892" t="s">
        <v>192</v>
      </c>
      <c r="E24" s="27">
        <f t="shared" si="0"/>
        <v>0.26</v>
      </c>
      <c r="F24" t="s">
        <v>175</v>
      </c>
      <c r="G24" s="361">
        <v>0.26</v>
      </c>
      <c r="H24" s="356">
        <v>0.35</v>
      </c>
      <c r="I24" s="357">
        <v>0.35</v>
      </c>
      <c r="M24" s="895"/>
      <c r="P24" s="345"/>
      <c r="Q24" s="1"/>
    </row>
    <row r="25" spans="4:17" ht="14.65" thickBot="1" x14ac:dyDescent="0.5">
      <c r="D25" s="892" t="s">
        <v>193</v>
      </c>
      <c r="E25" s="27">
        <f t="shared" si="0"/>
        <v>1.7100000000000001E-2</v>
      </c>
      <c r="F25" t="s">
        <v>177</v>
      </c>
      <c r="G25" s="361">
        <v>1.7100000000000001E-2</v>
      </c>
      <c r="H25" s="356">
        <v>1.7100000000000001E-2</v>
      </c>
      <c r="I25" s="357">
        <v>1.7100000000000001E-2</v>
      </c>
      <c r="M25" s="895"/>
      <c r="P25" s="345"/>
      <c r="Q25" s="1"/>
    </row>
    <row r="26" spans="4:17" ht="14.65" thickBot="1" x14ac:dyDescent="0.5">
      <c r="D26" s="892" t="s">
        <v>163</v>
      </c>
      <c r="E26" s="27">
        <f t="shared" si="0"/>
        <v>50</v>
      </c>
      <c r="F26" t="s">
        <v>176</v>
      </c>
      <c r="G26" s="361">
        <v>50</v>
      </c>
      <c r="H26" s="356">
        <v>50</v>
      </c>
      <c r="I26" s="357">
        <v>50</v>
      </c>
      <c r="M26" s="895"/>
      <c r="P26" s="345"/>
      <c r="Q26" s="1"/>
    </row>
    <row r="27" spans="4:17" ht="14.65" thickBot="1" x14ac:dyDescent="0.5">
      <c r="D27" s="892" t="s">
        <v>184</v>
      </c>
      <c r="E27" s="27">
        <f t="shared" si="0"/>
        <v>800</v>
      </c>
      <c r="F27" t="s">
        <v>172</v>
      </c>
      <c r="G27" s="361">
        <v>800</v>
      </c>
      <c r="H27" s="356">
        <v>525</v>
      </c>
      <c r="I27" s="357">
        <v>525</v>
      </c>
      <c r="M27" s="895"/>
      <c r="P27" s="345"/>
      <c r="Q27" s="1"/>
    </row>
    <row r="28" spans="4:17" ht="14.65" thickBot="1" x14ac:dyDescent="0.5">
      <c r="D28" s="892" t="s">
        <v>183</v>
      </c>
      <c r="E28" s="27">
        <f t="shared" si="0"/>
        <v>5625</v>
      </c>
      <c r="F28" t="s">
        <v>173</v>
      </c>
      <c r="G28" s="361">
        <v>5625</v>
      </c>
      <c r="H28" s="356">
        <v>4952</v>
      </c>
      <c r="I28" s="357">
        <v>4952</v>
      </c>
      <c r="M28" s="895"/>
      <c r="P28" s="345"/>
      <c r="Q28" s="1"/>
    </row>
    <row r="29" spans="4:17" ht="14.65" thickBot="1" x14ac:dyDescent="0.5">
      <c r="D29" s="892" t="s">
        <v>182</v>
      </c>
      <c r="E29" s="27">
        <f t="shared" si="0"/>
        <v>3500</v>
      </c>
      <c r="F29" t="s">
        <v>174</v>
      </c>
      <c r="G29" s="361">
        <v>3500</v>
      </c>
      <c r="H29" s="356">
        <v>3000</v>
      </c>
      <c r="I29" s="357">
        <v>3000</v>
      </c>
      <c r="M29" s="895"/>
      <c r="P29" s="345"/>
      <c r="Q29" s="1"/>
    </row>
    <row r="30" spans="4:17" ht="14.65" thickBot="1" x14ac:dyDescent="0.5">
      <c r="D30" s="892" t="s">
        <v>181</v>
      </c>
      <c r="E30" s="27">
        <f t="shared" si="0"/>
        <v>0</v>
      </c>
      <c r="F30" t="s">
        <v>175</v>
      </c>
      <c r="G30" s="361">
        <v>0</v>
      </c>
      <c r="H30" s="356">
        <v>0</v>
      </c>
      <c r="I30" s="357">
        <v>0</v>
      </c>
      <c r="M30" s="895"/>
      <c r="P30" s="345"/>
      <c r="Q30" s="1"/>
    </row>
    <row r="31" spans="4:17" ht="14.65" thickBot="1" x14ac:dyDescent="0.5">
      <c r="D31" s="892" t="s">
        <v>180</v>
      </c>
      <c r="E31" s="27">
        <f t="shared" si="0"/>
        <v>1.7100000000000001E-2</v>
      </c>
      <c r="F31" t="s">
        <v>177</v>
      </c>
      <c r="G31" s="361">
        <v>1.7100000000000001E-2</v>
      </c>
      <c r="H31" s="356">
        <v>1.7100000000000001E-2</v>
      </c>
      <c r="I31" s="357">
        <v>1.7100000000000001E-2</v>
      </c>
      <c r="M31" s="895"/>
      <c r="P31" s="345"/>
      <c r="Q31" s="1"/>
    </row>
    <row r="32" spans="4:17" ht="14.65" thickBot="1" x14ac:dyDescent="0.5">
      <c r="D32" s="894" t="s">
        <v>179</v>
      </c>
      <c r="E32" s="28">
        <f t="shared" si="0"/>
        <v>0</v>
      </c>
      <c r="F32" s="50" t="s">
        <v>176</v>
      </c>
      <c r="G32" s="362">
        <v>0</v>
      </c>
      <c r="H32" s="358">
        <v>0</v>
      </c>
      <c r="I32" s="359">
        <v>0</v>
      </c>
      <c r="M32" s="895"/>
      <c r="P32" s="345"/>
      <c r="Q32" s="1"/>
    </row>
    <row r="33" spans="4:17" ht="14.65" thickBot="1" x14ac:dyDescent="0.5">
      <c r="D33" s="904"/>
      <c r="E33" s="26"/>
      <c r="G33" s="905"/>
      <c r="H33" s="906"/>
      <c r="I33" s="907"/>
      <c r="M33" s="895"/>
      <c r="P33" s="345"/>
      <c r="Q33" s="1"/>
    </row>
    <row r="34" spans="4:17" ht="14.65" thickBot="1" x14ac:dyDescent="0.5">
      <c r="D34" s="347" t="s">
        <v>197</v>
      </c>
      <c r="E34" s="26"/>
      <c r="G34" s="888"/>
      <c r="H34" s="889"/>
      <c r="I34" s="890"/>
      <c r="M34" s="895"/>
      <c r="P34" s="345"/>
      <c r="Q34" s="1"/>
    </row>
    <row r="35" spans="4:17" ht="14.65" thickBot="1" x14ac:dyDescent="0.5">
      <c r="D35" s="891" t="s">
        <v>164</v>
      </c>
      <c r="E35" s="42">
        <f t="shared" si="0"/>
        <v>0.95</v>
      </c>
      <c r="F35" s="366" t="s">
        <v>162</v>
      </c>
      <c r="G35" s="360">
        <v>0.95</v>
      </c>
      <c r="H35" s="354">
        <v>0.95</v>
      </c>
      <c r="I35" s="355">
        <v>0.95</v>
      </c>
      <c r="M35" s="895"/>
      <c r="P35" s="345"/>
      <c r="Q35" s="1"/>
    </row>
    <row r="36" spans="4:17" ht="14.65" thickBot="1" x14ac:dyDescent="0.5">
      <c r="D36" s="892" t="s">
        <v>194</v>
      </c>
      <c r="E36" s="27">
        <f t="shared" si="0"/>
        <v>12</v>
      </c>
      <c r="F36" t="s">
        <v>178</v>
      </c>
      <c r="G36" s="361">
        <v>12</v>
      </c>
      <c r="H36" s="356">
        <v>20</v>
      </c>
      <c r="I36" s="357">
        <v>24</v>
      </c>
      <c r="M36" s="895"/>
      <c r="P36" s="345"/>
      <c r="Q36" s="1"/>
    </row>
    <row r="37" spans="4:17" ht="14.65" thickBot="1" x14ac:dyDescent="0.5">
      <c r="D37" s="892" t="s">
        <v>164</v>
      </c>
      <c r="E37" s="27">
        <f t="shared" si="0"/>
        <v>0.95</v>
      </c>
      <c r="F37" s="893" t="s">
        <v>50</v>
      </c>
      <c r="G37" s="361">
        <v>0.95</v>
      </c>
      <c r="H37" s="356">
        <v>0.95</v>
      </c>
      <c r="I37" s="357">
        <v>0.95</v>
      </c>
      <c r="M37" s="895"/>
      <c r="P37" s="345"/>
      <c r="Q37" s="1"/>
    </row>
    <row r="38" spans="4:17" ht="14.65" thickBot="1" x14ac:dyDescent="0.5">
      <c r="D38" s="892" t="s">
        <v>195</v>
      </c>
      <c r="E38" s="27">
        <f t="shared" si="0"/>
        <v>48</v>
      </c>
      <c r="F38" t="s">
        <v>178</v>
      </c>
      <c r="G38" s="361">
        <v>48</v>
      </c>
      <c r="H38" s="356">
        <v>48</v>
      </c>
      <c r="I38" s="357">
        <v>48</v>
      </c>
      <c r="M38" s="895"/>
      <c r="P38" s="345"/>
      <c r="Q38" s="1"/>
    </row>
    <row r="39" spans="4:17" ht="14.65" thickBot="1" x14ac:dyDescent="0.5">
      <c r="D39" s="908" t="s">
        <v>416</v>
      </c>
      <c r="E39" s="27">
        <f t="shared" si="0"/>
        <v>105</v>
      </c>
      <c r="F39" t="s">
        <v>78</v>
      </c>
      <c r="G39" s="909">
        <v>105</v>
      </c>
      <c r="H39" s="910">
        <v>80</v>
      </c>
      <c r="I39" s="911">
        <v>80</v>
      </c>
      <c r="M39" s="895"/>
      <c r="P39" s="345"/>
      <c r="Q39" s="1"/>
    </row>
    <row r="40" spans="4:17" ht="14.65" thickBot="1" x14ac:dyDescent="0.5">
      <c r="D40" s="894" t="s">
        <v>165</v>
      </c>
      <c r="E40" s="1085">
        <f t="shared" si="0"/>
        <v>0.37916666666666665</v>
      </c>
      <c r="F40" s="50" t="s">
        <v>24</v>
      </c>
      <c r="G40" s="369">
        <f>Calculations!K19*Calculations!G98*141.8/24/365/3600/15</f>
        <v>0.37916666666666665</v>
      </c>
      <c r="H40" s="358"/>
      <c r="I40" s="359"/>
      <c r="K40" t="s">
        <v>465</v>
      </c>
      <c r="M40" s="895"/>
      <c r="P40" s="345"/>
      <c r="Q40" s="1"/>
    </row>
    <row r="41" spans="4:17" ht="14.65" thickBot="1" x14ac:dyDescent="0.5">
      <c r="E41" s="26"/>
      <c r="G41" s="714"/>
      <c r="H41" s="338"/>
      <c r="I41" s="16"/>
      <c r="K41" s="1084">
        <f>Calculations!K19</f>
        <v>126488.71650211565</v>
      </c>
      <c r="L41" t="s">
        <v>462</v>
      </c>
      <c r="M41" s="895"/>
      <c r="P41" s="345"/>
      <c r="Q41" s="1"/>
    </row>
    <row r="42" spans="4:17" ht="14.65" thickBot="1" x14ac:dyDescent="0.5">
      <c r="D42" s="351" t="s">
        <v>198</v>
      </c>
      <c r="E42" s="26"/>
      <c r="G42" s="714"/>
      <c r="H42" s="338"/>
      <c r="I42" s="16"/>
      <c r="K42">
        <f>K41*141.8*1000/24/365/3600/1000</f>
        <v>0.56874999999999998</v>
      </c>
      <c r="L42" t="s">
        <v>463</v>
      </c>
      <c r="M42" s="895"/>
      <c r="P42" s="345"/>
      <c r="Q42" s="1"/>
    </row>
    <row r="43" spans="4:17" ht="14.65" thickBot="1" x14ac:dyDescent="0.5">
      <c r="D43" s="891" t="s">
        <v>166</v>
      </c>
      <c r="E43" s="201">
        <f t="shared" si="0"/>
        <v>0.8</v>
      </c>
      <c r="F43" s="13" t="s">
        <v>24</v>
      </c>
      <c r="G43" s="912">
        <v>0.8</v>
      </c>
      <c r="H43" s="913">
        <v>0.8</v>
      </c>
      <c r="I43" s="914">
        <v>0.8</v>
      </c>
      <c r="L43" t="s">
        <v>464</v>
      </c>
      <c r="M43" s="895"/>
      <c r="P43" s="345"/>
      <c r="Q43" s="1"/>
    </row>
    <row r="44" spans="4:17" ht="14.65" thickBot="1" x14ac:dyDescent="0.5">
      <c r="D44" s="894" t="s">
        <v>167</v>
      </c>
      <c r="E44" s="203">
        <f t="shared" si="0"/>
        <v>0.9</v>
      </c>
      <c r="F44" s="50"/>
      <c r="G44" s="369">
        <v>0.9</v>
      </c>
      <c r="H44" s="915">
        <v>0.9</v>
      </c>
      <c r="I44" s="364">
        <v>0.9</v>
      </c>
      <c r="M44" s="895"/>
      <c r="P44" s="345"/>
      <c r="Q44" s="1"/>
    </row>
    <row r="45" spans="4:17" ht="14.65" thickBot="1" x14ac:dyDescent="0.5">
      <c r="D45" s="904"/>
      <c r="E45" s="202"/>
      <c r="G45" s="370"/>
      <c r="H45" s="906"/>
      <c r="I45" s="916"/>
      <c r="M45" s="895"/>
      <c r="P45" s="345"/>
      <c r="Q45" s="1"/>
    </row>
    <row r="46" spans="4:17" ht="14.65" thickBot="1" x14ac:dyDescent="0.5">
      <c r="D46" s="350" t="s">
        <v>199</v>
      </c>
      <c r="E46" s="202"/>
      <c r="G46" s="371"/>
      <c r="H46" s="889"/>
      <c r="I46" s="917"/>
      <c r="M46" s="895"/>
      <c r="P46" s="345"/>
      <c r="Q46" s="1"/>
    </row>
    <row r="47" spans="4:17" ht="14.65" thickBot="1" x14ac:dyDescent="0.5">
      <c r="D47" s="891" t="s">
        <v>190</v>
      </c>
      <c r="E47" s="201">
        <f t="shared" ref="E47:E49" si="1">IF($F$4=1,I47,IF($F$4=2,H47,G47))</f>
        <v>0.85</v>
      </c>
      <c r="F47" s="13"/>
      <c r="G47" s="372">
        <v>0.85</v>
      </c>
      <c r="H47" s="913">
        <v>0.85</v>
      </c>
      <c r="I47" s="363">
        <v>0.85</v>
      </c>
      <c r="M47" s="895"/>
      <c r="P47" s="345"/>
      <c r="Q47" s="1"/>
    </row>
    <row r="48" spans="4:17" ht="14.65" thickBot="1" x14ac:dyDescent="0.5">
      <c r="D48" s="892" t="s">
        <v>200</v>
      </c>
      <c r="E48" s="918">
        <f t="shared" si="1"/>
        <v>50</v>
      </c>
      <c r="F48" t="s">
        <v>78</v>
      </c>
      <c r="G48" s="361">
        <v>50</v>
      </c>
      <c r="H48" s="356">
        <v>80</v>
      </c>
      <c r="I48" s="357">
        <v>80</v>
      </c>
      <c r="M48" s="895"/>
      <c r="P48" s="345"/>
      <c r="Q48" s="1"/>
    </row>
    <row r="49" spans="3:61" ht="14.65" thickBot="1" x14ac:dyDescent="0.5">
      <c r="D49" s="894" t="s">
        <v>168</v>
      </c>
      <c r="E49" s="203">
        <f t="shared" si="1"/>
        <v>0</v>
      </c>
      <c r="F49" s="50"/>
      <c r="G49" s="368"/>
      <c r="H49" s="358"/>
      <c r="I49" s="365"/>
      <c r="M49" s="895"/>
      <c r="P49" s="345"/>
      <c r="Q49" s="1"/>
    </row>
    <row r="50" spans="3:61" x14ac:dyDescent="0.45">
      <c r="D50" s="895"/>
      <c r="G50" s="895"/>
      <c r="H50" s="895"/>
      <c r="I50" s="895"/>
      <c r="M50" s="895"/>
      <c r="P50" s="345"/>
      <c r="Q50" s="1"/>
    </row>
    <row r="51" spans="3:61" ht="14.65" thickBot="1" x14ac:dyDescent="0.5">
      <c r="D51" s="345"/>
      <c r="E51" s="25"/>
      <c r="F51" s="25"/>
      <c r="G51" s="345"/>
      <c r="H51" s="345"/>
      <c r="I51" s="345"/>
      <c r="L51" s="1"/>
      <c r="M51" s="345"/>
      <c r="N51" s="1"/>
      <c r="O51" s="1"/>
      <c r="P51" s="345"/>
      <c r="Q51" s="1"/>
    </row>
    <row r="52" spans="3:61" ht="14.65" thickBot="1" x14ac:dyDescent="0.5">
      <c r="D52" s="384" t="s">
        <v>208</v>
      </c>
      <c r="E52" s="25"/>
      <c r="F52" s="44" t="s">
        <v>20</v>
      </c>
      <c r="G52" s="1119">
        <v>0.06</v>
      </c>
      <c r="H52" s="345"/>
      <c r="I52" s="345"/>
      <c r="L52" s="1"/>
      <c r="M52" s="345"/>
      <c r="N52" s="1"/>
      <c r="O52" s="1"/>
      <c r="P52" s="345"/>
      <c r="Q52" s="1"/>
    </row>
    <row r="53" spans="3:61" ht="14.65" thickBot="1" x14ac:dyDescent="0.5">
      <c r="L53" s="1"/>
      <c r="M53" s="345"/>
      <c r="N53" s="1"/>
      <c r="O53" s="1"/>
      <c r="P53" s="345"/>
      <c r="Q53" s="1"/>
    </row>
    <row r="54" spans="3:61" x14ac:dyDescent="0.45">
      <c r="D54" s="682" t="s">
        <v>466</v>
      </c>
      <c r="E54" s="683"/>
      <c r="F54" s="683"/>
      <c r="G54" s="683"/>
      <c r="H54" s="683"/>
      <c r="I54" s="683"/>
      <c r="J54" s="683"/>
      <c r="K54" s="683"/>
      <c r="L54" s="683"/>
      <c r="M54" s="684"/>
      <c r="N54" s="1"/>
      <c r="O54" s="1"/>
      <c r="P54" s="345"/>
      <c r="Q54" s="1"/>
    </row>
    <row r="55" spans="3:61" ht="14.65" thickBot="1" x14ac:dyDescent="0.5">
      <c r="D55" s="685" t="s">
        <v>207</v>
      </c>
      <c r="E55" s="686"/>
      <c r="F55" s="686"/>
      <c r="G55" s="686"/>
      <c r="H55" s="686"/>
      <c r="I55" s="686"/>
      <c r="J55" s="686"/>
      <c r="K55" s="686"/>
      <c r="L55" s="686"/>
      <c r="M55" s="687"/>
      <c r="N55" s="1"/>
      <c r="O55" s="1"/>
      <c r="P55" s="345"/>
      <c r="Q55" s="1"/>
    </row>
    <row r="56" spans="3:61" ht="14.65" thickBot="1" x14ac:dyDescent="0.5">
      <c r="L56" s="1"/>
      <c r="M56" s="345"/>
      <c r="N56" s="1"/>
      <c r="O56" s="1"/>
      <c r="P56" s="345"/>
      <c r="Q56" s="1"/>
      <c r="Y56" s="1269" t="s">
        <v>542</v>
      </c>
      <c r="Z56" s="1270"/>
      <c r="AA56" s="1270"/>
      <c r="AB56" s="1270"/>
      <c r="AC56" s="1270"/>
      <c r="AD56" s="1270"/>
      <c r="AE56" s="1270"/>
      <c r="AF56" s="1270"/>
      <c r="AG56" s="1270"/>
      <c r="AH56" s="1270"/>
      <c r="AI56" s="1270"/>
      <c r="AJ56" s="1270"/>
      <c r="AK56" s="1270"/>
      <c r="AL56" s="1270"/>
      <c r="AM56" s="1270"/>
      <c r="AN56" s="1270"/>
      <c r="AO56" s="1270"/>
      <c r="AP56" s="1270"/>
      <c r="AQ56" s="1271"/>
      <c r="AS56" s="1177" t="s">
        <v>543</v>
      </c>
      <c r="AT56" s="1182"/>
      <c r="AU56" s="1182"/>
      <c r="AV56" s="1182"/>
      <c r="AW56" s="1182"/>
      <c r="AX56" s="1182"/>
      <c r="AY56" s="1182"/>
      <c r="AZ56" s="1182"/>
      <c r="BA56" s="1182"/>
      <c r="BB56" s="1182"/>
      <c r="BC56" s="1182"/>
      <c r="BD56" s="1182"/>
      <c r="BE56" s="1182"/>
      <c r="BF56" s="1182"/>
      <c r="BG56" s="1182"/>
      <c r="BH56" s="1182"/>
      <c r="BI56" s="1178"/>
    </row>
    <row r="57" spans="3:61" ht="15.75" customHeight="1" thickBot="1" x14ac:dyDescent="0.5">
      <c r="C57" s="1266" t="s">
        <v>150</v>
      </c>
      <c r="D57" s="376" t="s">
        <v>149</v>
      </c>
      <c r="E57" s="29"/>
      <c r="F57" s="29" t="s">
        <v>206</v>
      </c>
      <c r="G57" s="381">
        <v>0</v>
      </c>
      <c r="H57" s="382">
        <v>10</v>
      </c>
      <c r="I57" s="382">
        <v>20</v>
      </c>
      <c r="J57" s="382">
        <v>30</v>
      </c>
      <c r="K57" s="382">
        <v>40</v>
      </c>
      <c r="L57" s="382">
        <v>50</v>
      </c>
      <c r="M57" s="382">
        <v>60</v>
      </c>
      <c r="N57" s="382">
        <v>70</v>
      </c>
      <c r="O57" s="382">
        <v>80</v>
      </c>
      <c r="P57" s="382">
        <v>90</v>
      </c>
      <c r="Q57" s="382">
        <v>100</v>
      </c>
      <c r="R57" s="382">
        <v>200</v>
      </c>
      <c r="S57" s="382">
        <v>400</v>
      </c>
      <c r="T57" s="382">
        <v>600</v>
      </c>
      <c r="U57" s="382">
        <v>800</v>
      </c>
      <c r="V57" s="382">
        <v>1000</v>
      </c>
      <c r="W57" s="383">
        <v>1200</v>
      </c>
      <c r="Y57" s="995"/>
      <c r="Z57" s="13" t="s">
        <v>206</v>
      </c>
      <c r="AA57" s="1161">
        <v>0</v>
      </c>
      <c r="AB57" s="1161">
        <v>10</v>
      </c>
      <c r="AC57" s="1161">
        <v>20</v>
      </c>
      <c r="AD57" s="1161">
        <v>30</v>
      </c>
      <c r="AE57" s="1161">
        <v>40</v>
      </c>
      <c r="AF57" s="1161">
        <v>50</v>
      </c>
      <c r="AG57" s="1161">
        <v>60</v>
      </c>
      <c r="AH57" s="1161">
        <v>70</v>
      </c>
      <c r="AI57" s="1161">
        <v>80</v>
      </c>
      <c r="AJ57" s="1161">
        <v>90</v>
      </c>
      <c r="AK57" s="1161">
        <v>100</v>
      </c>
      <c r="AL57" s="1161">
        <v>200</v>
      </c>
      <c r="AM57" s="1161">
        <v>400</v>
      </c>
      <c r="AN57" s="1161">
        <v>600</v>
      </c>
      <c r="AO57" s="1161">
        <v>800</v>
      </c>
      <c r="AP57" s="1161">
        <v>1000</v>
      </c>
      <c r="AQ57" s="1162">
        <v>1200</v>
      </c>
      <c r="AS57" s="797">
        <v>0</v>
      </c>
      <c r="AT57" s="1164">
        <v>10</v>
      </c>
      <c r="AU57" s="1164">
        <v>20</v>
      </c>
      <c r="AV57" s="1164">
        <v>30</v>
      </c>
      <c r="AW57" s="1164">
        <v>40</v>
      </c>
      <c r="AX57" s="1164">
        <v>50</v>
      </c>
      <c r="AY57" s="1164">
        <v>60</v>
      </c>
      <c r="AZ57" s="1164">
        <v>70</v>
      </c>
      <c r="BA57" s="1164">
        <v>80</v>
      </c>
      <c r="BB57" s="1164">
        <v>90</v>
      </c>
      <c r="BC57" s="1164">
        <v>100</v>
      </c>
      <c r="BD57" s="1164">
        <v>200</v>
      </c>
      <c r="BE57" s="1164">
        <v>400</v>
      </c>
      <c r="BF57" s="1164">
        <v>600</v>
      </c>
      <c r="BG57" s="1164">
        <v>800</v>
      </c>
      <c r="BH57" s="1164">
        <v>1000</v>
      </c>
      <c r="BI57" s="933">
        <v>1200</v>
      </c>
    </row>
    <row r="58" spans="3:61" ht="15" customHeight="1" x14ac:dyDescent="0.45">
      <c r="C58" s="1267"/>
      <c r="D58" t="s">
        <v>522</v>
      </c>
      <c r="E58" s="1260" t="s">
        <v>205</v>
      </c>
      <c r="F58" s="375">
        <v>0</v>
      </c>
      <c r="G58" s="379">
        <v>2.9238639829579887</v>
      </c>
      <c r="H58" s="379">
        <v>2.9867254780875987</v>
      </c>
      <c r="I58" s="379">
        <v>3.0496160484033146</v>
      </c>
      <c r="J58" s="379">
        <v>3.1125356939051372</v>
      </c>
      <c r="K58" s="379">
        <v>3.1754844145930665</v>
      </c>
      <c r="L58" s="379">
        <v>3.2384622104671017</v>
      </c>
      <c r="M58" s="379">
        <v>3.3014690815272445</v>
      </c>
      <c r="N58" s="379">
        <v>3.3645050277734936</v>
      </c>
      <c r="O58" s="379">
        <v>3.427570049205849</v>
      </c>
      <c r="P58" s="379">
        <v>3.4906641458243106</v>
      </c>
      <c r="Q58" s="379">
        <v>3.5537873176288803</v>
      </c>
      <c r="R58" s="55">
        <v>4.1866181709104264</v>
      </c>
      <c r="S58" s="55">
        <v>5.4610024333054907</v>
      </c>
      <c r="T58" s="55">
        <v>6.7470167701431771</v>
      </c>
      <c r="U58" s="55">
        <v>8.044661181423491</v>
      </c>
      <c r="V58" s="55">
        <v>9.3539356671464304</v>
      </c>
      <c r="W58" s="58">
        <v>10.674840227311993</v>
      </c>
      <c r="Y58" s="1001" t="s">
        <v>205</v>
      </c>
      <c r="Z58" s="25">
        <v>0</v>
      </c>
      <c r="AA58" s="557">
        <v>2.9667394584537754</v>
      </c>
      <c r="AB58" s="557">
        <v>3.0317862312663655</v>
      </c>
      <c r="AC58" s="557">
        <v>3.0968409774160435</v>
      </c>
      <c r="AD58" s="557">
        <v>3.1619036969028103</v>
      </c>
      <c r="AE58" s="557">
        <v>3.2269743897266654</v>
      </c>
      <c r="AF58" s="557">
        <v>3.2920530558876084</v>
      </c>
      <c r="AG58" s="557">
        <v>3.3571396953856398</v>
      </c>
      <c r="AH58" s="557">
        <v>3.4222343082207596</v>
      </c>
      <c r="AI58" s="557">
        <v>3.4873368943929686</v>
      </c>
      <c r="AJ58" s="557">
        <v>3.5524474539022641</v>
      </c>
      <c r="AK58" s="557">
        <v>3.6175659867486494</v>
      </c>
      <c r="AL58" s="557">
        <v>4.2691898487523563</v>
      </c>
      <c r="AM58" s="557">
        <v>5.5748295738862668</v>
      </c>
      <c r="AN58" s="557">
        <v>6.8836586338555064</v>
      </c>
      <c r="AO58" s="557">
        <v>8.1956770286600769</v>
      </c>
      <c r="AP58" s="557">
        <v>9.5108847582999765</v>
      </c>
      <c r="AQ58" s="1163">
        <v>10.829281822775208</v>
      </c>
      <c r="AS58" s="1166">
        <f>AA58-G58</f>
        <v>4.2875475495786741E-2</v>
      </c>
      <c r="AT58" s="557">
        <f t="shared" ref="AT58:BI58" si="2">AB58-H58</f>
        <v>4.5060753178766788E-2</v>
      </c>
      <c r="AU58" s="557">
        <f t="shared" si="2"/>
        <v>4.72249290127289E-2</v>
      </c>
      <c r="AV58" s="557">
        <f t="shared" si="2"/>
        <v>4.9368002997673077E-2</v>
      </c>
      <c r="AW58" s="557">
        <f t="shared" si="2"/>
        <v>5.1489975133598875E-2</v>
      </c>
      <c r="AX58" s="557">
        <f t="shared" si="2"/>
        <v>5.3590845420506739E-2</v>
      </c>
      <c r="AY58" s="557">
        <f t="shared" si="2"/>
        <v>5.5670613858395335E-2</v>
      </c>
      <c r="AZ58" s="557">
        <f t="shared" si="2"/>
        <v>5.7729280447265996E-2</v>
      </c>
      <c r="BA58" s="557">
        <f t="shared" si="2"/>
        <v>5.976684518711961E-2</v>
      </c>
      <c r="BB58" s="557">
        <f t="shared" si="2"/>
        <v>6.1783308077953514E-2</v>
      </c>
      <c r="BC58" s="557">
        <f t="shared" si="2"/>
        <v>6.3778669119769038E-2</v>
      </c>
      <c r="BD58" s="557">
        <f t="shared" si="2"/>
        <v>8.2571677841929869E-2</v>
      </c>
      <c r="BE58" s="557">
        <f t="shared" si="2"/>
        <v>0.11382714058077603</v>
      </c>
      <c r="BF58" s="557">
        <f t="shared" si="2"/>
        <v>0.13664186371232923</v>
      </c>
      <c r="BG58" s="557">
        <f t="shared" si="2"/>
        <v>0.1510158472365859</v>
      </c>
      <c r="BH58" s="557">
        <f t="shared" si="2"/>
        <v>0.15694909115354605</v>
      </c>
      <c r="BI58" s="1163">
        <f t="shared" si="2"/>
        <v>0.15444159546321501</v>
      </c>
    </row>
    <row r="59" spans="3:61" x14ac:dyDescent="0.45">
      <c r="C59" s="1267"/>
      <c r="D59" s="1141" t="s">
        <v>519</v>
      </c>
      <c r="E59" s="1261"/>
      <c r="F59" s="72">
        <v>10</v>
      </c>
      <c r="G59" s="56">
        <v>2.9291019666892044</v>
      </c>
      <c r="H59" s="56">
        <v>2.9919690659722638</v>
      </c>
      <c r="I59" s="56">
        <v>3.0548652404414298</v>
      </c>
      <c r="J59" s="56">
        <v>3.1177904900967022</v>
      </c>
      <c r="K59" s="56">
        <v>3.1807448149380813</v>
      </c>
      <c r="L59" s="56">
        <v>3.2437282149655671</v>
      </c>
      <c r="M59" s="56">
        <v>3.3067406901791592</v>
      </c>
      <c r="N59" s="56">
        <v>3.3697822405788584</v>
      </c>
      <c r="O59" s="56">
        <v>3.4328528661646631</v>
      </c>
      <c r="P59" s="56">
        <v>3.495952566936575</v>
      </c>
      <c r="Q59" s="56">
        <v>3.559081342894594</v>
      </c>
      <c r="R59" s="56">
        <v>4.1919682377106389</v>
      </c>
      <c r="S59" s="56">
        <v>5.4664645831746999</v>
      </c>
      <c r="T59" s="56">
        <v>6.7525910030813838</v>
      </c>
      <c r="U59" s="56">
        <v>8.0503474974306926</v>
      </c>
      <c r="V59" s="56">
        <v>9.3597340662226287</v>
      </c>
      <c r="W59" s="59">
        <v>10.680750709457188</v>
      </c>
      <c r="Y59" s="1001"/>
      <c r="Z59" s="25">
        <v>10</v>
      </c>
      <c r="AA59" s="557">
        <v>2.9719774421849907</v>
      </c>
      <c r="AB59" s="557">
        <v>3.0370298191510305</v>
      </c>
      <c r="AC59" s="557">
        <v>3.1020901694541587</v>
      </c>
      <c r="AD59" s="557">
        <v>3.1671584930943752</v>
      </c>
      <c r="AE59" s="557">
        <v>3.2322347900716801</v>
      </c>
      <c r="AF59" s="557">
        <v>3.2973190603860734</v>
      </c>
      <c r="AG59" s="557">
        <v>3.3624113040375549</v>
      </c>
      <c r="AH59" s="557">
        <v>3.4275115210261244</v>
      </c>
      <c r="AI59" s="557">
        <v>3.4926197113517823</v>
      </c>
      <c r="AJ59" s="557">
        <v>3.5577358750145294</v>
      </c>
      <c r="AK59" s="557">
        <v>3.6228600120143635</v>
      </c>
      <c r="AL59" s="557">
        <v>4.2745399155525687</v>
      </c>
      <c r="AM59" s="557">
        <v>5.5802917237554759</v>
      </c>
      <c r="AN59" s="557">
        <v>6.8892328667937113</v>
      </c>
      <c r="AO59" s="557">
        <v>8.2013633446672802</v>
      </c>
      <c r="AP59" s="557">
        <v>9.5166831573761765</v>
      </c>
      <c r="AQ59" s="1163">
        <v>10.835192304920405</v>
      </c>
      <c r="AS59" s="1166">
        <f t="shared" ref="AS59:AS76" si="3">AA59-G59</f>
        <v>4.2875475495786297E-2</v>
      </c>
      <c r="AT59" s="557">
        <f t="shared" ref="AT59:AT76" si="4">AB59-H59</f>
        <v>4.5060753178766788E-2</v>
      </c>
      <c r="AU59" s="557">
        <f t="shared" ref="AU59:AU76" si="5">AC59-I59</f>
        <v>4.72249290127289E-2</v>
      </c>
      <c r="AV59" s="557">
        <f t="shared" ref="AV59:AV76" si="6">AD59-J59</f>
        <v>4.9368002997673077E-2</v>
      </c>
      <c r="AW59" s="557">
        <f t="shared" ref="AW59:AW76" si="7">AE59-K59</f>
        <v>5.1489975133598875E-2</v>
      </c>
      <c r="AX59" s="557">
        <f t="shared" ref="AX59:AX76" si="8">AF59-L59</f>
        <v>5.3590845420506295E-2</v>
      </c>
      <c r="AY59" s="557">
        <f t="shared" ref="AY59:AY76" si="9">AG59-M59</f>
        <v>5.5670613858395779E-2</v>
      </c>
      <c r="AZ59" s="557">
        <f t="shared" ref="AZ59:AZ76" si="10">AH59-N59</f>
        <v>5.7729280447265996E-2</v>
      </c>
      <c r="BA59" s="557">
        <f t="shared" ref="BA59:BA76" si="11">AI59-O59</f>
        <v>5.9766845187119166E-2</v>
      </c>
      <c r="BB59" s="557">
        <f t="shared" ref="BB59:BB76" si="12">AJ59-P59</f>
        <v>6.1783308077954402E-2</v>
      </c>
      <c r="BC59" s="557">
        <f t="shared" ref="BC59:BC76" si="13">AK59-Q59</f>
        <v>6.3778669119769482E-2</v>
      </c>
      <c r="BD59" s="557">
        <f t="shared" ref="BD59:BD76" si="14">AL59-R59</f>
        <v>8.2571677841929869E-2</v>
      </c>
      <c r="BE59" s="557">
        <f t="shared" ref="BE59:BE76" si="15">AM59-S59</f>
        <v>0.11382714058077603</v>
      </c>
      <c r="BF59" s="557">
        <f t="shared" ref="BF59:BF76" si="16">AN59-T59</f>
        <v>0.13664186371232745</v>
      </c>
      <c r="BG59" s="557">
        <f t="shared" ref="BG59:BG76" si="17">AO59-U59</f>
        <v>0.15101584723658767</v>
      </c>
      <c r="BH59" s="557">
        <f t="shared" ref="BH59:BH76" si="18">AP59-V59</f>
        <v>0.15694909115354783</v>
      </c>
      <c r="BI59" s="1163">
        <f t="shared" ref="BI59:BI76" si="19">AQ59-W59</f>
        <v>0.15444159546321679</v>
      </c>
    </row>
    <row r="60" spans="3:61" x14ac:dyDescent="0.45">
      <c r="C60" s="1267"/>
      <c r="D60" s="1141" t="s">
        <v>520</v>
      </c>
      <c r="E60" s="1261"/>
      <c r="F60" s="72">
        <v>20</v>
      </c>
      <c r="G60" s="56">
        <v>2.9345724761704925</v>
      </c>
      <c r="H60" s="380">
        <v>2.9974455823006627</v>
      </c>
      <c r="I60" s="56">
        <v>3.0603477636169405</v>
      </c>
      <c r="J60" s="56">
        <v>3.1232790201193237</v>
      </c>
      <c r="K60" s="56">
        <v>3.1862393518078136</v>
      </c>
      <c r="L60" s="56">
        <v>3.2492287586824098</v>
      </c>
      <c r="M60" s="56">
        <v>3.3122472407431136</v>
      </c>
      <c r="N60" s="56">
        <v>3.3752947979899233</v>
      </c>
      <c r="O60" s="56">
        <v>3.4383714304228392</v>
      </c>
      <c r="P60" s="56">
        <v>3.5014771380418619</v>
      </c>
      <c r="Q60" s="56">
        <v>3.5646119208469909</v>
      </c>
      <c r="R60" s="56">
        <v>4.1975588841341462</v>
      </c>
      <c r="S60" s="56">
        <v>5.4721753665404238</v>
      </c>
      <c r="T60" s="56">
        <v>6.7584219233893261</v>
      </c>
      <c r="U60" s="56">
        <v>8.0562985546808541</v>
      </c>
      <c r="V60" s="56">
        <v>9.3658052604150086</v>
      </c>
      <c r="W60" s="59">
        <v>10.686942040591784</v>
      </c>
      <c r="Y60" s="1001"/>
      <c r="Z60" s="25">
        <v>20</v>
      </c>
      <c r="AA60" s="557">
        <v>2.9774479516662797</v>
      </c>
      <c r="AB60" s="557">
        <v>3.0425063354794304</v>
      </c>
      <c r="AC60" s="557">
        <v>3.1075726926296694</v>
      </c>
      <c r="AD60" s="557">
        <v>3.1726470231169968</v>
      </c>
      <c r="AE60" s="557">
        <v>3.2377293269414116</v>
      </c>
      <c r="AF60" s="557">
        <v>3.3028196041029165</v>
      </c>
      <c r="AG60" s="557">
        <v>3.3679178546015089</v>
      </c>
      <c r="AH60" s="557">
        <v>3.4330240784371888</v>
      </c>
      <c r="AI60" s="557">
        <v>3.4981382756099579</v>
      </c>
      <c r="AJ60" s="557">
        <v>3.5632604461198158</v>
      </c>
      <c r="AK60" s="557">
        <v>3.6283905899667617</v>
      </c>
      <c r="AL60" s="557">
        <v>4.2801305619760743</v>
      </c>
      <c r="AM60" s="557">
        <v>5.5860025071212007</v>
      </c>
      <c r="AN60" s="557">
        <v>6.8950637871016554</v>
      </c>
      <c r="AO60" s="557">
        <v>8.20731440191744</v>
      </c>
      <c r="AP60" s="557">
        <v>9.5227543515685564</v>
      </c>
      <c r="AQ60" s="1163">
        <v>10.841383636055001</v>
      </c>
      <c r="AS60" s="1166">
        <f t="shared" si="3"/>
        <v>4.2875475495787185E-2</v>
      </c>
      <c r="AT60" s="557">
        <f t="shared" si="4"/>
        <v>4.5060753178767676E-2</v>
      </c>
      <c r="AU60" s="557">
        <f t="shared" si="5"/>
        <v>4.72249290127289E-2</v>
      </c>
      <c r="AV60" s="557">
        <f t="shared" si="6"/>
        <v>4.9368002997673077E-2</v>
      </c>
      <c r="AW60" s="557">
        <f t="shared" si="7"/>
        <v>5.1489975133597987E-2</v>
      </c>
      <c r="AX60" s="557">
        <f t="shared" si="8"/>
        <v>5.3590845420506739E-2</v>
      </c>
      <c r="AY60" s="557">
        <f t="shared" si="9"/>
        <v>5.5670613858395335E-2</v>
      </c>
      <c r="AZ60" s="557">
        <f t="shared" si="10"/>
        <v>5.7729280447265552E-2</v>
      </c>
      <c r="BA60" s="557">
        <f t="shared" si="11"/>
        <v>5.9766845187118722E-2</v>
      </c>
      <c r="BB60" s="557">
        <f t="shared" si="12"/>
        <v>6.1783308077953958E-2</v>
      </c>
      <c r="BC60" s="557">
        <f t="shared" si="13"/>
        <v>6.3778669119770814E-2</v>
      </c>
      <c r="BD60" s="557">
        <f t="shared" si="14"/>
        <v>8.2571677841928093E-2</v>
      </c>
      <c r="BE60" s="557">
        <f t="shared" si="15"/>
        <v>0.11382714058077692</v>
      </c>
      <c r="BF60" s="557">
        <f t="shared" si="16"/>
        <v>0.13664186371232923</v>
      </c>
      <c r="BG60" s="557">
        <f t="shared" si="17"/>
        <v>0.1510158472365859</v>
      </c>
      <c r="BH60" s="557">
        <f t="shared" si="18"/>
        <v>0.15694909115354783</v>
      </c>
      <c r="BI60" s="1163">
        <f t="shared" si="19"/>
        <v>0.15444159546321679</v>
      </c>
    </row>
    <row r="61" spans="3:61" x14ac:dyDescent="0.45">
      <c r="C61" s="1267"/>
      <c r="D61" s="1141" t="s">
        <v>521</v>
      </c>
      <c r="E61" s="1261"/>
      <c r="F61" s="72">
        <v>30</v>
      </c>
      <c r="G61" s="56">
        <v>2.9921693634318025</v>
      </c>
      <c r="H61" s="56">
        <v>3.0551387501181235</v>
      </c>
      <c r="I61" s="56">
        <v>3.1181372119905513</v>
      </c>
      <c r="J61" s="56">
        <v>3.1811647490490857</v>
      </c>
      <c r="K61" s="56">
        <v>3.2442213612937265</v>
      </c>
      <c r="L61" s="56">
        <v>3.307307048724474</v>
      </c>
      <c r="M61" s="56">
        <v>3.3704218113413278</v>
      </c>
      <c r="N61" s="56">
        <v>3.4335656491442879</v>
      </c>
      <c r="O61" s="56">
        <v>3.4967385621333547</v>
      </c>
      <c r="P61" s="56">
        <v>3.5599405503085286</v>
      </c>
      <c r="Q61" s="56">
        <v>3.6231716136698089</v>
      </c>
      <c r="R61" s="56">
        <v>4.2570813825184706</v>
      </c>
      <c r="S61" s="56">
        <v>5.5336234760477652</v>
      </c>
      <c r="T61" s="56">
        <v>6.8217956440196819</v>
      </c>
      <c r="U61" s="56">
        <v>8.1215978864342269</v>
      </c>
      <c r="V61" s="56">
        <v>9.4330302032913949</v>
      </c>
      <c r="W61" s="59">
        <v>10.756092594591189</v>
      </c>
      <c r="Y61" s="1001"/>
      <c r="Z61" s="25">
        <v>30</v>
      </c>
      <c r="AA61" s="557">
        <v>3.0350448389275893</v>
      </c>
      <c r="AB61" s="557">
        <v>3.1001995032968903</v>
      </c>
      <c r="AC61" s="557">
        <v>3.1653621410032802</v>
      </c>
      <c r="AD61" s="557">
        <v>3.2305327520467588</v>
      </c>
      <c r="AE61" s="557">
        <v>3.2957113364273249</v>
      </c>
      <c r="AF61" s="557">
        <v>3.3608978941449799</v>
      </c>
      <c r="AG61" s="557">
        <v>3.4260924251997222</v>
      </c>
      <c r="AH61" s="557">
        <v>3.4912949295915539</v>
      </c>
      <c r="AI61" s="557">
        <v>3.5565054073204743</v>
      </c>
      <c r="AJ61" s="557">
        <v>3.6217238583864821</v>
      </c>
      <c r="AK61" s="557">
        <v>3.6869502827895788</v>
      </c>
      <c r="AL61" s="557">
        <v>4.3396530603604004</v>
      </c>
      <c r="AM61" s="557">
        <v>5.6474506166285421</v>
      </c>
      <c r="AN61" s="557">
        <v>6.9584375077320111</v>
      </c>
      <c r="AO61" s="557">
        <v>8.2726137336708128</v>
      </c>
      <c r="AP61" s="557">
        <v>9.5899792944449445</v>
      </c>
      <c r="AQ61" s="1163">
        <v>10.910534190054404</v>
      </c>
      <c r="AS61" s="1166">
        <f t="shared" si="3"/>
        <v>4.2875475495786741E-2</v>
      </c>
      <c r="AT61" s="557">
        <f t="shared" si="4"/>
        <v>4.5060753178766788E-2</v>
      </c>
      <c r="AU61" s="557">
        <f t="shared" si="5"/>
        <v>4.72249290127289E-2</v>
      </c>
      <c r="AV61" s="557">
        <f t="shared" si="6"/>
        <v>4.9368002997673077E-2</v>
      </c>
      <c r="AW61" s="557">
        <f t="shared" si="7"/>
        <v>5.1489975133598431E-2</v>
      </c>
      <c r="AX61" s="557">
        <f t="shared" si="8"/>
        <v>5.359084542050585E-2</v>
      </c>
      <c r="AY61" s="557">
        <f t="shared" si="9"/>
        <v>5.5670613858394447E-2</v>
      </c>
      <c r="AZ61" s="557">
        <f t="shared" si="10"/>
        <v>5.7729280447265996E-2</v>
      </c>
      <c r="BA61" s="557">
        <f t="shared" si="11"/>
        <v>5.976684518711961E-2</v>
      </c>
      <c r="BB61" s="557">
        <f t="shared" si="12"/>
        <v>6.1783308077953514E-2</v>
      </c>
      <c r="BC61" s="557">
        <f t="shared" si="13"/>
        <v>6.3778669119769926E-2</v>
      </c>
      <c r="BD61" s="557">
        <f t="shared" si="14"/>
        <v>8.2571677841929869E-2</v>
      </c>
      <c r="BE61" s="557">
        <f t="shared" si="15"/>
        <v>0.11382714058077692</v>
      </c>
      <c r="BF61" s="557">
        <f t="shared" si="16"/>
        <v>0.13664186371232923</v>
      </c>
      <c r="BG61" s="557">
        <f t="shared" si="17"/>
        <v>0.1510158472365859</v>
      </c>
      <c r="BH61" s="557">
        <f t="shared" si="18"/>
        <v>0.1569490911535496</v>
      </c>
      <c r="BI61" s="1163">
        <f t="shared" si="19"/>
        <v>0.15444159546321501</v>
      </c>
    </row>
    <row r="62" spans="3:61" x14ac:dyDescent="0.45">
      <c r="C62" s="1267"/>
      <c r="D62" s="1141" t="s">
        <v>496</v>
      </c>
      <c r="E62" s="1261"/>
      <c r="F62" s="72">
        <v>40</v>
      </c>
      <c r="G62" s="56">
        <v>3.054070370968101</v>
      </c>
      <c r="H62" s="56">
        <v>3.1171434921891135</v>
      </c>
      <c r="I62" s="56">
        <v>3.1802456885962327</v>
      </c>
      <c r="J62" s="56">
        <v>3.2433769601894582</v>
      </c>
      <c r="K62" s="56">
        <v>3.3065373069687904</v>
      </c>
      <c r="L62" s="56">
        <v>3.3697267289342294</v>
      </c>
      <c r="M62" s="56">
        <v>3.4329452260857747</v>
      </c>
      <c r="N62" s="56">
        <v>3.4961927984234267</v>
      </c>
      <c r="O62" s="56">
        <v>3.559469445947185</v>
      </c>
      <c r="P62" s="56">
        <v>3.62277516865705</v>
      </c>
      <c r="Q62" s="56">
        <v>3.6861099665530226</v>
      </c>
      <c r="R62" s="56">
        <v>4.3210570807485986</v>
      </c>
      <c r="S62" s="56">
        <v>5.5996738649717237</v>
      </c>
      <c r="T62" s="56">
        <v>6.8899207236374691</v>
      </c>
      <c r="U62" s="56">
        <v>8.1917976567458428</v>
      </c>
      <c r="V62" s="56">
        <v>9.5053046642968404</v>
      </c>
      <c r="W62" s="59">
        <v>10.830441746290465</v>
      </c>
      <c r="Y62" s="1001"/>
      <c r="Z62" s="25">
        <v>40</v>
      </c>
      <c r="AA62" s="557">
        <v>3.0969458464638882</v>
      </c>
      <c r="AB62" s="557">
        <v>3.1622042453678803</v>
      </c>
      <c r="AC62" s="557">
        <v>3.2274706176089616</v>
      </c>
      <c r="AD62" s="557">
        <v>3.2927449631871313</v>
      </c>
      <c r="AE62" s="557">
        <v>3.3580272821023893</v>
      </c>
      <c r="AF62" s="557">
        <v>3.4233175743547353</v>
      </c>
      <c r="AG62" s="557">
        <v>3.48861583994417</v>
      </c>
      <c r="AH62" s="557">
        <v>3.5539220788706931</v>
      </c>
      <c r="AI62" s="557">
        <v>3.6192362911343041</v>
      </c>
      <c r="AJ62" s="557">
        <v>3.6845584767350044</v>
      </c>
      <c r="AK62" s="557">
        <v>3.7498886356727916</v>
      </c>
      <c r="AL62" s="557">
        <v>4.4036287585905285</v>
      </c>
      <c r="AM62" s="557">
        <v>5.7135010055524997</v>
      </c>
      <c r="AN62" s="557">
        <v>7.0265625873497992</v>
      </c>
      <c r="AO62" s="557">
        <v>8.3428135039824305</v>
      </c>
      <c r="AP62" s="557">
        <v>9.66225375545039</v>
      </c>
      <c r="AQ62" s="1163">
        <v>10.984883341753681</v>
      </c>
      <c r="AS62" s="1166">
        <f t="shared" si="3"/>
        <v>4.2875475495787185E-2</v>
      </c>
      <c r="AT62" s="557">
        <f t="shared" si="4"/>
        <v>4.5060753178766788E-2</v>
      </c>
      <c r="AU62" s="557">
        <f t="shared" si="5"/>
        <v>4.72249290127289E-2</v>
      </c>
      <c r="AV62" s="557">
        <f t="shared" si="6"/>
        <v>4.9368002997673077E-2</v>
      </c>
      <c r="AW62" s="557">
        <f t="shared" si="7"/>
        <v>5.1489975133598875E-2</v>
      </c>
      <c r="AX62" s="557">
        <f t="shared" si="8"/>
        <v>5.359084542050585E-2</v>
      </c>
      <c r="AY62" s="557">
        <f t="shared" si="9"/>
        <v>5.5670613858395335E-2</v>
      </c>
      <c r="AZ62" s="557">
        <f t="shared" si="10"/>
        <v>5.772928044726644E-2</v>
      </c>
      <c r="BA62" s="557">
        <f t="shared" si="11"/>
        <v>5.9766845187119166E-2</v>
      </c>
      <c r="BB62" s="557">
        <f t="shared" si="12"/>
        <v>6.1783308077954402E-2</v>
      </c>
      <c r="BC62" s="557">
        <f t="shared" si="13"/>
        <v>6.3778669119769038E-2</v>
      </c>
      <c r="BD62" s="557">
        <f t="shared" si="14"/>
        <v>8.2571677841929869E-2</v>
      </c>
      <c r="BE62" s="557">
        <f t="shared" si="15"/>
        <v>0.11382714058077603</v>
      </c>
      <c r="BF62" s="557">
        <f t="shared" si="16"/>
        <v>0.13664186371233011</v>
      </c>
      <c r="BG62" s="557">
        <f t="shared" si="17"/>
        <v>0.15101584723658767</v>
      </c>
      <c r="BH62" s="557">
        <f t="shared" si="18"/>
        <v>0.1569490911535496</v>
      </c>
      <c r="BI62" s="1163">
        <f t="shared" si="19"/>
        <v>0.15444159546321679</v>
      </c>
    </row>
    <row r="63" spans="3:61" x14ac:dyDescent="0.45">
      <c r="C63" s="1267"/>
      <c r="D63" s="1141" t="s">
        <v>523</v>
      </c>
      <c r="E63" s="1261"/>
      <c r="F63" s="72">
        <v>50</v>
      </c>
      <c r="G63" s="56">
        <v>3.1207954596179777</v>
      </c>
      <c r="H63" s="56">
        <v>3.183980669832851</v>
      </c>
      <c r="I63" s="56">
        <v>3.2471949552338319</v>
      </c>
      <c r="J63" s="56">
        <v>3.3104383158209192</v>
      </c>
      <c r="K63" s="56">
        <v>3.3737107515941127</v>
      </c>
      <c r="L63" s="56">
        <v>3.4370122625534121</v>
      </c>
      <c r="M63" s="56">
        <v>3.5003428486988191</v>
      </c>
      <c r="N63" s="56">
        <v>3.5637025100303323</v>
      </c>
      <c r="O63" s="56">
        <v>3.6270912465479519</v>
      </c>
      <c r="P63" s="56">
        <v>3.6905090582516782</v>
      </c>
      <c r="Q63" s="56">
        <v>3.7539559451415112</v>
      </c>
      <c r="R63" s="56">
        <v>4.3900239492757009</v>
      </c>
      <c r="S63" s="56">
        <v>5.6708825133760499</v>
      </c>
      <c r="T63" s="56">
        <v>6.9633711519190218</v>
      </c>
      <c r="U63" s="56">
        <v>8.2674898649046202</v>
      </c>
      <c r="V63" s="56">
        <v>9.5832386523328452</v>
      </c>
      <c r="W63" s="59">
        <v>10.910617514203695</v>
      </c>
      <c r="Y63" s="1001"/>
      <c r="Z63" s="25">
        <v>50</v>
      </c>
      <c r="AA63" s="557">
        <v>3.163670935113764</v>
      </c>
      <c r="AB63" s="557">
        <v>3.2290414230116182</v>
      </c>
      <c r="AC63" s="557">
        <v>3.2944198842465608</v>
      </c>
      <c r="AD63" s="557">
        <v>3.3598063188185918</v>
      </c>
      <c r="AE63" s="557">
        <v>3.4252007267277107</v>
      </c>
      <c r="AF63" s="557">
        <v>3.4906031079739184</v>
      </c>
      <c r="AG63" s="557">
        <v>3.5560134625572148</v>
      </c>
      <c r="AH63" s="557">
        <v>3.6214317904775988</v>
      </c>
      <c r="AI63" s="557">
        <v>3.6868580917350711</v>
      </c>
      <c r="AJ63" s="557">
        <v>3.7522923663296317</v>
      </c>
      <c r="AK63" s="557">
        <v>3.8177346142612807</v>
      </c>
      <c r="AL63" s="557">
        <v>4.4725956271176308</v>
      </c>
      <c r="AM63" s="557">
        <v>5.7847096539568268</v>
      </c>
      <c r="AN63" s="557">
        <v>7.1000130156313519</v>
      </c>
      <c r="AO63" s="557">
        <v>8.4185057121412079</v>
      </c>
      <c r="AP63" s="557">
        <v>9.740187743486393</v>
      </c>
      <c r="AQ63" s="1163">
        <v>11.06505910966691</v>
      </c>
      <c r="AS63" s="1166">
        <f t="shared" si="3"/>
        <v>4.2875475495786297E-2</v>
      </c>
      <c r="AT63" s="557">
        <f t="shared" si="4"/>
        <v>4.5060753178767232E-2</v>
      </c>
      <c r="AU63" s="557">
        <f t="shared" si="5"/>
        <v>4.72249290127289E-2</v>
      </c>
      <c r="AV63" s="557">
        <f t="shared" si="6"/>
        <v>4.9368002997672633E-2</v>
      </c>
      <c r="AW63" s="557">
        <f t="shared" si="7"/>
        <v>5.1489975133597987E-2</v>
      </c>
      <c r="AX63" s="557">
        <f t="shared" si="8"/>
        <v>5.3590845420506295E-2</v>
      </c>
      <c r="AY63" s="557">
        <f t="shared" si="9"/>
        <v>5.5670613858395779E-2</v>
      </c>
      <c r="AZ63" s="557">
        <f t="shared" si="10"/>
        <v>5.772928044726644E-2</v>
      </c>
      <c r="BA63" s="557">
        <f t="shared" si="11"/>
        <v>5.9766845187119166E-2</v>
      </c>
      <c r="BB63" s="557">
        <f t="shared" si="12"/>
        <v>6.1783308077953514E-2</v>
      </c>
      <c r="BC63" s="557">
        <f t="shared" si="13"/>
        <v>6.3778669119769482E-2</v>
      </c>
      <c r="BD63" s="557">
        <f t="shared" si="14"/>
        <v>8.2571677841929869E-2</v>
      </c>
      <c r="BE63" s="557">
        <f t="shared" si="15"/>
        <v>0.11382714058077692</v>
      </c>
      <c r="BF63" s="557">
        <f t="shared" si="16"/>
        <v>0.13664186371233011</v>
      </c>
      <c r="BG63" s="557">
        <f t="shared" si="17"/>
        <v>0.15101584723658767</v>
      </c>
      <c r="BH63" s="557">
        <f t="shared" si="18"/>
        <v>0.15694909115354783</v>
      </c>
      <c r="BI63" s="1163">
        <f t="shared" si="19"/>
        <v>0.15444159546321501</v>
      </c>
    </row>
    <row r="64" spans="3:61" x14ac:dyDescent="0.45">
      <c r="C64" s="1267"/>
      <c r="D64" s="1141" t="s">
        <v>524</v>
      </c>
      <c r="E64" s="1261"/>
      <c r="F64" s="72">
        <v>60</v>
      </c>
      <c r="G64" s="56">
        <v>3.1929518563747505</v>
      </c>
      <c r="H64" s="56">
        <v>3.2562585616529001</v>
      </c>
      <c r="I64" s="56">
        <v>3.3195943421171568</v>
      </c>
      <c r="J64" s="56">
        <v>3.3829591977675202</v>
      </c>
      <c r="K64" s="56">
        <v>3.4463531286039899</v>
      </c>
      <c r="L64" s="56">
        <v>3.5097761346265659</v>
      </c>
      <c r="M64" s="56">
        <v>3.5732282158352486</v>
      </c>
      <c r="N64" s="56">
        <v>3.6367093722300377</v>
      </c>
      <c r="O64" s="56">
        <v>3.7002196038109343</v>
      </c>
      <c r="P64" s="56">
        <v>3.7637589105779368</v>
      </c>
      <c r="Q64" s="56">
        <v>3.827327292531046</v>
      </c>
      <c r="R64" s="56">
        <v>4.4646102472979967</v>
      </c>
      <c r="S64" s="56">
        <v>5.7478987126638703</v>
      </c>
      <c r="T64" s="56">
        <v>7.0428172524723669</v>
      </c>
      <c r="U64" s="56">
        <v>8.34936586672349</v>
      </c>
      <c r="V64" s="56">
        <v>9.667544555417237</v>
      </c>
      <c r="W64" s="59">
        <v>10.997353318553611</v>
      </c>
      <c r="Y64" s="1001"/>
      <c r="Z64" s="25">
        <v>60</v>
      </c>
      <c r="AA64" s="557">
        <v>3.2358273318705364</v>
      </c>
      <c r="AB64" s="557">
        <v>3.3013193148316669</v>
      </c>
      <c r="AC64" s="557">
        <v>3.3668192711298857</v>
      </c>
      <c r="AD64" s="557">
        <v>3.4323272007651928</v>
      </c>
      <c r="AE64" s="557">
        <v>3.4978431037375879</v>
      </c>
      <c r="AF64" s="557">
        <v>3.5633669800470713</v>
      </c>
      <c r="AG64" s="557">
        <v>3.628898829693644</v>
      </c>
      <c r="AH64" s="557">
        <v>3.694438652677305</v>
      </c>
      <c r="AI64" s="557">
        <v>3.7599864489980535</v>
      </c>
      <c r="AJ64" s="557">
        <v>3.8255422186558898</v>
      </c>
      <c r="AK64" s="557">
        <v>3.891105961650815</v>
      </c>
      <c r="AL64" s="557">
        <v>4.5471819251399266</v>
      </c>
      <c r="AM64" s="557">
        <v>5.8617258532446472</v>
      </c>
      <c r="AN64" s="557">
        <v>7.1794591161846952</v>
      </c>
      <c r="AO64" s="557">
        <v>8.5003817139600759</v>
      </c>
      <c r="AP64" s="557">
        <v>9.8244936465707831</v>
      </c>
      <c r="AQ64" s="1163">
        <v>11.151794914016827</v>
      </c>
      <c r="AS64" s="1166">
        <f t="shared" si="3"/>
        <v>4.2875475495785853E-2</v>
      </c>
      <c r="AT64" s="557">
        <f t="shared" si="4"/>
        <v>4.5060753178766788E-2</v>
      </c>
      <c r="AU64" s="557">
        <f t="shared" si="5"/>
        <v>4.72249290127289E-2</v>
      </c>
      <c r="AV64" s="557">
        <f t="shared" si="6"/>
        <v>4.9368002997672633E-2</v>
      </c>
      <c r="AW64" s="557">
        <f t="shared" si="7"/>
        <v>5.1489975133597987E-2</v>
      </c>
      <c r="AX64" s="557">
        <f t="shared" si="8"/>
        <v>5.3590845420505406E-2</v>
      </c>
      <c r="AY64" s="557">
        <f t="shared" si="9"/>
        <v>5.5670613858395335E-2</v>
      </c>
      <c r="AZ64" s="557">
        <f t="shared" si="10"/>
        <v>5.7729280447267328E-2</v>
      </c>
      <c r="BA64" s="557">
        <f t="shared" si="11"/>
        <v>5.9766845187119166E-2</v>
      </c>
      <c r="BB64" s="557">
        <f t="shared" si="12"/>
        <v>6.178330807795307E-2</v>
      </c>
      <c r="BC64" s="557">
        <f t="shared" si="13"/>
        <v>6.3778669119769038E-2</v>
      </c>
      <c r="BD64" s="557">
        <f t="shared" si="14"/>
        <v>8.2571677841929869E-2</v>
      </c>
      <c r="BE64" s="557">
        <f t="shared" si="15"/>
        <v>0.11382714058077692</v>
      </c>
      <c r="BF64" s="557">
        <f t="shared" si="16"/>
        <v>0.13664186371232834</v>
      </c>
      <c r="BG64" s="557">
        <f t="shared" si="17"/>
        <v>0.1510158472365859</v>
      </c>
      <c r="BH64" s="557">
        <f t="shared" si="18"/>
        <v>0.15694909115354605</v>
      </c>
      <c r="BI64" s="1163">
        <f t="shared" si="19"/>
        <v>0.15444159546321679</v>
      </c>
    </row>
    <row r="65" spans="3:61" x14ac:dyDescent="0.45">
      <c r="C65" s="1267"/>
      <c r="D65" s="1136"/>
      <c r="E65" s="1261"/>
      <c r="F65" s="72">
        <v>70</v>
      </c>
      <c r="G65" s="56">
        <v>3.2712531637634115</v>
      </c>
      <c r="H65" s="56">
        <v>3.3346920060081908</v>
      </c>
      <c r="I65" s="56">
        <v>3.3981599234390765</v>
      </c>
      <c r="J65" s="56">
        <v>3.461656916056068</v>
      </c>
      <c r="K65" s="56">
        <v>3.5251829838591666</v>
      </c>
      <c r="L65" s="56">
        <v>3.588738126848372</v>
      </c>
      <c r="M65" s="56">
        <v>3.6523223450236837</v>
      </c>
      <c r="N65" s="56">
        <v>3.7159356383851021</v>
      </c>
      <c r="O65" s="56">
        <v>3.7795780069326264</v>
      </c>
      <c r="P65" s="56">
        <v>3.8432494506662578</v>
      </c>
      <c r="Q65" s="56">
        <v>3.9069499695859955</v>
      </c>
      <c r="R65" s="56">
        <v>4.5455542940192366</v>
      </c>
      <c r="S65" s="56">
        <v>5.8314854987176856</v>
      </c>
      <c r="T65" s="56">
        <v>7.1290467778587594</v>
      </c>
      <c r="U65" s="56">
        <v>8.4382381314424588</v>
      </c>
      <c r="V65" s="56">
        <v>9.759059559468783</v>
      </c>
      <c r="W65" s="59">
        <v>11.091511061937734</v>
      </c>
      <c r="Y65" s="1001"/>
      <c r="Z65" s="25">
        <v>70</v>
      </c>
      <c r="AA65" s="557">
        <v>3.3141286392591982</v>
      </c>
      <c r="AB65" s="557">
        <v>3.3797527591869576</v>
      </c>
      <c r="AC65" s="557">
        <v>3.4453848524518049</v>
      </c>
      <c r="AD65" s="557">
        <v>3.511024919053741</v>
      </c>
      <c r="AE65" s="557">
        <v>3.5766729589927655</v>
      </c>
      <c r="AF65" s="557">
        <v>3.6423289722688779</v>
      </c>
      <c r="AG65" s="557">
        <v>3.7079929588820795</v>
      </c>
      <c r="AH65" s="557">
        <v>3.7736649188323677</v>
      </c>
      <c r="AI65" s="557">
        <v>3.8393448521197455</v>
      </c>
      <c r="AJ65" s="557">
        <v>3.9050327587442113</v>
      </c>
      <c r="AK65" s="557">
        <v>3.9707286387057659</v>
      </c>
      <c r="AL65" s="557">
        <v>4.6281259718611656</v>
      </c>
      <c r="AM65" s="557">
        <v>5.9453126392984625</v>
      </c>
      <c r="AN65" s="557">
        <v>7.2656886415710886</v>
      </c>
      <c r="AO65" s="557">
        <v>8.5892539786790447</v>
      </c>
      <c r="AP65" s="557">
        <v>9.9160086506223308</v>
      </c>
      <c r="AQ65" s="1163">
        <v>11.245952657400951</v>
      </c>
      <c r="AS65" s="1166">
        <f t="shared" si="3"/>
        <v>4.2875475495786741E-2</v>
      </c>
      <c r="AT65" s="557">
        <f t="shared" si="4"/>
        <v>4.5060753178766788E-2</v>
      </c>
      <c r="AU65" s="557">
        <f t="shared" si="5"/>
        <v>4.7224929012728456E-2</v>
      </c>
      <c r="AV65" s="557">
        <f t="shared" si="6"/>
        <v>4.9368002997673077E-2</v>
      </c>
      <c r="AW65" s="557">
        <f t="shared" si="7"/>
        <v>5.1489975133598875E-2</v>
      </c>
      <c r="AX65" s="557">
        <f t="shared" si="8"/>
        <v>5.359084542050585E-2</v>
      </c>
      <c r="AY65" s="557">
        <f t="shared" si="9"/>
        <v>5.5670613858395779E-2</v>
      </c>
      <c r="AZ65" s="557">
        <f t="shared" si="10"/>
        <v>5.7729280447265552E-2</v>
      </c>
      <c r="BA65" s="557">
        <f t="shared" si="11"/>
        <v>5.9766845187119166E-2</v>
      </c>
      <c r="BB65" s="557">
        <f t="shared" si="12"/>
        <v>6.1783308077953514E-2</v>
      </c>
      <c r="BC65" s="557">
        <f t="shared" si="13"/>
        <v>6.377866911977037E-2</v>
      </c>
      <c r="BD65" s="557">
        <f t="shared" si="14"/>
        <v>8.2571677841928981E-2</v>
      </c>
      <c r="BE65" s="557">
        <f t="shared" si="15"/>
        <v>0.11382714058077692</v>
      </c>
      <c r="BF65" s="557">
        <f t="shared" si="16"/>
        <v>0.13664186371232923</v>
      </c>
      <c r="BG65" s="557">
        <f t="shared" si="17"/>
        <v>0.1510158472365859</v>
      </c>
      <c r="BH65" s="557">
        <f t="shared" si="18"/>
        <v>0.15694909115354783</v>
      </c>
      <c r="BI65" s="1163">
        <f t="shared" si="19"/>
        <v>0.15444159546321679</v>
      </c>
    </row>
    <row r="66" spans="3:61" x14ac:dyDescent="0.45">
      <c r="C66" s="1267"/>
      <c r="D66" s="5"/>
      <c r="E66" s="1261"/>
      <c r="F66" s="72">
        <v>80</v>
      </c>
      <c r="G66" s="56">
        <v>3.3565437206494129</v>
      </c>
      <c r="H66" s="56">
        <v>3.4201268040104358</v>
      </c>
      <c r="I66" s="56">
        <v>3.483738962557565</v>
      </c>
      <c r="J66" s="56">
        <v>3.5473801962908005</v>
      </c>
      <c r="K66" s="56">
        <v>3.6110505052101427</v>
      </c>
      <c r="L66" s="56">
        <v>3.6747498893155912</v>
      </c>
      <c r="M66" s="56">
        <v>3.7384783486071473</v>
      </c>
      <c r="N66" s="56">
        <v>3.8022358830848093</v>
      </c>
      <c r="O66" s="56">
        <v>3.866022492748578</v>
      </c>
      <c r="P66" s="56">
        <v>3.929838177598453</v>
      </c>
      <c r="Q66" s="56">
        <v>3.9936829376344347</v>
      </c>
      <c r="R66" s="56">
        <v>4.6337296732301123</v>
      </c>
      <c r="S66" s="56">
        <v>5.9225457002534361</v>
      </c>
      <c r="T66" s="56">
        <v>7.2229918017193846</v>
      </c>
      <c r="U66" s="56">
        <v>8.535067977627957</v>
      </c>
      <c r="V66" s="56">
        <v>9.8587742279791559</v>
      </c>
      <c r="W66" s="59">
        <v>11.194110552772981</v>
      </c>
      <c r="Y66" s="1001"/>
      <c r="Z66" s="25">
        <v>80</v>
      </c>
      <c r="AA66" s="557">
        <v>3.3994191961451996</v>
      </c>
      <c r="AB66" s="557">
        <v>3.4651875571892026</v>
      </c>
      <c r="AC66" s="557">
        <v>3.5309638915702939</v>
      </c>
      <c r="AD66" s="557">
        <v>3.596748199288474</v>
      </c>
      <c r="AE66" s="557">
        <v>3.6625404803437416</v>
      </c>
      <c r="AF66" s="557">
        <v>3.7283407347360975</v>
      </c>
      <c r="AG66" s="557">
        <v>3.7941489624655427</v>
      </c>
      <c r="AH66" s="557">
        <v>3.8599651635320757</v>
      </c>
      <c r="AI66" s="557">
        <v>3.9257893379356967</v>
      </c>
      <c r="AJ66" s="557">
        <v>3.9916214856764061</v>
      </c>
      <c r="AK66" s="557">
        <v>4.0574616067542042</v>
      </c>
      <c r="AL66" s="557">
        <v>4.7163013510720404</v>
      </c>
      <c r="AM66" s="557">
        <v>6.036372840834213</v>
      </c>
      <c r="AN66" s="557">
        <v>7.3596336654317129</v>
      </c>
      <c r="AO66" s="557">
        <v>8.6860838248645429</v>
      </c>
      <c r="AP66" s="557">
        <v>10.015723319132704</v>
      </c>
      <c r="AQ66" s="1163">
        <v>11.348552148236198</v>
      </c>
      <c r="AS66" s="1166">
        <f t="shared" si="3"/>
        <v>4.2875475495786741E-2</v>
      </c>
      <c r="AT66" s="557">
        <f t="shared" si="4"/>
        <v>4.5060753178766788E-2</v>
      </c>
      <c r="AU66" s="557">
        <f t="shared" si="5"/>
        <v>4.72249290127289E-2</v>
      </c>
      <c r="AV66" s="557">
        <f t="shared" si="6"/>
        <v>4.9368002997673521E-2</v>
      </c>
      <c r="AW66" s="557">
        <f t="shared" si="7"/>
        <v>5.1489975133598875E-2</v>
      </c>
      <c r="AX66" s="557">
        <f t="shared" si="8"/>
        <v>5.3590845420506295E-2</v>
      </c>
      <c r="AY66" s="557">
        <f t="shared" si="9"/>
        <v>5.5670613858395335E-2</v>
      </c>
      <c r="AZ66" s="557">
        <f t="shared" si="10"/>
        <v>5.772928044726644E-2</v>
      </c>
      <c r="BA66" s="557">
        <f t="shared" si="11"/>
        <v>5.9766845187118722E-2</v>
      </c>
      <c r="BB66" s="557">
        <f t="shared" si="12"/>
        <v>6.178330807795307E-2</v>
      </c>
      <c r="BC66" s="557">
        <f t="shared" si="13"/>
        <v>6.3778669119769482E-2</v>
      </c>
      <c r="BD66" s="557">
        <f t="shared" si="14"/>
        <v>8.2571677841928093E-2</v>
      </c>
      <c r="BE66" s="557">
        <f t="shared" si="15"/>
        <v>0.11382714058077692</v>
      </c>
      <c r="BF66" s="557">
        <f t="shared" si="16"/>
        <v>0.13664186371232834</v>
      </c>
      <c r="BG66" s="557">
        <f t="shared" si="17"/>
        <v>0.1510158472365859</v>
      </c>
      <c r="BH66" s="557">
        <f t="shared" si="18"/>
        <v>0.15694909115354783</v>
      </c>
      <c r="BI66" s="1163">
        <f t="shared" si="19"/>
        <v>0.15444159546321679</v>
      </c>
    </row>
    <row r="67" spans="3:61" x14ac:dyDescent="0.45">
      <c r="C67" s="1267"/>
      <c r="D67" s="5"/>
      <c r="E67" s="1261"/>
      <c r="F67" s="72">
        <v>90</v>
      </c>
      <c r="G67" s="56">
        <v>3.4498299789603708</v>
      </c>
      <c r="H67" s="56">
        <v>3.5135711505847969</v>
      </c>
      <c r="I67" s="56">
        <v>3.5773413973953287</v>
      </c>
      <c r="J67" s="56">
        <v>3.6411407193919678</v>
      </c>
      <c r="K67" s="56">
        <v>3.7049691165747136</v>
      </c>
      <c r="L67" s="56">
        <v>3.7688265889435653</v>
      </c>
      <c r="M67" s="56">
        <v>3.8327131364985236</v>
      </c>
      <c r="N67" s="56">
        <v>3.8966287592395892</v>
      </c>
      <c r="O67" s="56">
        <v>3.9605734571667606</v>
      </c>
      <c r="P67" s="56">
        <v>4.0245472302800387</v>
      </c>
      <c r="Q67" s="56">
        <v>4.0885500785794244</v>
      </c>
      <c r="R67" s="56">
        <v>4.7301776968091325</v>
      </c>
      <c r="S67" s="56">
        <v>6.022155489100518</v>
      </c>
      <c r="T67" s="56">
        <v>7.3257633558345283</v>
      </c>
      <c r="U67" s="56">
        <v>8.6410012970111651</v>
      </c>
      <c r="V67" s="56">
        <v>9.9678693126304267</v>
      </c>
      <c r="W67" s="59">
        <v>11.306367402692311</v>
      </c>
      <c r="Y67" s="1001"/>
      <c r="Z67" s="25">
        <v>90</v>
      </c>
      <c r="AA67" s="557">
        <v>3.4927054544561575</v>
      </c>
      <c r="AB67" s="557">
        <v>3.5586319037635636</v>
      </c>
      <c r="AC67" s="557">
        <v>3.6245663264080585</v>
      </c>
      <c r="AD67" s="557">
        <v>3.6905087223896413</v>
      </c>
      <c r="AE67" s="557">
        <v>3.7564590917083125</v>
      </c>
      <c r="AF67" s="557">
        <v>3.8224174343640716</v>
      </c>
      <c r="AG67" s="557">
        <v>3.8883837503569199</v>
      </c>
      <c r="AH67" s="557">
        <v>3.9543580396868556</v>
      </c>
      <c r="AI67" s="557">
        <v>4.0203403023538797</v>
      </c>
      <c r="AJ67" s="557">
        <v>4.0863305383579922</v>
      </c>
      <c r="AK67" s="557">
        <v>4.152328747699193</v>
      </c>
      <c r="AL67" s="557">
        <v>4.8127493746510615</v>
      </c>
      <c r="AM67" s="557">
        <v>6.1359826296812949</v>
      </c>
      <c r="AN67" s="557">
        <v>7.4624052195468575</v>
      </c>
      <c r="AO67" s="557">
        <v>8.792017144247751</v>
      </c>
      <c r="AP67" s="557">
        <v>10.124818403783973</v>
      </c>
      <c r="AQ67" s="1163">
        <v>11.460808998155528</v>
      </c>
      <c r="AS67" s="1166">
        <f t="shared" si="3"/>
        <v>4.2875475495786741E-2</v>
      </c>
      <c r="AT67" s="557">
        <f t="shared" si="4"/>
        <v>4.5060753178766788E-2</v>
      </c>
      <c r="AU67" s="557">
        <f t="shared" si="5"/>
        <v>4.7224929012729788E-2</v>
      </c>
      <c r="AV67" s="557">
        <f t="shared" si="6"/>
        <v>4.9368002997673521E-2</v>
      </c>
      <c r="AW67" s="557">
        <f t="shared" si="7"/>
        <v>5.1489975133598875E-2</v>
      </c>
      <c r="AX67" s="557">
        <f t="shared" si="8"/>
        <v>5.3590845420506295E-2</v>
      </c>
      <c r="AY67" s="557">
        <f t="shared" si="9"/>
        <v>5.5670613858396223E-2</v>
      </c>
      <c r="AZ67" s="557">
        <f t="shared" si="10"/>
        <v>5.772928044726644E-2</v>
      </c>
      <c r="BA67" s="557">
        <f t="shared" si="11"/>
        <v>5.9766845187119166E-2</v>
      </c>
      <c r="BB67" s="557">
        <f t="shared" si="12"/>
        <v>6.1783308077953514E-2</v>
      </c>
      <c r="BC67" s="557">
        <f t="shared" si="13"/>
        <v>6.3778669119768594E-2</v>
      </c>
      <c r="BD67" s="557">
        <f t="shared" si="14"/>
        <v>8.2571677841928981E-2</v>
      </c>
      <c r="BE67" s="557">
        <f t="shared" si="15"/>
        <v>0.11382714058077692</v>
      </c>
      <c r="BF67" s="557">
        <f t="shared" si="16"/>
        <v>0.13664186371232923</v>
      </c>
      <c r="BG67" s="557">
        <f t="shared" si="17"/>
        <v>0.1510158472365859</v>
      </c>
      <c r="BH67" s="557">
        <f t="shared" si="18"/>
        <v>0.15694909115354605</v>
      </c>
      <c r="BI67" s="1163">
        <f t="shared" si="19"/>
        <v>0.15444159546321679</v>
      </c>
    </row>
    <row r="68" spans="3:61" x14ac:dyDescent="0.45">
      <c r="C68" s="1267"/>
      <c r="D68" s="5"/>
      <c r="E68" s="1261"/>
      <c r="F68" s="72">
        <v>100</v>
      </c>
      <c r="G68" s="56">
        <v>3.5523213725252711</v>
      </c>
      <c r="H68" s="56">
        <v>3.6162365740867206</v>
      </c>
      <c r="I68" s="56">
        <v>3.6801808508342759</v>
      </c>
      <c r="J68" s="56">
        <v>3.7441542027679389</v>
      </c>
      <c r="K68" s="56">
        <v>3.8081566298877076</v>
      </c>
      <c r="L68" s="56">
        <v>3.8721881321935832</v>
      </c>
      <c r="M68" s="56">
        <v>3.936248709685565</v>
      </c>
      <c r="N68" s="56">
        <v>4.0003383623636539</v>
      </c>
      <c r="O68" s="56">
        <v>4.0644570902278492</v>
      </c>
      <c r="P68" s="56">
        <v>4.1286048932781503</v>
      </c>
      <c r="Q68" s="56">
        <v>4.192781771514559</v>
      </c>
      <c r="R68" s="56">
        <v>4.836149689114503</v>
      </c>
      <c r="S68" s="56">
        <v>6.1316080801463615</v>
      </c>
      <c r="T68" s="56">
        <v>7.4386965456208429</v>
      </c>
      <c r="U68" s="56">
        <v>8.7574150855379518</v>
      </c>
      <c r="V68" s="56">
        <v>10.087763699897685</v>
      </c>
      <c r="W68" s="59">
        <v>11.429742388700042</v>
      </c>
      <c r="Y68" s="1001"/>
      <c r="Z68" s="25">
        <v>100</v>
      </c>
      <c r="AA68" s="557">
        <v>3.5951968480210574</v>
      </c>
      <c r="AB68" s="557">
        <v>3.661297327265487</v>
      </c>
      <c r="AC68" s="557">
        <v>3.7274057798470048</v>
      </c>
      <c r="AD68" s="557">
        <v>3.7935222057656111</v>
      </c>
      <c r="AE68" s="557">
        <v>3.8596466050213056</v>
      </c>
      <c r="AF68" s="557">
        <v>3.925778977614089</v>
      </c>
      <c r="AG68" s="557">
        <v>3.9919193235439603</v>
      </c>
      <c r="AH68" s="557">
        <v>4.0580676428109204</v>
      </c>
      <c r="AI68" s="557">
        <v>4.1242239354149683</v>
      </c>
      <c r="AJ68" s="557">
        <v>4.1903882013561038</v>
      </c>
      <c r="AK68" s="557">
        <v>4.2565604406343285</v>
      </c>
      <c r="AL68" s="557">
        <v>4.9187213669564329</v>
      </c>
      <c r="AM68" s="557">
        <v>6.2454352207271384</v>
      </c>
      <c r="AN68" s="557">
        <v>7.575338409333173</v>
      </c>
      <c r="AO68" s="557">
        <v>8.9084309327745395</v>
      </c>
      <c r="AP68" s="557">
        <v>10.244712791051235</v>
      </c>
      <c r="AQ68" s="1163">
        <v>11.584183984163257</v>
      </c>
      <c r="AS68" s="1166">
        <f t="shared" si="3"/>
        <v>4.2875475495786297E-2</v>
      </c>
      <c r="AT68" s="557">
        <f t="shared" si="4"/>
        <v>4.5060753178766344E-2</v>
      </c>
      <c r="AU68" s="557">
        <f t="shared" si="5"/>
        <v>4.72249290127289E-2</v>
      </c>
      <c r="AV68" s="557">
        <f t="shared" si="6"/>
        <v>4.9368002997672189E-2</v>
      </c>
      <c r="AW68" s="557">
        <f t="shared" si="7"/>
        <v>5.1489975133597987E-2</v>
      </c>
      <c r="AX68" s="557">
        <f t="shared" si="8"/>
        <v>5.359084542050585E-2</v>
      </c>
      <c r="AY68" s="557">
        <f t="shared" si="9"/>
        <v>5.5670613858395335E-2</v>
      </c>
      <c r="AZ68" s="557">
        <f t="shared" si="10"/>
        <v>5.772928044726644E-2</v>
      </c>
      <c r="BA68" s="557">
        <f t="shared" si="11"/>
        <v>5.9766845187119166E-2</v>
      </c>
      <c r="BB68" s="557">
        <f t="shared" si="12"/>
        <v>6.1783308077953514E-2</v>
      </c>
      <c r="BC68" s="557">
        <f t="shared" si="13"/>
        <v>6.3778669119769482E-2</v>
      </c>
      <c r="BD68" s="557">
        <f t="shared" si="14"/>
        <v>8.2571677841929869E-2</v>
      </c>
      <c r="BE68" s="557">
        <f t="shared" si="15"/>
        <v>0.11382714058077692</v>
      </c>
      <c r="BF68" s="557">
        <f t="shared" si="16"/>
        <v>0.13664186371233011</v>
      </c>
      <c r="BG68" s="557">
        <f t="shared" si="17"/>
        <v>0.15101584723658767</v>
      </c>
      <c r="BH68" s="557">
        <f t="shared" si="18"/>
        <v>0.1569490911535496</v>
      </c>
      <c r="BI68" s="1163">
        <f t="shared" si="19"/>
        <v>0.15444159546321501</v>
      </c>
    </row>
    <row r="69" spans="3:61" x14ac:dyDescent="0.45">
      <c r="C69" s="1267"/>
      <c r="D69" s="5"/>
      <c r="E69" s="1261"/>
      <c r="F69" s="72">
        <v>200</v>
      </c>
      <c r="G69" s="56">
        <v>5.6775660939294239</v>
      </c>
      <c r="H69" s="56">
        <v>5.7451271740598031</v>
      </c>
      <c r="I69" s="56">
        <v>5.812717329376289</v>
      </c>
      <c r="J69" s="56">
        <v>5.8803365598788817</v>
      </c>
      <c r="K69" s="56">
        <v>5.9479848655675802</v>
      </c>
      <c r="L69" s="56">
        <v>6.0156622464423863</v>
      </c>
      <c r="M69" s="56">
        <v>6.0833687025032974</v>
      </c>
      <c r="N69" s="56">
        <v>6.151104233750317</v>
      </c>
      <c r="O69" s="56">
        <v>6.2188688401834415</v>
      </c>
      <c r="P69" s="56">
        <v>6.2866625218026737</v>
      </c>
      <c r="Q69" s="56">
        <v>6.3544852786080117</v>
      </c>
      <c r="R69" s="56">
        <v>7.0343119818972557</v>
      </c>
      <c r="S69" s="56">
        <v>8.4026879443077149</v>
      </c>
      <c r="T69" s="56">
        <v>9.7826939811607971</v>
      </c>
      <c r="U69" s="56">
        <v>11.174330092456504</v>
      </c>
      <c r="V69" s="56">
        <v>12.577596278194836</v>
      </c>
      <c r="W69" s="59">
        <v>13.992492538375796</v>
      </c>
      <c r="Y69" s="1001"/>
      <c r="Z69" s="25">
        <v>200</v>
      </c>
      <c r="AA69" s="557">
        <v>5.7204415694252093</v>
      </c>
      <c r="AB69" s="557">
        <v>5.7901879272385699</v>
      </c>
      <c r="AC69" s="557">
        <v>5.8599422583890179</v>
      </c>
      <c r="AD69" s="557">
        <v>5.9297045628765552</v>
      </c>
      <c r="AE69" s="557">
        <v>5.9994748407011791</v>
      </c>
      <c r="AF69" s="557">
        <v>6.0692530918628913</v>
      </c>
      <c r="AG69" s="557">
        <v>6.1390393163616928</v>
      </c>
      <c r="AH69" s="557">
        <v>6.2088335141975826</v>
      </c>
      <c r="AI69" s="557">
        <v>6.2786356853705607</v>
      </c>
      <c r="AJ69" s="557">
        <v>6.3484458298806263</v>
      </c>
      <c r="AK69" s="557">
        <v>6.4182639477277821</v>
      </c>
      <c r="AL69" s="557">
        <v>7.1168836597391856</v>
      </c>
      <c r="AM69" s="557">
        <v>8.5165150848884927</v>
      </c>
      <c r="AN69" s="557">
        <v>9.9193358448731246</v>
      </c>
      <c r="AO69" s="557">
        <v>11.32534593969309</v>
      </c>
      <c r="AP69" s="557">
        <v>12.734545369348385</v>
      </c>
      <c r="AQ69" s="1163">
        <v>14.146934133839011</v>
      </c>
      <c r="AS69" s="1166">
        <f t="shared" si="3"/>
        <v>4.2875475495785409E-2</v>
      </c>
      <c r="AT69" s="557">
        <f t="shared" si="4"/>
        <v>4.5060753178766788E-2</v>
      </c>
      <c r="AU69" s="557">
        <f t="shared" si="5"/>
        <v>4.72249290127289E-2</v>
      </c>
      <c r="AV69" s="557">
        <f t="shared" si="6"/>
        <v>4.9368002997673521E-2</v>
      </c>
      <c r="AW69" s="557">
        <f t="shared" si="7"/>
        <v>5.1489975133598875E-2</v>
      </c>
      <c r="AX69" s="557">
        <f t="shared" si="8"/>
        <v>5.3590845420504962E-2</v>
      </c>
      <c r="AY69" s="557">
        <f t="shared" si="9"/>
        <v>5.5670613858395335E-2</v>
      </c>
      <c r="AZ69" s="557">
        <f t="shared" si="10"/>
        <v>5.7729280447265552E-2</v>
      </c>
      <c r="BA69" s="557">
        <f t="shared" si="11"/>
        <v>5.9766845187119166E-2</v>
      </c>
      <c r="BB69" s="557">
        <f t="shared" si="12"/>
        <v>6.1783308077952626E-2</v>
      </c>
      <c r="BC69" s="557">
        <f t="shared" si="13"/>
        <v>6.377866911977037E-2</v>
      </c>
      <c r="BD69" s="557">
        <f t="shared" si="14"/>
        <v>8.2571677841929869E-2</v>
      </c>
      <c r="BE69" s="557">
        <f t="shared" si="15"/>
        <v>0.11382714058077781</v>
      </c>
      <c r="BF69" s="557">
        <f t="shared" si="16"/>
        <v>0.13664186371232745</v>
      </c>
      <c r="BG69" s="557">
        <f t="shared" si="17"/>
        <v>0.1510158472365859</v>
      </c>
      <c r="BH69" s="557">
        <f t="shared" si="18"/>
        <v>0.1569490911535496</v>
      </c>
      <c r="BI69" s="1163">
        <f t="shared" si="19"/>
        <v>0.15444159546321501</v>
      </c>
    </row>
    <row r="70" spans="3:61" x14ac:dyDescent="0.45">
      <c r="C70" s="1267"/>
      <c r="D70" s="5"/>
      <c r="E70" s="1261"/>
      <c r="F70" s="72">
        <v>300</v>
      </c>
      <c r="G70" s="56">
        <v>7.1010692427856457</v>
      </c>
      <c r="H70" s="56">
        <v>7.1710609086286441</v>
      </c>
      <c r="I70" s="56">
        <v>7.241081649657751</v>
      </c>
      <c r="J70" s="56">
        <v>7.3111314658729629</v>
      </c>
      <c r="K70" s="56">
        <v>7.3812103572742824</v>
      </c>
      <c r="L70" s="56">
        <v>7.4513183238617087</v>
      </c>
      <c r="M70" s="56">
        <v>7.521455365635239</v>
      </c>
      <c r="N70" s="56">
        <v>7.5916214825948787</v>
      </c>
      <c r="O70" s="56">
        <v>7.6618166747406224</v>
      </c>
      <c r="P70" s="56">
        <v>7.7320409420724765</v>
      </c>
      <c r="Q70" s="56">
        <v>7.8022942845904328</v>
      </c>
      <c r="R70" s="56">
        <v>8.506426845005878</v>
      </c>
      <c r="S70" s="56">
        <v>9.9234145216687359</v>
      </c>
      <c r="T70" s="56">
        <v>11.352032272774219</v>
      </c>
      <c r="U70" s="56">
        <v>12.792280098322326</v>
      </c>
      <c r="V70" s="56">
        <v>14.24415799831306</v>
      </c>
      <c r="W70" s="59">
        <v>15.707665972746417</v>
      </c>
      <c r="Y70" s="1001"/>
      <c r="Z70" s="25">
        <v>300</v>
      </c>
      <c r="AA70" s="557">
        <v>7.143944718281432</v>
      </c>
      <c r="AB70" s="557">
        <v>7.21612166180741</v>
      </c>
      <c r="AC70" s="557">
        <v>7.288306578670479</v>
      </c>
      <c r="AD70" s="557">
        <v>7.3604994688706356</v>
      </c>
      <c r="AE70" s="557">
        <v>7.4327003324078813</v>
      </c>
      <c r="AF70" s="557">
        <v>7.5049091692822145</v>
      </c>
      <c r="AG70" s="557">
        <v>7.5771259794936352</v>
      </c>
      <c r="AH70" s="557">
        <v>7.6493507630421451</v>
      </c>
      <c r="AI70" s="557">
        <v>7.7215835199277434</v>
      </c>
      <c r="AJ70" s="557">
        <v>7.79382425015043</v>
      </c>
      <c r="AK70" s="557">
        <v>7.8660729537102032</v>
      </c>
      <c r="AL70" s="557">
        <v>8.5889985228478078</v>
      </c>
      <c r="AM70" s="557">
        <v>10.037241662249514</v>
      </c>
      <c r="AN70" s="557">
        <v>11.488674136486548</v>
      </c>
      <c r="AO70" s="557">
        <v>12.943295945558912</v>
      </c>
      <c r="AP70" s="557">
        <v>14.401107089466606</v>
      </c>
      <c r="AQ70" s="1163">
        <v>15.862107568209634</v>
      </c>
      <c r="AS70" s="1166">
        <f t="shared" si="3"/>
        <v>4.2875475495786297E-2</v>
      </c>
      <c r="AT70" s="557">
        <f t="shared" si="4"/>
        <v>4.50607531787659E-2</v>
      </c>
      <c r="AU70" s="557">
        <f t="shared" si="5"/>
        <v>4.7224929012728012E-2</v>
      </c>
      <c r="AV70" s="557">
        <f t="shared" si="6"/>
        <v>4.9368002997672633E-2</v>
      </c>
      <c r="AW70" s="557">
        <f t="shared" si="7"/>
        <v>5.1489975133598875E-2</v>
      </c>
      <c r="AX70" s="557">
        <f t="shared" si="8"/>
        <v>5.359084542050585E-2</v>
      </c>
      <c r="AY70" s="557">
        <f t="shared" si="9"/>
        <v>5.5670613858396223E-2</v>
      </c>
      <c r="AZ70" s="557">
        <f t="shared" si="10"/>
        <v>5.772928044726644E-2</v>
      </c>
      <c r="BA70" s="557">
        <f t="shared" si="11"/>
        <v>5.9766845187120943E-2</v>
      </c>
      <c r="BB70" s="557">
        <f t="shared" si="12"/>
        <v>6.1783308077953514E-2</v>
      </c>
      <c r="BC70" s="557">
        <f t="shared" si="13"/>
        <v>6.377866911977037E-2</v>
      </c>
      <c r="BD70" s="557">
        <f t="shared" si="14"/>
        <v>8.2571677841929869E-2</v>
      </c>
      <c r="BE70" s="557">
        <f t="shared" si="15"/>
        <v>0.11382714058077781</v>
      </c>
      <c r="BF70" s="557">
        <f t="shared" si="16"/>
        <v>0.13664186371232923</v>
      </c>
      <c r="BG70" s="557">
        <f t="shared" si="17"/>
        <v>0.1510158472365859</v>
      </c>
      <c r="BH70" s="557">
        <f t="shared" si="18"/>
        <v>0.15694909115354605</v>
      </c>
      <c r="BI70" s="1163">
        <f t="shared" si="19"/>
        <v>0.15444159546321679</v>
      </c>
    </row>
    <row r="71" spans="3:61" x14ac:dyDescent="0.45">
      <c r="C71" s="1267"/>
      <c r="D71" s="5"/>
      <c r="E71" s="1261"/>
      <c r="F71" s="72">
        <v>400</v>
      </c>
      <c r="G71" s="56">
        <v>8.5245723916418683</v>
      </c>
      <c r="H71" s="56">
        <v>8.5969946431974851</v>
      </c>
      <c r="I71" s="56">
        <v>8.669445969939213</v>
      </c>
      <c r="J71" s="56">
        <v>8.741926371867045</v>
      </c>
      <c r="K71" s="56">
        <v>8.8144358489809846</v>
      </c>
      <c r="L71" s="56">
        <v>8.8869744012810301</v>
      </c>
      <c r="M71" s="56">
        <v>8.9595420287671814</v>
      </c>
      <c r="N71" s="56">
        <v>9.0321387314394403</v>
      </c>
      <c r="O71" s="56">
        <v>9.1047645092978051</v>
      </c>
      <c r="P71" s="56">
        <v>9.1774193623422775</v>
      </c>
      <c r="Q71" s="56">
        <v>9.2501032905728557</v>
      </c>
      <c r="R71" s="56">
        <v>9.9785417081145003</v>
      </c>
      <c r="S71" s="56">
        <v>11.444141099029757</v>
      </c>
      <c r="T71" s="56">
        <v>12.92137056438764</v>
      </c>
      <c r="U71" s="56">
        <v>14.410230104188148</v>
      </c>
      <c r="V71" s="56">
        <v>15.910719718431281</v>
      </c>
      <c r="W71" s="59">
        <v>17.422839407117038</v>
      </c>
      <c r="Y71" s="1001"/>
      <c r="Z71" s="25">
        <v>400</v>
      </c>
      <c r="AA71" s="557">
        <v>8.5674478671376537</v>
      </c>
      <c r="AB71" s="557">
        <v>8.6420553963762536</v>
      </c>
      <c r="AC71" s="557">
        <v>8.716670898951941</v>
      </c>
      <c r="AD71" s="557">
        <v>8.7912943748647177</v>
      </c>
      <c r="AE71" s="557">
        <v>8.8659258241145835</v>
      </c>
      <c r="AF71" s="557">
        <v>8.9405652467015351</v>
      </c>
      <c r="AG71" s="557">
        <v>9.0152126426255776</v>
      </c>
      <c r="AH71" s="557">
        <v>9.0898680118867059</v>
      </c>
      <c r="AI71" s="557">
        <v>9.1645313544849252</v>
      </c>
      <c r="AJ71" s="557">
        <v>9.2392026704202319</v>
      </c>
      <c r="AK71" s="557">
        <v>9.3138819596926261</v>
      </c>
      <c r="AL71" s="557">
        <v>10.06111338595643</v>
      </c>
      <c r="AM71" s="557">
        <v>11.557968239610537</v>
      </c>
      <c r="AN71" s="557">
        <v>13.058012428099968</v>
      </c>
      <c r="AO71" s="557">
        <v>14.561245951424734</v>
      </c>
      <c r="AP71" s="557">
        <v>16.067668809584831</v>
      </c>
      <c r="AQ71" s="1163">
        <v>17.577281002580257</v>
      </c>
      <c r="AS71" s="1166">
        <f t="shared" si="3"/>
        <v>4.2875475495785409E-2</v>
      </c>
      <c r="AT71" s="557">
        <f t="shared" si="4"/>
        <v>4.5060753178768564E-2</v>
      </c>
      <c r="AU71" s="557">
        <f t="shared" si="5"/>
        <v>4.7224929012728012E-2</v>
      </c>
      <c r="AV71" s="557">
        <f t="shared" si="6"/>
        <v>4.9368002997672633E-2</v>
      </c>
      <c r="AW71" s="557">
        <f t="shared" si="7"/>
        <v>5.1489975133598875E-2</v>
      </c>
      <c r="AX71" s="557">
        <f t="shared" si="8"/>
        <v>5.3590845420504962E-2</v>
      </c>
      <c r="AY71" s="557">
        <f t="shared" si="9"/>
        <v>5.5670613858396223E-2</v>
      </c>
      <c r="AZ71" s="557">
        <f t="shared" si="10"/>
        <v>5.7729280447265552E-2</v>
      </c>
      <c r="BA71" s="557">
        <f t="shared" si="11"/>
        <v>5.9766845187120055E-2</v>
      </c>
      <c r="BB71" s="557">
        <f t="shared" si="12"/>
        <v>6.1783308077954402E-2</v>
      </c>
      <c r="BC71" s="557">
        <f t="shared" si="13"/>
        <v>6.377866911977037E-2</v>
      </c>
      <c r="BD71" s="557">
        <f t="shared" si="14"/>
        <v>8.2571677841929869E-2</v>
      </c>
      <c r="BE71" s="557">
        <f t="shared" si="15"/>
        <v>0.11382714058077958</v>
      </c>
      <c r="BF71" s="557">
        <f t="shared" si="16"/>
        <v>0.13664186371232745</v>
      </c>
      <c r="BG71" s="557">
        <f t="shared" si="17"/>
        <v>0.1510158472365859</v>
      </c>
      <c r="BH71" s="557">
        <f t="shared" si="18"/>
        <v>0.1569490911535496</v>
      </c>
      <c r="BI71" s="1163">
        <f t="shared" si="19"/>
        <v>0.15444159546321856</v>
      </c>
    </row>
    <row r="72" spans="3:61" x14ac:dyDescent="0.45">
      <c r="C72" s="1267"/>
      <c r="D72" s="5"/>
      <c r="E72" s="1261"/>
      <c r="F72" s="72">
        <v>500</v>
      </c>
      <c r="G72" s="56">
        <v>9.9480755404980901</v>
      </c>
      <c r="H72" s="56">
        <v>10.022928377766327</v>
      </c>
      <c r="I72" s="56">
        <v>10.097810290220673</v>
      </c>
      <c r="J72" s="56">
        <v>10.172721277861125</v>
      </c>
      <c r="K72" s="56">
        <v>10.247661340687685</v>
      </c>
      <c r="L72" s="56">
        <v>10.322630478700351</v>
      </c>
      <c r="M72" s="56">
        <v>10.397628691899122</v>
      </c>
      <c r="N72" s="56">
        <v>10.472655980284001</v>
      </c>
      <c r="O72" s="56">
        <v>10.547712343854988</v>
      </c>
      <c r="P72" s="56">
        <v>10.622797782612079</v>
      </c>
      <c r="Q72" s="56">
        <v>10.697912296555277</v>
      </c>
      <c r="R72" s="56">
        <v>11.450656571223121</v>
      </c>
      <c r="S72" s="56">
        <v>12.964867676390782</v>
      </c>
      <c r="T72" s="56">
        <v>14.490708856001062</v>
      </c>
      <c r="U72" s="56">
        <v>16.028180110053967</v>
      </c>
      <c r="V72" s="56">
        <v>17.577281438549502</v>
      </c>
      <c r="W72" s="59">
        <v>19.138012841487658</v>
      </c>
      <c r="Y72" s="1001"/>
      <c r="Z72" s="25">
        <v>500</v>
      </c>
      <c r="AA72" s="557">
        <v>9.9909510159938737</v>
      </c>
      <c r="AB72" s="557">
        <v>10.067989130945096</v>
      </c>
      <c r="AC72" s="557">
        <v>10.145035219233401</v>
      </c>
      <c r="AD72" s="557">
        <v>10.2220892808588</v>
      </c>
      <c r="AE72" s="557">
        <v>10.299151315821282</v>
      </c>
      <c r="AF72" s="557">
        <v>10.376221324120856</v>
      </c>
      <c r="AG72" s="557">
        <v>10.453299305757518</v>
      </c>
      <c r="AH72" s="557">
        <v>10.530385260731268</v>
      </c>
      <c r="AI72" s="557">
        <v>10.607479189042106</v>
      </c>
      <c r="AJ72" s="557">
        <v>10.684581090690031</v>
      </c>
      <c r="AK72" s="557">
        <v>10.761690965675047</v>
      </c>
      <c r="AL72" s="557">
        <v>11.533228249065051</v>
      </c>
      <c r="AM72" s="557">
        <v>13.078694816971556</v>
      </c>
      <c r="AN72" s="557">
        <v>14.627350719713387</v>
      </c>
      <c r="AO72" s="557">
        <v>16.179195957290553</v>
      </c>
      <c r="AP72" s="557">
        <v>17.734230529703048</v>
      </c>
      <c r="AQ72" s="1163">
        <v>19.292454436950877</v>
      </c>
      <c r="AS72" s="1166">
        <f t="shared" si="3"/>
        <v>4.2875475495783633E-2</v>
      </c>
      <c r="AT72" s="557">
        <f t="shared" si="4"/>
        <v>4.5060753178768564E-2</v>
      </c>
      <c r="AU72" s="557">
        <f t="shared" si="5"/>
        <v>4.7224929012728012E-2</v>
      </c>
      <c r="AV72" s="557">
        <f t="shared" si="6"/>
        <v>4.9368002997674409E-2</v>
      </c>
      <c r="AW72" s="557">
        <f t="shared" si="7"/>
        <v>5.1489975133597099E-2</v>
      </c>
      <c r="AX72" s="557">
        <f t="shared" si="8"/>
        <v>5.3590845420504962E-2</v>
      </c>
      <c r="AY72" s="557">
        <f t="shared" si="9"/>
        <v>5.5670613858396223E-2</v>
      </c>
      <c r="AZ72" s="557">
        <f t="shared" si="10"/>
        <v>5.7729280447267328E-2</v>
      </c>
      <c r="BA72" s="557">
        <f t="shared" si="11"/>
        <v>5.9766845187118278E-2</v>
      </c>
      <c r="BB72" s="557">
        <f t="shared" si="12"/>
        <v>6.1783308077952626E-2</v>
      </c>
      <c r="BC72" s="557">
        <f t="shared" si="13"/>
        <v>6.377866911977037E-2</v>
      </c>
      <c r="BD72" s="557">
        <f t="shared" si="14"/>
        <v>8.2571677841929869E-2</v>
      </c>
      <c r="BE72" s="557">
        <f t="shared" si="15"/>
        <v>0.11382714058077426</v>
      </c>
      <c r="BF72" s="557">
        <f t="shared" si="16"/>
        <v>0.13664186371232567</v>
      </c>
      <c r="BG72" s="557">
        <f t="shared" si="17"/>
        <v>0.1510158472365859</v>
      </c>
      <c r="BH72" s="557">
        <f t="shared" si="18"/>
        <v>0.15694909115354605</v>
      </c>
      <c r="BI72" s="1163">
        <f t="shared" si="19"/>
        <v>0.15444159546321856</v>
      </c>
    </row>
    <row r="73" spans="3:61" x14ac:dyDescent="0.45">
      <c r="C73" s="1267"/>
      <c r="D73" s="5"/>
      <c r="E73" s="1261"/>
      <c r="F73" s="72">
        <v>600</v>
      </c>
      <c r="G73" s="56">
        <v>11.371578689354312</v>
      </c>
      <c r="H73" s="56">
        <v>11.448862112335171</v>
      </c>
      <c r="I73" s="56">
        <v>11.526174610502137</v>
      </c>
      <c r="J73" s="56">
        <v>11.603516183855209</v>
      </c>
      <c r="K73" s="56">
        <v>11.680886832394387</v>
      </c>
      <c r="L73" s="56">
        <v>11.758286556119673</v>
      </c>
      <c r="M73" s="56">
        <v>11.835715355031065</v>
      </c>
      <c r="N73" s="56">
        <v>11.913173229128565</v>
      </c>
      <c r="O73" s="56">
        <v>11.990660178412167</v>
      </c>
      <c r="P73" s="56">
        <v>12.068176202881881</v>
      </c>
      <c r="Q73" s="56">
        <v>12.1457213025377</v>
      </c>
      <c r="R73" s="56">
        <v>12.922771434331743</v>
      </c>
      <c r="S73" s="56">
        <v>14.485594253751803</v>
      </c>
      <c r="T73" s="56">
        <v>16.060047147614487</v>
      </c>
      <c r="U73" s="56">
        <v>17.646130115919792</v>
      </c>
      <c r="V73" s="56">
        <v>19.243843158667723</v>
      </c>
      <c r="W73" s="59">
        <v>20.853186275858281</v>
      </c>
      <c r="Y73" s="1001"/>
      <c r="Z73" s="25">
        <v>600</v>
      </c>
      <c r="AA73" s="557">
        <v>11.414454164850099</v>
      </c>
      <c r="AB73" s="557">
        <v>11.493922865513937</v>
      </c>
      <c r="AC73" s="557">
        <v>11.573399539514863</v>
      </c>
      <c r="AD73" s="557">
        <v>11.652884186852882</v>
      </c>
      <c r="AE73" s="557">
        <v>11.732376807527988</v>
      </c>
      <c r="AF73" s="557">
        <v>11.811877401540178</v>
      </c>
      <c r="AG73" s="557">
        <v>11.891385968889461</v>
      </c>
      <c r="AH73" s="557">
        <v>11.970902509575831</v>
      </c>
      <c r="AI73" s="557">
        <v>12.050427023599289</v>
      </c>
      <c r="AJ73" s="557">
        <v>12.129959510959836</v>
      </c>
      <c r="AK73" s="557">
        <v>12.209499971657468</v>
      </c>
      <c r="AL73" s="557">
        <v>13.005343112173673</v>
      </c>
      <c r="AM73" s="557">
        <v>14.59942139433258</v>
      </c>
      <c r="AN73" s="557">
        <v>16.196689011326818</v>
      </c>
      <c r="AO73" s="557">
        <v>17.797145963156375</v>
      </c>
      <c r="AP73" s="557">
        <v>19.400792249821272</v>
      </c>
      <c r="AQ73" s="1163">
        <v>21.007627871321496</v>
      </c>
      <c r="AS73" s="1166">
        <f t="shared" si="3"/>
        <v>4.2875475495787185E-2</v>
      </c>
      <c r="AT73" s="557">
        <f t="shared" si="4"/>
        <v>4.5060753178766788E-2</v>
      </c>
      <c r="AU73" s="557">
        <f t="shared" si="5"/>
        <v>4.7224929012726236E-2</v>
      </c>
      <c r="AV73" s="557">
        <f t="shared" si="6"/>
        <v>4.9368002997672633E-2</v>
      </c>
      <c r="AW73" s="557">
        <f t="shared" si="7"/>
        <v>5.1489975133600652E-2</v>
      </c>
      <c r="AX73" s="557">
        <f t="shared" si="8"/>
        <v>5.3590845420504962E-2</v>
      </c>
      <c r="AY73" s="557">
        <f t="shared" si="9"/>
        <v>5.5670613858396223E-2</v>
      </c>
      <c r="AZ73" s="557">
        <f t="shared" si="10"/>
        <v>5.7729280447265552E-2</v>
      </c>
      <c r="BA73" s="557">
        <f t="shared" si="11"/>
        <v>5.9766845187121831E-2</v>
      </c>
      <c r="BB73" s="557">
        <f t="shared" si="12"/>
        <v>6.1783308077954402E-2</v>
      </c>
      <c r="BC73" s="557">
        <f t="shared" si="13"/>
        <v>6.3778669119768594E-2</v>
      </c>
      <c r="BD73" s="557">
        <f t="shared" si="14"/>
        <v>8.2571677841929869E-2</v>
      </c>
      <c r="BE73" s="557">
        <f t="shared" si="15"/>
        <v>0.11382714058077781</v>
      </c>
      <c r="BF73" s="557">
        <f t="shared" si="16"/>
        <v>0.136641863712331</v>
      </c>
      <c r="BG73" s="557">
        <f t="shared" si="17"/>
        <v>0.15101584723658235</v>
      </c>
      <c r="BH73" s="557">
        <f t="shared" si="18"/>
        <v>0.1569490911535496</v>
      </c>
      <c r="BI73" s="1163">
        <f t="shared" si="19"/>
        <v>0.15444159546321501</v>
      </c>
    </row>
    <row r="74" spans="3:61" x14ac:dyDescent="0.45">
      <c r="C74" s="1267"/>
      <c r="D74" s="5"/>
      <c r="E74" s="1261"/>
      <c r="F74" s="72">
        <v>700</v>
      </c>
      <c r="G74" s="56">
        <v>12.79508183821053</v>
      </c>
      <c r="H74" s="56">
        <v>12.874795846904007</v>
      </c>
      <c r="I74" s="56">
        <v>12.954538930783597</v>
      </c>
      <c r="J74" s="56">
        <v>13.03431108984929</v>
      </c>
      <c r="K74" s="56">
        <v>13.114112324101088</v>
      </c>
      <c r="L74" s="56">
        <v>13.193942633538994</v>
      </c>
      <c r="M74" s="56">
        <v>13.273802018163005</v>
      </c>
      <c r="N74" s="56">
        <v>13.353690477973121</v>
      </c>
      <c r="O74" s="56">
        <v>13.43360801296935</v>
      </c>
      <c r="P74" s="56">
        <v>13.513554623151682</v>
      </c>
      <c r="Q74" s="56">
        <v>13.593530308520119</v>
      </c>
      <c r="R74" s="56">
        <v>14.394886297440365</v>
      </c>
      <c r="S74" s="56">
        <v>16.006320831112824</v>
      </c>
      <c r="T74" s="56">
        <v>17.629385439227903</v>
      </c>
      <c r="U74" s="56">
        <v>19.264080121785611</v>
      </c>
      <c r="V74" s="56">
        <v>20.910404878785947</v>
      </c>
      <c r="W74" s="59">
        <v>22.568359710228904</v>
      </c>
      <c r="Y74" s="1001"/>
      <c r="Z74" s="25">
        <v>700</v>
      </c>
      <c r="AA74" s="557">
        <v>12.837957313706315</v>
      </c>
      <c r="AB74" s="557">
        <v>12.919856600082776</v>
      </c>
      <c r="AC74" s="557">
        <v>13.001763859796323</v>
      </c>
      <c r="AD74" s="557">
        <v>13.083679092846959</v>
      </c>
      <c r="AE74" s="557">
        <v>13.165602299234687</v>
      </c>
      <c r="AF74" s="557">
        <v>13.247533478959497</v>
      </c>
      <c r="AG74" s="557">
        <v>13.3294726320214</v>
      </c>
      <c r="AH74" s="557">
        <v>13.411419758420386</v>
      </c>
      <c r="AI74" s="557">
        <v>13.493374858156466</v>
      </c>
      <c r="AJ74" s="557">
        <v>13.575337931229633</v>
      </c>
      <c r="AK74" s="557">
        <v>13.657308977639889</v>
      </c>
      <c r="AL74" s="557">
        <v>14.477457975282292</v>
      </c>
      <c r="AM74" s="557">
        <v>16.120147971693598</v>
      </c>
      <c r="AN74" s="557">
        <v>17.76602730294023</v>
      </c>
      <c r="AO74" s="557">
        <v>19.415095969022197</v>
      </c>
      <c r="AP74" s="557">
        <v>21.067353969939489</v>
      </c>
      <c r="AQ74" s="1163">
        <v>22.722801305692116</v>
      </c>
      <c r="AS74" s="1166">
        <f t="shared" si="3"/>
        <v>4.2875475495785409E-2</v>
      </c>
      <c r="AT74" s="557">
        <f t="shared" si="4"/>
        <v>4.5060753178768564E-2</v>
      </c>
      <c r="AU74" s="557">
        <f t="shared" si="5"/>
        <v>4.7224929012726236E-2</v>
      </c>
      <c r="AV74" s="557">
        <f t="shared" si="6"/>
        <v>4.936800299766908E-2</v>
      </c>
      <c r="AW74" s="557">
        <f t="shared" si="7"/>
        <v>5.1489975133598875E-2</v>
      </c>
      <c r="AX74" s="557">
        <f t="shared" si="8"/>
        <v>5.3590845420503186E-2</v>
      </c>
      <c r="AY74" s="557">
        <f t="shared" si="9"/>
        <v>5.5670613858394447E-2</v>
      </c>
      <c r="AZ74" s="557">
        <f t="shared" si="10"/>
        <v>5.7729280447265552E-2</v>
      </c>
      <c r="BA74" s="557">
        <f t="shared" si="11"/>
        <v>5.9766845187116502E-2</v>
      </c>
      <c r="BB74" s="557">
        <f t="shared" si="12"/>
        <v>6.1783308077950849E-2</v>
      </c>
      <c r="BC74" s="557">
        <f t="shared" si="13"/>
        <v>6.377866911977037E-2</v>
      </c>
      <c r="BD74" s="557">
        <f t="shared" si="14"/>
        <v>8.2571677841926316E-2</v>
      </c>
      <c r="BE74" s="557">
        <f t="shared" si="15"/>
        <v>0.11382714058077426</v>
      </c>
      <c r="BF74" s="557">
        <f t="shared" si="16"/>
        <v>0.13664186371232745</v>
      </c>
      <c r="BG74" s="557">
        <f t="shared" si="17"/>
        <v>0.1510158472365859</v>
      </c>
      <c r="BH74" s="557">
        <f t="shared" si="18"/>
        <v>0.1569490911535425</v>
      </c>
      <c r="BI74" s="1163">
        <f t="shared" si="19"/>
        <v>0.15444159546321146</v>
      </c>
    </row>
    <row r="75" spans="3:61" x14ac:dyDescent="0.45">
      <c r="C75" s="1267"/>
      <c r="D75" s="5"/>
      <c r="E75" s="1261"/>
      <c r="F75" s="72">
        <v>800</v>
      </c>
      <c r="G75" s="56">
        <v>14.218584987066757</v>
      </c>
      <c r="H75" s="56">
        <v>14.300729581472854</v>
      </c>
      <c r="I75" s="56">
        <v>14.382903251065061</v>
      </c>
      <c r="J75" s="56">
        <v>14.465105995843375</v>
      </c>
      <c r="K75" s="56">
        <v>14.547337815807795</v>
      </c>
      <c r="L75" s="56">
        <v>14.629598710958319</v>
      </c>
      <c r="M75" s="56">
        <v>14.711888681294951</v>
      </c>
      <c r="N75" s="56">
        <v>14.794207726817691</v>
      </c>
      <c r="O75" s="56">
        <v>14.876555847526536</v>
      </c>
      <c r="P75" s="56">
        <v>14.958933043421485</v>
      </c>
      <c r="Q75" s="56">
        <v>15.041339314502546</v>
      </c>
      <c r="R75" s="56">
        <v>15.867001160548989</v>
      </c>
      <c r="S75" s="56">
        <v>17.527047408473848</v>
      </c>
      <c r="T75" s="56">
        <v>19.19872373084133</v>
      </c>
      <c r="U75" s="56">
        <v>20.882030127651436</v>
      </c>
      <c r="V75" s="56">
        <v>22.576966598904171</v>
      </c>
      <c r="W75" s="59">
        <v>24.283533144599531</v>
      </c>
      <c r="Y75" s="1001"/>
      <c r="Z75" s="25">
        <v>800</v>
      </c>
      <c r="AA75" s="557">
        <v>14.261460462562541</v>
      </c>
      <c r="AB75" s="557">
        <v>14.345790334651621</v>
      </c>
      <c r="AC75" s="557">
        <v>14.430128180077789</v>
      </c>
      <c r="AD75" s="557">
        <v>14.514473998841044</v>
      </c>
      <c r="AE75" s="557">
        <v>14.598827790941392</v>
      </c>
      <c r="AF75" s="557">
        <v>14.683189556378821</v>
      </c>
      <c r="AG75" s="557">
        <v>14.767559295153344</v>
      </c>
      <c r="AH75" s="557">
        <v>14.851937007264954</v>
      </c>
      <c r="AI75" s="557">
        <v>14.936322692713654</v>
      </c>
      <c r="AJ75" s="557">
        <v>15.020716351499441</v>
      </c>
      <c r="AK75" s="557">
        <v>15.105117983622314</v>
      </c>
      <c r="AL75" s="557">
        <v>15.949572838390917</v>
      </c>
      <c r="AM75" s="557">
        <v>17.640874549054622</v>
      </c>
      <c r="AN75" s="557">
        <v>19.335365594553654</v>
      </c>
      <c r="AO75" s="557">
        <v>21.033045974888019</v>
      </c>
      <c r="AP75" s="557">
        <v>22.733915690057717</v>
      </c>
      <c r="AQ75" s="1163">
        <v>24.437974740062742</v>
      </c>
      <c r="AS75" s="1166">
        <f t="shared" si="3"/>
        <v>4.2875475495783633E-2</v>
      </c>
      <c r="AT75" s="557">
        <f t="shared" si="4"/>
        <v>4.5060753178766788E-2</v>
      </c>
      <c r="AU75" s="557">
        <f t="shared" si="5"/>
        <v>4.7224929012728012E-2</v>
      </c>
      <c r="AV75" s="557">
        <f t="shared" si="6"/>
        <v>4.936800299766908E-2</v>
      </c>
      <c r="AW75" s="557">
        <f t="shared" si="7"/>
        <v>5.1489975133597099E-2</v>
      </c>
      <c r="AX75" s="557">
        <f t="shared" si="8"/>
        <v>5.359084542050141E-2</v>
      </c>
      <c r="AY75" s="557">
        <f t="shared" si="9"/>
        <v>5.567061385839267E-2</v>
      </c>
      <c r="AZ75" s="557">
        <f t="shared" si="10"/>
        <v>5.7729280447263775E-2</v>
      </c>
      <c r="BA75" s="557">
        <f t="shared" si="11"/>
        <v>5.9766845187118278E-2</v>
      </c>
      <c r="BB75" s="557">
        <f t="shared" si="12"/>
        <v>6.1783308077956178E-2</v>
      </c>
      <c r="BC75" s="557">
        <f t="shared" si="13"/>
        <v>6.3778669119768594E-2</v>
      </c>
      <c r="BD75" s="557">
        <f t="shared" si="14"/>
        <v>8.2571677841928093E-2</v>
      </c>
      <c r="BE75" s="557">
        <f t="shared" si="15"/>
        <v>0.11382714058077426</v>
      </c>
      <c r="BF75" s="557">
        <f t="shared" si="16"/>
        <v>0.1366418637123239</v>
      </c>
      <c r="BG75" s="557">
        <f t="shared" si="17"/>
        <v>0.15101584723658235</v>
      </c>
      <c r="BH75" s="557">
        <f t="shared" si="18"/>
        <v>0.15694909115354605</v>
      </c>
      <c r="BI75" s="1163">
        <f t="shared" si="19"/>
        <v>0.15444159546321146</v>
      </c>
    </row>
    <row r="76" spans="3:61" ht="14.65" thickBot="1" x14ac:dyDescent="0.5">
      <c r="C76" s="1267"/>
      <c r="D76" s="5"/>
      <c r="E76" s="1262"/>
      <c r="F76" s="374">
        <v>900</v>
      </c>
      <c r="G76" s="57">
        <v>15.642088135922979</v>
      </c>
      <c r="H76" s="57">
        <v>15.726663316041698</v>
      </c>
      <c r="I76" s="57">
        <v>15.811267571346521</v>
      </c>
      <c r="J76" s="57">
        <v>15.895900901837454</v>
      </c>
      <c r="K76" s="57">
        <v>15.980563307514494</v>
      </c>
      <c r="L76" s="57">
        <v>16.06525478837764</v>
      </c>
      <c r="M76" s="57">
        <v>16.149975344426892</v>
      </c>
      <c r="N76" s="57">
        <v>16.23472497566225</v>
      </c>
      <c r="O76" s="57">
        <v>16.319503682083717</v>
      </c>
      <c r="P76" s="57">
        <v>16.404311463691286</v>
      </c>
      <c r="Q76" s="57">
        <v>16.489148320484965</v>
      </c>
      <c r="R76" s="57">
        <v>17.33911602365761</v>
      </c>
      <c r="S76" s="57">
        <v>19.047773985834869</v>
      </c>
      <c r="T76" s="57">
        <v>20.76806202245475</v>
      </c>
      <c r="U76" s="57">
        <v>22.499980133517258</v>
      </c>
      <c r="V76" s="57">
        <v>24.243528319022388</v>
      </c>
      <c r="W76" s="60">
        <v>25.99870657897015</v>
      </c>
      <c r="Y76" s="1001"/>
      <c r="Z76" s="25">
        <v>900</v>
      </c>
      <c r="AA76" s="557">
        <v>15.684963611418764</v>
      </c>
      <c r="AB76" s="557">
        <v>15.771724069220463</v>
      </c>
      <c r="AC76" s="557">
        <v>15.858492500359253</v>
      </c>
      <c r="AD76" s="557">
        <v>15.945268904835126</v>
      </c>
      <c r="AE76" s="557">
        <v>16.032053282648093</v>
      </c>
      <c r="AF76" s="557">
        <v>16.118845633798141</v>
      </c>
      <c r="AG76" s="557">
        <v>16.205645958285285</v>
      </c>
      <c r="AH76" s="557">
        <v>16.292454256109515</v>
      </c>
      <c r="AI76" s="557">
        <v>16.379270527270833</v>
      </c>
      <c r="AJ76" s="557">
        <v>16.466094771769239</v>
      </c>
      <c r="AK76" s="557">
        <v>16.552926989604735</v>
      </c>
      <c r="AL76" s="557">
        <v>17.42168770149954</v>
      </c>
      <c r="AM76" s="557">
        <v>19.161601126415647</v>
      </c>
      <c r="AN76" s="557">
        <v>20.904703886167081</v>
      </c>
      <c r="AO76" s="557">
        <v>22.650995980753841</v>
      </c>
      <c r="AP76" s="557">
        <v>24.400477410175938</v>
      </c>
      <c r="AQ76" s="1163">
        <v>26.153148174433362</v>
      </c>
      <c r="AS76" s="1166">
        <f t="shared" si="3"/>
        <v>4.2875475495785409E-2</v>
      </c>
      <c r="AT76" s="557">
        <f t="shared" si="4"/>
        <v>4.5060753178765012E-2</v>
      </c>
      <c r="AU76" s="557">
        <f t="shared" si="5"/>
        <v>4.7224929012731565E-2</v>
      </c>
      <c r="AV76" s="557">
        <f t="shared" si="6"/>
        <v>4.9368002997672633E-2</v>
      </c>
      <c r="AW76" s="557">
        <f t="shared" si="7"/>
        <v>5.1489975133598875E-2</v>
      </c>
      <c r="AX76" s="557">
        <f t="shared" si="8"/>
        <v>5.359084542050141E-2</v>
      </c>
      <c r="AY76" s="557">
        <f t="shared" si="9"/>
        <v>5.567061385839267E-2</v>
      </c>
      <c r="AZ76" s="557">
        <f t="shared" si="10"/>
        <v>5.7729280447265552E-2</v>
      </c>
      <c r="BA76" s="557">
        <f t="shared" si="11"/>
        <v>5.9766845187116502E-2</v>
      </c>
      <c r="BB76" s="557">
        <f t="shared" si="12"/>
        <v>6.1783308077952626E-2</v>
      </c>
      <c r="BC76" s="557">
        <f t="shared" si="13"/>
        <v>6.377866911977037E-2</v>
      </c>
      <c r="BD76" s="557">
        <f t="shared" si="14"/>
        <v>8.2571677841929869E-2</v>
      </c>
      <c r="BE76" s="557">
        <f t="shared" si="15"/>
        <v>0.11382714058077781</v>
      </c>
      <c r="BF76" s="557">
        <f t="shared" si="16"/>
        <v>0.136641863712331</v>
      </c>
      <c r="BG76" s="557">
        <f t="shared" si="17"/>
        <v>0.15101584723658235</v>
      </c>
      <c r="BH76" s="557">
        <f t="shared" si="18"/>
        <v>0.1569490911535496</v>
      </c>
      <c r="BI76" s="1163">
        <f t="shared" si="19"/>
        <v>0.15444159546321146</v>
      </c>
    </row>
    <row r="77" spans="3:61" ht="14.65" thickBot="1" x14ac:dyDescent="0.5">
      <c r="C77" s="1267"/>
      <c r="D77" s="5"/>
      <c r="G77" s="341"/>
      <c r="H77" s="341"/>
      <c r="I77" s="341"/>
      <c r="J77" s="341"/>
      <c r="K77" s="341"/>
      <c r="L77" s="341"/>
      <c r="M77" s="341"/>
      <c r="N77" s="341"/>
      <c r="O77" s="341"/>
      <c r="P77" s="341"/>
      <c r="Q77" s="341"/>
      <c r="R77" s="341"/>
      <c r="S77" s="341"/>
      <c r="T77" s="341"/>
      <c r="U77" s="341"/>
      <c r="V77" s="341"/>
      <c r="W77" s="341"/>
      <c r="Y77" s="1001"/>
      <c r="Z77" s="25"/>
      <c r="AA77" s="557"/>
      <c r="AB77" s="557"/>
      <c r="AC77" s="557"/>
      <c r="AD77" s="557"/>
      <c r="AE77" s="557"/>
      <c r="AF77" s="557"/>
      <c r="AG77" s="557"/>
      <c r="AH77" s="557"/>
      <c r="AI77" s="557"/>
      <c r="AJ77" s="557"/>
      <c r="AK77" s="557"/>
      <c r="AL77" s="557"/>
      <c r="AM77" s="557"/>
      <c r="AN77" s="557"/>
      <c r="AO77" s="557"/>
      <c r="AP77" s="557"/>
      <c r="AQ77" s="1163"/>
      <c r="AS77" s="1001"/>
      <c r="AT77" s="25"/>
      <c r="AU77" s="25"/>
      <c r="AV77" s="25"/>
      <c r="AW77" s="25"/>
      <c r="AX77" s="25"/>
      <c r="AY77" s="25"/>
      <c r="AZ77" s="25"/>
      <c r="BA77" s="25"/>
      <c r="BB77" s="25"/>
      <c r="BC77" s="25"/>
      <c r="BD77" s="25"/>
      <c r="BE77" s="25"/>
      <c r="BF77" s="25"/>
      <c r="BG77" s="25"/>
      <c r="BH77" s="25"/>
      <c r="BI77" s="1002"/>
    </row>
    <row r="78" spans="3:61" ht="14.65" thickBot="1" x14ac:dyDescent="0.5">
      <c r="C78" s="1267"/>
      <c r="D78" s="376" t="s">
        <v>85</v>
      </c>
      <c r="E78" s="29"/>
      <c r="F78" s="29" t="s">
        <v>206</v>
      </c>
      <c r="G78" s="381">
        <v>0</v>
      </c>
      <c r="H78" s="382">
        <v>10</v>
      </c>
      <c r="I78" s="382">
        <v>20</v>
      </c>
      <c r="J78" s="382">
        <v>30</v>
      </c>
      <c r="K78" s="382">
        <v>40</v>
      </c>
      <c r="L78" s="382">
        <v>50</v>
      </c>
      <c r="M78" s="382">
        <v>60</v>
      </c>
      <c r="N78" s="382">
        <v>70</v>
      </c>
      <c r="O78" s="382">
        <v>80</v>
      </c>
      <c r="P78" s="382">
        <v>90</v>
      </c>
      <c r="Q78" s="382">
        <v>100</v>
      </c>
      <c r="R78" s="382">
        <v>200</v>
      </c>
      <c r="S78" s="382">
        <v>400</v>
      </c>
      <c r="T78" s="382">
        <v>600</v>
      </c>
      <c r="U78" s="382">
        <v>800</v>
      </c>
      <c r="V78" s="382">
        <v>1000</v>
      </c>
      <c r="W78" s="383">
        <v>1200</v>
      </c>
      <c r="Y78" s="1001"/>
      <c r="Z78" s="25" t="s">
        <v>206</v>
      </c>
      <c r="AA78" s="1164">
        <v>0</v>
      </c>
      <c r="AB78" s="1164">
        <v>10</v>
      </c>
      <c r="AC78" s="1164">
        <v>20</v>
      </c>
      <c r="AD78" s="1164">
        <v>30</v>
      </c>
      <c r="AE78" s="1164">
        <v>40</v>
      </c>
      <c r="AF78" s="1164">
        <v>50</v>
      </c>
      <c r="AG78" s="1164">
        <v>60</v>
      </c>
      <c r="AH78" s="1164">
        <v>70</v>
      </c>
      <c r="AI78" s="1164">
        <v>80</v>
      </c>
      <c r="AJ78" s="1164">
        <v>90</v>
      </c>
      <c r="AK78" s="1164">
        <v>100</v>
      </c>
      <c r="AL78" s="1164">
        <v>200</v>
      </c>
      <c r="AM78" s="1164">
        <v>400</v>
      </c>
      <c r="AN78" s="1164">
        <v>600</v>
      </c>
      <c r="AO78" s="1164">
        <v>800</v>
      </c>
      <c r="AP78" s="1164">
        <v>1000</v>
      </c>
      <c r="AQ78" s="933">
        <v>1200</v>
      </c>
      <c r="AS78" s="797">
        <v>0</v>
      </c>
      <c r="AT78" s="1164">
        <v>10</v>
      </c>
      <c r="AU78" s="1164">
        <v>20</v>
      </c>
      <c r="AV78" s="1164">
        <v>30</v>
      </c>
      <c r="AW78" s="1164">
        <v>40</v>
      </c>
      <c r="AX78" s="1164">
        <v>50</v>
      </c>
      <c r="AY78" s="1164">
        <v>60</v>
      </c>
      <c r="AZ78" s="1164">
        <v>70</v>
      </c>
      <c r="BA78" s="1164">
        <v>80</v>
      </c>
      <c r="BB78" s="1164">
        <v>90</v>
      </c>
      <c r="BC78" s="1164">
        <v>100</v>
      </c>
      <c r="BD78" s="1164">
        <v>200</v>
      </c>
      <c r="BE78" s="1164">
        <v>400</v>
      </c>
      <c r="BF78" s="1164">
        <v>600</v>
      </c>
      <c r="BG78" s="1164">
        <v>800</v>
      </c>
      <c r="BH78" s="1164">
        <v>1000</v>
      </c>
      <c r="BI78" s="933">
        <v>1200</v>
      </c>
    </row>
    <row r="79" spans="3:61" ht="15" customHeight="1" x14ac:dyDescent="0.45">
      <c r="C79" s="1267"/>
      <c r="D79" s="1141" t="s">
        <v>518</v>
      </c>
      <c r="E79" s="1260" t="s">
        <v>205</v>
      </c>
      <c r="F79" s="375">
        <v>0</v>
      </c>
      <c r="G79" s="379">
        <v>2.1106211739693559</v>
      </c>
      <c r="H79" s="379">
        <v>2.1273419442445758</v>
      </c>
      <c r="I79" s="379">
        <v>2.1440627145197957</v>
      </c>
      <c r="J79" s="379">
        <v>2.160783484795016</v>
      </c>
      <c r="K79" s="379">
        <v>2.1775042550702359</v>
      </c>
      <c r="L79" s="379">
        <v>2.1942250253454554</v>
      </c>
      <c r="M79" s="379">
        <v>2.2109457956206757</v>
      </c>
      <c r="N79" s="379">
        <v>2.2276665658958956</v>
      </c>
      <c r="O79" s="379">
        <v>2.2443873361711155</v>
      </c>
      <c r="P79" s="379">
        <v>2.2611081064463354</v>
      </c>
      <c r="Q79" s="379">
        <v>2.2778288767215558</v>
      </c>
      <c r="R79" s="55">
        <v>2.4450365794737552</v>
      </c>
      <c r="S79" s="55">
        <v>2.7794519849781549</v>
      </c>
      <c r="T79" s="55">
        <v>3.1138673904825542</v>
      </c>
      <c r="U79" s="55">
        <v>3.448282795986954</v>
      </c>
      <c r="V79" s="55">
        <v>3.7826982014913537</v>
      </c>
      <c r="W79" s="58">
        <v>4.117113606995753</v>
      </c>
      <c r="Y79" s="1001" t="s">
        <v>205</v>
      </c>
      <c r="Z79" s="25">
        <v>0</v>
      </c>
      <c r="AA79" s="557">
        <v>2.1443282741128735</v>
      </c>
      <c r="AB79" s="557">
        <v>2.1646896966645186</v>
      </c>
      <c r="AC79" s="557">
        <v>2.185059092553252</v>
      </c>
      <c r="AD79" s="557">
        <v>2.2054364617790752</v>
      </c>
      <c r="AE79" s="557">
        <v>2.2258218043419853</v>
      </c>
      <c r="AF79" s="557">
        <v>2.2462151202419838</v>
      </c>
      <c r="AG79" s="557">
        <v>2.2666164094790711</v>
      </c>
      <c r="AH79" s="557">
        <v>2.2870256720532467</v>
      </c>
      <c r="AI79" s="557">
        <v>2.3074429079645102</v>
      </c>
      <c r="AJ79" s="557">
        <v>2.3278681172128626</v>
      </c>
      <c r="AK79" s="557">
        <v>2.3483012997983028</v>
      </c>
      <c r="AL79" s="557">
        <v>2.5530716591925651</v>
      </c>
      <c r="AM79" s="557">
        <v>2.9650043791075875</v>
      </c>
      <c r="AN79" s="557">
        <v>3.3801264338579391</v>
      </c>
      <c r="AO79" s="557">
        <v>3.7984378234436211</v>
      </c>
      <c r="AP79" s="557">
        <v>4.2199385478646319</v>
      </c>
      <c r="AQ79" s="1163">
        <v>4.6446286071209739</v>
      </c>
      <c r="AS79" s="1166">
        <f>AA79-G79</f>
        <v>3.3707100143517632E-2</v>
      </c>
      <c r="AT79" s="557">
        <f t="shared" ref="AT79:AT97" si="20">AB79-H79</f>
        <v>3.7347752419942815E-2</v>
      </c>
      <c r="AU79" s="557">
        <f t="shared" ref="AU79:AU97" si="21">AC79-I79</f>
        <v>4.0996378033456349E-2</v>
      </c>
      <c r="AV79" s="557">
        <f t="shared" ref="AV79:AV97" si="22">AD79-J79</f>
        <v>4.4652976984059123E-2</v>
      </c>
      <c r="AW79" s="557">
        <f t="shared" ref="AW79:AW97" si="23">AE79-K79</f>
        <v>4.831754927174936E-2</v>
      </c>
      <c r="AX79" s="557">
        <f t="shared" ref="AX79:AX97" si="24">AF79-L79</f>
        <v>5.1990094896528394E-2</v>
      </c>
      <c r="AY79" s="557">
        <f t="shared" ref="AY79:AY97" si="25">AG79-M79</f>
        <v>5.5670613858395335E-2</v>
      </c>
      <c r="AZ79" s="557">
        <f t="shared" ref="AZ79:AZ97" si="26">AH79-N79</f>
        <v>5.9359106157351071E-2</v>
      </c>
      <c r="BA79" s="557">
        <f t="shared" ref="BA79:BA97" si="27">AI79-O79</f>
        <v>6.3055571793394716E-2</v>
      </c>
      <c r="BB79" s="557">
        <f t="shared" ref="BB79:BB97" si="28">AJ79-P79</f>
        <v>6.6760010766527156E-2</v>
      </c>
      <c r="BC79" s="557">
        <f t="shared" ref="BC79:BC97" si="29">AK79-Q79</f>
        <v>7.0472423076747059E-2</v>
      </c>
      <c r="BD79" s="557">
        <f t="shared" ref="BD79:BD97" si="30">AL79-R79</f>
        <v>0.10803507971880988</v>
      </c>
      <c r="BE79" s="557">
        <f t="shared" ref="BE79:BE97" si="31">AM79-S79</f>
        <v>0.18555239412943259</v>
      </c>
      <c r="BF79" s="557">
        <f t="shared" ref="BF79:BF97" si="32">AN79-T79</f>
        <v>0.26625904337538486</v>
      </c>
      <c r="BG79" s="557">
        <f t="shared" ref="BG79:BG97" si="33">AO79-U79</f>
        <v>0.35015502745666716</v>
      </c>
      <c r="BH79" s="557">
        <f t="shared" ref="BH79:BH97" si="34">AP79-V79</f>
        <v>0.43724034637327813</v>
      </c>
      <c r="BI79" s="1163">
        <f t="shared" ref="BI79:BI97" si="35">AQ79-W79</f>
        <v>0.5275150001252209</v>
      </c>
    </row>
    <row r="80" spans="3:61" x14ac:dyDescent="0.45">
      <c r="C80" s="1267"/>
      <c r="D80" s="1141" t="s">
        <v>526</v>
      </c>
      <c r="E80" s="1261"/>
      <c r="F80" s="72">
        <v>10</v>
      </c>
      <c r="G80" s="56">
        <v>2.1138571573245355</v>
      </c>
      <c r="H80" s="56">
        <v>2.1305835317532051</v>
      </c>
      <c r="I80" s="56">
        <v>2.1473099061818752</v>
      </c>
      <c r="J80" s="56">
        <v>2.1640362806105449</v>
      </c>
      <c r="K80" s="56">
        <v>2.180762655039215</v>
      </c>
      <c r="L80" s="56">
        <v>2.1974890294678842</v>
      </c>
      <c r="M80" s="56">
        <v>2.2142154038965542</v>
      </c>
      <c r="N80" s="56">
        <v>2.2309417783252243</v>
      </c>
      <c r="O80" s="56">
        <v>2.247668152753894</v>
      </c>
      <c r="P80" s="56">
        <v>2.2643945271825636</v>
      </c>
      <c r="Q80" s="56">
        <v>2.2811209016112337</v>
      </c>
      <c r="R80" s="56">
        <v>2.4483846458979315</v>
      </c>
      <c r="S80" s="56">
        <v>2.7829121344713283</v>
      </c>
      <c r="T80" s="56">
        <v>3.1174396230447243</v>
      </c>
      <c r="U80" s="56">
        <v>3.4519671116181208</v>
      </c>
      <c r="V80" s="56">
        <v>3.7864946001915172</v>
      </c>
      <c r="W80" s="59">
        <v>4.1210220887649136</v>
      </c>
      <c r="Y80" s="1001"/>
      <c r="Z80" s="25">
        <v>10</v>
      </c>
      <c r="AA80" s="557">
        <v>2.1475642574680527</v>
      </c>
      <c r="AB80" s="557">
        <v>2.167931284173148</v>
      </c>
      <c r="AC80" s="557">
        <v>2.1883062842153316</v>
      </c>
      <c r="AD80" s="557">
        <v>2.2086892575946035</v>
      </c>
      <c r="AE80" s="557">
        <v>2.2290802043109643</v>
      </c>
      <c r="AF80" s="557">
        <v>2.249479124364413</v>
      </c>
      <c r="AG80" s="557">
        <v>2.26988601775495</v>
      </c>
      <c r="AH80" s="557">
        <v>2.290300884482575</v>
      </c>
      <c r="AI80" s="557">
        <v>2.3107237245472887</v>
      </c>
      <c r="AJ80" s="557">
        <v>2.3311545379490908</v>
      </c>
      <c r="AK80" s="557">
        <v>2.3515933246879808</v>
      </c>
      <c r="AL80" s="557">
        <v>2.5564197256167414</v>
      </c>
      <c r="AM80" s="557">
        <v>2.9684645286007605</v>
      </c>
      <c r="AN80" s="557">
        <v>3.3836986664201092</v>
      </c>
      <c r="AO80" s="557">
        <v>3.802122139074787</v>
      </c>
      <c r="AP80" s="557">
        <v>4.2237349465647958</v>
      </c>
      <c r="AQ80" s="1163">
        <v>4.6485370888901336</v>
      </c>
      <c r="AS80" s="1166">
        <f t="shared" ref="AS80:AS97" si="36">AA80-G80</f>
        <v>3.3707100143517188E-2</v>
      </c>
      <c r="AT80" s="557">
        <f t="shared" si="20"/>
        <v>3.7347752419942815E-2</v>
      </c>
      <c r="AU80" s="557">
        <f t="shared" si="21"/>
        <v>4.0996378033456349E-2</v>
      </c>
      <c r="AV80" s="557">
        <f t="shared" si="22"/>
        <v>4.4652976984058679E-2</v>
      </c>
      <c r="AW80" s="557">
        <f t="shared" si="23"/>
        <v>4.831754927174936E-2</v>
      </c>
      <c r="AX80" s="557">
        <f t="shared" si="24"/>
        <v>5.1990094896528838E-2</v>
      </c>
      <c r="AY80" s="557">
        <f t="shared" si="25"/>
        <v>5.5670613858395779E-2</v>
      </c>
      <c r="AZ80" s="557">
        <f t="shared" si="26"/>
        <v>5.9359106157350627E-2</v>
      </c>
      <c r="BA80" s="557">
        <f t="shared" si="27"/>
        <v>6.3055571793394716E-2</v>
      </c>
      <c r="BB80" s="557">
        <f t="shared" si="28"/>
        <v>6.6760010766527156E-2</v>
      </c>
      <c r="BC80" s="557">
        <f t="shared" si="29"/>
        <v>7.0472423076747059E-2</v>
      </c>
      <c r="BD80" s="557">
        <f t="shared" si="30"/>
        <v>0.10803507971880988</v>
      </c>
      <c r="BE80" s="557">
        <f t="shared" si="31"/>
        <v>0.18555239412943214</v>
      </c>
      <c r="BF80" s="557">
        <f t="shared" si="32"/>
        <v>0.26625904337538486</v>
      </c>
      <c r="BG80" s="557">
        <f t="shared" si="33"/>
        <v>0.35015502745666627</v>
      </c>
      <c r="BH80" s="557">
        <f t="shared" si="34"/>
        <v>0.43724034637327858</v>
      </c>
      <c r="BI80" s="1163">
        <f t="shared" si="35"/>
        <v>0.52751500012522001</v>
      </c>
    </row>
    <row r="81" spans="3:61" x14ac:dyDescent="0.45">
      <c r="C81" s="1267"/>
      <c r="D81" s="1141" t="s">
        <v>527</v>
      </c>
      <c r="E81" s="1261"/>
      <c r="F81" s="72">
        <v>20</v>
      </c>
      <c r="G81" s="56">
        <v>2.1173256664297879</v>
      </c>
      <c r="H81" s="380">
        <v>2.1340580477055684</v>
      </c>
      <c r="I81" s="56">
        <v>2.1507904289813493</v>
      </c>
      <c r="J81" s="56">
        <v>2.1675228102571298</v>
      </c>
      <c r="K81" s="56">
        <v>2.1842551915329107</v>
      </c>
      <c r="L81" s="56">
        <v>2.2009875728086912</v>
      </c>
      <c r="M81" s="56">
        <v>2.2177199540844721</v>
      </c>
      <c r="N81" s="56">
        <v>2.234452335360253</v>
      </c>
      <c r="O81" s="56">
        <v>2.2511847166360335</v>
      </c>
      <c r="P81" s="56">
        <v>2.2679170979118144</v>
      </c>
      <c r="Q81" s="56">
        <v>2.2846494791875953</v>
      </c>
      <c r="R81" s="56">
        <v>2.4519732919454018</v>
      </c>
      <c r="S81" s="56">
        <v>2.7866209174610166</v>
      </c>
      <c r="T81" s="56">
        <v>3.1212685429766309</v>
      </c>
      <c r="U81" s="56">
        <v>3.4559161684922448</v>
      </c>
      <c r="V81" s="56">
        <v>3.7905637940078591</v>
      </c>
      <c r="W81" s="59">
        <v>4.1252114195234739</v>
      </c>
      <c r="Y81" s="1001"/>
      <c r="Z81" s="25">
        <v>20</v>
      </c>
      <c r="AA81" s="557">
        <v>2.1510327665733051</v>
      </c>
      <c r="AB81" s="557">
        <v>2.1714058001255112</v>
      </c>
      <c r="AC81" s="557">
        <v>2.1917868070148057</v>
      </c>
      <c r="AD81" s="557">
        <v>2.2121757872411889</v>
      </c>
      <c r="AE81" s="557">
        <v>2.2325727408046596</v>
      </c>
      <c r="AF81" s="557">
        <v>2.2529776677052196</v>
      </c>
      <c r="AG81" s="557">
        <v>2.2733905679428674</v>
      </c>
      <c r="AH81" s="557">
        <v>2.2938114415176036</v>
      </c>
      <c r="AI81" s="557">
        <v>2.3142402884294282</v>
      </c>
      <c r="AJ81" s="557">
        <v>2.3346771086783411</v>
      </c>
      <c r="AK81" s="557">
        <v>2.3551219022643424</v>
      </c>
      <c r="AL81" s="557">
        <v>2.5600083716642121</v>
      </c>
      <c r="AM81" s="557">
        <v>2.9721733115904487</v>
      </c>
      <c r="AN81" s="557">
        <v>3.3875275863520153</v>
      </c>
      <c r="AO81" s="557">
        <v>3.8060711959489115</v>
      </c>
      <c r="AP81" s="557">
        <v>4.2278041403811377</v>
      </c>
      <c r="AQ81" s="1163">
        <v>4.6527264196486939</v>
      </c>
      <c r="AS81" s="1166">
        <f t="shared" si="36"/>
        <v>3.3707100143517188E-2</v>
      </c>
      <c r="AT81" s="557">
        <f t="shared" si="20"/>
        <v>3.7347752419942815E-2</v>
      </c>
      <c r="AU81" s="557">
        <f t="shared" si="21"/>
        <v>4.0996378033456349E-2</v>
      </c>
      <c r="AV81" s="557">
        <f t="shared" si="22"/>
        <v>4.4652976984059123E-2</v>
      </c>
      <c r="AW81" s="557">
        <f t="shared" si="23"/>
        <v>4.8317549271748916E-2</v>
      </c>
      <c r="AX81" s="557">
        <f t="shared" si="24"/>
        <v>5.1990094896528394E-2</v>
      </c>
      <c r="AY81" s="557">
        <f t="shared" si="25"/>
        <v>5.5670613858395335E-2</v>
      </c>
      <c r="AZ81" s="557">
        <f t="shared" si="26"/>
        <v>5.9359106157350627E-2</v>
      </c>
      <c r="BA81" s="557">
        <f t="shared" si="27"/>
        <v>6.3055571793394716E-2</v>
      </c>
      <c r="BB81" s="557">
        <f t="shared" si="28"/>
        <v>6.6760010766526712E-2</v>
      </c>
      <c r="BC81" s="557">
        <f t="shared" si="29"/>
        <v>7.0472423076747059E-2</v>
      </c>
      <c r="BD81" s="557">
        <f t="shared" si="30"/>
        <v>0.10803507971881032</v>
      </c>
      <c r="BE81" s="557">
        <f t="shared" si="31"/>
        <v>0.18555239412943214</v>
      </c>
      <c r="BF81" s="557">
        <f t="shared" si="32"/>
        <v>0.26625904337538442</v>
      </c>
      <c r="BG81" s="557">
        <f t="shared" si="33"/>
        <v>0.35015502745666671</v>
      </c>
      <c r="BH81" s="557">
        <f t="shared" si="34"/>
        <v>0.43724034637327858</v>
      </c>
      <c r="BI81" s="1163">
        <f t="shared" si="35"/>
        <v>0.52751500012522001</v>
      </c>
    </row>
    <row r="82" spans="3:61" x14ac:dyDescent="0.45">
      <c r="C82" s="1267"/>
      <c r="D82" s="1136"/>
      <c r="E82" s="1261"/>
      <c r="F82" s="72">
        <v>30</v>
      </c>
      <c r="G82" s="56">
        <v>2.1729205533150613</v>
      </c>
      <c r="H82" s="56">
        <v>2.1897492151469926</v>
      </c>
      <c r="I82" s="56">
        <v>2.2065778769789244</v>
      </c>
      <c r="J82" s="56">
        <v>2.2234065388108557</v>
      </c>
      <c r="K82" s="56">
        <v>2.240235200642787</v>
      </c>
      <c r="L82" s="56">
        <v>2.2570638624747188</v>
      </c>
      <c r="M82" s="56">
        <v>2.2738925243066501</v>
      </c>
      <c r="N82" s="56">
        <v>2.2907211861385814</v>
      </c>
      <c r="O82" s="56">
        <v>2.3075498479705132</v>
      </c>
      <c r="P82" s="56">
        <v>2.3243785098024445</v>
      </c>
      <c r="Q82" s="56">
        <v>2.3412071716343763</v>
      </c>
      <c r="R82" s="56">
        <v>2.5094937899536909</v>
      </c>
      <c r="S82" s="56">
        <v>2.8460670265923209</v>
      </c>
      <c r="T82" s="56">
        <v>3.1826402632309509</v>
      </c>
      <c r="U82" s="56">
        <v>3.519213499869581</v>
      </c>
      <c r="V82" s="56">
        <v>3.855786736508211</v>
      </c>
      <c r="W82" s="59">
        <v>4.1923599731468411</v>
      </c>
      <c r="Y82" s="1001"/>
      <c r="Z82" s="25">
        <v>30</v>
      </c>
      <c r="AA82" s="557">
        <v>2.2066276534585785</v>
      </c>
      <c r="AB82" s="557">
        <v>2.2270969675669354</v>
      </c>
      <c r="AC82" s="557">
        <v>2.2475742550123803</v>
      </c>
      <c r="AD82" s="557">
        <v>2.2680595157949148</v>
      </c>
      <c r="AE82" s="557">
        <v>2.2885527499145368</v>
      </c>
      <c r="AF82" s="557">
        <v>2.3090539573712467</v>
      </c>
      <c r="AG82" s="557">
        <v>2.3295631381650455</v>
      </c>
      <c r="AH82" s="557">
        <v>2.3500802922959325</v>
      </c>
      <c r="AI82" s="557">
        <v>2.3706054197639084</v>
      </c>
      <c r="AJ82" s="557">
        <v>2.3911385205689712</v>
      </c>
      <c r="AK82" s="557">
        <v>2.4116795947111234</v>
      </c>
      <c r="AL82" s="557">
        <v>2.6175288696725008</v>
      </c>
      <c r="AM82" s="557">
        <v>3.0316194207217535</v>
      </c>
      <c r="AN82" s="557">
        <v>3.4488993066063349</v>
      </c>
      <c r="AO82" s="557">
        <v>3.8693685273262473</v>
      </c>
      <c r="AP82" s="557">
        <v>4.2930270828814887</v>
      </c>
      <c r="AQ82" s="1163">
        <v>4.7198749732720611</v>
      </c>
      <c r="AS82" s="1166">
        <f t="shared" si="36"/>
        <v>3.3707100143517188E-2</v>
      </c>
      <c r="AT82" s="557">
        <f t="shared" si="20"/>
        <v>3.7347752419942815E-2</v>
      </c>
      <c r="AU82" s="557">
        <f t="shared" si="21"/>
        <v>4.0996378033455905E-2</v>
      </c>
      <c r="AV82" s="557">
        <f t="shared" si="22"/>
        <v>4.4652976984059123E-2</v>
      </c>
      <c r="AW82" s="557">
        <f t="shared" si="23"/>
        <v>4.8317549271749805E-2</v>
      </c>
      <c r="AX82" s="557">
        <f t="shared" si="24"/>
        <v>5.199009489652795E-2</v>
      </c>
      <c r="AY82" s="557">
        <f t="shared" si="25"/>
        <v>5.5670613858395335E-2</v>
      </c>
      <c r="AZ82" s="557">
        <f t="shared" si="26"/>
        <v>5.9359106157351071E-2</v>
      </c>
      <c r="BA82" s="557">
        <f t="shared" si="27"/>
        <v>6.305557179339516E-2</v>
      </c>
      <c r="BB82" s="557">
        <f t="shared" si="28"/>
        <v>6.6760010766526712E-2</v>
      </c>
      <c r="BC82" s="557">
        <f t="shared" si="29"/>
        <v>7.0472423076747059E-2</v>
      </c>
      <c r="BD82" s="557">
        <f t="shared" si="30"/>
        <v>0.10803507971880988</v>
      </c>
      <c r="BE82" s="557">
        <f t="shared" si="31"/>
        <v>0.18555239412943259</v>
      </c>
      <c r="BF82" s="557">
        <f t="shared" si="32"/>
        <v>0.26625904337538397</v>
      </c>
      <c r="BG82" s="557">
        <f t="shared" si="33"/>
        <v>0.35015502745666627</v>
      </c>
      <c r="BH82" s="557">
        <f t="shared" si="34"/>
        <v>0.43724034637327769</v>
      </c>
      <c r="BI82" s="1163">
        <f t="shared" si="35"/>
        <v>0.52751500012522001</v>
      </c>
    </row>
    <row r="83" spans="3:61" x14ac:dyDescent="0.45">
      <c r="C83" s="1267"/>
      <c r="D83" s="5"/>
      <c r="E83" s="1261"/>
      <c r="F83" s="72">
        <v>40</v>
      </c>
      <c r="G83" s="56">
        <v>2.2328195604753236</v>
      </c>
      <c r="H83" s="56">
        <v>2.2497519568419464</v>
      </c>
      <c r="I83" s="56">
        <v>2.2666843532085692</v>
      </c>
      <c r="J83" s="56">
        <v>2.2836167495751925</v>
      </c>
      <c r="K83" s="56">
        <v>2.3005491459418153</v>
      </c>
      <c r="L83" s="56">
        <v>2.3174815423084385</v>
      </c>
      <c r="M83" s="56">
        <v>2.3344139386750613</v>
      </c>
      <c r="N83" s="56">
        <v>2.3513463350416846</v>
      </c>
      <c r="O83" s="56">
        <v>2.3682787314083074</v>
      </c>
      <c r="P83" s="56">
        <v>2.3852111277749302</v>
      </c>
      <c r="Q83" s="56">
        <v>2.4021435241415534</v>
      </c>
      <c r="R83" s="56">
        <v>2.5714674878077828</v>
      </c>
      <c r="S83" s="56">
        <v>2.9101154151402424</v>
      </c>
      <c r="T83" s="56">
        <v>3.248763342472702</v>
      </c>
      <c r="U83" s="56">
        <v>3.5874112698051617</v>
      </c>
      <c r="V83" s="56">
        <v>3.9260591971376213</v>
      </c>
      <c r="W83" s="59">
        <v>4.2647071244700809</v>
      </c>
      <c r="Y83" s="1001"/>
      <c r="Z83" s="25">
        <v>40</v>
      </c>
      <c r="AA83" s="557">
        <v>2.2665266606188408</v>
      </c>
      <c r="AB83" s="557">
        <v>2.2870997092618892</v>
      </c>
      <c r="AC83" s="557">
        <v>2.307680731242026</v>
      </c>
      <c r="AD83" s="557">
        <v>2.3282697265592511</v>
      </c>
      <c r="AE83" s="557">
        <v>2.3488666952135651</v>
      </c>
      <c r="AF83" s="557">
        <v>2.3694716372049669</v>
      </c>
      <c r="AG83" s="557">
        <v>2.3900845525334566</v>
      </c>
      <c r="AH83" s="557">
        <v>2.4107054411990352</v>
      </c>
      <c r="AI83" s="557">
        <v>2.4313343032017021</v>
      </c>
      <c r="AJ83" s="557">
        <v>2.4519711385414573</v>
      </c>
      <c r="AK83" s="557">
        <v>2.4726159472183005</v>
      </c>
      <c r="AL83" s="557">
        <v>2.6795025675265931</v>
      </c>
      <c r="AM83" s="557">
        <v>3.095667809269675</v>
      </c>
      <c r="AN83" s="557">
        <v>3.5150223858480869</v>
      </c>
      <c r="AO83" s="557">
        <v>3.9375662972618284</v>
      </c>
      <c r="AP83" s="557">
        <v>4.3632995435108999</v>
      </c>
      <c r="AQ83" s="1163">
        <v>4.7922221245953009</v>
      </c>
      <c r="AS83" s="1166">
        <f t="shared" si="36"/>
        <v>3.3707100143517188E-2</v>
      </c>
      <c r="AT83" s="557">
        <f t="shared" si="20"/>
        <v>3.7347752419942815E-2</v>
      </c>
      <c r="AU83" s="557">
        <f t="shared" si="21"/>
        <v>4.0996378033456793E-2</v>
      </c>
      <c r="AV83" s="557">
        <f t="shared" si="22"/>
        <v>4.4652976984058679E-2</v>
      </c>
      <c r="AW83" s="557">
        <f t="shared" si="23"/>
        <v>4.8317549271749805E-2</v>
      </c>
      <c r="AX83" s="557">
        <f t="shared" si="24"/>
        <v>5.1990094896528394E-2</v>
      </c>
      <c r="AY83" s="557">
        <f t="shared" si="25"/>
        <v>5.5670613858395335E-2</v>
      </c>
      <c r="AZ83" s="557">
        <f t="shared" si="26"/>
        <v>5.9359106157350627E-2</v>
      </c>
      <c r="BA83" s="557">
        <f t="shared" si="27"/>
        <v>6.3055571793394716E-2</v>
      </c>
      <c r="BB83" s="557">
        <f t="shared" si="28"/>
        <v>6.6760010766527156E-2</v>
      </c>
      <c r="BC83" s="557">
        <f t="shared" si="29"/>
        <v>7.0472423076747059E-2</v>
      </c>
      <c r="BD83" s="557">
        <f t="shared" si="30"/>
        <v>0.10803507971881032</v>
      </c>
      <c r="BE83" s="557">
        <f t="shared" si="31"/>
        <v>0.18555239412943259</v>
      </c>
      <c r="BF83" s="557">
        <f t="shared" si="32"/>
        <v>0.26625904337538486</v>
      </c>
      <c r="BG83" s="557">
        <f t="shared" si="33"/>
        <v>0.35015502745666671</v>
      </c>
      <c r="BH83" s="557">
        <f t="shared" si="34"/>
        <v>0.43724034637327858</v>
      </c>
      <c r="BI83" s="1163">
        <f t="shared" si="35"/>
        <v>0.52751500012522001</v>
      </c>
    </row>
    <row r="84" spans="3:61" x14ac:dyDescent="0.45">
      <c r="C84" s="1267"/>
      <c r="D84" s="5"/>
      <c r="E84" s="1261"/>
      <c r="F84" s="72">
        <v>50</v>
      </c>
      <c r="G84" s="56">
        <v>2.2975426487491641</v>
      </c>
      <c r="H84" s="56">
        <v>2.3145871341096482</v>
      </c>
      <c r="I84" s="56">
        <v>2.3316316194701323</v>
      </c>
      <c r="J84" s="56">
        <v>2.3486761048306164</v>
      </c>
      <c r="K84" s="56">
        <v>2.3657205901911009</v>
      </c>
      <c r="L84" s="56">
        <v>2.382765075551585</v>
      </c>
      <c r="M84" s="56">
        <v>2.3998095609120691</v>
      </c>
      <c r="N84" s="56">
        <v>2.4168540462725536</v>
      </c>
      <c r="O84" s="56">
        <v>2.4338985316330382</v>
      </c>
      <c r="P84" s="56">
        <v>2.4509430169935218</v>
      </c>
      <c r="Q84" s="56">
        <v>2.4679875023540063</v>
      </c>
      <c r="R84" s="56">
        <v>2.6384323559588485</v>
      </c>
      <c r="S84" s="56">
        <v>2.9793220631685333</v>
      </c>
      <c r="T84" s="56">
        <v>3.3202117703782186</v>
      </c>
      <c r="U84" s="56">
        <v>3.6611014775879029</v>
      </c>
      <c r="V84" s="56">
        <v>4.0019911847975873</v>
      </c>
      <c r="W84" s="59">
        <v>4.3428808920072726</v>
      </c>
      <c r="Y84" s="1001"/>
      <c r="Z84" s="25">
        <v>50</v>
      </c>
      <c r="AA84" s="557">
        <v>2.3312497488926813</v>
      </c>
      <c r="AB84" s="557">
        <v>2.3519348865295906</v>
      </c>
      <c r="AC84" s="557">
        <v>2.3726279975035891</v>
      </c>
      <c r="AD84" s="557">
        <v>2.3933290818146755</v>
      </c>
      <c r="AE84" s="557">
        <v>2.4140381394628503</v>
      </c>
      <c r="AF84" s="557">
        <v>2.4347551704481134</v>
      </c>
      <c r="AG84" s="557">
        <v>2.4554801747704649</v>
      </c>
      <c r="AH84" s="557">
        <v>2.4762131524299047</v>
      </c>
      <c r="AI84" s="557">
        <v>2.4969541034264324</v>
      </c>
      <c r="AJ84" s="557">
        <v>2.517703027760049</v>
      </c>
      <c r="AK84" s="557">
        <v>2.5384599254307538</v>
      </c>
      <c r="AL84" s="557">
        <v>2.7464674356776584</v>
      </c>
      <c r="AM84" s="557">
        <v>3.1648744572979659</v>
      </c>
      <c r="AN84" s="557">
        <v>3.5864708137536025</v>
      </c>
      <c r="AO84" s="557">
        <v>4.0112565050445701</v>
      </c>
      <c r="AP84" s="557">
        <v>4.4392315311708668</v>
      </c>
      <c r="AQ84" s="1163">
        <v>4.8703958921324926</v>
      </c>
      <c r="AS84" s="1166">
        <f t="shared" si="36"/>
        <v>3.3707100143517188E-2</v>
      </c>
      <c r="AT84" s="557">
        <f t="shared" si="20"/>
        <v>3.734775241994237E-2</v>
      </c>
      <c r="AU84" s="557">
        <f t="shared" si="21"/>
        <v>4.0996378033456793E-2</v>
      </c>
      <c r="AV84" s="557">
        <f t="shared" si="22"/>
        <v>4.4652976984059123E-2</v>
      </c>
      <c r="AW84" s="557">
        <f t="shared" si="23"/>
        <v>4.831754927174936E-2</v>
      </c>
      <c r="AX84" s="557">
        <f t="shared" si="24"/>
        <v>5.1990094896528394E-2</v>
      </c>
      <c r="AY84" s="557">
        <f t="shared" si="25"/>
        <v>5.5670613858395779E-2</v>
      </c>
      <c r="AZ84" s="557">
        <f t="shared" si="26"/>
        <v>5.9359106157351071E-2</v>
      </c>
      <c r="BA84" s="557">
        <f t="shared" si="27"/>
        <v>6.3055571793394272E-2</v>
      </c>
      <c r="BB84" s="557">
        <f t="shared" si="28"/>
        <v>6.6760010766527156E-2</v>
      </c>
      <c r="BC84" s="557">
        <f t="shared" si="29"/>
        <v>7.0472423076747504E-2</v>
      </c>
      <c r="BD84" s="557">
        <f t="shared" si="30"/>
        <v>0.10803507971880988</v>
      </c>
      <c r="BE84" s="557">
        <f t="shared" si="31"/>
        <v>0.18555239412943259</v>
      </c>
      <c r="BF84" s="557">
        <f t="shared" si="32"/>
        <v>0.26625904337538397</v>
      </c>
      <c r="BG84" s="557">
        <f t="shared" si="33"/>
        <v>0.35015502745666716</v>
      </c>
      <c r="BH84" s="557">
        <f t="shared" si="34"/>
        <v>0.43724034637327946</v>
      </c>
      <c r="BI84" s="1163">
        <f t="shared" si="35"/>
        <v>0.52751500012522001</v>
      </c>
    </row>
    <row r="85" spans="3:61" x14ac:dyDescent="0.45">
      <c r="C85" s="1267"/>
      <c r="D85" s="5"/>
      <c r="E85" s="1261"/>
      <c r="F85" s="72">
        <v>60</v>
      </c>
      <c r="G85" s="56">
        <v>2.3676970451299004</v>
      </c>
      <c r="H85" s="56">
        <v>2.3848630255536607</v>
      </c>
      <c r="I85" s="56">
        <v>2.4020290059774214</v>
      </c>
      <c r="J85" s="56">
        <v>2.4191949864011817</v>
      </c>
      <c r="K85" s="56">
        <v>2.4363609668249424</v>
      </c>
      <c r="L85" s="56">
        <v>2.4535269472487022</v>
      </c>
      <c r="M85" s="56">
        <v>2.470692927672463</v>
      </c>
      <c r="N85" s="56">
        <v>2.4878589080962237</v>
      </c>
      <c r="O85" s="56">
        <v>2.5050248885199835</v>
      </c>
      <c r="P85" s="56">
        <v>2.5221908689437442</v>
      </c>
      <c r="Q85" s="56">
        <v>2.5393568493675049</v>
      </c>
      <c r="R85" s="56">
        <v>2.7110166536051086</v>
      </c>
      <c r="S85" s="56">
        <v>3.0543362620803181</v>
      </c>
      <c r="T85" s="56">
        <v>3.3976558705555262</v>
      </c>
      <c r="U85" s="56">
        <v>3.7409754790307348</v>
      </c>
      <c r="V85" s="56">
        <v>4.0842950875059438</v>
      </c>
      <c r="W85" s="59">
        <v>4.427614695981152</v>
      </c>
      <c r="Y85" s="1001"/>
      <c r="Z85" s="25">
        <v>60</v>
      </c>
      <c r="AA85" s="557">
        <v>2.4014041452734172</v>
      </c>
      <c r="AB85" s="557">
        <v>2.4222107779736035</v>
      </c>
      <c r="AC85" s="557">
        <v>2.4430253840108778</v>
      </c>
      <c r="AD85" s="557">
        <v>2.4638479633852408</v>
      </c>
      <c r="AE85" s="557">
        <v>2.4846785160966913</v>
      </c>
      <c r="AF85" s="557">
        <v>2.5055170421452302</v>
      </c>
      <c r="AG85" s="557">
        <v>2.5263635415308583</v>
      </c>
      <c r="AH85" s="557">
        <v>2.5472180142535743</v>
      </c>
      <c r="AI85" s="557">
        <v>2.5680804603133787</v>
      </c>
      <c r="AJ85" s="557">
        <v>2.5889508797102709</v>
      </c>
      <c r="AK85" s="557">
        <v>2.609829272444252</v>
      </c>
      <c r="AL85" s="557">
        <v>2.819051733323918</v>
      </c>
      <c r="AM85" s="557">
        <v>3.2398886562097502</v>
      </c>
      <c r="AN85" s="557">
        <v>3.6639149139309111</v>
      </c>
      <c r="AO85" s="557">
        <v>4.091130506487402</v>
      </c>
      <c r="AP85" s="557">
        <v>4.5215354338792224</v>
      </c>
      <c r="AQ85" s="1163">
        <v>4.9551296961063729</v>
      </c>
      <c r="AS85" s="1166">
        <f t="shared" si="36"/>
        <v>3.3707100143516744E-2</v>
      </c>
      <c r="AT85" s="557">
        <f t="shared" si="20"/>
        <v>3.7347752419942815E-2</v>
      </c>
      <c r="AU85" s="557">
        <f t="shared" si="21"/>
        <v>4.0996378033456349E-2</v>
      </c>
      <c r="AV85" s="557">
        <f t="shared" si="22"/>
        <v>4.4652976984059123E-2</v>
      </c>
      <c r="AW85" s="557">
        <f t="shared" si="23"/>
        <v>4.8317549271748916E-2</v>
      </c>
      <c r="AX85" s="557">
        <f t="shared" si="24"/>
        <v>5.199009489652795E-2</v>
      </c>
      <c r="AY85" s="557">
        <f t="shared" si="25"/>
        <v>5.5670613858395335E-2</v>
      </c>
      <c r="AZ85" s="557">
        <f t="shared" si="26"/>
        <v>5.9359106157350627E-2</v>
      </c>
      <c r="BA85" s="557">
        <f t="shared" si="27"/>
        <v>6.305557179339516E-2</v>
      </c>
      <c r="BB85" s="557">
        <f t="shared" si="28"/>
        <v>6.6760010766526712E-2</v>
      </c>
      <c r="BC85" s="557">
        <f t="shared" si="29"/>
        <v>7.0472423076747059E-2</v>
      </c>
      <c r="BD85" s="557">
        <f t="shared" si="30"/>
        <v>0.10803507971880943</v>
      </c>
      <c r="BE85" s="557">
        <f t="shared" si="31"/>
        <v>0.18555239412943214</v>
      </c>
      <c r="BF85" s="557">
        <f t="shared" si="32"/>
        <v>0.26625904337538486</v>
      </c>
      <c r="BG85" s="557">
        <f t="shared" si="33"/>
        <v>0.35015502745666716</v>
      </c>
      <c r="BH85" s="557">
        <f t="shared" si="34"/>
        <v>0.43724034637327858</v>
      </c>
      <c r="BI85" s="1163">
        <f t="shared" si="35"/>
        <v>0.5275150001252209</v>
      </c>
    </row>
    <row r="86" spans="3:61" x14ac:dyDescent="0.45">
      <c r="C86" s="1267"/>
      <c r="D86" s="5"/>
      <c r="E86" s="1261"/>
      <c r="F86" s="72">
        <v>70</v>
      </c>
      <c r="G86" s="56">
        <v>2.4439963521425256</v>
      </c>
      <c r="H86" s="56">
        <v>2.4612944695329153</v>
      </c>
      <c r="I86" s="56">
        <v>2.4785925869233045</v>
      </c>
      <c r="J86" s="56">
        <v>2.4958907043136938</v>
      </c>
      <c r="K86" s="56">
        <v>2.513188821704083</v>
      </c>
      <c r="L86" s="56">
        <v>2.5304869390944722</v>
      </c>
      <c r="M86" s="56">
        <v>2.5477850564848614</v>
      </c>
      <c r="N86" s="56">
        <v>2.5650831738752511</v>
      </c>
      <c r="O86" s="56">
        <v>2.5823812912656403</v>
      </c>
      <c r="P86" s="56">
        <v>2.5996794086560295</v>
      </c>
      <c r="Q86" s="56">
        <v>2.6169775260464192</v>
      </c>
      <c r="R86" s="56">
        <v>2.7899586999503114</v>
      </c>
      <c r="S86" s="56">
        <v>3.1359210477580977</v>
      </c>
      <c r="T86" s="56">
        <v>3.4818833955658834</v>
      </c>
      <c r="U86" s="56">
        <v>3.8278457433736692</v>
      </c>
      <c r="V86" s="56">
        <v>4.1738080911814546</v>
      </c>
      <c r="W86" s="59">
        <v>4.5197704389892408</v>
      </c>
      <c r="Y86" s="1001"/>
      <c r="Z86" s="25">
        <v>70</v>
      </c>
      <c r="AA86" s="557">
        <v>2.4777034522860433</v>
      </c>
      <c r="AB86" s="557">
        <v>2.4986422219528577</v>
      </c>
      <c r="AC86" s="557">
        <v>2.5195889649567609</v>
      </c>
      <c r="AD86" s="557">
        <v>2.5405436812977524</v>
      </c>
      <c r="AE86" s="557">
        <v>2.5615063709758323</v>
      </c>
      <c r="AF86" s="557">
        <v>2.5824770339910006</v>
      </c>
      <c r="AG86" s="557">
        <v>2.6034556703432572</v>
      </c>
      <c r="AH86" s="557">
        <v>2.6244422800326017</v>
      </c>
      <c r="AI86" s="557">
        <v>2.645436863059035</v>
      </c>
      <c r="AJ86" s="557">
        <v>2.6664394194225567</v>
      </c>
      <c r="AK86" s="557">
        <v>2.6874499491231658</v>
      </c>
      <c r="AL86" s="557">
        <v>2.8979937796691217</v>
      </c>
      <c r="AM86" s="557">
        <v>3.3214734418875294</v>
      </c>
      <c r="AN86" s="557">
        <v>3.7481424389412679</v>
      </c>
      <c r="AO86" s="557">
        <v>4.1780007708303355</v>
      </c>
      <c r="AP86" s="557">
        <v>4.611048437554734</v>
      </c>
      <c r="AQ86" s="1163">
        <v>5.0472854391144608</v>
      </c>
      <c r="AS86" s="1166">
        <f t="shared" si="36"/>
        <v>3.3707100143517632E-2</v>
      </c>
      <c r="AT86" s="557">
        <f t="shared" si="20"/>
        <v>3.734775241994237E-2</v>
      </c>
      <c r="AU86" s="557">
        <f t="shared" si="21"/>
        <v>4.0996378033456349E-2</v>
      </c>
      <c r="AV86" s="557">
        <f t="shared" si="22"/>
        <v>4.4652976984058679E-2</v>
      </c>
      <c r="AW86" s="557">
        <f t="shared" si="23"/>
        <v>4.831754927174936E-2</v>
      </c>
      <c r="AX86" s="557">
        <f t="shared" si="24"/>
        <v>5.1990094896528394E-2</v>
      </c>
      <c r="AY86" s="557">
        <f t="shared" si="25"/>
        <v>5.5670613858395779E-2</v>
      </c>
      <c r="AZ86" s="557">
        <f t="shared" si="26"/>
        <v>5.9359106157350627E-2</v>
      </c>
      <c r="BA86" s="557">
        <f t="shared" si="27"/>
        <v>6.3055571793394716E-2</v>
      </c>
      <c r="BB86" s="557">
        <f t="shared" si="28"/>
        <v>6.6760010766527156E-2</v>
      </c>
      <c r="BC86" s="557">
        <f t="shared" si="29"/>
        <v>7.0472423076746615E-2</v>
      </c>
      <c r="BD86" s="557">
        <f t="shared" si="30"/>
        <v>0.10803507971881032</v>
      </c>
      <c r="BE86" s="557">
        <f t="shared" si="31"/>
        <v>0.1855523941294317</v>
      </c>
      <c r="BF86" s="557">
        <f t="shared" si="32"/>
        <v>0.26625904337538442</v>
      </c>
      <c r="BG86" s="557">
        <f t="shared" si="33"/>
        <v>0.35015502745666627</v>
      </c>
      <c r="BH86" s="557">
        <f t="shared" si="34"/>
        <v>0.43724034637327946</v>
      </c>
      <c r="BI86" s="1163">
        <f t="shared" si="35"/>
        <v>0.52751500012522001</v>
      </c>
    </row>
    <row r="87" spans="3:61" x14ac:dyDescent="0.45">
      <c r="C87" s="1267"/>
      <c r="D87" s="5"/>
      <c r="E87" s="1261"/>
      <c r="F87" s="72">
        <v>80</v>
      </c>
      <c r="G87" s="56">
        <v>2.5272849086524909</v>
      </c>
      <c r="H87" s="56">
        <v>2.5447272671591241</v>
      </c>
      <c r="I87" s="56">
        <v>2.5621696256657573</v>
      </c>
      <c r="J87" s="56">
        <v>2.5796119841723901</v>
      </c>
      <c r="K87" s="56">
        <v>2.5970543426790229</v>
      </c>
      <c r="L87" s="56">
        <v>2.6144967011856561</v>
      </c>
      <c r="M87" s="56">
        <v>2.6319390596922894</v>
      </c>
      <c r="N87" s="56">
        <v>2.6493814181989221</v>
      </c>
      <c r="O87" s="56">
        <v>2.6668237767055549</v>
      </c>
      <c r="P87" s="56">
        <v>2.6842661352121882</v>
      </c>
      <c r="Q87" s="56">
        <v>2.7017084937188214</v>
      </c>
      <c r="R87" s="56">
        <v>2.876132078785151</v>
      </c>
      <c r="S87" s="56">
        <v>3.224979248917812</v>
      </c>
      <c r="T87" s="56">
        <v>3.573826419050472</v>
      </c>
      <c r="U87" s="56">
        <v>3.9226735891831312</v>
      </c>
      <c r="V87" s="56">
        <v>4.2715207593157913</v>
      </c>
      <c r="W87" s="59">
        <v>4.6203679294484514</v>
      </c>
      <c r="Y87" s="1001"/>
      <c r="Z87" s="25">
        <v>80</v>
      </c>
      <c r="AA87" s="557">
        <v>2.5609920087960081</v>
      </c>
      <c r="AB87" s="557">
        <v>2.5820750195790665</v>
      </c>
      <c r="AC87" s="557">
        <v>2.6031660036992132</v>
      </c>
      <c r="AD87" s="557">
        <v>2.6242649611564488</v>
      </c>
      <c r="AE87" s="557">
        <v>2.6453718919507727</v>
      </c>
      <c r="AF87" s="557">
        <v>2.6664867960821841</v>
      </c>
      <c r="AG87" s="557">
        <v>2.6876096735506847</v>
      </c>
      <c r="AH87" s="557">
        <v>2.7087405243562728</v>
      </c>
      <c r="AI87" s="557">
        <v>2.7298793484989501</v>
      </c>
      <c r="AJ87" s="557">
        <v>2.7510261459787144</v>
      </c>
      <c r="AK87" s="557">
        <v>2.772180916795568</v>
      </c>
      <c r="AL87" s="557">
        <v>2.9841671585039604</v>
      </c>
      <c r="AM87" s="557">
        <v>3.4105316430472441</v>
      </c>
      <c r="AN87" s="557">
        <v>3.8400854624258556</v>
      </c>
      <c r="AO87" s="557">
        <v>4.2728286166397984</v>
      </c>
      <c r="AP87" s="557">
        <v>4.708761105689069</v>
      </c>
      <c r="AQ87" s="1163">
        <v>5.1478829295736723</v>
      </c>
      <c r="AS87" s="1166">
        <f t="shared" si="36"/>
        <v>3.3707100143517188E-2</v>
      </c>
      <c r="AT87" s="557">
        <f t="shared" si="20"/>
        <v>3.734775241994237E-2</v>
      </c>
      <c r="AU87" s="557">
        <f t="shared" si="21"/>
        <v>4.0996378033455905E-2</v>
      </c>
      <c r="AV87" s="557">
        <f t="shared" si="22"/>
        <v>4.4652976984058679E-2</v>
      </c>
      <c r="AW87" s="557">
        <f t="shared" si="23"/>
        <v>4.8317549271749805E-2</v>
      </c>
      <c r="AX87" s="557">
        <f t="shared" si="24"/>
        <v>5.199009489652795E-2</v>
      </c>
      <c r="AY87" s="557">
        <f t="shared" si="25"/>
        <v>5.5670613858395335E-2</v>
      </c>
      <c r="AZ87" s="557">
        <f t="shared" si="26"/>
        <v>5.9359106157350627E-2</v>
      </c>
      <c r="BA87" s="557">
        <f t="shared" si="27"/>
        <v>6.305557179339516E-2</v>
      </c>
      <c r="BB87" s="557">
        <f t="shared" si="28"/>
        <v>6.6760010766526268E-2</v>
      </c>
      <c r="BC87" s="557">
        <f t="shared" si="29"/>
        <v>7.0472423076746615E-2</v>
      </c>
      <c r="BD87" s="557">
        <f t="shared" si="30"/>
        <v>0.10803507971880943</v>
      </c>
      <c r="BE87" s="557">
        <f t="shared" si="31"/>
        <v>0.18555239412943214</v>
      </c>
      <c r="BF87" s="557">
        <f t="shared" si="32"/>
        <v>0.26625904337538353</v>
      </c>
      <c r="BG87" s="557">
        <f t="shared" si="33"/>
        <v>0.35015502745666716</v>
      </c>
      <c r="BH87" s="557">
        <f t="shared" si="34"/>
        <v>0.43724034637327769</v>
      </c>
      <c r="BI87" s="1163">
        <f t="shared" si="35"/>
        <v>0.5275150001252209</v>
      </c>
    </row>
    <row r="88" spans="3:61" x14ac:dyDescent="0.45">
      <c r="C88" s="1267"/>
      <c r="D88" s="5"/>
      <c r="E88" s="1261"/>
      <c r="F88" s="72">
        <v>90</v>
      </c>
      <c r="G88" s="56">
        <v>2.6185691665874131</v>
      </c>
      <c r="H88" s="56">
        <v>2.636169613357449</v>
      </c>
      <c r="I88" s="56">
        <v>2.653770060127485</v>
      </c>
      <c r="J88" s="56">
        <v>2.6713705068975213</v>
      </c>
      <c r="K88" s="56">
        <v>2.6889709536675572</v>
      </c>
      <c r="L88" s="56">
        <v>2.7065714004375936</v>
      </c>
      <c r="M88" s="56">
        <v>2.7241718472076295</v>
      </c>
      <c r="N88" s="56">
        <v>2.7417722939776659</v>
      </c>
      <c r="O88" s="56">
        <v>2.7593727407477022</v>
      </c>
      <c r="P88" s="56">
        <v>2.7769731875177381</v>
      </c>
      <c r="Q88" s="56">
        <v>2.7945736342877745</v>
      </c>
      <c r="R88" s="56">
        <v>2.970578101988135</v>
      </c>
      <c r="S88" s="56">
        <v>3.3225870373888577</v>
      </c>
      <c r="T88" s="56">
        <v>3.6745959727895801</v>
      </c>
      <c r="U88" s="56">
        <v>4.0266049081903024</v>
      </c>
      <c r="V88" s="56">
        <v>4.3786138435910242</v>
      </c>
      <c r="W88" s="59">
        <v>4.730622778991747</v>
      </c>
      <c r="Y88" s="1001"/>
      <c r="Z88" s="25">
        <v>90</v>
      </c>
      <c r="AA88" s="557">
        <v>2.6522762667309303</v>
      </c>
      <c r="AB88" s="557">
        <v>2.6735173657773919</v>
      </c>
      <c r="AC88" s="557">
        <v>2.6947664381609417</v>
      </c>
      <c r="AD88" s="557">
        <v>2.7160234838815804</v>
      </c>
      <c r="AE88" s="557">
        <v>2.7372885029393066</v>
      </c>
      <c r="AF88" s="557">
        <v>2.7585614953341215</v>
      </c>
      <c r="AG88" s="557">
        <v>2.7798424610660248</v>
      </c>
      <c r="AH88" s="557">
        <v>2.8011314001350165</v>
      </c>
      <c r="AI88" s="557">
        <v>2.8224283125410969</v>
      </c>
      <c r="AJ88" s="557">
        <v>2.8437331982842649</v>
      </c>
      <c r="AK88" s="557">
        <v>2.8650460573645216</v>
      </c>
      <c r="AL88" s="557">
        <v>3.0786131817069453</v>
      </c>
      <c r="AM88" s="557">
        <v>3.5081394315182899</v>
      </c>
      <c r="AN88" s="557">
        <v>3.9408550161649645</v>
      </c>
      <c r="AO88" s="557">
        <v>4.3767599356469695</v>
      </c>
      <c r="AP88" s="557">
        <v>4.8158541899643028</v>
      </c>
      <c r="AQ88" s="1163">
        <v>5.2581377791169679</v>
      </c>
      <c r="AS88" s="1166">
        <f t="shared" si="36"/>
        <v>3.3707100143517188E-2</v>
      </c>
      <c r="AT88" s="557">
        <f t="shared" si="20"/>
        <v>3.7347752419942815E-2</v>
      </c>
      <c r="AU88" s="557">
        <f t="shared" si="21"/>
        <v>4.0996378033456793E-2</v>
      </c>
      <c r="AV88" s="557">
        <f t="shared" si="22"/>
        <v>4.4652976984059123E-2</v>
      </c>
      <c r="AW88" s="557">
        <f t="shared" si="23"/>
        <v>4.831754927174936E-2</v>
      </c>
      <c r="AX88" s="557">
        <f t="shared" si="24"/>
        <v>5.199009489652795E-2</v>
      </c>
      <c r="AY88" s="557">
        <f t="shared" si="25"/>
        <v>5.5670613858395335E-2</v>
      </c>
      <c r="AZ88" s="557">
        <f t="shared" si="26"/>
        <v>5.9359106157350627E-2</v>
      </c>
      <c r="BA88" s="557">
        <f t="shared" si="27"/>
        <v>6.3055571793394716E-2</v>
      </c>
      <c r="BB88" s="557">
        <f t="shared" si="28"/>
        <v>6.6760010766526712E-2</v>
      </c>
      <c r="BC88" s="557">
        <f t="shared" si="29"/>
        <v>7.0472423076747059E-2</v>
      </c>
      <c r="BD88" s="557">
        <f t="shared" si="30"/>
        <v>0.10803507971881032</v>
      </c>
      <c r="BE88" s="557">
        <f t="shared" si="31"/>
        <v>0.18555239412943214</v>
      </c>
      <c r="BF88" s="557">
        <f t="shared" si="32"/>
        <v>0.26625904337538442</v>
      </c>
      <c r="BG88" s="557">
        <f t="shared" si="33"/>
        <v>0.35015502745666716</v>
      </c>
      <c r="BH88" s="557">
        <f t="shared" si="34"/>
        <v>0.43724034637327858</v>
      </c>
      <c r="BI88" s="1163">
        <f t="shared" si="35"/>
        <v>0.5275150001252209</v>
      </c>
    </row>
    <row r="89" spans="3:61" x14ac:dyDescent="0.45">
      <c r="C89" s="1267"/>
      <c r="D89" s="5"/>
      <c r="E89" s="1261"/>
      <c r="F89" s="72">
        <v>100</v>
      </c>
      <c r="G89" s="56">
        <v>2.7190585597762764</v>
      </c>
      <c r="H89" s="56">
        <v>2.7368330364833362</v>
      </c>
      <c r="I89" s="56">
        <v>2.754607513190396</v>
      </c>
      <c r="J89" s="56">
        <v>2.7723819898974558</v>
      </c>
      <c r="K89" s="56">
        <v>2.7901564666045156</v>
      </c>
      <c r="L89" s="56">
        <v>2.8079309433115749</v>
      </c>
      <c r="M89" s="56">
        <v>2.8257054200186347</v>
      </c>
      <c r="N89" s="56">
        <v>2.8434798967256949</v>
      </c>
      <c r="O89" s="56">
        <v>2.8612543734327542</v>
      </c>
      <c r="P89" s="56">
        <v>2.879028850139814</v>
      </c>
      <c r="Q89" s="56">
        <v>2.8968033268468738</v>
      </c>
      <c r="R89" s="56">
        <v>3.0745480939174703</v>
      </c>
      <c r="S89" s="56">
        <v>3.4300376280586651</v>
      </c>
      <c r="T89" s="56">
        <v>3.785527162199859</v>
      </c>
      <c r="U89" s="56">
        <v>4.1410166963410528</v>
      </c>
      <c r="V89" s="56">
        <v>4.4965062304822476</v>
      </c>
      <c r="W89" s="59">
        <v>4.8519957646234415</v>
      </c>
      <c r="Y89" s="1001"/>
      <c r="Z89" s="25">
        <v>100</v>
      </c>
      <c r="AA89" s="557">
        <v>2.7527656599197936</v>
      </c>
      <c r="AB89" s="557">
        <v>2.774180788903279</v>
      </c>
      <c r="AC89" s="557">
        <v>2.7956038912238528</v>
      </c>
      <c r="AD89" s="557">
        <v>2.817034966881514</v>
      </c>
      <c r="AE89" s="557">
        <v>2.8384740158762645</v>
      </c>
      <c r="AF89" s="557">
        <v>2.8599210382081033</v>
      </c>
      <c r="AG89" s="557">
        <v>2.8813760338770296</v>
      </c>
      <c r="AH89" s="557">
        <v>2.9028390028830451</v>
      </c>
      <c r="AI89" s="557">
        <v>2.924309945226149</v>
      </c>
      <c r="AJ89" s="557">
        <v>2.9457888609063412</v>
      </c>
      <c r="AK89" s="557">
        <v>2.9672757499236209</v>
      </c>
      <c r="AL89" s="557">
        <v>3.1825831736362806</v>
      </c>
      <c r="AM89" s="557">
        <v>3.6155900221880968</v>
      </c>
      <c r="AN89" s="557">
        <v>4.0517862055752438</v>
      </c>
      <c r="AO89" s="557">
        <v>4.49117172379772</v>
      </c>
      <c r="AP89" s="557">
        <v>4.9337465768555262</v>
      </c>
      <c r="AQ89" s="1163">
        <v>5.3795107647486624</v>
      </c>
      <c r="AS89" s="1166">
        <f t="shared" si="36"/>
        <v>3.3707100143517188E-2</v>
      </c>
      <c r="AT89" s="557">
        <f t="shared" si="20"/>
        <v>3.7347752419942815E-2</v>
      </c>
      <c r="AU89" s="557">
        <f t="shared" si="21"/>
        <v>4.0996378033456793E-2</v>
      </c>
      <c r="AV89" s="557">
        <f t="shared" si="22"/>
        <v>4.4652976984058235E-2</v>
      </c>
      <c r="AW89" s="557">
        <f t="shared" si="23"/>
        <v>4.8317549271748916E-2</v>
      </c>
      <c r="AX89" s="557">
        <f t="shared" si="24"/>
        <v>5.1990094896528394E-2</v>
      </c>
      <c r="AY89" s="557">
        <f t="shared" si="25"/>
        <v>5.5670613858394891E-2</v>
      </c>
      <c r="AZ89" s="557">
        <f t="shared" si="26"/>
        <v>5.9359106157350183E-2</v>
      </c>
      <c r="BA89" s="557">
        <f t="shared" si="27"/>
        <v>6.3055571793394716E-2</v>
      </c>
      <c r="BB89" s="557">
        <f t="shared" si="28"/>
        <v>6.6760010766527156E-2</v>
      </c>
      <c r="BC89" s="557">
        <f t="shared" si="29"/>
        <v>7.0472423076747059E-2</v>
      </c>
      <c r="BD89" s="557">
        <f t="shared" si="30"/>
        <v>0.10803507971881032</v>
      </c>
      <c r="BE89" s="557">
        <f t="shared" si="31"/>
        <v>0.1855523941294317</v>
      </c>
      <c r="BF89" s="557">
        <f t="shared" si="32"/>
        <v>0.26625904337538486</v>
      </c>
      <c r="BG89" s="557">
        <f t="shared" si="33"/>
        <v>0.35015502745666716</v>
      </c>
      <c r="BH89" s="557">
        <f t="shared" si="34"/>
        <v>0.43724034637327858</v>
      </c>
      <c r="BI89" s="1163">
        <f t="shared" si="35"/>
        <v>0.5275150001252209</v>
      </c>
    </row>
    <row r="90" spans="3:61" x14ac:dyDescent="0.45">
      <c r="C90" s="1267"/>
      <c r="D90" s="5"/>
      <c r="E90" s="1261"/>
      <c r="F90" s="72">
        <v>200</v>
      </c>
      <c r="G90" s="56">
        <v>4.8242832774200677</v>
      </c>
      <c r="H90" s="56">
        <v>4.8457036326960576</v>
      </c>
      <c r="I90" s="56">
        <v>4.8671239879720476</v>
      </c>
      <c r="J90" s="56">
        <v>4.8885443432480367</v>
      </c>
      <c r="K90" s="56">
        <v>4.9099646985240266</v>
      </c>
      <c r="L90" s="56">
        <v>4.9313850538000157</v>
      </c>
      <c r="M90" s="56">
        <v>4.9528054090760056</v>
      </c>
      <c r="N90" s="56">
        <v>4.9742257643519956</v>
      </c>
      <c r="O90" s="56">
        <v>4.9956461196279847</v>
      </c>
      <c r="P90" s="56">
        <v>5.0170664749039755</v>
      </c>
      <c r="Q90" s="56">
        <v>5.0384868301799646</v>
      </c>
      <c r="R90" s="56">
        <v>5.2526903829398606</v>
      </c>
      <c r="S90" s="56">
        <v>5.6810974884596561</v>
      </c>
      <c r="T90" s="56">
        <v>6.1095045939794499</v>
      </c>
      <c r="U90" s="56">
        <v>6.5379116994992437</v>
      </c>
      <c r="V90" s="56">
        <v>6.9663188050190383</v>
      </c>
      <c r="W90" s="59">
        <v>7.394725910538833</v>
      </c>
      <c r="Y90" s="1001"/>
      <c r="Z90" s="25">
        <v>200</v>
      </c>
      <c r="AA90" s="557">
        <v>4.857990377563584</v>
      </c>
      <c r="AB90" s="557">
        <v>4.8830513851159996</v>
      </c>
      <c r="AC90" s="557">
        <v>4.9081203660055035</v>
      </c>
      <c r="AD90" s="557">
        <v>4.9331973202320949</v>
      </c>
      <c r="AE90" s="557">
        <v>4.9582822477957755</v>
      </c>
      <c r="AF90" s="557">
        <v>4.9833751486965445</v>
      </c>
      <c r="AG90" s="557">
        <v>5.008476022934401</v>
      </c>
      <c r="AH90" s="557">
        <v>5.0335848705093458</v>
      </c>
      <c r="AI90" s="557">
        <v>5.0587016914213798</v>
      </c>
      <c r="AJ90" s="557">
        <v>5.0838264856705013</v>
      </c>
      <c r="AK90" s="557">
        <v>5.1089592532567121</v>
      </c>
      <c r="AL90" s="557">
        <v>5.3607254626586709</v>
      </c>
      <c r="AM90" s="557">
        <v>5.8666498825890887</v>
      </c>
      <c r="AN90" s="557">
        <v>6.3757636373548339</v>
      </c>
      <c r="AO90" s="557">
        <v>6.8880667269559108</v>
      </c>
      <c r="AP90" s="557">
        <v>7.4035591513923178</v>
      </c>
      <c r="AQ90" s="1163">
        <v>7.9222409106640548</v>
      </c>
      <c r="AS90" s="1166">
        <f t="shared" si="36"/>
        <v>3.37071001435163E-2</v>
      </c>
      <c r="AT90" s="557">
        <f t="shared" si="20"/>
        <v>3.7347752419941926E-2</v>
      </c>
      <c r="AU90" s="557">
        <f t="shared" si="21"/>
        <v>4.0996378033455905E-2</v>
      </c>
      <c r="AV90" s="557">
        <f t="shared" si="22"/>
        <v>4.4652976984058235E-2</v>
      </c>
      <c r="AW90" s="557">
        <f t="shared" si="23"/>
        <v>4.8317549271748916E-2</v>
      </c>
      <c r="AX90" s="557">
        <f t="shared" si="24"/>
        <v>5.1990094896528838E-2</v>
      </c>
      <c r="AY90" s="557">
        <f t="shared" si="25"/>
        <v>5.5670613858395335E-2</v>
      </c>
      <c r="AZ90" s="557">
        <f t="shared" si="26"/>
        <v>5.9359106157350183E-2</v>
      </c>
      <c r="BA90" s="557">
        <f t="shared" si="27"/>
        <v>6.305557179339516E-2</v>
      </c>
      <c r="BB90" s="557">
        <f t="shared" si="28"/>
        <v>6.6760010766525824E-2</v>
      </c>
      <c r="BC90" s="557">
        <f t="shared" si="29"/>
        <v>7.0472423076747504E-2</v>
      </c>
      <c r="BD90" s="557">
        <f t="shared" si="30"/>
        <v>0.10803507971881032</v>
      </c>
      <c r="BE90" s="557">
        <f t="shared" si="31"/>
        <v>0.18555239412943259</v>
      </c>
      <c r="BF90" s="557">
        <f t="shared" si="32"/>
        <v>0.26625904337538397</v>
      </c>
      <c r="BG90" s="557">
        <f t="shared" si="33"/>
        <v>0.35015502745666716</v>
      </c>
      <c r="BH90" s="557">
        <f t="shared" si="34"/>
        <v>0.43724034637327946</v>
      </c>
      <c r="BI90" s="1163">
        <f t="shared" si="35"/>
        <v>0.52751500012522179</v>
      </c>
    </row>
    <row r="91" spans="3:61" x14ac:dyDescent="0.45">
      <c r="C91" s="1267"/>
      <c r="D91" s="5"/>
      <c r="E91" s="1261"/>
      <c r="F91" s="72">
        <v>300</v>
      </c>
      <c r="G91" s="56">
        <v>6.227766422515927</v>
      </c>
      <c r="H91" s="56">
        <v>6.2516173635045371</v>
      </c>
      <c r="I91" s="56">
        <v>6.2754683044931463</v>
      </c>
      <c r="J91" s="56">
        <v>6.2993192454817564</v>
      </c>
      <c r="K91" s="56">
        <v>6.3231701864703664</v>
      </c>
      <c r="L91" s="56">
        <v>6.3470211274589765</v>
      </c>
      <c r="M91" s="56">
        <v>6.3708720684475857</v>
      </c>
      <c r="N91" s="56">
        <v>6.3947230094361949</v>
      </c>
      <c r="O91" s="56">
        <v>6.4185739504248049</v>
      </c>
      <c r="P91" s="56">
        <v>6.442424891413415</v>
      </c>
      <c r="Q91" s="56">
        <v>6.4662758324020242</v>
      </c>
      <c r="R91" s="56">
        <v>6.7047852422881213</v>
      </c>
      <c r="S91" s="56">
        <v>7.1818040620603165</v>
      </c>
      <c r="T91" s="56">
        <v>7.6588228818325099</v>
      </c>
      <c r="U91" s="56">
        <v>8.1358417016047042</v>
      </c>
      <c r="V91" s="56">
        <v>8.6128605213768985</v>
      </c>
      <c r="W91" s="59">
        <v>9.0898793411490928</v>
      </c>
      <c r="Y91" s="1001"/>
      <c r="Z91" s="25">
        <v>300</v>
      </c>
      <c r="AA91" s="557">
        <v>6.2614735226594451</v>
      </c>
      <c r="AB91" s="557">
        <v>6.2889651159244799</v>
      </c>
      <c r="AC91" s="557">
        <v>6.3164646825266031</v>
      </c>
      <c r="AD91" s="557">
        <v>6.3439722224658155</v>
      </c>
      <c r="AE91" s="557">
        <v>6.3714877357421162</v>
      </c>
      <c r="AF91" s="557">
        <v>6.3990112223555053</v>
      </c>
      <c r="AG91" s="557">
        <v>6.4265426823059801</v>
      </c>
      <c r="AH91" s="557">
        <v>6.4540821155935468</v>
      </c>
      <c r="AI91" s="557">
        <v>6.481629522218201</v>
      </c>
      <c r="AJ91" s="557">
        <v>6.5091849021799426</v>
      </c>
      <c r="AK91" s="557">
        <v>6.5367482554787726</v>
      </c>
      <c r="AL91" s="557">
        <v>6.8128203220069317</v>
      </c>
      <c r="AM91" s="557">
        <v>7.3673564561897491</v>
      </c>
      <c r="AN91" s="557">
        <v>7.9250819252078966</v>
      </c>
      <c r="AO91" s="557">
        <v>8.4859967290613696</v>
      </c>
      <c r="AP91" s="557">
        <v>9.050100867750178</v>
      </c>
      <c r="AQ91" s="1163">
        <v>9.6173943412743128</v>
      </c>
      <c r="AS91" s="1166">
        <f t="shared" si="36"/>
        <v>3.3707100143518076E-2</v>
      </c>
      <c r="AT91" s="557">
        <f t="shared" si="20"/>
        <v>3.7347752419942815E-2</v>
      </c>
      <c r="AU91" s="557">
        <f t="shared" si="21"/>
        <v>4.0996378033456793E-2</v>
      </c>
      <c r="AV91" s="557">
        <f t="shared" si="22"/>
        <v>4.4652976984059123E-2</v>
      </c>
      <c r="AW91" s="557">
        <f t="shared" si="23"/>
        <v>4.8317549271749805E-2</v>
      </c>
      <c r="AX91" s="557">
        <f t="shared" si="24"/>
        <v>5.1990094896528838E-2</v>
      </c>
      <c r="AY91" s="557">
        <f t="shared" si="25"/>
        <v>5.5670613858394447E-2</v>
      </c>
      <c r="AZ91" s="557">
        <f t="shared" si="26"/>
        <v>5.935910615735196E-2</v>
      </c>
      <c r="BA91" s="557">
        <f t="shared" si="27"/>
        <v>6.3055571793396048E-2</v>
      </c>
      <c r="BB91" s="557">
        <f t="shared" si="28"/>
        <v>6.67600107665276E-2</v>
      </c>
      <c r="BC91" s="557">
        <f t="shared" si="29"/>
        <v>7.0472423076748392E-2</v>
      </c>
      <c r="BD91" s="557">
        <f t="shared" si="30"/>
        <v>0.10803507971881032</v>
      </c>
      <c r="BE91" s="557">
        <f t="shared" si="31"/>
        <v>0.18555239412943259</v>
      </c>
      <c r="BF91" s="557">
        <f t="shared" si="32"/>
        <v>0.26625904337538664</v>
      </c>
      <c r="BG91" s="557">
        <f t="shared" si="33"/>
        <v>0.35015502745666538</v>
      </c>
      <c r="BH91" s="557">
        <f t="shared" si="34"/>
        <v>0.43724034637327946</v>
      </c>
      <c r="BI91" s="1163">
        <f t="shared" si="35"/>
        <v>0.52751500012522001</v>
      </c>
    </row>
    <row r="92" spans="3:61" x14ac:dyDescent="0.45">
      <c r="C92" s="1267"/>
      <c r="D92" s="5"/>
      <c r="E92" s="1261"/>
      <c r="F92" s="72">
        <v>400</v>
      </c>
      <c r="G92" s="56">
        <v>7.6312495676117891</v>
      </c>
      <c r="H92" s="56">
        <v>7.6575310943130184</v>
      </c>
      <c r="I92" s="56">
        <v>7.6838126210142477</v>
      </c>
      <c r="J92" s="56">
        <v>7.710094147715477</v>
      </c>
      <c r="K92" s="56">
        <v>7.7363756744167063</v>
      </c>
      <c r="L92" s="56">
        <v>7.7626572011179373</v>
      </c>
      <c r="M92" s="56">
        <v>7.7889387278191666</v>
      </c>
      <c r="N92" s="56">
        <v>7.8152202545203959</v>
      </c>
      <c r="O92" s="56">
        <v>7.8415017812216252</v>
      </c>
      <c r="P92" s="56">
        <v>7.8677833079228563</v>
      </c>
      <c r="Q92" s="56">
        <v>7.8940648346240856</v>
      </c>
      <c r="R92" s="56">
        <v>8.1568801016363821</v>
      </c>
      <c r="S92" s="56">
        <v>8.6825106356609769</v>
      </c>
      <c r="T92" s="56">
        <v>9.2081411696855699</v>
      </c>
      <c r="U92" s="56">
        <v>9.7337717037101648</v>
      </c>
      <c r="V92" s="56">
        <v>10.25940223773476</v>
      </c>
      <c r="W92" s="59">
        <v>10.785032771759354</v>
      </c>
      <c r="Y92" s="1001"/>
      <c r="Z92" s="25">
        <v>400</v>
      </c>
      <c r="AA92" s="557">
        <v>7.6649566677553072</v>
      </c>
      <c r="AB92" s="557">
        <v>7.6948788467329603</v>
      </c>
      <c r="AC92" s="557">
        <v>7.7248089990477045</v>
      </c>
      <c r="AD92" s="557">
        <v>7.754747124699537</v>
      </c>
      <c r="AE92" s="557">
        <v>7.7846932236884552</v>
      </c>
      <c r="AF92" s="557">
        <v>7.8146472960144653</v>
      </c>
      <c r="AG92" s="557">
        <v>7.8446093416775611</v>
      </c>
      <c r="AH92" s="557">
        <v>7.8745793606777461</v>
      </c>
      <c r="AI92" s="557">
        <v>7.9045573530150222</v>
      </c>
      <c r="AJ92" s="557">
        <v>7.934543318689383</v>
      </c>
      <c r="AK92" s="557">
        <v>7.9645372577008331</v>
      </c>
      <c r="AL92" s="557">
        <v>8.2649151813551942</v>
      </c>
      <c r="AM92" s="557">
        <v>8.8680630297904095</v>
      </c>
      <c r="AN92" s="557">
        <v>9.4744002130609566</v>
      </c>
      <c r="AO92" s="557">
        <v>10.083926731166832</v>
      </c>
      <c r="AP92" s="557">
        <v>10.696642584108039</v>
      </c>
      <c r="AQ92" s="1163">
        <v>11.312547771884573</v>
      </c>
      <c r="AS92" s="1166">
        <f t="shared" si="36"/>
        <v>3.3707100143518076E-2</v>
      </c>
      <c r="AT92" s="557">
        <f t="shared" si="20"/>
        <v>3.7347752419941926E-2</v>
      </c>
      <c r="AU92" s="557">
        <f t="shared" si="21"/>
        <v>4.0996378033456793E-2</v>
      </c>
      <c r="AV92" s="557">
        <f t="shared" si="22"/>
        <v>4.4652976984060011E-2</v>
      </c>
      <c r="AW92" s="557">
        <f t="shared" si="23"/>
        <v>4.8317549271748916E-2</v>
      </c>
      <c r="AX92" s="557">
        <f t="shared" si="24"/>
        <v>5.199009489652795E-2</v>
      </c>
      <c r="AY92" s="557">
        <f t="shared" si="25"/>
        <v>5.5670613858394447E-2</v>
      </c>
      <c r="AZ92" s="557">
        <f t="shared" si="26"/>
        <v>5.9359106157350183E-2</v>
      </c>
      <c r="BA92" s="557">
        <f t="shared" si="27"/>
        <v>6.3055571793396936E-2</v>
      </c>
      <c r="BB92" s="557">
        <f t="shared" si="28"/>
        <v>6.6760010766526712E-2</v>
      </c>
      <c r="BC92" s="557">
        <f t="shared" si="29"/>
        <v>7.0472423076747504E-2</v>
      </c>
      <c r="BD92" s="557">
        <f t="shared" si="30"/>
        <v>0.1080350797188121</v>
      </c>
      <c r="BE92" s="557">
        <f t="shared" si="31"/>
        <v>0.18555239412943259</v>
      </c>
      <c r="BF92" s="557">
        <f t="shared" si="32"/>
        <v>0.26625904337538664</v>
      </c>
      <c r="BG92" s="557">
        <f t="shared" si="33"/>
        <v>0.35015502745666716</v>
      </c>
      <c r="BH92" s="557">
        <f t="shared" si="34"/>
        <v>0.43724034637327946</v>
      </c>
      <c r="BI92" s="1163">
        <f t="shared" si="35"/>
        <v>0.52751500012521824</v>
      </c>
    </row>
    <row r="93" spans="3:61" x14ac:dyDescent="0.45">
      <c r="C93" s="1267"/>
      <c r="D93" s="5"/>
      <c r="E93" s="1261"/>
      <c r="F93" s="72">
        <v>500</v>
      </c>
      <c r="G93" s="56">
        <v>9.0347327127076476</v>
      </c>
      <c r="H93" s="56">
        <v>9.063444825121497</v>
      </c>
      <c r="I93" s="56">
        <v>9.0921569375353464</v>
      </c>
      <c r="J93" s="56">
        <v>9.1208690499491976</v>
      </c>
      <c r="K93" s="56">
        <v>9.149581162363047</v>
      </c>
      <c r="L93" s="56">
        <v>9.1782932747768964</v>
      </c>
      <c r="M93" s="56">
        <v>9.2070053871907458</v>
      </c>
      <c r="N93" s="56">
        <v>9.2357174996045952</v>
      </c>
      <c r="O93" s="56">
        <v>9.2644296120184464</v>
      </c>
      <c r="P93" s="56">
        <v>9.2931417244322958</v>
      </c>
      <c r="Q93" s="56">
        <v>9.3218538368461452</v>
      </c>
      <c r="R93" s="56">
        <v>9.6089749609846411</v>
      </c>
      <c r="S93" s="56">
        <v>10.183217209261636</v>
      </c>
      <c r="T93" s="56">
        <v>10.75745945753863</v>
      </c>
      <c r="U93" s="56">
        <v>11.331701705815624</v>
      </c>
      <c r="V93" s="56">
        <v>11.905943954092619</v>
      </c>
      <c r="W93" s="59">
        <v>12.480186202369612</v>
      </c>
      <c r="Y93" s="1001"/>
      <c r="Z93" s="25">
        <v>500</v>
      </c>
      <c r="AA93" s="557">
        <v>9.0684398128511656</v>
      </c>
      <c r="AB93" s="557">
        <v>9.1007925775414407</v>
      </c>
      <c r="AC93" s="557">
        <v>9.1331533155688032</v>
      </c>
      <c r="AD93" s="557">
        <v>9.1655220269332567</v>
      </c>
      <c r="AE93" s="557">
        <v>9.1978987116347959</v>
      </c>
      <c r="AF93" s="557">
        <v>9.2302833696734243</v>
      </c>
      <c r="AG93" s="557">
        <v>9.262676001049142</v>
      </c>
      <c r="AH93" s="557">
        <v>9.2950766057619472</v>
      </c>
      <c r="AI93" s="557">
        <v>9.3274851838118398</v>
      </c>
      <c r="AJ93" s="557">
        <v>9.3599017351988216</v>
      </c>
      <c r="AK93" s="557">
        <v>9.3923262599228927</v>
      </c>
      <c r="AL93" s="557">
        <v>9.7170100407034514</v>
      </c>
      <c r="AM93" s="557">
        <v>10.368769603391069</v>
      </c>
      <c r="AN93" s="557">
        <v>11.023718500914015</v>
      </c>
      <c r="AO93" s="557">
        <v>11.681856733272291</v>
      </c>
      <c r="AP93" s="557">
        <v>12.343184300465897</v>
      </c>
      <c r="AQ93" s="1163">
        <v>13.007701202494831</v>
      </c>
      <c r="AS93" s="1166">
        <f t="shared" si="36"/>
        <v>3.3707100143518076E-2</v>
      </c>
      <c r="AT93" s="557">
        <f t="shared" si="20"/>
        <v>3.7347752419943703E-2</v>
      </c>
      <c r="AU93" s="557">
        <f t="shared" si="21"/>
        <v>4.0996378033456793E-2</v>
      </c>
      <c r="AV93" s="557">
        <f t="shared" si="22"/>
        <v>4.4652976984059123E-2</v>
      </c>
      <c r="AW93" s="557">
        <f t="shared" si="23"/>
        <v>4.8317549271748916E-2</v>
      </c>
      <c r="AX93" s="557">
        <f t="shared" si="24"/>
        <v>5.199009489652795E-2</v>
      </c>
      <c r="AY93" s="557">
        <f t="shared" si="25"/>
        <v>5.5670613858396223E-2</v>
      </c>
      <c r="AZ93" s="557">
        <f t="shared" si="26"/>
        <v>5.935910615735196E-2</v>
      </c>
      <c r="BA93" s="557">
        <f t="shared" si="27"/>
        <v>6.3055571793393383E-2</v>
      </c>
      <c r="BB93" s="557">
        <f t="shared" si="28"/>
        <v>6.6760010766525824E-2</v>
      </c>
      <c r="BC93" s="557">
        <f t="shared" si="29"/>
        <v>7.0472423076747504E-2</v>
      </c>
      <c r="BD93" s="557">
        <f t="shared" si="30"/>
        <v>0.10803507971881032</v>
      </c>
      <c r="BE93" s="557">
        <f t="shared" si="31"/>
        <v>0.18555239412943259</v>
      </c>
      <c r="BF93" s="557">
        <f t="shared" si="32"/>
        <v>0.26625904337538486</v>
      </c>
      <c r="BG93" s="557">
        <f t="shared" si="33"/>
        <v>0.35015502745666716</v>
      </c>
      <c r="BH93" s="557">
        <f t="shared" si="34"/>
        <v>0.43724034637327769</v>
      </c>
      <c r="BI93" s="1163">
        <f t="shared" si="35"/>
        <v>0.52751500012521824</v>
      </c>
    </row>
    <row r="94" spans="3:61" x14ac:dyDescent="0.45">
      <c r="C94" s="1267"/>
      <c r="D94" s="5"/>
      <c r="E94" s="1261"/>
      <c r="F94" s="72">
        <v>600</v>
      </c>
      <c r="G94" s="56">
        <v>10.43821585780351</v>
      </c>
      <c r="H94" s="56">
        <v>10.469358555929979</v>
      </c>
      <c r="I94" s="56">
        <v>10.500501254056449</v>
      </c>
      <c r="J94" s="56">
        <v>10.531643952182918</v>
      </c>
      <c r="K94" s="56">
        <v>10.562786650309388</v>
      </c>
      <c r="L94" s="56">
        <v>10.593929348435857</v>
      </c>
      <c r="M94" s="56">
        <v>10.625072046562327</v>
      </c>
      <c r="N94" s="56">
        <v>10.656214744688796</v>
      </c>
      <c r="O94" s="56">
        <v>10.687357442815266</v>
      </c>
      <c r="P94" s="56">
        <v>10.718500140941737</v>
      </c>
      <c r="Q94" s="56">
        <v>10.749642839068205</v>
      </c>
      <c r="R94" s="56">
        <v>11.061069820332902</v>
      </c>
      <c r="S94" s="56">
        <v>11.683923782862298</v>
      </c>
      <c r="T94" s="56">
        <v>12.306777745391692</v>
      </c>
      <c r="U94" s="56">
        <v>12.929631707921086</v>
      </c>
      <c r="V94" s="56">
        <v>13.55248567045048</v>
      </c>
      <c r="W94" s="59">
        <v>14.175339632979872</v>
      </c>
      <c r="Y94" s="1001"/>
      <c r="Z94" s="25">
        <v>600</v>
      </c>
      <c r="AA94" s="557">
        <v>10.471922957947026</v>
      </c>
      <c r="AB94" s="557">
        <v>10.506706308349919</v>
      </c>
      <c r="AC94" s="557">
        <v>10.541497632089904</v>
      </c>
      <c r="AD94" s="557">
        <v>10.576296929166977</v>
      </c>
      <c r="AE94" s="557">
        <v>10.611104199581137</v>
      </c>
      <c r="AF94" s="557">
        <v>10.645919443332385</v>
      </c>
      <c r="AG94" s="557">
        <v>10.680742660420723</v>
      </c>
      <c r="AH94" s="557">
        <v>10.715573850846146</v>
      </c>
      <c r="AI94" s="557">
        <v>10.750413014608661</v>
      </c>
      <c r="AJ94" s="557">
        <v>10.785260151708261</v>
      </c>
      <c r="AK94" s="557">
        <v>10.820115262144952</v>
      </c>
      <c r="AL94" s="557">
        <v>11.169104900051714</v>
      </c>
      <c r="AM94" s="557">
        <v>11.869476176991729</v>
      </c>
      <c r="AN94" s="557">
        <v>12.573036788767075</v>
      </c>
      <c r="AO94" s="557">
        <v>13.279786735377751</v>
      </c>
      <c r="AP94" s="557">
        <v>13.989726016823756</v>
      </c>
      <c r="AQ94" s="1163">
        <v>14.702854633105094</v>
      </c>
      <c r="AS94" s="1166">
        <f t="shared" si="36"/>
        <v>3.37071001435163E-2</v>
      </c>
      <c r="AT94" s="557">
        <f t="shared" si="20"/>
        <v>3.734775241994015E-2</v>
      </c>
      <c r="AU94" s="557">
        <f t="shared" si="21"/>
        <v>4.0996378033455017E-2</v>
      </c>
      <c r="AV94" s="557">
        <f t="shared" si="22"/>
        <v>4.4652976984059123E-2</v>
      </c>
      <c r="AW94" s="557">
        <f t="shared" si="23"/>
        <v>4.8317549271748916E-2</v>
      </c>
      <c r="AX94" s="557">
        <f t="shared" si="24"/>
        <v>5.199009489652795E-2</v>
      </c>
      <c r="AY94" s="557">
        <f t="shared" si="25"/>
        <v>5.5670613858396223E-2</v>
      </c>
      <c r="AZ94" s="557">
        <f t="shared" si="26"/>
        <v>5.9359106157350183E-2</v>
      </c>
      <c r="BA94" s="557">
        <f t="shared" si="27"/>
        <v>6.305557179339516E-2</v>
      </c>
      <c r="BB94" s="557">
        <f t="shared" si="28"/>
        <v>6.6760010766524047E-2</v>
      </c>
      <c r="BC94" s="557">
        <f t="shared" si="29"/>
        <v>7.0472423076747504E-2</v>
      </c>
      <c r="BD94" s="557">
        <f t="shared" si="30"/>
        <v>0.1080350797188121</v>
      </c>
      <c r="BE94" s="557">
        <f t="shared" si="31"/>
        <v>0.18555239412943081</v>
      </c>
      <c r="BF94" s="557">
        <f t="shared" si="32"/>
        <v>0.26625904337538309</v>
      </c>
      <c r="BG94" s="557">
        <f t="shared" si="33"/>
        <v>0.35015502745666538</v>
      </c>
      <c r="BH94" s="557">
        <f t="shared" si="34"/>
        <v>0.43724034637327591</v>
      </c>
      <c r="BI94" s="1163">
        <f t="shared" si="35"/>
        <v>0.52751500012522179</v>
      </c>
    </row>
    <row r="95" spans="3:61" x14ac:dyDescent="0.45">
      <c r="C95" s="1267"/>
      <c r="D95" s="5"/>
      <c r="E95" s="1261"/>
      <c r="F95" s="72">
        <v>700</v>
      </c>
      <c r="G95" s="56">
        <v>11.841699002899366</v>
      </c>
      <c r="H95" s="56">
        <v>11.875272286738456</v>
      </c>
      <c r="I95" s="56">
        <v>11.908845570577547</v>
      </c>
      <c r="J95" s="56">
        <v>11.942418854416637</v>
      </c>
      <c r="K95" s="56">
        <v>11.975992138255725</v>
      </c>
      <c r="L95" s="56">
        <v>12.009565422094816</v>
      </c>
      <c r="M95" s="56">
        <v>12.043138705933906</v>
      </c>
      <c r="N95" s="56">
        <v>12.076711989772994</v>
      </c>
      <c r="O95" s="56">
        <v>12.110285273612083</v>
      </c>
      <c r="P95" s="56">
        <v>12.143858557451175</v>
      </c>
      <c r="Q95" s="56">
        <v>12.177431841290264</v>
      </c>
      <c r="R95" s="56">
        <v>12.513164679681161</v>
      </c>
      <c r="S95" s="56">
        <v>13.184630356462954</v>
      </c>
      <c r="T95" s="56">
        <v>13.85609603324475</v>
      </c>
      <c r="U95" s="56">
        <v>14.527561710026543</v>
      </c>
      <c r="V95" s="56">
        <v>15.199027386808337</v>
      </c>
      <c r="W95" s="59">
        <v>15.87049306359013</v>
      </c>
      <c r="Y95" s="1001"/>
      <c r="Z95" s="25">
        <v>700</v>
      </c>
      <c r="AA95" s="557">
        <v>11.875406103042881</v>
      </c>
      <c r="AB95" s="557">
        <v>11.912620039158398</v>
      </c>
      <c r="AC95" s="557">
        <v>11.949841948611001</v>
      </c>
      <c r="AD95" s="557">
        <v>11.987071831400691</v>
      </c>
      <c r="AE95" s="557">
        <v>12.024309687527474</v>
      </c>
      <c r="AF95" s="557">
        <v>12.061555516991342</v>
      </c>
      <c r="AG95" s="557">
        <v>12.0988093197923</v>
      </c>
      <c r="AH95" s="557">
        <v>12.136071095930346</v>
      </c>
      <c r="AI95" s="557">
        <v>12.173340845405477</v>
      </c>
      <c r="AJ95" s="557">
        <v>12.210618568217699</v>
      </c>
      <c r="AK95" s="557">
        <v>12.247904264367012</v>
      </c>
      <c r="AL95" s="557">
        <v>12.621199759399968</v>
      </c>
      <c r="AM95" s="557">
        <v>13.370182750592384</v>
      </c>
      <c r="AN95" s="557">
        <v>14.122355076620133</v>
      </c>
      <c r="AO95" s="557">
        <v>14.877716737483208</v>
      </c>
      <c r="AP95" s="557">
        <v>15.636267733181612</v>
      </c>
      <c r="AQ95" s="1163">
        <v>16.398008063715348</v>
      </c>
      <c r="AS95" s="1166">
        <f t="shared" si="36"/>
        <v>3.3707100143514523E-2</v>
      </c>
      <c r="AT95" s="557">
        <f t="shared" si="20"/>
        <v>3.7347752419941926E-2</v>
      </c>
      <c r="AU95" s="557">
        <f t="shared" si="21"/>
        <v>4.099637803345324E-2</v>
      </c>
      <c r="AV95" s="557">
        <f t="shared" si="22"/>
        <v>4.4652976984053794E-2</v>
      </c>
      <c r="AW95" s="557">
        <f t="shared" si="23"/>
        <v>4.8317549271748916E-2</v>
      </c>
      <c r="AX95" s="557">
        <f t="shared" si="24"/>
        <v>5.1990094896526173E-2</v>
      </c>
      <c r="AY95" s="557">
        <f t="shared" si="25"/>
        <v>5.5670613858394447E-2</v>
      </c>
      <c r="AZ95" s="557">
        <f t="shared" si="26"/>
        <v>5.935910615735196E-2</v>
      </c>
      <c r="BA95" s="557">
        <f t="shared" si="27"/>
        <v>6.3055571793393383E-2</v>
      </c>
      <c r="BB95" s="557">
        <f t="shared" si="28"/>
        <v>6.6760010766524047E-2</v>
      </c>
      <c r="BC95" s="557">
        <f t="shared" si="29"/>
        <v>7.0472423076747504E-2</v>
      </c>
      <c r="BD95" s="557">
        <f t="shared" si="30"/>
        <v>0.10803507971880677</v>
      </c>
      <c r="BE95" s="557">
        <f t="shared" si="31"/>
        <v>0.18555239412943081</v>
      </c>
      <c r="BF95" s="557">
        <f t="shared" si="32"/>
        <v>0.26625904337538309</v>
      </c>
      <c r="BG95" s="557">
        <f t="shared" si="33"/>
        <v>0.35015502745666538</v>
      </c>
      <c r="BH95" s="557">
        <f t="shared" si="34"/>
        <v>0.43724034637327414</v>
      </c>
      <c r="BI95" s="1163">
        <f t="shared" si="35"/>
        <v>0.52751500012521824</v>
      </c>
    </row>
    <row r="96" spans="3:61" x14ac:dyDescent="0.45">
      <c r="C96" s="1267"/>
      <c r="D96" s="5"/>
      <c r="E96" s="1261"/>
      <c r="F96" s="72">
        <v>800</v>
      </c>
      <c r="G96" s="56">
        <v>13.24518214799523</v>
      </c>
      <c r="H96" s="56">
        <v>13.28118601754694</v>
      </c>
      <c r="I96" s="56">
        <v>13.31718988709865</v>
      </c>
      <c r="J96" s="56">
        <v>13.353193756650359</v>
      </c>
      <c r="K96" s="56">
        <v>13.389197626202069</v>
      </c>
      <c r="L96" s="56">
        <v>13.425201495753779</v>
      </c>
      <c r="M96" s="56">
        <v>13.461205365305489</v>
      </c>
      <c r="N96" s="56">
        <v>13.497209234857198</v>
      </c>
      <c r="O96" s="56">
        <v>13.53321310440891</v>
      </c>
      <c r="P96" s="56">
        <v>13.569216973960618</v>
      </c>
      <c r="Q96" s="56">
        <v>13.605220843512328</v>
      </c>
      <c r="R96" s="56">
        <v>13.965259539029425</v>
      </c>
      <c r="S96" s="56">
        <v>14.68533693006362</v>
      </c>
      <c r="T96" s="56">
        <v>15.405414321097812</v>
      </c>
      <c r="U96" s="56">
        <v>16.125491712132007</v>
      </c>
      <c r="V96" s="56">
        <v>16.845569103166202</v>
      </c>
      <c r="W96" s="59">
        <v>17.565646494200394</v>
      </c>
      <c r="Y96" s="1001"/>
      <c r="Z96" s="25">
        <v>800</v>
      </c>
      <c r="AA96" s="557">
        <v>13.278889248138746</v>
      </c>
      <c r="AB96" s="557">
        <v>13.318533769966884</v>
      </c>
      <c r="AC96" s="557">
        <v>13.358186265132105</v>
      </c>
      <c r="AD96" s="557">
        <v>13.397846733634417</v>
      </c>
      <c r="AE96" s="557">
        <v>13.43751517547382</v>
      </c>
      <c r="AF96" s="557">
        <v>13.477191590650305</v>
      </c>
      <c r="AG96" s="557">
        <v>13.516875979163885</v>
      </c>
      <c r="AH96" s="557">
        <v>13.556568341014549</v>
      </c>
      <c r="AI96" s="557">
        <v>13.596268676202302</v>
      </c>
      <c r="AJ96" s="557">
        <v>13.635976984727145</v>
      </c>
      <c r="AK96" s="557">
        <v>13.675693266589075</v>
      </c>
      <c r="AL96" s="557">
        <v>14.073294618748232</v>
      </c>
      <c r="AM96" s="557">
        <v>14.870889324193051</v>
      </c>
      <c r="AN96" s="557">
        <v>15.671673364473195</v>
      </c>
      <c r="AO96" s="557">
        <v>16.475646739588672</v>
      </c>
      <c r="AP96" s="557">
        <v>17.282809449539478</v>
      </c>
      <c r="AQ96" s="1163">
        <v>18.093161494325614</v>
      </c>
      <c r="AS96" s="1166">
        <f t="shared" si="36"/>
        <v>3.37071001435163E-2</v>
      </c>
      <c r="AT96" s="557">
        <f t="shared" si="20"/>
        <v>3.7347752419943703E-2</v>
      </c>
      <c r="AU96" s="557">
        <f t="shared" si="21"/>
        <v>4.0996378033455017E-2</v>
      </c>
      <c r="AV96" s="557">
        <f t="shared" si="22"/>
        <v>4.4652976984057346E-2</v>
      </c>
      <c r="AW96" s="557">
        <f t="shared" si="23"/>
        <v>4.8317549271750693E-2</v>
      </c>
      <c r="AX96" s="557">
        <f t="shared" si="24"/>
        <v>5.1990094896526173E-2</v>
      </c>
      <c r="AY96" s="557">
        <f t="shared" si="25"/>
        <v>5.5670613858396223E-2</v>
      </c>
      <c r="AZ96" s="557">
        <f t="shared" si="26"/>
        <v>5.9359106157350183E-2</v>
      </c>
      <c r="BA96" s="557">
        <f t="shared" si="27"/>
        <v>6.3055571793391607E-2</v>
      </c>
      <c r="BB96" s="557">
        <f t="shared" si="28"/>
        <v>6.67600107665276E-2</v>
      </c>
      <c r="BC96" s="557">
        <f t="shared" si="29"/>
        <v>7.0472423076747504E-2</v>
      </c>
      <c r="BD96" s="557">
        <f t="shared" si="30"/>
        <v>0.10803507971880677</v>
      </c>
      <c r="BE96" s="557">
        <f t="shared" si="31"/>
        <v>0.18555239412943081</v>
      </c>
      <c r="BF96" s="557">
        <f t="shared" si="32"/>
        <v>0.26625904337538309</v>
      </c>
      <c r="BG96" s="557">
        <f t="shared" si="33"/>
        <v>0.35015502745666538</v>
      </c>
      <c r="BH96" s="557">
        <f t="shared" si="34"/>
        <v>0.43724034637327591</v>
      </c>
      <c r="BI96" s="1163">
        <f t="shared" si="35"/>
        <v>0.52751500012522001</v>
      </c>
    </row>
    <row r="97" spans="3:61" ht="14.65" thickBot="1" x14ac:dyDescent="0.5">
      <c r="C97" s="1267"/>
      <c r="D97" s="5"/>
      <c r="E97" s="1262"/>
      <c r="F97" s="374">
        <v>900</v>
      </c>
      <c r="G97" s="57">
        <v>14.64866529309109</v>
      </c>
      <c r="H97" s="57">
        <v>14.687099748355418</v>
      </c>
      <c r="I97" s="57">
        <v>14.725534203619748</v>
      </c>
      <c r="J97" s="57">
        <v>14.763968658884078</v>
      </c>
      <c r="K97" s="57">
        <v>14.802403114148408</v>
      </c>
      <c r="L97" s="57">
        <v>14.840837569412738</v>
      </c>
      <c r="M97" s="57">
        <v>14.879272024677068</v>
      </c>
      <c r="N97" s="57">
        <v>14.917706479941398</v>
      </c>
      <c r="O97" s="57">
        <v>14.956140935205728</v>
      </c>
      <c r="P97" s="57">
        <v>14.994575390470056</v>
      </c>
      <c r="Q97" s="57">
        <v>15.033009845734387</v>
      </c>
      <c r="R97" s="57">
        <v>15.417354398377682</v>
      </c>
      <c r="S97" s="57">
        <v>16.18604350366428</v>
      </c>
      <c r="T97" s="57">
        <v>16.95473260895087</v>
      </c>
      <c r="U97" s="57">
        <v>17.723421714237467</v>
      </c>
      <c r="V97" s="57">
        <v>18.492110819524058</v>
      </c>
      <c r="W97" s="60">
        <v>19.260799924810655</v>
      </c>
      <c r="Y97" s="1001"/>
      <c r="Z97" s="25">
        <v>900</v>
      </c>
      <c r="AA97" s="557">
        <v>14.682372393234607</v>
      </c>
      <c r="AB97" s="557">
        <v>14.724447500775362</v>
      </c>
      <c r="AC97" s="557">
        <v>14.766530581653207</v>
      </c>
      <c r="AD97" s="557">
        <v>14.808621635868137</v>
      </c>
      <c r="AE97" s="557">
        <v>14.850720663420157</v>
      </c>
      <c r="AF97" s="557">
        <v>14.892827664309264</v>
      </c>
      <c r="AG97" s="557">
        <v>14.934942638535464</v>
      </c>
      <c r="AH97" s="557">
        <v>14.977065586098746</v>
      </c>
      <c r="AI97" s="557">
        <v>15.019196506999119</v>
      </c>
      <c r="AJ97" s="557">
        <v>15.061335401236583</v>
      </c>
      <c r="AK97" s="557">
        <v>15.103482268811131</v>
      </c>
      <c r="AL97" s="557">
        <v>15.525389478096493</v>
      </c>
      <c r="AM97" s="557">
        <v>16.371595897793711</v>
      </c>
      <c r="AN97" s="557">
        <v>17.220991652326259</v>
      </c>
      <c r="AO97" s="557">
        <v>18.073576741694133</v>
      </c>
      <c r="AP97" s="557">
        <v>18.929351165897337</v>
      </c>
      <c r="AQ97" s="1163">
        <v>19.788314924935875</v>
      </c>
      <c r="AS97" s="1166">
        <f t="shared" si="36"/>
        <v>3.37071001435163E-2</v>
      </c>
      <c r="AT97" s="557">
        <f t="shared" si="20"/>
        <v>3.7347752419943703E-2</v>
      </c>
      <c r="AU97" s="557">
        <f t="shared" si="21"/>
        <v>4.0996378033458569E-2</v>
      </c>
      <c r="AV97" s="557">
        <f t="shared" si="22"/>
        <v>4.4652976984059123E-2</v>
      </c>
      <c r="AW97" s="557">
        <f t="shared" si="23"/>
        <v>4.8317549271748916E-2</v>
      </c>
      <c r="AX97" s="557">
        <f t="shared" si="24"/>
        <v>5.1990094896526173E-2</v>
      </c>
      <c r="AY97" s="557">
        <f t="shared" si="25"/>
        <v>5.5670613858396223E-2</v>
      </c>
      <c r="AZ97" s="557">
        <f t="shared" si="26"/>
        <v>5.9359106157348407E-2</v>
      </c>
      <c r="BA97" s="557">
        <f t="shared" si="27"/>
        <v>6.3055571793391607E-2</v>
      </c>
      <c r="BB97" s="557">
        <f t="shared" si="28"/>
        <v>6.67600107665276E-2</v>
      </c>
      <c r="BC97" s="557">
        <f t="shared" si="29"/>
        <v>7.0472423076743951E-2</v>
      </c>
      <c r="BD97" s="557">
        <f t="shared" si="30"/>
        <v>0.10803507971881032</v>
      </c>
      <c r="BE97" s="557">
        <f t="shared" si="31"/>
        <v>0.18555239412943081</v>
      </c>
      <c r="BF97" s="557">
        <f t="shared" si="32"/>
        <v>0.26625904337538842</v>
      </c>
      <c r="BG97" s="557">
        <f t="shared" si="33"/>
        <v>0.35015502745666538</v>
      </c>
      <c r="BH97" s="557">
        <f t="shared" si="34"/>
        <v>0.43724034637327946</v>
      </c>
      <c r="BI97" s="1163">
        <f t="shared" si="35"/>
        <v>0.52751500012522001</v>
      </c>
    </row>
    <row r="98" spans="3:61" ht="14.65" thickBot="1" x14ac:dyDescent="0.5">
      <c r="C98" s="1267"/>
      <c r="D98" s="5"/>
      <c r="G98" s="341"/>
      <c r="H98" s="341"/>
      <c r="I98" s="341"/>
      <c r="J98" s="341"/>
      <c r="K98" s="341"/>
      <c r="L98" s="341"/>
      <c r="M98" s="341"/>
      <c r="N98" s="341"/>
      <c r="O98" s="341"/>
      <c r="P98" s="341"/>
      <c r="Q98" s="341"/>
      <c r="R98" s="341"/>
      <c r="S98" s="341"/>
      <c r="T98" s="341"/>
      <c r="U98" s="341"/>
      <c r="V98" s="341"/>
      <c r="W98" s="341"/>
      <c r="Y98" s="1001"/>
      <c r="Z98" s="25"/>
      <c r="AA98" s="557"/>
      <c r="AB98" s="557"/>
      <c r="AC98" s="557"/>
      <c r="AD98" s="557"/>
      <c r="AE98" s="557"/>
      <c r="AF98" s="557"/>
      <c r="AG98" s="557"/>
      <c r="AH98" s="557"/>
      <c r="AI98" s="557"/>
      <c r="AJ98" s="557"/>
      <c r="AK98" s="557"/>
      <c r="AL98" s="557"/>
      <c r="AM98" s="557"/>
      <c r="AN98" s="557"/>
      <c r="AO98" s="557"/>
      <c r="AP98" s="557"/>
      <c r="AQ98" s="1163"/>
      <c r="AS98" s="1001"/>
      <c r="AT98" s="25"/>
      <c r="AU98" s="25"/>
      <c r="AV98" s="25"/>
      <c r="AW98" s="25"/>
      <c r="AX98" s="25"/>
      <c r="AY98" s="25"/>
      <c r="AZ98" s="25"/>
      <c r="BA98" s="25"/>
      <c r="BB98" s="25"/>
      <c r="BC98" s="25"/>
      <c r="BD98" s="25"/>
      <c r="BE98" s="25"/>
      <c r="BF98" s="25"/>
      <c r="BG98" s="25"/>
      <c r="BH98" s="25"/>
      <c r="BI98" s="1002"/>
    </row>
    <row r="99" spans="3:61" ht="14.65" thickBot="1" x14ac:dyDescent="0.5">
      <c r="C99" s="1267"/>
      <c r="D99" s="376" t="s">
        <v>506</v>
      </c>
      <c r="E99" s="29"/>
      <c r="F99" s="29" t="s">
        <v>206</v>
      </c>
      <c r="G99" s="381">
        <v>0</v>
      </c>
      <c r="H99" s="382">
        <v>10</v>
      </c>
      <c r="I99" s="382">
        <v>20</v>
      </c>
      <c r="J99" s="382">
        <v>30</v>
      </c>
      <c r="K99" s="382">
        <v>40</v>
      </c>
      <c r="L99" s="382">
        <v>50</v>
      </c>
      <c r="M99" s="382">
        <v>60</v>
      </c>
      <c r="N99" s="382">
        <v>70</v>
      </c>
      <c r="O99" s="382">
        <v>80</v>
      </c>
      <c r="P99" s="382">
        <v>90</v>
      </c>
      <c r="Q99" s="382">
        <v>100</v>
      </c>
      <c r="R99" s="382">
        <v>200</v>
      </c>
      <c r="S99" s="382">
        <v>400</v>
      </c>
      <c r="T99" s="382">
        <v>600</v>
      </c>
      <c r="U99" s="382">
        <v>800</v>
      </c>
      <c r="V99" s="382">
        <v>1000</v>
      </c>
      <c r="W99" s="383">
        <v>1200</v>
      </c>
      <c r="Y99" s="1001"/>
      <c r="Z99" s="25" t="s">
        <v>206</v>
      </c>
      <c r="AA99" s="1164">
        <v>0</v>
      </c>
      <c r="AB99" s="1164">
        <v>10</v>
      </c>
      <c r="AC99" s="1164">
        <v>20</v>
      </c>
      <c r="AD99" s="1164">
        <v>30</v>
      </c>
      <c r="AE99" s="1164">
        <v>40</v>
      </c>
      <c r="AF99" s="1164">
        <v>50</v>
      </c>
      <c r="AG99" s="1164">
        <v>60</v>
      </c>
      <c r="AH99" s="1164">
        <v>70</v>
      </c>
      <c r="AI99" s="1164">
        <v>80</v>
      </c>
      <c r="AJ99" s="1164">
        <v>90</v>
      </c>
      <c r="AK99" s="1164">
        <v>100</v>
      </c>
      <c r="AL99" s="1164">
        <v>200</v>
      </c>
      <c r="AM99" s="1164">
        <v>400</v>
      </c>
      <c r="AN99" s="1164">
        <v>600</v>
      </c>
      <c r="AO99" s="1164">
        <v>800</v>
      </c>
      <c r="AP99" s="1164">
        <v>1000</v>
      </c>
      <c r="AQ99" s="933">
        <v>1200</v>
      </c>
      <c r="AS99" s="797">
        <v>0</v>
      </c>
      <c r="AT99" s="1164">
        <v>10</v>
      </c>
      <c r="AU99" s="1164">
        <v>20</v>
      </c>
      <c r="AV99" s="1164">
        <v>30</v>
      </c>
      <c r="AW99" s="1164">
        <v>40</v>
      </c>
      <c r="AX99" s="1164">
        <v>50</v>
      </c>
      <c r="AY99" s="1164">
        <v>60</v>
      </c>
      <c r="AZ99" s="1164">
        <v>70</v>
      </c>
      <c r="BA99" s="1164">
        <v>80</v>
      </c>
      <c r="BB99" s="1164">
        <v>90</v>
      </c>
      <c r="BC99" s="1164">
        <v>100</v>
      </c>
      <c r="BD99" s="1164">
        <v>200</v>
      </c>
      <c r="BE99" s="1164">
        <v>400</v>
      </c>
      <c r="BF99" s="1164">
        <v>600</v>
      </c>
      <c r="BG99" s="1164">
        <v>800</v>
      </c>
      <c r="BH99" s="1164">
        <v>1000</v>
      </c>
      <c r="BI99" s="933">
        <v>1200</v>
      </c>
    </row>
    <row r="100" spans="3:61" x14ac:dyDescent="0.45">
      <c r="C100" s="1267"/>
      <c r="D100" s="1135" t="s">
        <v>495</v>
      </c>
      <c r="E100" s="1260" t="s">
        <v>205</v>
      </c>
      <c r="F100" s="375">
        <v>0</v>
      </c>
      <c r="G100" s="379">
        <v>2.7291825534746041</v>
      </c>
      <c r="H100" s="379">
        <v>2.7498025911830903</v>
      </c>
      <c r="I100" s="379">
        <v>2.7704327020201327</v>
      </c>
      <c r="J100" s="379">
        <v>2.7910728859857317</v>
      </c>
      <c r="K100" s="379">
        <v>2.8117231430798864</v>
      </c>
      <c r="L100" s="379">
        <v>2.8323834733025968</v>
      </c>
      <c r="M100" s="379">
        <v>2.8530538766538647</v>
      </c>
      <c r="N100" s="379">
        <v>2.8737343531336883</v>
      </c>
      <c r="O100" s="379">
        <v>2.8944249027420677</v>
      </c>
      <c r="P100" s="379">
        <v>2.9151255254790036</v>
      </c>
      <c r="Q100" s="379">
        <v>2.9358362213444957</v>
      </c>
      <c r="R100" s="55">
        <v>3.1434972020700069</v>
      </c>
      <c r="S100" s="55">
        <v>3.561841102087894</v>
      </c>
      <c r="T100" s="55">
        <v>3.9842142535282621</v>
      </c>
      <c r="U100" s="55">
        <v>4.410616656391114</v>
      </c>
      <c r="V100" s="55">
        <v>4.8410483106764488</v>
      </c>
      <c r="W100" s="58">
        <v>5.2755092163842647</v>
      </c>
      <c r="Y100" s="1001" t="s">
        <v>205</v>
      </c>
      <c r="Z100" s="25">
        <v>0</v>
      </c>
      <c r="AA100" s="557">
        <v>2.7182173842376862</v>
      </c>
      <c r="AB100" s="557">
        <v>2.742478074222598</v>
      </c>
      <c r="AC100" s="557">
        <v>2.7667568106731544</v>
      </c>
      <c r="AD100" s="557">
        <v>2.7910535935893552</v>
      </c>
      <c r="AE100" s="557">
        <v>2.8153684229712006</v>
      </c>
      <c r="AF100" s="557">
        <v>2.8397012988186909</v>
      </c>
      <c r="AG100" s="557">
        <v>2.8640522211318249</v>
      </c>
      <c r="AH100" s="557">
        <v>2.8884211899106038</v>
      </c>
      <c r="AI100" s="557">
        <v>2.9128082051550273</v>
      </c>
      <c r="AJ100" s="557">
        <v>2.9372132668650957</v>
      </c>
      <c r="AK100" s="557">
        <v>2.9616363750408081</v>
      </c>
      <c r="AL100" s="557">
        <v>3.2068600124083821</v>
      </c>
      <c r="AM100" s="557">
        <v>3.7027212268368914</v>
      </c>
      <c r="AN100" s="557">
        <v>4.2058010275232123</v>
      </c>
      <c r="AO100" s="557">
        <v>4.7160994144673456</v>
      </c>
      <c r="AP100" s="557">
        <v>5.2336163876692918</v>
      </c>
      <c r="AQ100" s="1163">
        <v>5.7583519471290501</v>
      </c>
      <c r="AS100" s="1166">
        <f>AA100-G100</f>
        <v>-1.0965169236917927E-2</v>
      </c>
      <c r="AT100" s="557">
        <f t="shared" ref="AT100:AT118" si="37">AB100-H100</f>
        <v>-7.3245169604922999E-3</v>
      </c>
      <c r="AU100" s="557">
        <f t="shared" ref="AU100:AU118" si="38">AC100-I100</f>
        <v>-3.6758913469783216E-3</v>
      </c>
      <c r="AV100" s="557">
        <f t="shared" ref="AV100:AV118" si="39">AD100-J100</f>
        <v>-1.9292396376435761E-5</v>
      </c>
      <c r="AW100" s="557">
        <f t="shared" ref="AW100:AW118" si="40">AE100-K100</f>
        <v>3.6452798913142459E-3</v>
      </c>
      <c r="AX100" s="557">
        <f t="shared" ref="AX100:AX118" si="41">AF100-L100</f>
        <v>7.3178255160941674E-3</v>
      </c>
      <c r="AY100" s="557">
        <f t="shared" ref="AY100:AY118" si="42">AG100-M100</f>
        <v>1.099834447796022E-2</v>
      </c>
      <c r="AZ100" s="557">
        <f t="shared" ref="AZ100:AZ118" si="43">AH100-N100</f>
        <v>1.4686836776915513E-2</v>
      </c>
      <c r="BA100" s="557">
        <f t="shared" ref="BA100:BA118" si="44">AI100-O100</f>
        <v>1.8383302412959601E-2</v>
      </c>
      <c r="BB100" s="557">
        <f t="shared" ref="BB100:BB118" si="45">AJ100-P100</f>
        <v>2.2087741386092041E-2</v>
      </c>
      <c r="BC100" s="557">
        <f t="shared" ref="BC100:BC118" si="46">AK100-Q100</f>
        <v>2.5800153696312389E-2</v>
      </c>
      <c r="BD100" s="557">
        <f t="shared" ref="BD100:BD118" si="47">AL100-R100</f>
        <v>6.3362810338375208E-2</v>
      </c>
      <c r="BE100" s="557">
        <f t="shared" ref="BE100:BE118" si="48">AM100-S100</f>
        <v>0.14088012474899747</v>
      </c>
      <c r="BF100" s="557">
        <f t="shared" ref="BF100:BF118" si="49">AN100-T100</f>
        <v>0.22158677399495019</v>
      </c>
      <c r="BG100" s="557">
        <f t="shared" ref="BG100:BG118" si="50">AO100-U100</f>
        <v>0.3054827580762316</v>
      </c>
      <c r="BH100" s="557">
        <f t="shared" ref="BH100:BH118" si="51">AP100-V100</f>
        <v>0.39256807699284302</v>
      </c>
      <c r="BI100" s="1163">
        <f t="shared" ref="BI100:BI118" si="52">AQ100-W100</f>
        <v>0.48284273074478534</v>
      </c>
    </row>
    <row r="101" spans="3:61" x14ac:dyDescent="0.45">
      <c r="C101" s="1267"/>
      <c r="D101" s="1135" t="s">
        <v>501</v>
      </c>
      <c r="E101" s="1261"/>
      <c r="F101" s="72">
        <v>10</v>
      </c>
      <c r="G101" s="56">
        <v>2.7331455974963554</v>
      </c>
      <c r="H101" s="56">
        <v>2.7537724984993615</v>
      </c>
      <c r="I101" s="56">
        <v>2.7744094726309232</v>
      </c>
      <c r="J101" s="56">
        <v>2.7950565198910411</v>
      </c>
      <c r="K101" s="56">
        <v>2.8157136402797152</v>
      </c>
      <c r="L101" s="56">
        <v>2.8363808337969454</v>
      </c>
      <c r="M101" s="56">
        <v>2.8570581004427318</v>
      </c>
      <c r="N101" s="56">
        <v>2.8777454402170752</v>
      </c>
      <c r="O101" s="56">
        <v>2.898442853119974</v>
      </c>
      <c r="P101" s="56">
        <v>2.9191503391514293</v>
      </c>
      <c r="Q101" s="56">
        <v>2.9398678983114408</v>
      </c>
      <c r="R101" s="56">
        <v>3.1475975119821458</v>
      </c>
      <c r="S101" s="56">
        <v>3.5660786778904199</v>
      </c>
      <c r="T101" s="56">
        <v>3.988589095221176</v>
      </c>
      <c r="U101" s="56">
        <v>4.4151287639744146</v>
      </c>
      <c r="V101" s="56">
        <v>4.845697684150136</v>
      </c>
      <c r="W101" s="59">
        <v>5.2802958557483395</v>
      </c>
      <c r="Y101" s="1001"/>
      <c r="Z101" s="25">
        <v>10</v>
      </c>
      <c r="AA101" s="557">
        <v>2.722180428259438</v>
      </c>
      <c r="AB101" s="557">
        <v>2.7464479815388687</v>
      </c>
      <c r="AC101" s="557">
        <v>2.7707335812839449</v>
      </c>
      <c r="AD101" s="557">
        <v>2.7950372274946647</v>
      </c>
      <c r="AE101" s="557">
        <v>2.8193589201710298</v>
      </c>
      <c r="AF101" s="557">
        <v>2.8436986593130391</v>
      </c>
      <c r="AG101" s="557">
        <v>2.8680564449206933</v>
      </c>
      <c r="AH101" s="557">
        <v>2.8924322769939907</v>
      </c>
      <c r="AI101" s="557">
        <v>2.9168261555329336</v>
      </c>
      <c r="AJ101" s="557">
        <v>2.9412380805375213</v>
      </c>
      <c r="AK101" s="557">
        <v>2.9656680520077527</v>
      </c>
      <c r="AL101" s="557">
        <v>3.210960322320521</v>
      </c>
      <c r="AM101" s="557">
        <v>3.7069588026394165</v>
      </c>
      <c r="AN101" s="557">
        <v>4.2101758692161244</v>
      </c>
      <c r="AO101" s="557">
        <v>4.7206115220506462</v>
      </c>
      <c r="AP101" s="557">
        <v>5.238265761142979</v>
      </c>
      <c r="AQ101" s="1163">
        <v>5.7631385864931257</v>
      </c>
      <c r="AS101" s="1166">
        <f t="shared" ref="AS101:AS118" si="53">AA101-G101</f>
        <v>-1.0965169236917482E-2</v>
      </c>
      <c r="AT101" s="557">
        <f t="shared" si="37"/>
        <v>-7.324516960492744E-3</v>
      </c>
      <c r="AU101" s="557">
        <f t="shared" si="38"/>
        <v>-3.6758913469783216E-3</v>
      </c>
      <c r="AV101" s="557">
        <f t="shared" si="39"/>
        <v>-1.9292396376435761E-5</v>
      </c>
      <c r="AW101" s="557">
        <f t="shared" si="40"/>
        <v>3.64527989131469E-3</v>
      </c>
      <c r="AX101" s="557">
        <f t="shared" si="41"/>
        <v>7.3178255160937233E-3</v>
      </c>
      <c r="AY101" s="557">
        <f t="shared" si="42"/>
        <v>1.0998344477961552E-2</v>
      </c>
      <c r="AZ101" s="557">
        <f t="shared" si="43"/>
        <v>1.4686836776915513E-2</v>
      </c>
      <c r="BA101" s="557">
        <f t="shared" si="44"/>
        <v>1.8383302412959601E-2</v>
      </c>
      <c r="BB101" s="557">
        <f t="shared" si="45"/>
        <v>2.2087741386092041E-2</v>
      </c>
      <c r="BC101" s="557">
        <f t="shared" si="46"/>
        <v>2.5800153696311945E-2</v>
      </c>
      <c r="BD101" s="557">
        <f t="shared" si="47"/>
        <v>6.3362810338375208E-2</v>
      </c>
      <c r="BE101" s="557">
        <f t="shared" si="48"/>
        <v>0.14088012474899658</v>
      </c>
      <c r="BF101" s="557">
        <f t="shared" si="49"/>
        <v>0.22158677399494842</v>
      </c>
      <c r="BG101" s="557">
        <f t="shared" si="50"/>
        <v>0.3054827580762316</v>
      </c>
      <c r="BH101" s="557">
        <f t="shared" si="51"/>
        <v>0.39256807699284302</v>
      </c>
      <c r="BI101" s="1163">
        <f t="shared" si="52"/>
        <v>0.48284273074478623</v>
      </c>
    </row>
    <row r="102" spans="3:61" x14ac:dyDescent="0.45">
      <c r="C102" s="1267"/>
      <c r="D102" s="1135" t="s">
        <v>502</v>
      </c>
      <c r="E102" s="1261"/>
      <c r="F102" s="72">
        <v>20</v>
      </c>
      <c r="G102" s="56">
        <v>2.7373411672681796</v>
      </c>
      <c r="H102" s="380">
        <v>2.757975334259366</v>
      </c>
      <c r="I102" s="56">
        <v>2.7786195743791078</v>
      </c>
      <c r="J102" s="56">
        <v>2.7992738876274066</v>
      </c>
      <c r="K102" s="56">
        <v>2.8199382740042611</v>
      </c>
      <c r="L102" s="56">
        <v>2.8406127335096718</v>
      </c>
      <c r="M102" s="56">
        <v>2.8612972661436391</v>
      </c>
      <c r="N102" s="56">
        <v>2.8819918719061621</v>
      </c>
      <c r="O102" s="56">
        <v>2.9026965507972418</v>
      </c>
      <c r="P102" s="56">
        <v>2.9234113028168776</v>
      </c>
      <c r="Q102" s="56">
        <v>2.9441361279650691</v>
      </c>
      <c r="R102" s="56">
        <v>3.1519384015175786</v>
      </c>
      <c r="S102" s="56">
        <v>3.5705648871894606</v>
      </c>
      <c r="T102" s="56">
        <v>3.9932206242838255</v>
      </c>
      <c r="U102" s="56">
        <v>4.4199056128006724</v>
      </c>
      <c r="V102" s="56">
        <v>4.8506198527400022</v>
      </c>
      <c r="W102" s="59">
        <v>5.2853633441018149</v>
      </c>
      <c r="Y102" s="1001"/>
      <c r="Z102" s="25">
        <v>20</v>
      </c>
      <c r="AA102" s="557">
        <v>2.7263759980312621</v>
      </c>
      <c r="AB102" s="557">
        <v>2.7506508172988737</v>
      </c>
      <c r="AC102" s="557">
        <v>2.7749436830321299</v>
      </c>
      <c r="AD102" s="557">
        <v>2.7992545952310302</v>
      </c>
      <c r="AE102" s="557">
        <v>2.8235835538955749</v>
      </c>
      <c r="AF102" s="557">
        <v>2.8479305590257655</v>
      </c>
      <c r="AG102" s="557">
        <v>2.8722956106215993</v>
      </c>
      <c r="AH102" s="557">
        <v>2.8966787086830781</v>
      </c>
      <c r="AI102" s="557">
        <v>2.9210798532102014</v>
      </c>
      <c r="AJ102" s="557">
        <v>2.9454990442029692</v>
      </c>
      <c r="AK102" s="557">
        <v>2.9699362816613819</v>
      </c>
      <c r="AL102" s="557">
        <v>3.2153012118559539</v>
      </c>
      <c r="AM102" s="557">
        <v>3.7114450119384581</v>
      </c>
      <c r="AN102" s="557">
        <v>4.2148073982787748</v>
      </c>
      <c r="AO102" s="557">
        <v>4.7253883708769049</v>
      </c>
      <c r="AP102" s="557">
        <v>5.2431879297328461</v>
      </c>
      <c r="AQ102" s="1163">
        <v>5.7682060748466002</v>
      </c>
      <c r="AS102" s="1166">
        <f t="shared" si="53"/>
        <v>-1.0965169236917482E-2</v>
      </c>
      <c r="AT102" s="557">
        <f t="shared" si="37"/>
        <v>-7.3245169604922999E-3</v>
      </c>
      <c r="AU102" s="557">
        <f t="shared" si="38"/>
        <v>-3.6758913469778776E-3</v>
      </c>
      <c r="AV102" s="557">
        <f t="shared" si="39"/>
        <v>-1.9292396376435761E-5</v>
      </c>
      <c r="AW102" s="557">
        <f t="shared" si="40"/>
        <v>3.6452798913138018E-3</v>
      </c>
      <c r="AX102" s="557">
        <f t="shared" si="41"/>
        <v>7.3178255160937233E-3</v>
      </c>
      <c r="AY102" s="557">
        <f t="shared" si="42"/>
        <v>1.099834447796022E-2</v>
      </c>
      <c r="AZ102" s="557">
        <f t="shared" si="43"/>
        <v>1.4686836776915957E-2</v>
      </c>
      <c r="BA102" s="557">
        <f t="shared" si="44"/>
        <v>1.8383302412959601E-2</v>
      </c>
      <c r="BB102" s="557">
        <f t="shared" si="45"/>
        <v>2.2087741386091597E-2</v>
      </c>
      <c r="BC102" s="557">
        <f t="shared" si="46"/>
        <v>2.5800153696312833E-2</v>
      </c>
      <c r="BD102" s="557">
        <f t="shared" si="47"/>
        <v>6.3362810338375208E-2</v>
      </c>
      <c r="BE102" s="557">
        <f t="shared" si="48"/>
        <v>0.14088012474899747</v>
      </c>
      <c r="BF102" s="557">
        <f t="shared" si="49"/>
        <v>0.2215867739949493</v>
      </c>
      <c r="BG102" s="557">
        <f t="shared" si="50"/>
        <v>0.30548275807623249</v>
      </c>
      <c r="BH102" s="557">
        <f t="shared" si="51"/>
        <v>0.39256807699284391</v>
      </c>
      <c r="BI102" s="1163">
        <f t="shared" si="52"/>
        <v>0.48284273074478534</v>
      </c>
    </row>
    <row r="103" spans="3:61" x14ac:dyDescent="0.45">
      <c r="C103" s="1267"/>
      <c r="D103" s="1135" t="s">
        <v>503</v>
      </c>
      <c r="E103" s="1261"/>
      <c r="F103" s="72">
        <v>30</v>
      </c>
      <c r="G103" s="56">
        <v>2.7936631148200251</v>
      </c>
      <c r="H103" s="56">
        <v>2.8143948215084316</v>
      </c>
      <c r="I103" s="56">
        <v>2.8351366013253938</v>
      </c>
      <c r="J103" s="56">
        <v>2.8558884542709126</v>
      </c>
      <c r="K103" s="56">
        <v>2.8766503803449872</v>
      </c>
      <c r="L103" s="56">
        <v>2.8974223795476184</v>
      </c>
      <c r="M103" s="56">
        <v>2.9182044518788057</v>
      </c>
      <c r="N103" s="56">
        <v>2.9389965973385497</v>
      </c>
      <c r="O103" s="56">
        <v>2.9597988159268493</v>
      </c>
      <c r="P103" s="56">
        <v>2.9806111076437052</v>
      </c>
      <c r="Q103" s="56">
        <v>3.0014334724891176</v>
      </c>
      <c r="R103" s="56">
        <v>3.2102111430138298</v>
      </c>
      <c r="S103" s="56">
        <v>3.6307884226301179</v>
      </c>
      <c r="T103" s="56">
        <v>4.0553949536688894</v>
      </c>
      <c r="U103" s="56">
        <v>4.4840307361301424</v>
      </c>
      <c r="V103" s="56">
        <v>4.9166957700138783</v>
      </c>
      <c r="W103" s="59">
        <v>5.353390055320097</v>
      </c>
      <c r="Y103" s="1001"/>
      <c r="Z103" s="25">
        <v>30</v>
      </c>
      <c r="AA103" s="557">
        <v>2.7826979455831076</v>
      </c>
      <c r="AB103" s="557">
        <v>2.8070703045479388</v>
      </c>
      <c r="AC103" s="557">
        <v>2.831460709978415</v>
      </c>
      <c r="AD103" s="557">
        <v>2.8558691618745362</v>
      </c>
      <c r="AE103" s="557">
        <v>2.8802956602363015</v>
      </c>
      <c r="AF103" s="557">
        <v>2.9047402050637117</v>
      </c>
      <c r="AG103" s="557">
        <v>2.9292027963567664</v>
      </c>
      <c r="AH103" s="557">
        <v>2.9536834341154652</v>
      </c>
      <c r="AI103" s="557">
        <v>2.9781821183398094</v>
      </c>
      <c r="AJ103" s="557">
        <v>3.0026988490297968</v>
      </c>
      <c r="AK103" s="557">
        <v>3.02723362618543</v>
      </c>
      <c r="AL103" s="557">
        <v>3.273573953352205</v>
      </c>
      <c r="AM103" s="557">
        <v>3.7716685473791154</v>
      </c>
      <c r="AN103" s="557">
        <v>4.2769817276638387</v>
      </c>
      <c r="AO103" s="557">
        <v>4.7895134942063731</v>
      </c>
      <c r="AP103" s="557">
        <v>5.3092638470067222</v>
      </c>
      <c r="AQ103" s="1163">
        <v>5.8362327860648824</v>
      </c>
      <c r="AS103" s="1166">
        <f t="shared" si="53"/>
        <v>-1.0965169236917482E-2</v>
      </c>
      <c r="AT103" s="557">
        <f t="shared" si="37"/>
        <v>-7.324516960492744E-3</v>
      </c>
      <c r="AU103" s="557">
        <f t="shared" si="38"/>
        <v>-3.6758913469787657E-3</v>
      </c>
      <c r="AV103" s="557">
        <f t="shared" si="39"/>
        <v>-1.9292396376435761E-5</v>
      </c>
      <c r="AW103" s="557">
        <f t="shared" si="40"/>
        <v>3.6452798913142459E-3</v>
      </c>
      <c r="AX103" s="557">
        <f t="shared" si="41"/>
        <v>7.3178255160932792E-3</v>
      </c>
      <c r="AY103" s="557">
        <f t="shared" si="42"/>
        <v>1.0998344477960664E-2</v>
      </c>
      <c r="AZ103" s="557">
        <f t="shared" si="43"/>
        <v>1.4686836776915513E-2</v>
      </c>
      <c r="BA103" s="557">
        <f t="shared" si="44"/>
        <v>1.8383302412960045E-2</v>
      </c>
      <c r="BB103" s="557">
        <f t="shared" si="45"/>
        <v>2.2087741386091597E-2</v>
      </c>
      <c r="BC103" s="557">
        <f t="shared" si="46"/>
        <v>2.5800153696312389E-2</v>
      </c>
      <c r="BD103" s="557">
        <f t="shared" si="47"/>
        <v>6.3362810338375208E-2</v>
      </c>
      <c r="BE103" s="557">
        <f t="shared" si="48"/>
        <v>0.14088012474899747</v>
      </c>
      <c r="BF103" s="557">
        <f t="shared" si="49"/>
        <v>0.2215867739949493</v>
      </c>
      <c r="BG103" s="557">
        <f t="shared" si="50"/>
        <v>0.30548275807623071</v>
      </c>
      <c r="BH103" s="557">
        <f t="shared" si="51"/>
        <v>0.39256807699284391</v>
      </c>
      <c r="BI103" s="1163">
        <f t="shared" si="52"/>
        <v>0.48284273074478534</v>
      </c>
    </row>
    <row r="104" spans="3:61" x14ac:dyDescent="0.45">
      <c r="C104" s="1267"/>
      <c r="D104" s="1136"/>
      <c r="E104" s="1261"/>
      <c r="F104" s="72">
        <v>40</v>
      </c>
      <c r="G104" s="56">
        <v>2.8542891826468595</v>
      </c>
      <c r="H104" s="56">
        <v>2.8751258830110262</v>
      </c>
      <c r="I104" s="56">
        <v>2.89597265650375</v>
      </c>
      <c r="J104" s="56">
        <v>2.9168295031250295</v>
      </c>
      <c r="K104" s="56">
        <v>2.9376964228748657</v>
      </c>
      <c r="L104" s="56">
        <v>2.9585734157532575</v>
      </c>
      <c r="M104" s="56">
        <v>2.9794604817602059</v>
      </c>
      <c r="N104" s="56">
        <v>3.000357620895711</v>
      </c>
      <c r="O104" s="56">
        <v>3.0212648331597718</v>
      </c>
      <c r="P104" s="56">
        <v>3.0421821185523883</v>
      </c>
      <c r="Q104" s="56">
        <v>3.0631094770735618</v>
      </c>
      <c r="R104" s="56">
        <v>3.2729370843558838</v>
      </c>
      <c r="S104" s="56">
        <v>3.6956142374873924</v>
      </c>
      <c r="T104" s="56">
        <v>4.1223206420413838</v>
      </c>
      <c r="U104" s="56">
        <v>4.5530562980178564</v>
      </c>
      <c r="V104" s="56">
        <v>4.9878212054168136</v>
      </c>
      <c r="W104" s="59">
        <v>5.426615364238252</v>
      </c>
      <c r="Y104" s="1001"/>
      <c r="Z104" s="25">
        <v>40</v>
      </c>
      <c r="AA104" s="557">
        <v>2.8433240134099416</v>
      </c>
      <c r="AB104" s="557">
        <v>2.8678013660505339</v>
      </c>
      <c r="AC104" s="557">
        <v>2.8922967651567717</v>
      </c>
      <c r="AD104" s="557">
        <v>2.9168102107286531</v>
      </c>
      <c r="AE104" s="557">
        <v>2.9413417027661803</v>
      </c>
      <c r="AF104" s="557">
        <v>2.9658912412693512</v>
      </c>
      <c r="AG104" s="557">
        <v>2.9904588262381666</v>
      </c>
      <c r="AH104" s="557">
        <v>3.0150444576726265</v>
      </c>
      <c r="AI104" s="557">
        <v>3.0396481355727314</v>
      </c>
      <c r="AJ104" s="557">
        <v>3.0642698599384803</v>
      </c>
      <c r="AK104" s="557">
        <v>3.0889096307698742</v>
      </c>
      <c r="AL104" s="557">
        <v>3.3362998946942595</v>
      </c>
      <c r="AM104" s="557">
        <v>3.8364943622363903</v>
      </c>
      <c r="AN104" s="557">
        <v>4.3439074160363331</v>
      </c>
      <c r="AO104" s="557">
        <v>4.8585390560940889</v>
      </c>
      <c r="AP104" s="557">
        <v>5.3803892824096566</v>
      </c>
      <c r="AQ104" s="1163">
        <v>5.9094580949830373</v>
      </c>
      <c r="AS104" s="1166">
        <f t="shared" si="53"/>
        <v>-1.0965169236917927E-2</v>
      </c>
      <c r="AT104" s="557">
        <f t="shared" si="37"/>
        <v>-7.3245169604922999E-3</v>
      </c>
      <c r="AU104" s="557">
        <f t="shared" si="38"/>
        <v>-3.6758913469783216E-3</v>
      </c>
      <c r="AV104" s="557">
        <f t="shared" si="39"/>
        <v>-1.9292396376435761E-5</v>
      </c>
      <c r="AW104" s="557">
        <f t="shared" si="40"/>
        <v>3.64527989131469E-3</v>
      </c>
      <c r="AX104" s="557">
        <f t="shared" si="41"/>
        <v>7.3178255160937233E-3</v>
      </c>
      <c r="AY104" s="557">
        <f t="shared" si="42"/>
        <v>1.0998344477960664E-2</v>
      </c>
      <c r="AZ104" s="557">
        <f t="shared" si="43"/>
        <v>1.4686836776915513E-2</v>
      </c>
      <c r="BA104" s="557">
        <f t="shared" si="44"/>
        <v>1.8383302412959601E-2</v>
      </c>
      <c r="BB104" s="557">
        <f t="shared" si="45"/>
        <v>2.2087741386092041E-2</v>
      </c>
      <c r="BC104" s="557">
        <f t="shared" si="46"/>
        <v>2.5800153696312389E-2</v>
      </c>
      <c r="BD104" s="557">
        <f t="shared" si="47"/>
        <v>6.3362810338375652E-2</v>
      </c>
      <c r="BE104" s="557">
        <f t="shared" si="48"/>
        <v>0.14088012474899791</v>
      </c>
      <c r="BF104" s="557">
        <f t="shared" si="49"/>
        <v>0.2215867739949493</v>
      </c>
      <c r="BG104" s="557">
        <f t="shared" si="50"/>
        <v>0.30548275807623249</v>
      </c>
      <c r="BH104" s="557">
        <f t="shared" si="51"/>
        <v>0.39256807699284302</v>
      </c>
      <c r="BI104" s="1163">
        <f t="shared" si="52"/>
        <v>0.48284273074478534</v>
      </c>
    </row>
    <row r="105" spans="3:61" x14ac:dyDescent="0.45">
      <c r="C105" s="1267"/>
      <c r="D105" s="1137" t="s">
        <v>496</v>
      </c>
      <c r="E105" s="1261"/>
      <c r="F105" s="72">
        <v>50</v>
      </c>
      <c r="G105" s="56">
        <v>2.9197393315872713</v>
      </c>
      <c r="H105" s="56">
        <v>2.9406893800863694</v>
      </c>
      <c r="I105" s="56">
        <v>2.9616495017140236</v>
      </c>
      <c r="J105" s="56">
        <v>2.9826196964702345</v>
      </c>
      <c r="K105" s="56">
        <v>3.0035999643550011</v>
      </c>
      <c r="L105" s="56">
        <v>3.0245903053683243</v>
      </c>
      <c r="M105" s="56">
        <v>3.0455907195102032</v>
      </c>
      <c r="N105" s="56">
        <v>3.0666012067806387</v>
      </c>
      <c r="O105" s="56">
        <v>3.0876217671796304</v>
      </c>
      <c r="P105" s="56">
        <v>3.1086524007071779</v>
      </c>
      <c r="Q105" s="56">
        <v>3.1296931073632819</v>
      </c>
      <c r="R105" s="56">
        <v>3.3406541959949116</v>
      </c>
      <c r="S105" s="56">
        <v>3.7655983118250367</v>
      </c>
      <c r="T105" s="56">
        <v>4.1945716790776437</v>
      </c>
      <c r="U105" s="56">
        <v>4.6275742977527319</v>
      </c>
      <c r="V105" s="56">
        <v>5.0646061678503047</v>
      </c>
      <c r="W105" s="59">
        <v>5.5056672893703595</v>
      </c>
      <c r="Y105" s="1001"/>
      <c r="Z105" s="25">
        <v>50</v>
      </c>
      <c r="AA105" s="557">
        <v>2.9087741623503534</v>
      </c>
      <c r="AB105" s="557">
        <v>2.9333648631258771</v>
      </c>
      <c r="AC105" s="557">
        <v>2.9579736103670458</v>
      </c>
      <c r="AD105" s="557">
        <v>2.9826004040738581</v>
      </c>
      <c r="AE105" s="557">
        <v>3.0072452442463158</v>
      </c>
      <c r="AF105" s="557">
        <v>3.0319081308844176</v>
      </c>
      <c r="AG105" s="557">
        <v>3.0565890639881643</v>
      </c>
      <c r="AH105" s="557">
        <v>3.0812880435575547</v>
      </c>
      <c r="AI105" s="557">
        <v>3.1060050695925896</v>
      </c>
      <c r="AJ105" s="557">
        <v>3.1307401420932699</v>
      </c>
      <c r="AK105" s="557">
        <v>3.1554932610595943</v>
      </c>
      <c r="AL105" s="557">
        <v>3.4040170063332877</v>
      </c>
      <c r="AM105" s="557">
        <v>3.9064784365740342</v>
      </c>
      <c r="AN105" s="557">
        <v>4.4161584530725921</v>
      </c>
      <c r="AO105" s="557">
        <v>4.9330570558289644</v>
      </c>
      <c r="AP105" s="557">
        <v>5.4571742448431486</v>
      </c>
      <c r="AQ105" s="1163">
        <v>5.9885100201151449</v>
      </c>
      <c r="AS105" s="1166">
        <f t="shared" si="53"/>
        <v>-1.0965169236917927E-2</v>
      </c>
      <c r="AT105" s="557">
        <f t="shared" si="37"/>
        <v>-7.3245169604922999E-3</v>
      </c>
      <c r="AU105" s="557">
        <f t="shared" si="38"/>
        <v>-3.6758913469778776E-3</v>
      </c>
      <c r="AV105" s="557">
        <f t="shared" si="39"/>
        <v>-1.9292396376435761E-5</v>
      </c>
      <c r="AW105" s="557">
        <f t="shared" si="40"/>
        <v>3.64527989131469E-3</v>
      </c>
      <c r="AX105" s="557">
        <f t="shared" si="41"/>
        <v>7.3178255160932792E-3</v>
      </c>
      <c r="AY105" s="557">
        <f t="shared" si="42"/>
        <v>1.0998344477961108E-2</v>
      </c>
      <c r="AZ105" s="557">
        <f t="shared" si="43"/>
        <v>1.4686836776915957E-2</v>
      </c>
      <c r="BA105" s="557">
        <f t="shared" si="44"/>
        <v>1.8383302412959157E-2</v>
      </c>
      <c r="BB105" s="557">
        <f t="shared" si="45"/>
        <v>2.2087741386092041E-2</v>
      </c>
      <c r="BC105" s="557">
        <f t="shared" si="46"/>
        <v>2.5800153696312389E-2</v>
      </c>
      <c r="BD105" s="557">
        <f t="shared" si="47"/>
        <v>6.3362810338376097E-2</v>
      </c>
      <c r="BE105" s="557">
        <f t="shared" si="48"/>
        <v>0.14088012474899747</v>
      </c>
      <c r="BF105" s="557">
        <f t="shared" si="49"/>
        <v>0.22158677399494842</v>
      </c>
      <c r="BG105" s="557">
        <f t="shared" si="50"/>
        <v>0.30548275807623249</v>
      </c>
      <c r="BH105" s="557">
        <f t="shared" si="51"/>
        <v>0.39256807699284391</v>
      </c>
      <c r="BI105" s="1163">
        <f t="shared" si="52"/>
        <v>0.48284273074478534</v>
      </c>
    </row>
    <row r="106" spans="3:61" x14ac:dyDescent="0.45">
      <c r="C106" s="1267"/>
      <c r="D106" s="1135" t="s">
        <v>497</v>
      </c>
      <c r="E106" s="1261"/>
      <c r="F106" s="72">
        <v>60</v>
      </c>
      <c r="G106" s="56">
        <v>2.9906207886345797</v>
      </c>
      <c r="H106" s="56">
        <v>3.0116935913380236</v>
      </c>
      <c r="I106" s="56">
        <v>3.0327764671700237</v>
      </c>
      <c r="J106" s="56">
        <v>3.0538694161305795</v>
      </c>
      <c r="K106" s="56">
        <v>3.0749724382196924</v>
      </c>
      <c r="L106" s="56">
        <v>3.0960855334373605</v>
      </c>
      <c r="M106" s="56">
        <v>3.1172087017835852</v>
      </c>
      <c r="N106" s="56">
        <v>3.138341943258367</v>
      </c>
      <c r="O106" s="56">
        <v>3.1594852578617041</v>
      </c>
      <c r="P106" s="56">
        <v>3.1806386455935973</v>
      </c>
      <c r="Q106" s="56">
        <v>3.2018021064540472</v>
      </c>
      <c r="R106" s="56">
        <v>3.4139907371291347</v>
      </c>
      <c r="S106" s="56">
        <v>3.8413899370461735</v>
      </c>
      <c r="T106" s="56">
        <v>4.2728183883856943</v>
      </c>
      <c r="U106" s="56">
        <v>4.708276091147698</v>
      </c>
      <c r="V106" s="56">
        <v>5.1477630453321845</v>
      </c>
      <c r="W106" s="59">
        <v>5.591279250939154</v>
      </c>
      <c r="Y106" s="1001"/>
      <c r="Z106" s="25">
        <v>60</v>
      </c>
      <c r="AA106" s="557">
        <v>2.9796556193976613</v>
      </c>
      <c r="AB106" s="557">
        <v>3.0043690743775313</v>
      </c>
      <c r="AC106" s="557">
        <v>3.0291005758230449</v>
      </c>
      <c r="AD106" s="557">
        <v>3.0538501237342031</v>
      </c>
      <c r="AE106" s="557">
        <v>3.0786177181110066</v>
      </c>
      <c r="AF106" s="557">
        <v>3.1034033589534533</v>
      </c>
      <c r="AG106" s="557">
        <v>3.1282070462615459</v>
      </c>
      <c r="AH106" s="557">
        <v>3.1530287800352825</v>
      </c>
      <c r="AI106" s="557">
        <v>3.1778685602746641</v>
      </c>
      <c r="AJ106" s="557">
        <v>3.2027263869796889</v>
      </c>
      <c r="AK106" s="557">
        <v>3.2276022601503596</v>
      </c>
      <c r="AL106" s="557">
        <v>3.4773535474675095</v>
      </c>
      <c r="AM106" s="557">
        <v>3.982270061795171</v>
      </c>
      <c r="AN106" s="557">
        <v>4.4944051623806445</v>
      </c>
      <c r="AO106" s="557">
        <v>5.0137588492239296</v>
      </c>
      <c r="AP106" s="557">
        <v>5.5403311223250284</v>
      </c>
      <c r="AQ106" s="1163">
        <v>6.0741219816839394</v>
      </c>
      <c r="AS106" s="1166">
        <f t="shared" si="53"/>
        <v>-1.0965169236918371E-2</v>
      </c>
      <c r="AT106" s="557">
        <f t="shared" si="37"/>
        <v>-7.3245169604922999E-3</v>
      </c>
      <c r="AU106" s="557">
        <f t="shared" si="38"/>
        <v>-3.6758913469787657E-3</v>
      </c>
      <c r="AV106" s="557">
        <f t="shared" si="39"/>
        <v>-1.9292396376435761E-5</v>
      </c>
      <c r="AW106" s="557">
        <f t="shared" si="40"/>
        <v>3.6452798913142459E-3</v>
      </c>
      <c r="AX106" s="557">
        <f t="shared" si="41"/>
        <v>7.3178255160928352E-3</v>
      </c>
      <c r="AY106" s="557">
        <f t="shared" si="42"/>
        <v>1.0998344477960664E-2</v>
      </c>
      <c r="AZ106" s="557">
        <f t="shared" si="43"/>
        <v>1.4686836776915513E-2</v>
      </c>
      <c r="BA106" s="557">
        <f t="shared" si="44"/>
        <v>1.8383302412960045E-2</v>
      </c>
      <c r="BB106" s="557">
        <f t="shared" si="45"/>
        <v>2.2087741386091597E-2</v>
      </c>
      <c r="BC106" s="557">
        <f t="shared" si="46"/>
        <v>2.5800153696312389E-2</v>
      </c>
      <c r="BD106" s="557">
        <f t="shared" si="47"/>
        <v>6.3362810338374764E-2</v>
      </c>
      <c r="BE106" s="557">
        <f t="shared" si="48"/>
        <v>0.14088012474899747</v>
      </c>
      <c r="BF106" s="557">
        <f t="shared" si="49"/>
        <v>0.22158677399495019</v>
      </c>
      <c r="BG106" s="557">
        <f t="shared" si="50"/>
        <v>0.3054827580762316</v>
      </c>
      <c r="BH106" s="557">
        <f t="shared" si="51"/>
        <v>0.39256807699284391</v>
      </c>
      <c r="BI106" s="1163">
        <f t="shared" si="52"/>
        <v>0.48284273074478534</v>
      </c>
    </row>
    <row r="107" spans="3:61" x14ac:dyDescent="0.45">
      <c r="C107" s="1267"/>
      <c r="D107" s="1135" t="s">
        <v>498</v>
      </c>
      <c r="E107" s="1261"/>
      <c r="F107" s="72">
        <v>70</v>
      </c>
      <c r="G107" s="56">
        <v>3.0676471563137766</v>
      </c>
      <c r="H107" s="56">
        <v>3.0888533551249191</v>
      </c>
      <c r="I107" s="56">
        <v>3.1100696270646173</v>
      </c>
      <c r="J107" s="56">
        <v>3.1312959721328721</v>
      </c>
      <c r="K107" s="56">
        <v>3.1525323903296827</v>
      </c>
      <c r="L107" s="56">
        <v>3.1737788816550498</v>
      </c>
      <c r="M107" s="56">
        <v>3.1950354461089736</v>
      </c>
      <c r="N107" s="56">
        <v>3.2163020836914527</v>
      </c>
      <c r="O107" s="56">
        <v>3.2375787944024879</v>
      </c>
      <c r="P107" s="56">
        <v>3.2588655782420801</v>
      </c>
      <c r="Q107" s="56">
        <v>3.2801624352102281</v>
      </c>
      <c r="R107" s="56">
        <v>3.4936850269622997</v>
      </c>
      <c r="S107" s="56">
        <v>3.9237521490333065</v>
      </c>
      <c r="T107" s="56">
        <v>4.3578485225267958</v>
      </c>
      <c r="U107" s="56">
        <v>4.7959741474427666</v>
      </c>
      <c r="V107" s="56">
        <v>5.2381290237812204</v>
      </c>
      <c r="W107" s="59">
        <v>5.6843131515421579</v>
      </c>
      <c r="Y107" s="1001"/>
      <c r="Z107" s="25">
        <v>70</v>
      </c>
      <c r="AA107" s="557">
        <v>3.0566819870768591</v>
      </c>
      <c r="AB107" s="557">
        <v>3.0815288381644264</v>
      </c>
      <c r="AC107" s="557">
        <v>3.1063937357176394</v>
      </c>
      <c r="AD107" s="557">
        <v>3.1312766797364957</v>
      </c>
      <c r="AE107" s="557">
        <v>3.1561776702209974</v>
      </c>
      <c r="AF107" s="557">
        <v>3.1810967071711431</v>
      </c>
      <c r="AG107" s="557">
        <v>3.2060337905869343</v>
      </c>
      <c r="AH107" s="557">
        <v>3.2309889204683691</v>
      </c>
      <c r="AI107" s="557">
        <v>3.2559620968154483</v>
      </c>
      <c r="AJ107" s="557">
        <v>3.2809533196281726</v>
      </c>
      <c r="AK107" s="557">
        <v>3.3059625889065405</v>
      </c>
      <c r="AL107" s="557">
        <v>3.5570478373006749</v>
      </c>
      <c r="AM107" s="557">
        <v>4.064632273782304</v>
      </c>
      <c r="AN107" s="557">
        <v>4.5794352965217442</v>
      </c>
      <c r="AO107" s="557">
        <v>5.1014569055189991</v>
      </c>
      <c r="AP107" s="557">
        <v>5.6306971007740643</v>
      </c>
      <c r="AQ107" s="1163">
        <v>6.1671558822869423</v>
      </c>
      <c r="AS107" s="1166">
        <f t="shared" si="53"/>
        <v>-1.0965169236917482E-2</v>
      </c>
      <c r="AT107" s="557">
        <f t="shared" si="37"/>
        <v>-7.324516960492744E-3</v>
      </c>
      <c r="AU107" s="557">
        <f t="shared" si="38"/>
        <v>-3.6758913469778776E-3</v>
      </c>
      <c r="AV107" s="557">
        <f t="shared" si="39"/>
        <v>-1.9292396376435761E-5</v>
      </c>
      <c r="AW107" s="557">
        <f t="shared" si="40"/>
        <v>3.64527989131469E-3</v>
      </c>
      <c r="AX107" s="557">
        <f t="shared" si="41"/>
        <v>7.3178255160932792E-3</v>
      </c>
      <c r="AY107" s="557">
        <f t="shared" si="42"/>
        <v>1.0998344477960664E-2</v>
      </c>
      <c r="AZ107" s="557">
        <f t="shared" si="43"/>
        <v>1.4686836776916401E-2</v>
      </c>
      <c r="BA107" s="557">
        <f t="shared" si="44"/>
        <v>1.8383302412960489E-2</v>
      </c>
      <c r="BB107" s="557">
        <f t="shared" si="45"/>
        <v>2.2087741386092485E-2</v>
      </c>
      <c r="BC107" s="557">
        <f t="shared" si="46"/>
        <v>2.5800153696312389E-2</v>
      </c>
      <c r="BD107" s="557">
        <f t="shared" si="47"/>
        <v>6.3362810338375208E-2</v>
      </c>
      <c r="BE107" s="557">
        <f t="shared" si="48"/>
        <v>0.14088012474899747</v>
      </c>
      <c r="BF107" s="557">
        <f t="shared" si="49"/>
        <v>0.22158677399494842</v>
      </c>
      <c r="BG107" s="557">
        <f t="shared" si="50"/>
        <v>0.30548275807623249</v>
      </c>
      <c r="BH107" s="557">
        <f t="shared" si="51"/>
        <v>0.39256807699284391</v>
      </c>
      <c r="BI107" s="1163">
        <f t="shared" si="52"/>
        <v>0.48284273074478445</v>
      </c>
    </row>
    <row r="108" spans="3:61" x14ac:dyDescent="0.45">
      <c r="C108" s="1267"/>
      <c r="D108" s="1137" t="s">
        <v>499</v>
      </c>
      <c r="E108" s="1261"/>
      <c r="F108" s="72">
        <v>80</v>
      </c>
      <c r="G108" s="56">
        <v>3.1516627734903135</v>
      </c>
      <c r="H108" s="56">
        <v>3.1730144725587692</v>
      </c>
      <c r="I108" s="56">
        <v>3.1943762447557811</v>
      </c>
      <c r="J108" s="56">
        <v>3.2157480900813487</v>
      </c>
      <c r="K108" s="56">
        <v>3.2371300085354733</v>
      </c>
      <c r="L108" s="56">
        <v>3.2585220001181527</v>
      </c>
      <c r="M108" s="56">
        <v>3.2799240648293893</v>
      </c>
      <c r="N108" s="56">
        <v>3.3013362026691824</v>
      </c>
      <c r="O108" s="56">
        <v>3.3227584136375312</v>
      </c>
      <c r="P108" s="56">
        <v>3.3441906977344362</v>
      </c>
      <c r="Q108" s="56">
        <v>3.3656330549598974</v>
      </c>
      <c r="R108" s="56">
        <v>3.5806106492851013</v>
      </c>
      <c r="S108" s="56">
        <v>4.0135877765023729</v>
      </c>
      <c r="T108" s="56">
        <v>4.4505941551421264</v>
      </c>
      <c r="U108" s="56">
        <v>4.8916297852043629</v>
      </c>
      <c r="V108" s="56">
        <v>5.3366946666890822</v>
      </c>
      <c r="W108" s="59">
        <v>5.7857887995962827</v>
      </c>
      <c r="Y108" s="1001"/>
      <c r="Z108" s="25">
        <v>80</v>
      </c>
      <c r="AA108" s="557">
        <v>3.1406976042533961</v>
      </c>
      <c r="AB108" s="557">
        <v>3.1656899555982774</v>
      </c>
      <c r="AC108" s="557">
        <v>3.1907003534088028</v>
      </c>
      <c r="AD108" s="557">
        <v>3.2157287976849727</v>
      </c>
      <c r="AE108" s="557">
        <v>3.2407752884267875</v>
      </c>
      <c r="AF108" s="557">
        <v>3.2658398256342465</v>
      </c>
      <c r="AG108" s="557">
        <v>3.2909224093073508</v>
      </c>
      <c r="AH108" s="557">
        <v>3.3160230394460988</v>
      </c>
      <c r="AI108" s="557">
        <v>3.3411417160504913</v>
      </c>
      <c r="AJ108" s="557">
        <v>3.3662784391205283</v>
      </c>
      <c r="AK108" s="557">
        <v>3.3914332086562107</v>
      </c>
      <c r="AL108" s="557">
        <v>3.6439734596234765</v>
      </c>
      <c r="AM108" s="557">
        <v>4.1544679012513708</v>
      </c>
      <c r="AN108" s="557">
        <v>4.6721809291370757</v>
      </c>
      <c r="AO108" s="557">
        <v>5.1971125432805936</v>
      </c>
      <c r="AP108" s="557">
        <v>5.7292627436819243</v>
      </c>
      <c r="AQ108" s="1163">
        <v>6.268631530341068</v>
      </c>
      <c r="AS108" s="1166">
        <f t="shared" si="53"/>
        <v>-1.0965169236917482E-2</v>
      </c>
      <c r="AT108" s="557">
        <f t="shared" si="37"/>
        <v>-7.3245169604918559E-3</v>
      </c>
      <c r="AU108" s="557">
        <f t="shared" si="38"/>
        <v>-3.6758913469783216E-3</v>
      </c>
      <c r="AV108" s="557">
        <f t="shared" si="39"/>
        <v>-1.9292396375991672E-5</v>
      </c>
      <c r="AW108" s="557">
        <f t="shared" si="40"/>
        <v>3.6452798913142459E-3</v>
      </c>
      <c r="AX108" s="557">
        <f t="shared" si="41"/>
        <v>7.3178255160937233E-3</v>
      </c>
      <c r="AY108" s="557">
        <f t="shared" si="42"/>
        <v>1.0998344477961552E-2</v>
      </c>
      <c r="AZ108" s="557">
        <f t="shared" si="43"/>
        <v>1.4686836776916401E-2</v>
      </c>
      <c r="BA108" s="557">
        <f t="shared" si="44"/>
        <v>1.8383302412960045E-2</v>
      </c>
      <c r="BB108" s="557">
        <f t="shared" si="45"/>
        <v>2.2087741386092041E-2</v>
      </c>
      <c r="BC108" s="557">
        <f t="shared" si="46"/>
        <v>2.5800153696313277E-2</v>
      </c>
      <c r="BD108" s="557">
        <f t="shared" si="47"/>
        <v>6.3362810338375208E-2</v>
      </c>
      <c r="BE108" s="557">
        <f t="shared" si="48"/>
        <v>0.14088012474899791</v>
      </c>
      <c r="BF108" s="557">
        <f t="shared" si="49"/>
        <v>0.2215867739949493</v>
      </c>
      <c r="BG108" s="557">
        <f t="shared" si="50"/>
        <v>0.30548275807623071</v>
      </c>
      <c r="BH108" s="557">
        <f t="shared" si="51"/>
        <v>0.39256807699284213</v>
      </c>
      <c r="BI108" s="1163">
        <f t="shared" si="52"/>
        <v>0.48284273074478534</v>
      </c>
    </row>
    <row r="109" spans="3:61" x14ac:dyDescent="0.45">
      <c r="C109" s="1267"/>
      <c r="D109" s="1135" t="s">
        <v>500</v>
      </c>
      <c r="E109" s="1261"/>
      <c r="F109" s="72">
        <v>90</v>
      </c>
      <c r="G109" s="56">
        <v>3.2436740920918075</v>
      </c>
      <c r="H109" s="56">
        <v>3.2651851385647355</v>
      </c>
      <c r="I109" s="56">
        <v>3.2867062581662196</v>
      </c>
      <c r="J109" s="56">
        <v>3.3082374508962604</v>
      </c>
      <c r="K109" s="56">
        <v>3.3297787167548574</v>
      </c>
      <c r="L109" s="56">
        <v>3.35133005574201</v>
      </c>
      <c r="M109" s="56">
        <v>3.3728914678577189</v>
      </c>
      <c r="N109" s="56">
        <v>3.3944629531019848</v>
      </c>
      <c r="O109" s="56">
        <v>3.4160445114748064</v>
      </c>
      <c r="P109" s="56">
        <v>3.4376361429761837</v>
      </c>
      <c r="Q109" s="56">
        <v>3.4592378476061181</v>
      </c>
      <c r="R109" s="56">
        <v>3.6758089159760488</v>
      </c>
      <c r="S109" s="56">
        <v>4.111972991282772</v>
      </c>
      <c r="T109" s="56">
        <v>4.5521663180119782</v>
      </c>
      <c r="U109" s="56">
        <v>4.9963888961636673</v>
      </c>
      <c r="V109" s="56">
        <v>5.4446407257378393</v>
      </c>
      <c r="W109" s="59">
        <v>5.8969218067344933</v>
      </c>
      <c r="Y109" s="1001"/>
      <c r="Z109" s="25">
        <v>90</v>
      </c>
      <c r="AA109" s="557">
        <v>3.23270892285489</v>
      </c>
      <c r="AB109" s="557">
        <v>3.2578606216042432</v>
      </c>
      <c r="AC109" s="557">
        <v>3.2830303668192418</v>
      </c>
      <c r="AD109" s="557">
        <v>3.3082181584998844</v>
      </c>
      <c r="AE109" s="557">
        <v>3.3334239966461716</v>
      </c>
      <c r="AF109" s="557">
        <v>3.3586478812581033</v>
      </c>
      <c r="AG109" s="557">
        <v>3.3838898123356804</v>
      </c>
      <c r="AH109" s="557">
        <v>3.4091497898789003</v>
      </c>
      <c r="AI109" s="557">
        <v>3.4344278138877664</v>
      </c>
      <c r="AJ109" s="557">
        <v>3.4597238843622757</v>
      </c>
      <c r="AK109" s="557">
        <v>3.4850380013024305</v>
      </c>
      <c r="AL109" s="557">
        <v>3.7391717263144231</v>
      </c>
      <c r="AM109" s="557">
        <v>4.2528531160317691</v>
      </c>
      <c r="AN109" s="557">
        <v>4.7737530920069275</v>
      </c>
      <c r="AO109" s="557">
        <v>5.3018716542398989</v>
      </c>
      <c r="AP109" s="557">
        <v>5.8372088027306823</v>
      </c>
      <c r="AQ109" s="1163">
        <v>6.3797645374792786</v>
      </c>
      <c r="AS109" s="1166">
        <f t="shared" si="53"/>
        <v>-1.0965169236917482E-2</v>
      </c>
      <c r="AT109" s="557">
        <f t="shared" si="37"/>
        <v>-7.3245169604922999E-3</v>
      </c>
      <c r="AU109" s="557">
        <f t="shared" si="38"/>
        <v>-3.6758913469778776E-3</v>
      </c>
      <c r="AV109" s="557">
        <f t="shared" si="39"/>
        <v>-1.9292396375991672E-5</v>
      </c>
      <c r="AW109" s="557">
        <f t="shared" si="40"/>
        <v>3.6452798913142459E-3</v>
      </c>
      <c r="AX109" s="557">
        <f t="shared" si="41"/>
        <v>7.3178255160932792E-3</v>
      </c>
      <c r="AY109" s="557">
        <f t="shared" si="42"/>
        <v>1.0998344477961552E-2</v>
      </c>
      <c r="AZ109" s="557">
        <f t="shared" si="43"/>
        <v>1.4686836776915513E-2</v>
      </c>
      <c r="BA109" s="557">
        <f t="shared" si="44"/>
        <v>1.8383302412960045E-2</v>
      </c>
      <c r="BB109" s="557">
        <f t="shared" si="45"/>
        <v>2.2087741386092041E-2</v>
      </c>
      <c r="BC109" s="557">
        <f t="shared" si="46"/>
        <v>2.5800153696312389E-2</v>
      </c>
      <c r="BD109" s="557">
        <f t="shared" si="47"/>
        <v>6.336281033837432E-2</v>
      </c>
      <c r="BE109" s="557">
        <f t="shared" si="48"/>
        <v>0.14088012474899703</v>
      </c>
      <c r="BF109" s="557">
        <f t="shared" si="49"/>
        <v>0.2215867739949493</v>
      </c>
      <c r="BG109" s="557">
        <f t="shared" si="50"/>
        <v>0.3054827580762316</v>
      </c>
      <c r="BH109" s="557">
        <f t="shared" si="51"/>
        <v>0.39256807699284302</v>
      </c>
      <c r="BI109" s="1163">
        <f t="shared" si="52"/>
        <v>0.48284273074478534</v>
      </c>
    </row>
    <row r="110" spans="3:61" ht="15" customHeight="1" x14ac:dyDescent="0.45">
      <c r="C110" s="1267"/>
      <c r="D110" s="1138" t="s">
        <v>504</v>
      </c>
      <c r="E110" s="1261"/>
      <c r="F110" s="72">
        <v>100</v>
      </c>
      <c r="G110" s="56">
        <v>3.3448905459472429</v>
      </c>
      <c r="H110" s="56">
        <v>3.366576881498264</v>
      </c>
      <c r="I110" s="56">
        <v>3.3882732901778412</v>
      </c>
      <c r="J110" s="56">
        <v>3.4099797719859755</v>
      </c>
      <c r="K110" s="56">
        <v>3.431696326922665</v>
      </c>
      <c r="L110" s="56">
        <v>3.4534229549879107</v>
      </c>
      <c r="M110" s="56">
        <v>3.4751596561817131</v>
      </c>
      <c r="N110" s="56">
        <v>3.4969064305040716</v>
      </c>
      <c r="O110" s="56">
        <v>3.5186632779549862</v>
      </c>
      <c r="P110" s="56">
        <v>3.5404301985344571</v>
      </c>
      <c r="Q110" s="56">
        <v>3.5622071922424841</v>
      </c>
      <c r="R110" s="56">
        <v>3.7805311513933457</v>
      </c>
      <c r="S110" s="56">
        <v>4.2202010082619328</v>
      </c>
      <c r="T110" s="56">
        <v>4.663900116553001</v>
      </c>
      <c r="U110" s="56">
        <v>5.111628476266552</v>
      </c>
      <c r="V110" s="56">
        <v>5.563386087402586</v>
      </c>
      <c r="W110" s="59">
        <v>6.0191729499611029</v>
      </c>
      <c r="Y110" s="1001"/>
      <c r="Z110" s="25">
        <v>100</v>
      </c>
      <c r="AA110" s="557">
        <v>3.3339253767103254</v>
      </c>
      <c r="AB110" s="557">
        <v>3.3592523645377721</v>
      </c>
      <c r="AC110" s="557">
        <v>3.3845973988308629</v>
      </c>
      <c r="AD110" s="557">
        <v>3.4099604795895986</v>
      </c>
      <c r="AE110" s="557">
        <v>3.4353416068139793</v>
      </c>
      <c r="AF110" s="557">
        <v>3.460740780504004</v>
      </c>
      <c r="AG110" s="557">
        <v>3.4861580006596733</v>
      </c>
      <c r="AH110" s="557">
        <v>3.5115932672809871</v>
      </c>
      <c r="AI110" s="557">
        <v>3.5370465803679458</v>
      </c>
      <c r="AJ110" s="557">
        <v>3.5625179399205491</v>
      </c>
      <c r="AK110" s="557">
        <v>3.5880073459387964</v>
      </c>
      <c r="AL110" s="557">
        <v>3.8438939617317214</v>
      </c>
      <c r="AM110" s="557">
        <v>4.3610811330109298</v>
      </c>
      <c r="AN110" s="557">
        <v>4.8854868905479503</v>
      </c>
      <c r="AO110" s="557">
        <v>5.4171112343427836</v>
      </c>
      <c r="AP110" s="557">
        <v>5.9559541643954299</v>
      </c>
      <c r="AQ110" s="1163">
        <v>6.5020156807058882</v>
      </c>
      <c r="AS110" s="1166">
        <f t="shared" si="53"/>
        <v>-1.0965169236917482E-2</v>
      </c>
      <c r="AT110" s="557">
        <f t="shared" si="37"/>
        <v>-7.3245169604918559E-3</v>
      </c>
      <c r="AU110" s="557">
        <f t="shared" si="38"/>
        <v>-3.6758913469783216E-3</v>
      </c>
      <c r="AV110" s="557">
        <f t="shared" si="39"/>
        <v>-1.929239637687985E-5</v>
      </c>
      <c r="AW110" s="557">
        <f t="shared" si="40"/>
        <v>3.6452798913142459E-3</v>
      </c>
      <c r="AX110" s="557">
        <f t="shared" si="41"/>
        <v>7.3178255160932792E-3</v>
      </c>
      <c r="AY110" s="557">
        <f t="shared" si="42"/>
        <v>1.099834447796022E-2</v>
      </c>
      <c r="AZ110" s="557">
        <f t="shared" si="43"/>
        <v>1.4686836776915513E-2</v>
      </c>
      <c r="BA110" s="557">
        <f t="shared" si="44"/>
        <v>1.8383302412959601E-2</v>
      </c>
      <c r="BB110" s="557">
        <f t="shared" si="45"/>
        <v>2.2087741386092041E-2</v>
      </c>
      <c r="BC110" s="557">
        <f t="shared" si="46"/>
        <v>2.5800153696312389E-2</v>
      </c>
      <c r="BD110" s="557">
        <f t="shared" si="47"/>
        <v>6.3362810338375652E-2</v>
      </c>
      <c r="BE110" s="557">
        <f t="shared" si="48"/>
        <v>0.14088012474899703</v>
      </c>
      <c r="BF110" s="557">
        <f t="shared" si="49"/>
        <v>0.2215867739949493</v>
      </c>
      <c r="BG110" s="557">
        <f t="shared" si="50"/>
        <v>0.3054827580762316</v>
      </c>
      <c r="BH110" s="557">
        <f t="shared" si="51"/>
        <v>0.39256807699284391</v>
      </c>
      <c r="BI110" s="1163">
        <f t="shared" si="52"/>
        <v>0.48284273074478534</v>
      </c>
    </row>
    <row r="111" spans="3:61" x14ac:dyDescent="0.45">
      <c r="C111" s="1267"/>
      <c r="D111" s="1139" t="s">
        <v>505</v>
      </c>
      <c r="E111" s="1261"/>
      <c r="F111" s="72">
        <v>200</v>
      </c>
      <c r="G111" s="56">
        <v>5.4573858702567524</v>
      </c>
      <c r="H111" s="56">
        <v>5.4827306757873986</v>
      </c>
      <c r="I111" s="56">
        <v>5.5080855544466019</v>
      </c>
      <c r="J111" s="56">
        <v>5.5334505062343604</v>
      </c>
      <c r="K111" s="56">
        <v>5.558825531150676</v>
      </c>
      <c r="L111" s="56">
        <v>5.5842106291955469</v>
      </c>
      <c r="M111" s="56">
        <v>5.6096058003689739</v>
      </c>
      <c r="N111" s="56">
        <v>5.635011044670958</v>
      </c>
      <c r="O111" s="56">
        <v>5.6604263621014983</v>
      </c>
      <c r="P111" s="56">
        <v>5.6858517526605938</v>
      </c>
      <c r="Q111" s="56">
        <v>5.7112872163482464</v>
      </c>
      <c r="R111" s="56">
        <v>5.9661958752953606</v>
      </c>
      <c r="S111" s="56">
        <v>6.4790351317564525</v>
      </c>
      <c r="T111" s="56">
        <v>6.9959036396400256</v>
      </c>
      <c r="U111" s="56">
        <v>7.5168013989460825</v>
      </c>
      <c r="V111" s="56">
        <v>8.0417284096746222</v>
      </c>
      <c r="W111" s="59">
        <v>8.570684671825644</v>
      </c>
      <c r="Y111" s="1001"/>
      <c r="Z111" s="25">
        <v>200</v>
      </c>
      <c r="AA111" s="557">
        <v>5.446420701019834</v>
      </c>
      <c r="AB111" s="557">
        <v>5.4754061588269067</v>
      </c>
      <c r="AC111" s="557">
        <v>5.5044096630996231</v>
      </c>
      <c r="AD111" s="557">
        <v>5.533431213837984</v>
      </c>
      <c r="AE111" s="557">
        <v>5.5624708110419894</v>
      </c>
      <c r="AF111" s="557">
        <v>5.5915284547116402</v>
      </c>
      <c r="AG111" s="557">
        <v>5.6206041448469337</v>
      </c>
      <c r="AH111" s="557">
        <v>5.6496978814478735</v>
      </c>
      <c r="AI111" s="557">
        <v>5.678809664514457</v>
      </c>
      <c r="AJ111" s="557">
        <v>5.7079394940466859</v>
      </c>
      <c r="AK111" s="557">
        <v>5.7370873700445593</v>
      </c>
      <c r="AL111" s="557">
        <v>6.0295586856337344</v>
      </c>
      <c r="AM111" s="557">
        <v>6.6199152565054487</v>
      </c>
      <c r="AN111" s="557">
        <v>7.2174904136349749</v>
      </c>
      <c r="AO111" s="557">
        <v>7.8222841570223132</v>
      </c>
      <c r="AP111" s="557">
        <v>8.4342964866674652</v>
      </c>
      <c r="AQ111" s="1163">
        <v>9.0535274025704293</v>
      </c>
      <c r="AS111" s="1166">
        <f t="shared" si="53"/>
        <v>-1.0965169236918371E-2</v>
      </c>
      <c r="AT111" s="557">
        <f t="shared" si="37"/>
        <v>-7.3245169604918559E-3</v>
      </c>
      <c r="AU111" s="557">
        <f t="shared" si="38"/>
        <v>-3.6758913469787657E-3</v>
      </c>
      <c r="AV111" s="557">
        <f t="shared" si="39"/>
        <v>-1.9292396376435761E-5</v>
      </c>
      <c r="AW111" s="557">
        <f t="shared" si="40"/>
        <v>3.6452798913133577E-3</v>
      </c>
      <c r="AX111" s="557">
        <f t="shared" si="41"/>
        <v>7.3178255160932792E-3</v>
      </c>
      <c r="AY111" s="557">
        <f t="shared" si="42"/>
        <v>1.0998344477959776E-2</v>
      </c>
      <c r="AZ111" s="557">
        <f t="shared" si="43"/>
        <v>1.4686836776915513E-2</v>
      </c>
      <c r="BA111" s="557">
        <f t="shared" si="44"/>
        <v>1.8383302412958713E-2</v>
      </c>
      <c r="BB111" s="557">
        <f t="shared" si="45"/>
        <v>2.2087741386092041E-2</v>
      </c>
      <c r="BC111" s="557">
        <f t="shared" si="46"/>
        <v>2.5800153696312833E-2</v>
      </c>
      <c r="BD111" s="557">
        <f t="shared" si="47"/>
        <v>6.3362810338373876E-2</v>
      </c>
      <c r="BE111" s="557">
        <f t="shared" si="48"/>
        <v>0.14088012474899614</v>
      </c>
      <c r="BF111" s="557">
        <f t="shared" si="49"/>
        <v>0.2215867739949493</v>
      </c>
      <c r="BG111" s="557">
        <f t="shared" si="50"/>
        <v>0.30548275807623071</v>
      </c>
      <c r="BH111" s="557">
        <f t="shared" si="51"/>
        <v>0.39256807699284302</v>
      </c>
      <c r="BI111" s="1163">
        <f t="shared" si="52"/>
        <v>0.48284273074478534</v>
      </c>
    </row>
    <row r="112" spans="3:61" x14ac:dyDescent="0.45">
      <c r="C112" s="1267"/>
      <c r="D112" s="5"/>
      <c r="E112" s="1261"/>
      <c r="F112" s="72">
        <v>300</v>
      </c>
      <c r="G112" s="56">
        <v>6.8681396220183304</v>
      </c>
      <c r="H112" s="56">
        <v>6.8959276046722922</v>
      </c>
      <c r="I112" s="56">
        <v>6.9237256604548101</v>
      </c>
      <c r="J112" s="56">
        <v>6.9515337893658842</v>
      </c>
      <c r="K112" s="56">
        <v>6.9793519914055153</v>
      </c>
      <c r="L112" s="56">
        <v>7.0071802665737017</v>
      </c>
      <c r="M112" s="56">
        <v>7.0350186148704434</v>
      </c>
      <c r="N112" s="56">
        <v>7.0628670362957431</v>
      </c>
      <c r="O112" s="56">
        <v>7.090725530849598</v>
      </c>
      <c r="P112" s="56">
        <v>7.1185940985320091</v>
      </c>
      <c r="Q112" s="56">
        <v>7.1464727393429772</v>
      </c>
      <c r="R112" s="56">
        <v>7.4258131695232432</v>
      </c>
      <c r="S112" s="56">
        <v>7.9875159684506407</v>
      </c>
      <c r="T112" s="56">
        <v>8.5532480188005184</v>
      </c>
      <c r="U112" s="56">
        <v>9.1230093205728799</v>
      </c>
      <c r="V112" s="56">
        <v>9.696799873767727</v>
      </c>
      <c r="W112" s="59">
        <v>10.274619678385053</v>
      </c>
      <c r="Y112" s="1001"/>
      <c r="Z112" s="25">
        <v>300</v>
      </c>
      <c r="AA112" s="557">
        <v>6.8571744527814147</v>
      </c>
      <c r="AB112" s="557">
        <v>6.8886030877118003</v>
      </c>
      <c r="AC112" s="557">
        <v>6.9200497691078322</v>
      </c>
      <c r="AD112" s="557">
        <v>6.9515144969695086</v>
      </c>
      <c r="AE112" s="557">
        <v>6.9829972712968313</v>
      </c>
      <c r="AF112" s="557">
        <v>7.0144980920897959</v>
      </c>
      <c r="AG112" s="557">
        <v>7.0460169593484041</v>
      </c>
      <c r="AH112" s="557">
        <v>7.0775538730726595</v>
      </c>
      <c r="AI112" s="557">
        <v>7.1091088332625567</v>
      </c>
      <c r="AJ112" s="557">
        <v>7.140681839918102</v>
      </c>
      <c r="AK112" s="557">
        <v>7.1722728930392901</v>
      </c>
      <c r="AL112" s="557">
        <v>7.4891759798616198</v>
      </c>
      <c r="AM112" s="557">
        <v>8.1283960931996386</v>
      </c>
      <c r="AN112" s="557">
        <v>8.7748347927954686</v>
      </c>
      <c r="AO112" s="557">
        <v>9.4284920786491124</v>
      </c>
      <c r="AP112" s="557">
        <v>10.089367950760568</v>
      </c>
      <c r="AQ112" s="1163">
        <v>10.757462409129838</v>
      </c>
      <c r="AS112" s="1166">
        <f t="shared" si="53"/>
        <v>-1.0965169236915706E-2</v>
      </c>
      <c r="AT112" s="557">
        <f t="shared" si="37"/>
        <v>-7.3245169604918559E-3</v>
      </c>
      <c r="AU112" s="557">
        <f t="shared" si="38"/>
        <v>-3.6758913469778776E-3</v>
      </c>
      <c r="AV112" s="557">
        <f t="shared" si="39"/>
        <v>-1.9292396375547582E-5</v>
      </c>
      <c r="AW112" s="557">
        <f t="shared" si="40"/>
        <v>3.6452798913160223E-3</v>
      </c>
      <c r="AX112" s="557">
        <f t="shared" si="41"/>
        <v>7.3178255160941674E-3</v>
      </c>
      <c r="AY112" s="557">
        <f t="shared" si="42"/>
        <v>1.0998344477960664E-2</v>
      </c>
      <c r="AZ112" s="557">
        <f t="shared" si="43"/>
        <v>1.4686836776916401E-2</v>
      </c>
      <c r="BA112" s="557">
        <f t="shared" si="44"/>
        <v>1.8383302412958713E-2</v>
      </c>
      <c r="BB112" s="557">
        <f t="shared" si="45"/>
        <v>2.2087741386092929E-2</v>
      </c>
      <c r="BC112" s="557">
        <f t="shared" si="46"/>
        <v>2.5800153696312833E-2</v>
      </c>
      <c r="BD112" s="557">
        <f t="shared" si="47"/>
        <v>6.3362810338376541E-2</v>
      </c>
      <c r="BE112" s="557">
        <f t="shared" si="48"/>
        <v>0.14088012474899791</v>
      </c>
      <c r="BF112" s="557">
        <f t="shared" si="49"/>
        <v>0.22158677399495019</v>
      </c>
      <c r="BG112" s="557">
        <f t="shared" si="50"/>
        <v>0.30548275807623249</v>
      </c>
      <c r="BH112" s="557">
        <f t="shared" si="51"/>
        <v>0.39256807699284124</v>
      </c>
      <c r="BI112" s="1163">
        <f t="shared" si="52"/>
        <v>0.48284273074478534</v>
      </c>
    </row>
    <row r="113" spans="3:61" x14ac:dyDescent="0.45">
      <c r="C113" s="1267"/>
      <c r="D113" s="5"/>
      <c r="E113" s="1261"/>
      <c r="F113" s="72">
        <v>400</v>
      </c>
      <c r="G113" s="56">
        <v>8.2788933737799102</v>
      </c>
      <c r="H113" s="56">
        <v>8.3091245335571848</v>
      </c>
      <c r="I113" s="56">
        <v>8.3393657664630201</v>
      </c>
      <c r="J113" s="56">
        <v>8.3696170724974088</v>
      </c>
      <c r="K113" s="56">
        <v>8.3998784516603529</v>
      </c>
      <c r="L113" s="56">
        <v>8.4301499039518557</v>
      </c>
      <c r="M113" s="56">
        <v>8.4604314293719138</v>
      </c>
      <c r="N113" s="56">
        <v>8.4907230279205272</v>
      </c>
      <c r="O113" s="56">
        <v>8.5210246995976977</v>
      </c>
      <c r="P113" s="56">
        <v>8.5513364444034252</v>
      </c>
      <c r="Q113" s="56">
        <v>8.581658262337708</v>
      </c>
      <c r="R113" s="56">
        <v>8.8854304637511277</v>
      </c>
      <c r="S113" s="56">
        <v>9.4959968051448289</v>
      </c>
      <c r="T113" s="56">
        <v>10.110592397961012</v>
      </c>
      <c r="U113" s="56">
        <v>10.729217242199681</v>
      </c>
      <c r="V113" s="56">
        <v>11.35187133786083</v>
      </c>
      <c r="W113" s="59">
        <v>11.978554684944463</v>
      </c>
      <c r="Y113" s="1001"/>
      <c r="Z113" s="25">
        <v>400</v>
      </c>
      <c r="AA113" s="557">
        <v>8.2679282045429936</v>
      </c>
      <c r="AB113" s="557">
        <v>8.3018000165966939</v>
      </c>
      <c r="AC113" s="557">
        <v>8.3356898751160422</v>
      </c>
      <c r="AD113" s="557">
        <v>8.3695977801010351</v>
      </c>
      <c r="AE113" s="557">
        <v>8.4035237315516707</v>
      </c>
      <c r="AF113" s="557">
        <v>8.4374677294679508</v>
      </c>
      <c r="AG113" s="557">
        <v>8.4714297738498736</v>
      </c>
      <c r="AH113" s="557">
        <v>8.5054098646974445</v>
      </c>
      <c r="AI113" s="557">
        <v>8.53940800201066</v>
      </c>
      <c r="AJ113" s="557">
        <v>8.5734241857895181</v>
      </c>
      <c r="AK113" s="557">
        <v>8.6074584160340226</v>
      </c>
      <c r="AL113" s="557">
        <v>8.9487932740895051</v>
      </c>
      <c r="AM113" s="557">
        <v>9.6368769298938286</v>
      </c>
      <c r="AN113" s="557">
        <v>10.332179171955964</v>
      </c>
      <c r="AO113" s="557">
        <v>11.034700000275913</v>
      </c>
      <c r="AP113" s="557">
        <v>11.744439414853675</v>
      </c>
      <c r="AQ113" s="1163">
        <v>12.461397415689248</v>
      </c>
      <c r="AS113" s="1166">
        <f t="shared" si="53"/>
        <v>-1.0965169236916594E-2</v>
      </c>
      <c r="AT113" s="557">
        <f t="shared" si="37"/>
        <v>-7.3245169604909677E-3</v>
      </c>
      <c r="AU113" s="557">
        <f t="shared" si="38"/>
        <v>-3.6758913469778776E-3</v>
      </c>
      <c r="AV113" s="557">
        <f t="shared" si="39"/>
        <v>-1.9292396373771226E-5</v>
      </c>
      <c r="AW113" s="557">
        <f t="shared" si="40"/>
        <v>3.6452798913177986E-3</v>
      </c>
      <c r="AX113" s="557">
        <f t="shared" si="41"/>
        <v>7.3178255160950556E-3</v>
      </c>
      <c r="AY113" s="557">
        <f t="shared" si="42"/>
        <v>1.0998344477959776E-2</v>
      </c>
      <c r="AZ113" s="557">
        <f t="shared" si="43"/>
        <v>1.4686836776917289E-2</v>
      </c>
      <c r="BA113" s="557">
        <f t="shared" si="44"/>
        <v>1.8383302412962266E-2</v>
      </c>
      <c r="BB113" s="557">
        <f t="shared" si="45"/>
        <v>2.2087741386092929E-2</v>
      </c>
      <c r="BC113" s="557">
        <f t="shared" si="46"/>
        <v>2.5800153696314609E-2</v>
      </c>
      <c r="BD113" s="557">
        <f t="shared" si="47"/>
        <v>6.3362810338377429E-2</v>
      </c>
      <c r="BE113" s="557">
        <f t="shared" si="48"/>
        <v>0.14088012474899969</v>
      </c>
      <c r="BF113" s="557">
        <f t="shared" si="49"/>
        <v>0.22158677399495197</v>
      </c>
      <c r="BG113" s="557">
        <f t="shared" si="50"/>
        <v>0.30548275807623249</v>
      </c>
      <c r="BH113" s="557">
        <f t="shared" si="51"/>
        <v>0.39256807699284479</v>
      </c>
      <c r="BI113" s="1163">
        <f t="shared" si="52"/>
        <v>0.48284273074478534</v>
      </c>
    </row>
    <row r="114" spans="3:61" x14ac:dyDescent="0.45">
      <c r="C114" s="1267"/>
      <c r="D114" s="5"/>
      <c r="E114" s="1261"/>
      <c r="F114" s="72">
        <v>500</v>
      </c>
      <c r="G114" s="56">
        <v>9.6896471255414873</v>
      </c>
      <c r="H114" s="56">
        <v>9.7223214624420802</v>
      </c>
      <c r="I114" s="56">
        <v>9.7550058724712265</v>
      </c>
      <c r="J114" s="56">
        <v>9.7877003556289317</v>
      </c>
      <c r="K114" s="56">
        <v>9.8204049119151939</v>
      </c>
      <c r="L114" s="56">
        <v>9.8531195413300097</v>
      </c>
      <c r="M114" s="56">
        <v>9.8858442438733842</v>
      </c>
      <c r="N114" s="56">
        <v>9.9185790195453141</v>
      </c>
      <c r="O114" s="56">
        <v>9.9513238683457992</v>
      </c>
      <c r="P114" s="56">
        <v>9.9840787902748414</v>
      </c>
      <c r="Q114" s="56">
        <v>10.016843785332439</v>
      </c>
      <c r="R114" s="56">
        <v>10.34504775797901</v>
      </c>
      <c r="S114" s="56">
        <v>11.004477641839019</v>
      </c>
      <c r="T114" s="56">
        <v>11.667936777121506</v>
      </c>
      <c r="U114" s="56">
        <v>12.335425163826478</v>
      </c>
      <c r="V114" s="56">
        <v>13.006942801953937</v>
      </c>
      <c r="W114" s="59">
        <v>13.68248969150387</v>
      </c>
      <c r="Y114" s="1001"/>
      <c r="Z114" s="25">
        <v>500</v>
      </c>
      <c r="AA114" s="557">
        <v>9.6786819563045707</v>
      </c>
      <c r="AB114" s="557">
        <v>9.7149969454815874</v>
      </c>
      <c r="AC114" s="557">
        <v>9.7513299811242486</v>
      </c>
      <c r="AD114" s="557">
        <v>9.7876810632325579</v>
      </c>
      <c r="AE114" s="557">
        <v>9.82405019180651</v>
      </c>
      <c r="AF114" s="557">
        <v>9.8604373668461029</v>
      </c>
      <c r="AG114" s="557">
        <v>9.896842588351344</v>
      </c>
      <c r="AH114" s="557">
        <v>9.9332658563222296</v>
      </c>
      <c r="AI114" s="557">
        <v>9.9697071707587579</v>
      </c>
      <c r="AJ114" s="557">
        <v>10.006166531660933</v>
      </c>
      <c r="AK114" s="557">
        <v>10.042643939028752</v>
      </c>
      <c r="AL114" s="557">
        <v>10.408410568317386</v>
      </c>
      <c r="AM114" s="557">
        <v>11.145357766588017</v>
      </c>
      <c r="AN114" s="557">
        <v>11.889523551116456</v>
      </c>
      <c r="AO114" s="557">
        <v>12.640907921902709</v>
      </c>
      <c r="AP114" s="557">
        <v>13.399510878946778</v>
      </c>
      <c r="AQ114" s="1163">
        <v>14.165332422248653</v>
      </c>
      <c r="AS114" s="1166">
        <f t="shared" si="53"/>
        <v>-1.0965169236916594E-2</v>
      </c>
      <c r="AT114" s="557">
        <f t="shared" si="37"/>
        <v>-7.324516960492744E-3</v>
      </c>
      <c r="AU114" s="557">
        <f t="shared" si="38"/>
        <v>-3.6758913469778776E-3</v>
      </c>
      <c r="AV114" s="557">
        <f t="shared" si="39"/>
        <v>-1.9292396373771226E-5</v>
      </c>
      <c r="AW114" s="557">
        <f t="shared" si="40"/>
        <v>3.6452798913160223E-3</v>
      </c>
      <c r="AX114" s="557">
        <f t="shared" si="41"/>
        <v>7.3178255160932792E-3</v>
      </c>
      <c r="AY114" s="557">
        <f t="shared" si="42"/>
        <v>1.0998344477959776E-2</v>
      </c>
      <c r="AZ114" s="557">
        <f t="shared" si="43"/>
        <v>1.4686836776915513E-2</v>
      </c>
      <c r="BA114" s="557">
        <f t="shared" si="44"/>
        <v>1.8383302412958713E-2</v>
      </c>
      <c r="BB114" s="557">
        <f t="shared" si="45"/>
        <v>2.2087741386091153E-2</v>
      </c>
      <c r="BC114" s="557">
        <f t="shared" si="46"/>
        <v>2.5800153696312833E-2</v>
      </c>
      <c r="BD114" s="557">
        <f t="shared" si="47"/>
        <v>6.3362810338375652E-2</v>
      </c>
      <c r="BE114" s="557">
        <f t="shared" si="48"/>
        <v>0.14088012474899791</v>
      </c>
      <c r="BF114" s="557">
        <f t="shared" si="49"/>
        <v>0.22158677399495019</v>
      </c>
      <c r="BG114" s="557">
        <f t="shared" si="50"/>
        <v>0.30548275807623071</v>
      </c>
      <c r="BH114" s="557">
        <f t="shared" si="51"/>
        <v>0.39256807699284124</v>
      </c>
      <c r="BI114" s="1163">
        <f t="shared" si="52"/>
        <v>0.48284273074478357</v>
      </c>
    </row>
    <row r="115" spans="3:61" x14ac:dyDescent="0.45">
      <c r="C115" s="1267"/>
      <c r="D115" s="5"/>
      <c r="E115" s="1261"/>
      <c r="F115" s="72">
        <v>600</v>
      </c>
      <c r="G115" s="56">
        <v>11.100400877303068</v>
      </c>
      <c r="H115" s="56">
        <v>11.135518391326976</v>
      </c>
      <c r="I115" s="56">
        <v>11.170645978479437</v>
      </c>
      <c r="J115" s="56">
        <v>11.205783638760458</v>
      </c>
      <c r="K115" s="56">
        <v>11.240931372170035</v>
      </c>
      <c r="L115" s="56">
        <v>11.276089178708165</v>
      </c>
      <c r="M115" s="56">
        <v>11.311257058374856</v>
      </c>
      <c r="N115" s="56">
        <v>11.346435011170101</v>
      </c>
      <c r="O115" s="56">
        <v>11.381623037093901</v>
      </c>
      <c r="P115" s="56">
        <v>11.416821136146257</v>
      </c>
      <c r="Q115" s="56">
        <v>11.452029308327171</v>
      </c>
      <c r="R115" s="56">
        <v>11.804665052206898</v>
      </c>
      <c r="S115" s="56">
        <v>12.512958478533211</v>
      </c>
      <c r="T115" s="56">
        <v>13.225281156282005</v>
      </c>
      <c r="U115" s="56">
        <v>13.941633085453283</v>
      </c>
      <c r="V115" s="56">
        <v>14.662014266047041</v>
      </c>
      <c r="W115" s="59">
        <v>15.386424698063282</v>
      </c>
      <c r="Y115" s="1001"/>
      <c r="Z115" s="25">
        <v>600</v>
      </c>
      <c r="AA115" s="557">
        <v>11.089435708066148</v>
      </c>
      <c r="AB115" s="557">
        <v>11.128193874366485</v>
      </c>
      <c r="AC115" s="557">
        <v>11.16697008713246</v>
      </c>
      <c r="AD115" s="557">
        <v>11.205764346364081</v>
      </c>
      <c r="AE115" s="557">
        <v>11.244576652061347</v>
      </c>
      <c r="AF115" s="557">
        <v>11.283407004224259</v>
      </c>
      <c r="AG115" s="557">
        <v>11.322255402852816</v>
      </c>
      <c r="AH115" s="557">
        <v>11.361121847947015</v>
      </c>
      <c r="AI115" s="557">
        <v>11.400006339506859</v>
      </c>
      <c r="AJ115" s="557">
        <v>11.438908877532349</v>
      </c>
      <c r="AK115" s="557">
        <v>11.477829462023484</v>
      </c>
      <c r="AL115" s="557">
        <v>11.86802786254527</v>
      </c>
      <c r="AM115" s="557">
        <v>12.653838603282205</v>
      </c>
      <c r="AN115" s="557">
        <v>13.446867930276952</v>
      </c>
      <c r="AO115" s="557">
        <v>14.24711584352951</v>
      </c>
      <c r="AP115" s="557">
        <v>15.054582343039883</v>
      </c>
      <c r="AQ115" s="1163">
        <v>15.869267428808065</v>
      </c>
      <c r="AS115" s="1166">
        <f t="shared" si="53"/>
        <v>-1.0965169236920147E-2</v>
      </c>
      <c r="AT115" s="557">
        <f t="shared" si="37"/>
        <v>-7.3245169604909677E-3</v>
      </c>
      <c r="AU115" s="557">
        <f t="shared" si="38"/>
        <v>-3.6758913469761012E-3</v>
      </c>
      <c r="AV115" s="557">
        <f t="shared" si="39"/>
        <v>-1.9292396377323939E-5</v>
      </c>
      <c r="AW115" s="557">
        <f t="shared" si="40"/>
        <v>3.6452798913124695E-3</v>
      </c>
      <c r="AX115" s="557">
        <f t="shared" si="41"/>
        <v>7.3178255160932792E-3</v>
      </c>
      <c r="AY115" s="557">
        <f t="shared" si="42"/>
        <v>1.0998344477959776E-2</v>
      </c>
      <c r="AZ115" s="557">
        <f t="shared" si="43"/>
        <v>1.4686836776913736E-2</v>
      </c>
      <c r="BA115" s="557">
        <f t="shared" si="44"/>
        <v>1.8383302412958713E-2</v>
      </c>
      <c r="BB115" s="557">
        <f t="shared" si="45"/>
        <v>2.2087741386091153E-2</v>
      </c>
      <c r="BC115" s="557">
        <f t="shared" si="46"/>
        <v>2.5800153696312833E-2</v>
      </c>
      <c r="BD115" s="557">
        <f t="shared" si="47"/>
        <v>6.33628103383721E-2</v>
      </c>
      <c r="BE115" s="557">
        <f t="shared" si="48"/>
        <v>0.14088012474899436</v>
      </c>
      <c r="BF115" s="557">
        <f t="shared" si="49"/>
        <v>0.22158677399494664</v>
      </c>
      <c r="BG115" s="557">
        <f t="shared" si="50"/>
        <v>0.30548275807622716</v>
      </c>
      <c r="BH115" s="557">
        <f t="shared" si="51"/>
        <v>0.39256807699284124</v>
      </c>
      <c r="BI115" s="1163">
        <f t="shared" si="52"/>
        <v>0.48284273074478357</v>
      </c>
    </row>
    <row r="116" spans="3:61" x14ac:dyDescent="0.45">
      <c r="C116" s="1267"/>
      <c r="D116" s="5"/>
      <c r="E116" s="1261"/>
      <c r="F116" s="72">
        <v>700</v>
      </c>
      <c r="G116" s="56">
        <v>12.511154629064645</v>
      </c>
      <c r="H116" s="56">
        <v>12.548715320211869</v>
      </c>
      <c r="I116" s="56">
        <v>12.586286084487647</v>
      </c>
      <c r="J116" s="56">
        <v>12.623866921891983</v>
      </c>
      <c r="K116" s="56">
        <v>12.661457832424873</v>
      </c>
      <c r="L116" s="56">
        <v>12.699058816086323</v>
      </c>
      <c r="M116" s="56">
        <v>12.736669872876327</v>
      </c>
      <c r="N116" s="56">
        <v>12.774291002794882</v>
      </c>
      <c r="O116" s="56">
        <v>12.811922205842</v>
      </c>
      <c r="P116" s="56">
        <v>12.849563482017674</v>
      </c>
      <c r="Q116" s="56">
        <v>12.887214831321904</v>
      </c>
      <c r="R116" s="56">
        <v>13.264282346434779</v>
      </c>
      <c r="S116" s="56">
        <v>14.021439315227397</v>
      </c>
      <c r="T116" s="56">
        <v>14.782625535442497</v>
      </c>
      <c r="U116" s="56">
        <v>15.547841007080077</v>
      </c>
      <c r="V116" s="56">
        <v>16.317085730140143</v>
      </c>
      <c r="W116" s="59">
        <v>17.090359704622692</v>
      </c>
      <c r="Y116" s="1001"/>
      <c r="Z116" s="25">
        <v>700</v>
      </c>
      <c r="AA116" s="557">
        <v>12.500189459827723</v>
      </c>
      <c r="AB116" s="557">
        <v>12.541390803251373</v>
      </c>
      <c r="AC116" s="557">
        <v>12.582610193140667</v>
      </c>
      <c r="AD116" s="557">
        <v>12.6238476294956</v>
      </c>
      <c r="AE116" s="557">
        <v>12.665103112316185</v>
      </c>
      <c r="AF116" s="557">
        <v>12.706376641602411</v>
      </c>
      <c r="AG116" s="557">
        <v>12.747668217354281</v>
      </c>
      <c r="AH116" s="557">
        <v>12.788977839571798</v>
      </c>
      <c r="AI116" s="557">
        <v>12.830305508254957</v>
      </c>
      <c r="AJ116" s="557">
        <v>12.871651223403761</v>
      </c>
      <c r="AK116" s="557">
        <v>12.913014985018213</v>
      </c>
      <c r="AL116" s="557">
        <v>13.327645156773151</v>
      </c>
      <c r="AM116" s="557">
        <v>14.16231943997639</v>
      </c>
      <c r="AN116" s="557">
        <v>15.00421230943744</v>
      </c>
      <c r="AO116" s="557">
        <v>15.853323765156308</v>
      </c>
      <c r="AP116" s="557">
        <v>16.70965380713298</v>
      </c>
      <c r="AQ116" s="1163">
        <v>17.573202435367474</v>
      </c>
      <c r="AS116" s="1166">
        <f t="shared" si="53"/>
        <v>-1.0965169236921923E-2</v>
      </c>
      <c r="AT116" s="557">
        <f t="shared" si="37"/>
        <v>-7.3245169604962967E-3</v>
      </c>
      <c r="AU116" s="557">
        <f t="shared" si="38"/>
        <v>-3.6758913469796539E-3</v>
      </c>
      <c r="AV116" s="557">
        <f t="shared" si="39"/>
        <v>-1.929239638265301E-5</v>
      </c>
      <c r="AW116" s="557">
        <f t="shared" si="40"/>
        <v>3.6452798913124695E-3</v>
      </c>
      <c r="AX116" s="557">
        <f t="shared" si="41"/>
        <v>7.3178255160879502E-3</v>
      </c>
      <c r="AY116" s="557">
        <f t="shared" si="42"/>
        <v>1.0998344477954447E-2</v>
      </c>
      <c r="AZ116" s="557">
        <f t="shared" si="43"/>
        <v>1.4686836776915513E-2</v>
      </c>
      <c r="BA116" s="557">
        <f t="shared" si="44"/>
        <v>1.8383302412956937E-2</v>
      </c>
      <c r="BB116" s="557">
        <f t="shared" si="45"/>
        <v>2.20877413860876E-2</v>
      </c>
      <c r="BC116" s="557">
        <f t="shared" si="46"/>
        <v>2.580015369630928E-2</v>
      </c>
      <c r="BD116" s="557">
        <f t="shared" si="47"/>
        <v>6.33628103383721E-2</v>
      </c>
      <c r="BE116" s="557">
        <f t="shared" si="48"/>
        <v>0.14088012474899259</v>
      </c>
      <c r="BF116" s="557">
        <f t="shared" si="49"/>
        <v>0.22158677399494309</v>
      </c>
      <c r="BG116" s="557">
        <f t="shared" si="50"/>
        <v>0.30548275807623071</v>
      </c>
      <c r="BH116" s="557">
        <f t="shared" si="51"/>
        <v>0.39256807699283769</v>
      </c>
      <c r="BI116" s="1163">
        <f t="shared" si="52"/>
        <v>0.48284273074478179</v>
      </c>
    </row>
    <row r="117" spans="3:61" x14ac:dyDescent="0.45">
      <c r="C117" s="1267"/>
      <c r="D117" s="5"/>
      <c r="E117" s="1261"/>
      <c r="F117" s="72">
        <v>800</v>
      </c>
      <c r="G117" s="56">
        <v>13.921908380826228</v>
      </c>
      <c r="H117" s="56">
        <v>13.961912249096766</v>
      </c>
      <c r="I117" s="56">
        <v>14.00192619049586</v>
      </c>
      <c r="J117" s="56">
        <v>14.041950205023511</v>
      </c>
      <c r="K117" s="56">
        <v>14.081984292679719</v>
      </c>
      <c r="L117" s="56">
        <v>14.12202845346448</v>
      </c>
      <c r="M117" s="56">
        <v>14.162082687377801</v>
      </c>
      <c r="N117" s="56">
        <v>14.202146994419675</v>
      </c>
      <c r="O117" s="56">
        <v>14.242221374590107</v>
      </c>
      <c r="P117" s="56">
        <v>14.282305827889093</v>
      </c>
      <c r="Q117" s="56">
        <v>14.322400354316638</v>
      </c>
      <c r="R117" s="56">
        <v>14.723899640662667</v>
      </c>
      <c r="S117" s="56">
        <v>15.529920151921591</v>
      </c>
      <c r="T117" s="56">
        <v>16.339969914602992</v>
      </c>
      <c r="U117" s="56">
        <v>17.154048928706882</v>
      </c>
      <c r="V117" s="56">
        <v>17.972157194233255</v>
      </c>
      <c r="W117" s="59">
        <v>18.794294711182104</v>
      </c>
      <c r="Y117" s="1001"/>
      <c r="Z117" s="25">
        <v>800</v>
      </c>
      <c r="AA117" s="557">
        <v>13.910943211589307</v>
      </c>
      <c r="AB117" s="557">
        <v>13.95458773213627</v>
      </c>
      <c r="AC117" s="557">
        <v>13.99825029914888</v>
      </c>
      <c r="AD117" s="557">
        <v>14.04193091262713</v>
      </c>
      <c r="AE117" s="557">
        <v>14.08562957257103</v>
      </c>
      <c r="AF117" s="557">
        <v>14.12934627898057</v>
      </c>
      <c r="AG117" s="557">
        <v>14.173081031855755</v>
      </c>
      <c r="AH117" s="557">
        <v>14.216833831196587</v>
      </c>
      <c r="AI117" s="557">
        <v>14.260604677003061</v>
      </c>
      <c r="AJ117" s="557">
        <v>14.304393569275181</v>
      </c>
      <c r="AK117" s="557">
        <v>14.348200508012946</v>
      </c>
      <c r="AL117" s="557">
        <v>14.787262451001036</v>
      </c>
      <c r="AM117" s="557">
        <v>15.670800276670581</v>
      </c>
      <c r="AN117" s="557">
        <v>16.561556688597936</v>
      </c>
      <c r="AO117" s="557">
        <v>17.459531686783109</v>
      </c>
      <c r="AP117" s="557">
        <v>18.364725271226092</v>
      </c>
      <c r="AQ117" s="1163">
        <v>19.277137441926886</v>
      </c>
      <c r="AS117" s="1166">
        <f t="shared" si="53"/>
        <v>-1.0965169236920147E-2</v>
      </c>
      <c r="AT117" s="557">
        <f t="shared" si="37"/>
        <v>-7.3245169604962967E-3</v>
      </c>
      <c r="AU117" s="557">
        <f t="shared" si="38"/>
        <v>-3.6758913469796539E-3</v>
      </c>
      <c r="AV117" s="557">
        <f t="shared" si="39"/>
        <v>-1.9292396380876653E-5</v>
      </c>
      <c r="AW117" s="557">
        <f t="shared" si="40"/>
        <v>3.6452798913106932E-3</v>
      </c>
      <c r="AX117" s="557">
        <f t="shared" si="41"/>
        <v>7.3178255160897265E-3</v>
      </c>
      <c r="AY117" s="557">
        <f t="shared" si="42"/>
        <v>1.0998344477954447E-2</v>
      </c>
      <c r="AZ117" s="557">
        <f t="shared" si="43"/>
        <v>1.468683677691196E-2</v>
      </c>
      <c r="BA117" s="557">
        <f t="shared" si="44"/>
        <v>1.8383302412953384E-2</v>
      </c>
      <c r="BB117" s="557">
        <f t="shared" si="45"/>
        <v>2.20877413860876E-2</v>
      </c>
      <c r="BC117" s="557">
        <f t="shared" si="46"/>
        <v>2.5800153696307504E-2</v>
      </c>
      <c r="BD117" s="557">
        <f t="shared" si="47"/>
        <v>6.3362810338368547E-2</v>
      </c>
      <c r="BE117" s="557">
        <f t="shared" si="48"/>
        <v>0.14088012474899081</v>
      </c>
      <c r="BF117" s="557">
        <f t="shared" si="49"/>
        <v>0.22158677399494309</v>
      </c>
      <c r="BG117" s="557">
        <f t="shared" si="50"/>
        <v>0.30548275807622716</v>
      </c>
      <c r="BH117" s="557">
        <f t="shared" si="51"/>
        <v>0.39256807699283769</v>
      </c>
      <c r="BI117" s="1163">
        <f t="shared" si="52"/>
        <v>0.48284273074478179</v>
      </c>
    </row>
    <row r="118" spans="3:61" ht="14.65" thickBot="1" x14ac:dyDescent="0.5">
      <c r="C118" s="1267"/>
      <c r="D118" s="5"/>
      <c r="E118" s="1262"/>
      <c r="F118" s="374">
        <v>900</v>
      </c>
      <c r="G118" s="57">
        <v>15.332662132587807</v>
      </c>
      <c r="H118" s="57">
        <v>15.375109177981658</v>
      </c>
      <c r="I118" s="57">
        <v>15.417566296504068</v>
      </c>
      <c r="J118" s="57">
        <v>15.460033488155034</v>
      </c>
      <c r="K118" s="57">
        <v>15.502510752934556</v>
      </c>
      <c r="L118" s="57">
        <v>15.544998090842633</v>
      </c>
      <c r="M118" s="57">
        <v>15.587495501879268</v>
      </c>
      <c r="N118" s="57">
        <v>15.63000298604446</v>
      </c>
      <c r="O118" s="57">
        <v>15.672520543338207</v>
      </c>
      <c r="P118" s="57">
        <v>15.715048173760508</v>
      </c>
      <c r="Q118" s="57">
        <v>15.757585877311367</v>
      </c>
      <c r="R118" s="57">
        <v>16.183516934890548</v>
      </c>
      <c r="S118" s="57">
        <v>17.038400988615777</v>
      </c>
      <c r="T118" s="57">
        <v>17.897314293763486</v>
      </c>
      <c r="U118" s="57">
        <v>18.760256850333679</v>
      </c>
      <c r="V118" s="57">
        <v>19.627228658326356</v>
      </c>
      <c r="W118" s="60">
        <v>20.498229717741513</v>
      </c>
      <c r="Y118" s="1001"/>
      <c r="Z118" s="25">
        <v>900</v>
      </c>
      <c r="AA118" s="557">
        <v>15.321696963350886</v>
      </c>
      <c r="AB118" s="557">
        <v>15.367784661021162</v>
      </c>
      <c r="AC118" s="557">
        <v>15.413890405157087</v>
      </c>
      <c r="AD118" s="557">
        <v>15.460014195758653</v>
      </c>
      <c r="AE118" s="557">
        <v>15.506156032825865</v>
      </c>
      <c r="AF118" s="557">
        <v>15.552315916358722</v>
      </c>
      <c r="AG118" s="557">
        <v>15.598493846357224</v>
      </c>
      <c r="AH118" s="557">
        <v>15.64468982282137</v>
      </c>
      <c r="AI118" s="557">
        <v>15.690903845751158</v>
      </c>
      <c r="AJ118" s="557">
        <v>15.737135915146595</v>
      </c>
      <c r="AK118" s="557">
        <v>15.783386031007677</v>
      </c>
      <c r="AL118" s="557">
        <v>16.24687974522892</v>
      </c>
      <c r="AM118" s="557">
        <v>17.17928111336477</v>
      </c>
      <c r="AN118" s="557">
        <v>18.118901067758433</v>
      </c>
      <c r="AO118" s="557">
        <v>19.065739608409906</v>
      </c>
      <c r="AP118" s="557">
        <v>20.019796735319197</v>
      </c>
      <c r="AQ118" s="1163">
        <v>20.981072448486294</v>
      </c>
      <c r="AS118" s="1166">
        <f t="shared" si="53"/>
        <v>-1.0965169236920147E-2</v>
      </c>
      <c r="AT118" s="557">
        <f t="shared" si="37"/>
        <v>-7.3245169604962967E-3</v>
      </c>
      <c r="AU118" s="557">
        <f t="shared" si="38"/>
        <v>-3.6758913469814303E-3</v>
      </c>
      <c r="AV118" s="557">
        <f t="shared" si="39"/>
        <v>-1.9292396380876653E-5</v>
      </c>
      <c r="AW118" s="557">
        <f t="shared" si="40"/>
        <v>3.6452798913089168E-3</v>
      </c>
      <c r="AX118" s="557">
        <f t="shared" si="41"/>
        <v>7.3178255160897265E-3</v>
      </c>
      <c r="AY118" s="557">
        <f t="shared" si="42"/>
        <v>1.0998344477956223E-2</v>
      </c>
      <c r="AZ118" s="557">
        <f t="shared" si="43"/>
        <v>1.4686836776910184E-2</v>
      </c>
      <c r="BA118" s="557">
        <f t="shared" si="44"/>
        <v>1.8383302412951608E-2</v>
      </c>
      <c r="BB118" s="557">
        <f t="shared" si="45"/>
        <v>2.20877413860876E-2</v>
      </c>
      <c r="BC118" s="557">
        <f t="shared" si="46"/>
        <v>2.580015369630928E-2</v>
      </c>
      <c r="BD118" s="557">
        <f t="shared" si="47"/>
        <v>6.33628103383721E-2</v>
      </c>
      <c r="BE118" s="557">
        <f t="shared" si="48"/>
        <v>0.14088012474899259</v>
      </c>
      <c r="BF118" s="557">
        <f t="shared" si="49"/>
        <v>0.22158677399494664</v>
      </c>
      <c r="BG118" s="557">
        <f t="shared" si="50"/>
        <v>0.30548275807622716</v>
      </c>
      <c r="BH118" s="557">
        <f t="shared" si="51"/>
        <v>0.39256807699284124</v>
      </c>
      <c r="BI118" s="1163">
        <f t="shared" si="52"/>
        <v>0.48284273074478179</v>
      </c>
    </row>
    <row r="119" spans="3:61" ht="14.65" thickBot="1" x14ac:dyDescent="0.5">
      <c r="C119" s="1267"/>
      <c r="D119" s="5"/>
      <c r="G119" s="341"/>
      <c r="H119" s="341"/>
      <c r="I119" s="341"/>
      <c r="J119" s="341"/>
      <c r="K119" s="341"/>
      <c r="L119" s="341"/>
      <c r="M119" s="341"/>
      <c r="N119" s="341"/>
      <c r="O119" s="341"/>
      <c r="P119" s="341"/>
      <c r="Q119" s="341"/>
      <c r="R119" s="341"/>
      <c r="S119" s="341"/>
      <c r="T119" s="341"/>
      <c r="U119" s="341"/>
      <c r="V119" s="341"/>
      <c r="W119" s="341"/>
      <c r="Y119" s="1001"/>
      <c r="Z119" s="25"/>
      <c r="AA119" s="557"/>
      <c r="AB119" s="557"/>
      <c r="AC119" s="557"/>
      <c r="AD119" s="557"/>
      <c r="AE119" s="557"/>
      <c r="AF119" s="557"/>
      <c r="AG119" s="557"/>
      <c r="AH119" s="557"/>
      <c r="AI119" s="557"/>
      <c r="AJ119" s="557"/>
      <c r="AK119" s="557"/>
      <c r="AL119" s="557"/>
      <c r="AM119" s="557"/>
      <c r="AN119" s="557"/>
      <c r="AO119" s="557"/>
      <c r="AP119" s="557"/>
      <c r="AQ119" s="1163"/>
      <c r="AS119" s="1001"/>
      <c r="AT119" s="25"/>
      <c r="AU119" s="25"/>
      <c r="AV119" s="25"/>
      <c r="AW119" s="25"/>
      <c r="AX119" s="25"/>
      <c r="AY119" s="25"/>
      <c r="AZ119" s="25"/>
      <c r="BA119" s="25"/>
      <c r="BB119" s="25"/>
      <c r="BC119" s="25"/>
      <c r="BD119" s="25"/>
      <c r="BE119" s="25"/>
      <c r="BF119" s="25"/>
      <c r="BG119" s="25"/>
      <c r="BH119" s="25"/>
      <c r="BI119" s="1002"/>
    </row>
    <row r="120" spans="3:61" ht="14.65" thickBot="1" x14ac:dyDescent="0.5">
      <c r="C120" s="1267"/>
      <c r="D120" s="376" t="s">
        <v>148</v>
      </c>
      <c r="E120" s="29"/>
      <c r="F120" s="29" t="s">
        <v>206</v>
      </c>
      <c r="G120" s="381">
        <v>0</v>
      </c>
      <c r="H120" s="382">
        <v>10</v>
      </c>
      <c r="I120" s="382">
        <v>20</v>
      </c>
      <c r="J120" s="382">
        <v>30</v>
      </c>
      <c r="K120" s="382">
        <v>40</v>
      </c>
      <c r="L120" s="382">
        <v>50</v>
      </c>
      <c r="M120" s="382">
        <v>60</v>
      </c>
      <c r="N120" s="382">
        <v>70</v>
      </c>
      <c r="O120" s="382">
        <v>80</v>
      </c>
      <c r="P120" s="382">
        <v>90</v>
      </c>
      <c r="Q120" s="382">
        <v>100</v>
      </c>
      <c r="R120" s="382">
        <v>200</v>
      </c>
      <c r="S120" s="382">
        <v>400</v>
      </c>
      <c r="T120" s="382">
        <v>600</v>
      </c>
      <c r="U120" s="382">
        <v>800</v>
      </c>
      <c r="V120" s="382">
        <v>1000</v>
      </c>
      <c r="W120" s="383">
        <v>1200</v>
      </c>
      <c r="Y120" s="1001"/>
      <c r="Z120" s="25" t="s">
        <v>206</v>
      </c>
      <c r="AA120" s="1164">
        <v>0</v>
      </c>
      <c r="AB120" s="1164">
        <v>10</v>
      </c>
      <c r="AC120" s="1164">
        <v>20</v>
      </c>
      <c r="AD120" s="1164">
        <v>30</v>
      </c>
      <c r="AE120" s="1164">
        <v>40</v>
      </c>
      <c r="AF120" s="1164">
        <v>50</v>
      </c>
      <c r="AG120" s="1164">
        <v>60</v>
      </c>
      <c r="AH120" s="1164">
        <v>70</v>
      </c>
      <c r="AI120" s="1164">
        <v>80</v>
      </c>
      <c r="AJ120" s="1164">
        <v>90</v>
      </c>
      <c r="AK120" s="1164">
        <v>100</v>
      </c>
      <c r="AL120" s="1164">
        <v>200</v>
      </c>
      <c r="AM120" s="1164">
        <v>400</v>
      </c>
      <c r="AN120" s="1164">
        <v>600</v>
      </c>
      <c r="AO120" s="1164">
        <v>800</v>
      </c>
      <c r="AP120" s="1164">
        <v>1000</v>
      </c>
      <c r="AQ120" s="933">
        <v>1200</v>
      </c>
      <c r="AS120" s="797">
        <v>0</v>
      </c>
      <c r="AT120" s="1164">
        <v>10</v>
      </c>
      <c r="AU120" s="1164">
        <v>20</v>
      </c>
      <c r="AV120" s="1164">
        <v>30</v>
      </c>
      <c r="AW120" s="1164">
        <v>40</v>
      </c>
      <c r="AX120" s="1164">
        <v>50</v>
      </c>
      <c r="AY120" s="1164">
        <v>60</v>
      </c>
      <c r="AZ120" s="1164">
        <v>70</v>
      </c>
      <c r="BA120" s="1164">
        <v>80</v>
      </c>
      <c r="BB120" s="1164">
        <v>90</v>
      </c>
      <c r="BC120" s="1164">
        <v>100</v>
      </c>
      <c r="BD120" s="1164">
        <v>200</v>
      </c>
      <c r="BE120" s="1164">
        <v>400</v>
      </c>
      <c r="BF120" s="1164">
        <v>600</v>
      </c>
      <c r="BG120" s="1164">
        <v>800</v>
      </c>
      <c r="BH120" s="1164">
        <v>1000</v>
      </c>
      <c r="BI120" s="933">
        <v>1200</v>
      </c>
    </row>
    <row r="121" spans="3:61" x14ac:dyDescent="0.45">
      <c r="C121" s="1267"/>
      <c r="D121" s="1135" t="s">
        <v>495</v>
      </c>
      <c r="E121" s="1260" t="s">
        <v>205</v>
      </c>
      <c r="F121" s="375">
        <v>0</v>
      </c>
      <c r="G121" s="379">
        <v>3.4507521689393648</v>
      </c>
      <c r="H121" s="379">
        <v>3.5137236880756868</v>
      </c>
      <c r="I121" s="379">
        <v>3.5767242823981151</v>
      </c>
      <c r="J121" s="379">
        <v>3.6397539519066502</v>
      </c>
      <c r="K121" s="379">
        <v>3.702812696601292</v>
      </c>
      <c r="L121" s="379">
        <v>3.7659005164820392</v>
      </c>
      <c r="M121" s="379">
        <v>3.829017411548894</v>
      </c>
      <c r="N121" s="379">
        <v>3.8921633818018559</v>
      </c>
      <c r="O121" s="379">
        <v>3.9553384272409229</v>
      </c>
      <c r="P121" s="379">
        <v>4.0185425478660974</v>
      </c>
      <c r="Q121" s="379">
        <v>4.0817757436773787</v>
      </c>
      <c r="R121" s="55">
        <v>4.7157068370260493</v>
      </c>
      <c r="S121" s="55">
        <v>5.99229157955536</v>
      </c>
      <c r="T121" s="55">
        <v>7.2805063965272936</v>
      </c>
      <c r="U121" s="55">
        <v>8.580351287941852</v>
      </c>
      <c r="V121" s="55">
        <v>9.8918262537990387</v>
      </c>
      <c r="W121" s="58">
        <v>11.21493129409885</v>
      </c>
      <c r="Y121" s="1001" t="s">
        <v>205</v>
      </c>
      <c r="Z121" s="25">
        <v>0</v>
      </c>
      <c r="AA121" s="557">
        <v>3.446016818391012</v>
      </c>
      <c r="AB121" s="557">
        <v>3.5118936152103144</v>
      </c>
      <c r="AC121" s="557">
        <v>3.5777783853667051</v>
      </c>
      <c r="AD121" s="557">
        <v>3.6436711288601837</v>
      </c>
      <c r="AE121" s="557">
        <v>3.7095718456907512</v>
      </c>
      <c r="AF121" s="557">
        <v>3.7754805358584065</v>
      </c>
      <c r="AG121" s="557">
        <v>3.8413971993631497</v>
      </c>
      <c r="AH121" s="557">
        <v>3.9073218362049831</v>
      </c>
      <c r="AI121" s="557">
        <v>3.973254446383903</v>
      </c>
      <c r="AJ121" s="557">
        <v>4.0391950298999122</v>
      </c>
      <c r="AK121" s="557">
        <v>4.1051435867530097</v>
      </c>
      <c r="AL121" s="557">
        <v>4.765067688823839</v>
      </c>
      <c r="AM121" s="557">
        <v>6.087307894091996</v>
      </c>
      <c r="AN121" s="557">
        <v>7.4127374341954813</v>
      </c>
      <c r="AO121" s="557">
        <v>8.7413563091342983</v>
      </c>
      <c r="AP121" s="557">
        <v>10.073164518908445</v>
      </c>
      <c r="AQ121" s="1163">
        <v>11.408162063517922</v>
      </c>
      <c r="AS121" s="1166">
        <f>AA121-G121</f>
        <v>-4.7353505483527236E-3</v>
      </c>
      <c r="AT121" s="557">
        <f t="shared" ref="AT121:AT139" si="54">AB121-H121</f>
        <v>-1.8300728653724008E-3</v>
      </c>
      <c r="AU121" s="557">
        <f t="shared" ref="AU121:AU139" si="55">AC121-I121</f>
        <v>1.0541029685899872E-3</v>
      </c>
      <c r="AV121" s="557">
        <f t="shared" ref="AV121:AV139" si="56">AD121-J121</f>
        <v>3.9171769535335521E-3</v>
      </c>
      <c r="AW121" s="557">
        <f t="shared" ref="AW121:AW139" si="57">AE121-K121</f>
        <v>6.7591490894591821E-3</v>
      </c>
      <c r="AX121" s="557">
        <f t="shared" ref="AX121:AX139" si="58">AF121-L121</f>
        <v>9.5800193763673214E-3</v>
      </c>
      <c r="AY121" s="557">
        <f t="shared" ref="AY121:AY139" si="59">AG121-M121</f>
        <v>1.2379787814255749E-2</v>
      </c>
      <c r="AZ121" s="557">
        <f t="shared" ref="AZ121:AZ139" si="60">AH121-N121</f>
        <v>1.5158454403127131E-2</v>
      </c>
      <c r="BA121" s="557">
        <f t="shared" ref="BA121:BA139" si="61">AI121-O121</f>
        <v>1.7916019142980133E-2</v>
      </c>
      <c r="BB121" s="557">
        <f t="shared" ref="BB121:BB139" si="62">AJ121-P121</f>
        <v>2.0652482033814756E-2</v>
      </c>
      <c r="BC121" s="557">
        <f t="shared" ref="BC121:BC139" si="63">AK121-Q121</f>
        <v>2.3367843075631001E-2</v>
      </c>
      <c r="BD121" s="557">
        <f t="shared" ref="BD121:BD139" si="64">AL121-R121</f>
        <v>4.9360851797789707E-2</v>
      </c>
      <c r="BE121" s="557">
        <f t="shared" ref="BE121:BE139" si="65">AM121-S121</f>
        <v>9.501631453663606E-2</v>
      </c>
      <c r="BF121" s="557">
        <f t="shared" ref="BF121:BF139" si="66">AN121-T121</f>
        <v>0.13223103766818767</v>
      </c>
      <c r="BG121" s="557">
        <f t="shared" ref="BG121:BG139" si="67">AO121-U121</f>
        <v>0.16100502119244631</v>
      </c>
      <c r="BH121" s="557">
        <f t="shared" ref="BH121:BH139" si="68">AP121-V121</f>
        <v>0.18133826510940665</v>
      </c>
      <c r="BI121" s="1163">
        <f t="shared" ref="BI121:BI139" si="69">AQ121-W121</f>
        <v>0.19323076941907225</v>
      </c>
    </row>
    <row r="122" spans="3:61" x14ac:dyDescent="0.45">
      <c r="C122" s="1267"/>
      <c r="D122" s="1135" t="s">
        <v>507</v>
      </c>
      <c r="E122" s="1261"/>
      <c r="F122" s="72">
        <v>10</v>
      </c>
      <c r="G122" s="56">
        <v>3.4559901526705805</v>
      </c>
      <c r="H122" s="56">
        <v>3.5189672759603523</v>
      </c>
      <c r="I122" s="56">
        <v>3.5819734744362304</v>
      </c>
      <c r="J122" s="56">
        <v>3.6450087480982152</v>
      </c>
      <c r="K122" s="56">
        <v>3.7080730969463067</v>
      </c>
      <c r="L122" s="56">
        <v>3.7711665209805045</v>
      </c>
      <c r="M122" s="56">
        <v>3.8342890202008091</v>
      </c>
      <c r="N122" s="56">
        <v>3.8974405946072208</v>
      </c>
      <c r="O122" s="56">
        <v>3.9606212441997375</v>
      </c>
      <c r="P122" s="56">
        <v>4.0238309689783627</v>
      </c>
      <c r="Q122" s="56">
        <v>4.0870697689430937</v>
      </c>
      <c r="R122" s="56">
        <v>4.7210569038262609</v>
      </c>
      <c r="S122" s="56">
        <v>5.99775372942457</v>
      </c>
      <c r="T122" s="56">
        <v>7.2860806294654985</v>
      </c>
      <c r="U122" s="56">
        <v>8.5860376039490554</v>
      </c>
      <c r="V122" s="56">
        <v>9.8976246528752387</v>
      </c>
      <c r="W122" s="59">
        <v>11.220841776244045</v>
      </c>
      <c r="Y122" s="1001"/>
      <c r="Z122" s="25">
        <v>10</v>
      </c>
      <c r="AA122" s="557">
        <v>3.4512548021222278</v>
      </c>
      <c r="AB122" s="557">
        <v>3.5171372030949799</v>
      </c>
      <c r="AC122" s="557">
        <v>3.5830275774048204</v>
      </c>
      <c r="AD122" s="557">
        <v>3.6489259250517487</v>
      </c>
      <c r="AE122" s="557">
        <v>3.7148322460357659</v>
      </c>
      <c r="AF122" s="557">
        <v>3.7807465403568714</v>
      </c>
      <c r="AG122" s="557">
        <v>3.8466688080150657</v>
      </c>
      <c r="AH122" s="557">
        <v>3.9125990490103475</v>
      </c>
      <c r="AI122" s="557">
        <v>3.9785372633427176</v>
      </c>
      <c r="AJ122" s="557">
        <v>4.0444834510121765</v>
      </c>
      <c r="AK122" s="557">
        <v>4.1104376120187229</v>
      </c>
      <c r="AL122" s="557">
        <v>4.7704177556240523</v>
      </c>
      <c r="AM122" s="557">
        <v>6.092770043961206</v>
      </c>
      <c r="AN122" s="557">
        <v>7.4183116671336871</v>
      </c>
      <c r="AO122" s="557">
        <v>8.7470426251415017</v>
      </c>
      <c r="AP122" s="557">
        <v>10.078962917984647</v>
      </c>
      <c r="AQ122" s="1163">
        <v>11.414072545663121</v>
      </c>
      <c r="AS122" s="1166">
        <f t="shared" ref="AS122:AS139" si="70">AA122-G122</f>
        <v>-4.7353505483527236E-3</v>
      </c>
      <c r="AT122" s="557">
        <f t="shared" si="54"/>
        <v>-1.8300728653724008E-3</v>
      </c>
      <c r="AU122" s="557">
        <f t="shared" si="55"/>
        <v>1.0541029685899872E-3</v>
      </c>
      <c r="AV122" s="557">
        <f t="shared" si="56"/>
        <v>3.9171769535335521E-3</v>
      </c>
      <c r="AW122" s="557">
        <f t="shared" si="57"/>
        <v>6.7591490894591821E-3</v>
      </c>
      <c r="AX122" s="557">
        <f t="shared" si="58"/>
        <v>9.5800193763668773E-3</v>
      </c>
      <c r="AY122" s="557">
        <f t="shared" si="59"/>
        <v>1.2379787814256638E-2</v>
      </c>
      <c r="AZ122" s="557">
        <f t="shared" si="60"/>
        <v>1.5158454403126687E-2</v>
      </c>
      <c r="BA122" s="557">
        <f t="shared" si="61"/>
        <v>1.7916019142980133E-2</v>
      </c>
      <c r="BB122" s="557">
        <f t="shared" si="62"/>
        <v>2.0652482033813868E-2</v>
      </c>
      <c r="BC122" s="557">
        <f t="shared" si="63"/>
        <v>2.3367843075629224E-2</v>
      </c>
      <c r="BD122" s="557">
        <f t="shared" si="64"/>
        <v>4.9360851797791483E-2</v>
      </c>
      <c r="BE122" s="557">
        <f t="shared" si="65"/>
        <v>9.501631453663606E-2</v>
      </c>
      <c r="BF122" s="557">
        <f t="shared" si="66"/>
        <v>0.13223103766818856</v>
      </c>
      <c r="BG122" s="557">
        <f t="shared" si="67"/>
        <v>0.16100502119244631</v>
      </c>
      <c r="BH122" s="557">
        <f t="shared" si="68"/>
        <v>0.18133826510940843</v>
      </c>
      <c r="BI122" s="1163">
        <f t="shared" si="69"/>
        <v>0.1932307694190758</v>
      </c>
    </row>
    <row r="123" spans="3:61" x14ac:dyDescent="0.45">
      <c r="C123" s="1267"/>
      <c r="D123" s="1135" t="s">
        <v>508</v>
      </c>
      <c r="E123" s="1261"/>
      <c r="F123" s="72">
        <v>20</v>
      </c>
      <c r="G123" s="56">
        <v>3.4614606621518687</v>
      </c>
      <c r="H123" s="380">
        <v>3.5244437922887513</v>
      </c>
      <c r="I123" s="56">
        <v>3.5874559976117406</v>
      </c>
      <c r="J123" s="56">
        <v>3.6504972781208367</v>
      </c>
      <c r="K123" s="56">
        <v>3.713567633816039</v>
      </c>
      <c r="L123" s="56">
        <v>3.7766670646973477</v>
      </c>
      <c r="M123" s="56">
        <v>3.8397955707647631</v>
      </c>
      <c r="N123" s="56">
        <v>3.9029531520182852</v>
      </c>
      <c r="O123" s="56">
        <v>3.9661398084579136</v>
      </c>
      <c r="P123" s="56">
        <v>4.0293555400836487</v>
      </c>
      <c r="Q123" s="56">
        <v>4.0926003468954901</v>
      </c>
      <c r="R123" s="56">
        <v>4.7266475502497682</v>
      </c>
      <c r="S123" s="56">
        <v>6.003464512790293</v>
      </c>
      <c r="T123" s="56">
        <v>7.2919115497734426</v>
      </c>
      <c r="U123" s="56">
        <v>8.5919886611992169</v>
      </c>
      <c r="V123" s="56">
        <v>9.9036958470676151</v>
      </c>
      <c r="W123" s="59">
        <v>11.227033107378642</v>
      </c>
      <c r="Y123" s="1001"/>
      <c r="Z123" s="25">
        <v>20</v>
      </c>
      <c r="AA123" s="557">
        <v>3.4567253116035159</v>
      </c>
      <c r="AB123" s="557">
        <v>3.5226137194233793</v>
      </c>
      <c r="AC123" s="557">
        <v>3.5885101005803302</v>
      </c>
      <c r="AD123" s="557">
        <v>3.6544144550743702</v>
      </c>
      <c r="AE123" s="557">
        <v>3.7203267829054982</v>
      </c>
      <c r="AF123" s="557">
        <v>3.7862470840737146</v>
      </c>
      <c r="AG123" s="557">
        <v>3.8521753585790188</v>
      </c>
      <c r="AH123" s="557">
        <v>3.9181116064214123</v>
      </c>
      <c r="AI123" s="557">
        <v>3.9840558276008933</v>
      </c>
      <c r="AJ123" s="557">
        <v>4.0500080221174635</v>
      </c>
      <c r="AK123" s="557">
        <v>4.1159681899711211</v>
      </c>
      <c r="AL123" s="557">
        <v>4.7760084020475579</v>
      </c>
      <c r="AM123" s="557">
        <v>6.09848082732693</v>
      </c>
      <c r="AN123" s="557">
        <v>7.4241425874416302</v>
      </c>
      <c r="AO123" s="557">
        <v>8.7529936823916632</v>
      </c>
      <c r="AP123" s="557">
        <v>10.085034112177024</v>
      </c>
      <c r="AQ123" s="1163">
        <v>11.420263876797716</v>
      </c>
      <c r="AS123" s="1166">
        <f t="shared" si="70"/>
        <v>-4.7353505483527236E-3</v>
      </c>
      <c r="AT123" s="557">
        <f t="shared" si="54"/>
        <v>-1.8300728653719567E-3</v>
      </c>
      <c r="AU123" s="557">
        <f t="shared" si="55"/>
        <v>1.0541029685895431E-3</v>
      </c>
      <c r="AV123" s="557">
        <f t="shared" si="56"/>
        <v>3.9171769535335521E-3</v>
      </c>
      <c r="AW123" s="557">
        <f t="shared" si="57"/>
        <v>6.7591490894591821E-3</v>
      </c>
      <c r="AX123" s="557">
        <f t="shared" si="58"/>
        <v>9.5800193763668773E-3</v>
      </c>
      <c r="AY123" s="557">
        <f t="shared" si="59"/>
        <v>1.2379787814255749E-2</v>
      </c>
      <c r="AZ123" s="557">
        <f t="shared" si="60"/>
        <v>1.5158454403127131E-2</v>
      </c>
      <c r="BA123" s="557">
        <f t="shared" si="61"/>
        <v>1.7916019142979689E-2</v>
      </c>
      <c r="BB123" s="557">
        <f t="shared" si="62"/>
        <v>2.0652482033814756E-2</v>
      </c>
      <c r="BC123" s="557">
        <f t="shared" si="63"/>
        <v>2.3367843075631001E-2</v>
      </c>
      <c r="BD123" s="557">
        <f t="shared" si="64"/>
        <v>4.9360851797789707E-2</v>
      </c>
      <c r="BE123" s="557">
        <f t="shared" si="65"/>
        <v>9.5016314536636948E-2</v>
      </c>
      <c r="BF123" s="557">
        <f t="shared" si="66"/>
        <v>0.13223103766818767</v>
      </c>
      <c r="BG123" s="557">
        <f t="shared" si="67"/>
        <v>0.16100502119244631</v>
      </c>
      <c r="BH123" s="557">
        <f t="shared" si="68"/>
        <v>0.18133826510940843</v>
      </c>
      <c r="BI123" s="1163">
        <f t="shared" si="69"/>
        <v>0.19323076941907402</v>
      </c>
    </row>
    <row r="124" spans="3:61" x14ac:dyDescent="0.45">
      <c r="C124" s="1267"/>
      <c r="D124" s="1135" t="s">
        <v>509</v>
      </c>
      <c r="E124" s="1261"/>
      <c r="F124" s="72">
        <v>30</v>
      </c>
      <c r="G124" s="56">
        <v>3.5190575494131786</v>
      </c>
      <c r="H124" s="56">
        <v>3.5821369601062116</v>
      </c>
      <c r="I124" s="56">
        <v>3.6452454459853523</v>
      </c>
      <c r="J124" s="56">
        <v>3.7083830070505983</v>
      </c>
      <c r="K124" s="56">
        <v>3.7715496433019515</v>
      </c>
      <c r="L124" s="56">
        <v>3.8347453547394115</v>
      </c>
      <c r="M124" s="56">
        <v>3.8979701413629773</v>
      </c>
      <c r="N124" s="56">
        <v>3.9612240031726502</v>
      </c>
      <c r="O124" s="56">
        <v>4.024506940168429</v>
      </c>
      <c r="P124" s="56">
        <v>4.0878189523503154</v>
      </c>
      <c r="Q124" s="56">
        <v>4.1511600397183077</v>
      </c>
      <c r="R124" s="56">
        <v>4.7861700486340926</v>
      </c>
      <c r="S124" s="56">
        <v>6.0649126222976344</v>
      </c>
      <c r="T124" s="56">
        <v>7.3552852704037974</v>
      </c>
      <c r="U124" s="56">
        <v>8.6572879929525897</v>
      </c>
      <c r="V124" s="56">
        <v>9.9709207899440031</v>
      </c>
      <c r="W124" s="59">
        <v>11.296183661378047</v>
      </c>
      <c r="Y124" s="1001"/>
      <c r="Z124" s="25">
        <v>30</v>
      </c>
      <c r="AA124" s="557">
        <v>3.5143221988648254</v>
      </c>
      <c r="AB124" s="557">
        <v>3.5803068872408397</v>
      </c>
      <c r="AC124" s="557">
        <v>3.6462995489539414</v>
      </c>
      <c r="AD124" s="557">
        <v>3.7123001840041323</v>
      </c>
      <c r="AE124" s="557">
        <v>3.7783087923914103</v>
      </c>
      <c r="AF124" s="557">
        <v>3.8443253741157779</v>
      </c>
      <c r="AG124" s="557">
        <v>3.910349929177233</v>
      </c>
      <c r="AH124" s="557">
        <v>3.9763824575757774</v>
      </c>
      <c r="AI124" s="557">
        <v>4.0424229593114092</v>
      </c>
      <c r="AJ124" s="557">
        <v>4.1084714343841293</v>
      </c>
      <c r="AK124" s="557">
        <v>4.1745278827939387</v>
      </c>
      <c r="AL124" s="557">
        <v>4.835530900431884</v>
      </c>
      <c r="AM124" s="557">
        <v>6.1599289368342713</v>
      </c>
      <c r="AN124" s="557">
        <v>7.487516308071986</v>
      </c>
      <c r="AO124" s="557">
        <v>8.8182930141450342</v>
      </c>
      <c r="AP124" s="557">
        <v>10.152259055053412</v>
      </c>
      <c r="AQ124" s="1163">
        <v>11.489414430797119</v>
      </c>
      <c r="AS124" s="1166">
        <f t="shared" si="70"/>
        <v>-4.7353505483531677E-3</v>
      </c>
      <c r="AT124" s="557">
        <f t="shared" si="54"/>
        <v>-1.8300728653719567E-3</v>
      </c>
      <c r="AU124" s="557">
        <f t="shared" si="55"/>
        <v>1.054102968589099E-3</v>
      </c>
      <c r="AV124" s="557">
        <f t="shared" si="56"/>
        <v>3.9171769535339962E-3</v>
      </c>
      <c r="AW124" s="557">
        <f t="shared" si="57"/>
        <v>6.759149089458738E-3</v>
      </c>
      <c r="AX124" s="557">
        <f t="shared" si="58"/>
        <v>9.5800193763664332E-3</v>
      </c>
      <c r="AY124" s="557">
        <f t="shared" si="59"/>
        <v>1.2379787814255749E-2</v>
      </c>
      <c r="AZ124" s="557">
        <f t="shared" si="60"/>
        <v>1.5158454403127131E-2</v>
      </c>
      <c r="BA124" s="557">
        <f t="shared" si="61"/>
        <v>1.7916019142980133E-2</v>
      </c>
      <c r="BB124" s="557">
        <f t="shared" si="62"/>
        <v>2.0652482033813868E-2</v>
      </c>
      <c r="BC124" s="557">
        <f t="shared" si="63"/>
        <v>2.3367843075631001E-2</v>
      </c>
      <c r="BD124" s="557">
        <f t="shared" si="64"/>
        <v>4.9360851797791483E-2</v>
      </c>
      <c r="BE124" s="557">
        <f t="shared" si="65"/>
        <v>9.5016314536636948E-2</v>
      </c>
      <c r="BF124" s="557">
        <f t="shared" si="66"/>
        <v>0.13223103766818856</v>
      </c>
      <c r="BG124" s="557">
        <f t="shared" si="67"/>
        <v>0.16100502119244453</v>
      </c>
      <c r="BH124" s="557">
        <f t="shared" si="68"/>
        <v>0.18133826510940843</v>
      </c>
      <c r="BI124" s="1163">
        <f t="shared" si="69"/>
        <v>0.19323076941907225</v>
      </c>
    </row>
    <row r="125" spans="3:61" x14ac:dyDescent="0.45">
      <c r="C125" s="1267"/>
      <c r="D125" s="1135" t="s">
        <v>510</v>
      </c>
      <c r="E125" s="1261"/>
      <c r="F125" s="72">
        <v>40</v>
      </c>
      <c r="G125" s="56">
        <v>3.5809585569494775</v>
      </c>
      <c r="H125" s="56">
        <v>3.644141702177202</v>
      </c>
      <c r="I125" s="56">
        <v>3.7073539225910332</v>
      </c>
      <c r="J125" s="56">
        <v>3.7705952181909712</v>
      </c>
      <c r="K125" s="56">
        <v>3.8338655889770159</v>
      </c>
      <c r="L125" s="56">
        <v>3.8971650349491669</v>
      </c>
      <c r="M125" s="56">
        <v>3.9604935561074246</v>
      </c>
      <c r="N125" s="56">
        <v>4.0238511524517886</v>
      </c>
      <c r="O125" s="56">
        <v>4.0872378239822593</v>
      </c>
      <c r="P125" s="56">
        <v>4.1506535706988368</v>
      </c>
      <c r="Q125" s="56">
        <v>4.2140983926015219</v>
      </c>
      <c r="R125" s="56">
        <v>4.8501457468642206</v>
      </c>
      <c r="S125" s="56">
        <v>6.130963011221592</v>
      </c>
      <c r="T125" s="56">
        <v>7.4234103500215856</v>
      </c>
      <c r="U125" s="56">
        <v>8.7274877632642056</v>
      </c>
      <c r="V125" s="56">
        <v>10.043195250949449</v>
      </c>
      <c r="W125" s="59">
        <v>11.37053281307732</v>
      </c>
      <c r="Y125" s="1001"/>
      <c r="Z125" s="25">
        <v>40</v>
      </c>
      <c r="AA125" s="557">
        <v>3.5762232064011243</v>
      </c>
      <c r="AB125" s="557">
        <v>3.6423116293118296</v>
      </c>
      <c r="AC125" s="557">
        <v>3.7084080255596232</v>
      </c>
      <c r="AD125" s="557">
        <v>3.7745123951445048</v>
      </c>
      <c r="AE125" s="557">
        <v>3.8406247380664755</v>
      </c>
      <c r="AF125" s="557">
        <v>3.9067450543255338</v>
      </c>
      <c r="AG125" s="557">
        <v>3.9728733439216803</v>
      </c>
      <c r="AH125" s="557">
        <v>4.0390096068549166</v>
      </c>
      <c r="AI125" s="557">
        <v>4.1051538431252395</v>
      </c>
      <c r="AJ125" s="557">
        <v>4.1713060527326515</v>
      </c>
      <c r="AK125" s="557">
        <v>4.237466235677152</v>
      </c>
      <c r="AL125" s="557">
        <v>4.8995065986620112</v>
      </c>
      <c r="AM125" s="557">
        <v>6.2259793257582281</v>
      </c>
      <c r="AN125" s="557">
        <v>7.5556413876897741</v>
      </c>
      <c r="AO125" s="557">
        <v>8.8884927844566519</v>
      </c>
      <c r="AP125" s="557">
        <v>10.224533516058859</v>
      </c>
      <c r="AQ125" s="1163">
        <v>11.563763582496398</v>
      </c>
      <c r="AS125" s="1166">
        <f t="shared" si="70"/>
        <v>-4.7353505483531677E-3</v>
      </c>
      <c r="AT125" s="557">
        <f t="shared" si="54"/>
        <v>-1.8300728653724008E-3</v>
      </c>
      <c r="AU125" s="557">
        <f t="shared" si="55"/>
        <v>1.0541029685899872E-3</v>
      </c>
      <c r="AV125" s="557">
        <f t="shared" si="56"/>
        <v>3.9171769535335521E-3</v>
      </c>
      <c r="AW125" s="557">
        <f t="shared" si="57"/>
        <v>6.7591490894596262E-3</v>
      </c>
      <c r="AX125" s="557">
        <f t="shared" si="58"/>
        <v>9.5800193763668773E-3</v>
      </c>
      <c r="AY125" s="557">
        <f t="shared" si="59"/>
        <v>1.2379787814255749E-2</v>
      </c>
      <c r="AZ125" s="557">
        <f t="shared" si="60"/>
        <v>1.5158454403128019E-2</v>
      </c>
      <c r="BA125" s="557">
        <f t="shared" si="61"/>
        <v>1.7916019142980133E-2</v>
      </c>
      <c r="BB125" s="557">
        <f t="shared" si="62"/>
        <v>2.0652482033814756E-2</v>
      </c>
      <c r="BC125" s="557">
        <f t="shared" si="63"/>
        <v>2.3367843075630113E-2</v>
      </c>
      <c r="BD125" s="557">
        <f t="shared" si="64"/>
        <v>4.9360851797790595E-2</v>
      </c>
      <c r="BE125" s="557">
        <f t="shared" si="65"/>
        <v>9.501631453663606E-2</v>
      </c>
      <c r="BF125" s="557">
        <f t="shared" si="66"/>
        <v>0.13223103766818856</v>
      </c>
      <c r="BG125" s="557">
        <f t="shared" si="67"/>
        <v>0.16100502119244631</v>
      </c>
      <c r="BH125" s="557">
        <f t="shared" si="68"/>
        <v>0.1813382651094102</v>
      </c>
      <c r="BI125" s="1163">
        <f t="shared" si="69"/>
        <v>0.19323076941907757</v>
      </c>
    </row>
    <row r="126" spans="3:61" x14ac:dyDescent="0.45">
      <c r="C126" s="1267"/>
      <c r="D126" s="1135" t="s">
        <v>511</v>
      </c>
      <c r="E126" s="1261"/>
      <c r="F126" s="72">
        <v>50</v>
      </c>
      <c r="G126" s="56">
        <v>3.6476836455993538</v>
      </c>
      <c r="H126" s="56">
        <v>3.7109788798209395</v>
      </c>
      <c r="I126" s="56">
        <v>3.7743031892286325</v>
      </c>
      <c r="J126" s="56">
        <v>3.8376565738224322</v>
      </c>
      <c r="K126" s="56">
        <v>3.9010390336023377</v>
      </c>
      <c r="L126" s="56">
        <v>3.96445056856835</v>
      </c>
      <c r="M126" s="56">
        <v>4.0278911787204681</v>
      </c>
      <c r="N126" s="56">
        <v>4.0913608640586947</v>
      </c>
      <c r="O126" s="56">
        <v>4.1548596245830263</v>
      </c>
      <c r="P126" s="56">
        <v>4.2183874602934655</v>
      </c>
      <c r="Q126" s="56">
        <v>4.2819443711900105</v>
      </c>
      <c r="R126" s="56">
        <v>4.9191126153913238</v>
      </c>
      <c r="S126" s="56">
        <v>6.2021716596259191</v>
      </c>
      <c r="T126" s="56">
        <v>7.4968607783031382</v>
      </c>
      <c r="U126" s="56">
        <v>8.803179971422983</v>
      </c>
      <c r="V126" s="56">
        <v>10.121129238985453</v>
      </c>
      <c r="W126" s="59">
        <v>11.45070858099055</v>
      </c>
      <c r="Y126" s="1001"/>
      <c r="Z126" s="25">
        <v>50</v>
      </c>
      <c r="AA126" s="557">
        <v>3.642948295051001</v>
      </c>
      <c r="AB126" s="557">
        <v>3.7091488069555671</v>
      </c>
      <c r="AC126" s="557">
        <v>3.775357292197222</v>
      </c>
      <c r="AD126" s="557">
        <v>3.8415737507759653</v>
      </c>
      <c r="AE126" s="557">
        <v>3.9077981826917974</v>
      </c>
      <c r="AF126" s="557">
        <v>3.974030587944716</v>
      </c>
      <c r="AG126" s="557">
        <v>4.0402709665347256</v>
      </c>
      <c r="AH126" s="557">
        <v>4.1065193184618209</v>
      </c>
      <c r="AI126" s="557">
        <v>4.1727756437260064</v>
      </c>
      <c r="AJ126" s="557">
        <v>4.2390399423272793</v>
      </c>
      <c r="AK126" s="557">
        <v>4.3053122142656406</v>
      </c>
      <c r="AL126" s="557">
        <v>4.9684734671891135</v>
      </c>
      <c r="AM126" s="557">
        <v>6.297187974162556</v>
      </c>
      <c r="AN126" s="557">
        <v>7.6290918159713277</v>
      </c>
      <c r="AO126" s="557">
        <v>8.9641849926154293</v>
      </c>
      <c r="AP126" s="557">
        <v>10.302467504094862</v>
      </c>
      <c r="AQ126" s="1163">
        <v>11.643939350409626</v>
      </c>
      <c r="AS126" s="1166">
        <f t="shared" si="70"/>
        <v>-4.7353505483527236E-3</v>
      </c>
      <c r="AT126" s="557">
        <f t="shared" si="54"/>
        <v>-1.8300728653724008E-3</v>
      </c>
      <c r="AU126" s="557">
        <f t="shared" si="55"/>
        <v>1.0541029685895431E-3</v>
      </c>
      <c r="AV126" s="557">
        <f t="shared" si="56"/>
        <v>3.917176953533108E-3</v>
      </c>
      <c r="AW126" s="557">
        <f t="shared" si="57"/>
        <v>6.7591490894596262E-3</v>
      </c>
      <c r="AX126" s="557">
        <f t="shared" si="58"/>
        <v>9.5800193763659891E-3</v>
      </c>
      <c r="AY126" s="557">
        <f t="shared" si="59"/>
        <v>1.2379787814257526E-2</v>
      </c>
      <c r="AZ126" s="557">
        <f t="shared" si="60"/>
        <v>1.5158454403126242E-2</v>
      </c>
      <c r="BA126" s="557">
        <f t="shared" si="61"/>
        <v>1.7916019142980133E-2</v>
      </c>
      <c r="BB126" s="557">
        <f t="shared" si="62"/>
        <v>2.0652482033813868E-2</v>
      </c>
      <c r="BC126" s="557">
        <f t="shared" si="63"/>
        <v>2.3367843075630113E-2</v>
      </c>
      <c r="BD126" s="557">
        <f t="shared" si="64"/>
        <v>4.9360851797789707E-2</v>
      </c>
      <c r="BE126" s="557">
        <f t="shared" si="65"/>
        <v>9.5016314536636948E-2</v>
      </c>
      <c r="BF126" s="557">
        <f t="shared" si="66"/>
        <v>0.13223103766818944</v>
      </c>
      <c r="BG126" s="557">
        <f t="shared" si="67"/>
        <v>0.16100502119244631</v>
      </c>
      <c r="BH126" s="557">
        <f t="shared" si="68"/>
        <v>0.18133826510940843</v>
      </c>
      <c r="BI126" s="1163">
        <f t="shared" si="69"/>
        <v>0.1932307694190758</v>
      </c>
    </row>
    <row r="127" spans="3:61" x14ac:dyDescent="0.45">
      <c r="C127" s="1267"/>
      <c r="D127" s="1137" t="s">
        <v>512</v>
      </c>
      <c r="E127" s="1261"/>
      <c r="F127" s="72">
        <v>60</v>
      </c>
      <c r="G127" s="56">
        <v>3.7198400423561262</v>
      </c>
      <c r="H127" s="56">
        <v>3.7832567716409886</v>
      </c>
      <c r="I127" s="56">
        <v>3.8467025761119578</v>
      </c>
      <c r="J127" s="56">
        <v>3.9101774557690332</v>
      </c>
      <c r="K127" s="56">
        <v>3.9736814106122154</v>
      </c>
      <c r="L127" s="56">
        <v>4.0372144406415034</v>
      </c>
      <c r="M127" s="56">
        <v>4.1007765458568981</v>
      </c>
      <c r="N127" s="56">
        <v>4.1643677262584005</v>
      </c>
      <c r="O127" s="56">
        <v>4.2279879818460087</v>
      </c>
      <c r="P127" s="56">
        <v>4.2916373126197236</v>
      </c>
      <c r="Q127" s="56">
        <v>4.3553157185795452</v>
      </c>
      <c r="R127" s="56">
        <v>4.9936989134136196</v>
      </c>
      <c r="S127" s="56">
        <v>6.2791878589137395</v>
      </c>
      <c r="T127" s="56">
        <v>7.5763068788564834</v>
      </c>
      <c r="U127" s="56">
        <v>8.885055973241851</v>
      </c>
      <c r="V127" s="56">
        <v>10.205435142069845</v>
      </c>
      <c r="W127" s="59">
        <v>11.537444385340468</v>
      </c>
      <c r="Y127" s="1001"/>
      <c r="Z127" s="25">
        <v>60</v>
      </c>
      <c r="AA127" s="557">
        <v>3.715104691807773</v>
      </c>
      <c r="AB127" s="557">
        <v>3.7814266987756162</v>
      </c>
      <c r="AC127" s="557">
        <v>3.8477566790805469</v>
      </c>
      <c r="AD127" s="557">
        <v>3.9140946327225663</v>
      </c>
      <c r="AE127" s="557">
        <v>3.9804405597016741</v>
      </c>
      <c r="AF127" s="557">
        <v>4.0467944600178694</v>
      </c>
      <c r="AG127" s="557">
        <v>4.1131563336711539</v>
      </c>
      <c r="AH127" s="557">
        <v>4.1795261806615276</v>
      </c>
      <c r="AI127" s="557">
        <v>4.2459040009889879</v>
      </c>
      <c r="AJ127" s="557">
        <v>4.3122897946535375</v>
      </c>
      <c r="AK127" s="557">
        <v>4.3786835616551754</v>
      </c>
      <c r="AL127" s="557">
        <v>5.0430597652114102</v>
      </c>
      <c r="AM127" s="557">
        <v>6.3742041734503765</v>
      </c>
      <c r="AN127" s="557">
        <v>7.708537916524671</v>
      </c>
      <c r="AO127" s="557">
        <v>9.0460609944342973</v>
      </c>
      <c r="AP127" s="557">
        <v>10.386773407179254</v>
      </c>
      <c r="AQ127" s="1163">
        <v>11.730675154759542</v>
      </c>
      <c r="AS127" s="1166">
        <f t="shared" si="70"/>
        <v>-4.7353505483531677E-3</v>
      </c>
      <c r="AT127" s="557">
        <f t="shared" si="54"/>
        <v>-1.8300728653724008E-3</v>
      </c>
      <c r="AU127" s="557">
        <f t="shared" si="55"/>
        <v>1.054102968589099E-3</v>
      </c>
      <c r="AV127" s="557">
        <f t="shared" si="56"/>
        <v>3.917176953533108E-3</v>
      </c>
      <c r="AW127" s="557">
        <f t="shared" si="57"/>
        <v>6.759149089458738E-3</v>
      </c>
      <c r="AX127" s="557">
        <f t="shared" si="58"/>
        <v>9.5800193763659891E-3</v>
      </c>
      <c r="AY127" s="557">
        <f t="shared" si="59"/>
        <v>1.2379787814255749E-2</v>
      </c>
      <c r="AZ127" s="557">
        <f t="shared" si="60"/>
        <v>1.5158454403127131E-2</v>
      </c>
      <c r="BA127" s="557">
        <f t="shared" si="61"/>
        <v>1.7916019142979245E-2</v>
      </c>
      <c r="BB127" s="557">
        <f t="shared" si="62"/>
        <v>2.0652482033813868E-2</v>
      </c>
      <c r="BC127" s="557">
        <f t="shared" si="63"/>
        <v>2.3367843075630113E-2</v>
      </c>
      <c r="BD127" s="557">
        <f t="shared" si="64"/>
        <v>4.9360851797790595E-2</v>
      </c>
      <c r="BE127" s="557">
        <f t="shared" si="65"/>
        <v>9.5016314536636948E-2</v>
      </c>
      <c r="BF127" s="557">
        <f t="shared" si="66"/>
        <v>0.13223103766818767</v>
      </c>
      <c r="BG127" s="557">
        <f t="shared" si="67"/>
        <v>0.16100502119244631</v>
      </c>
      <c r="BH127" s="557">
        <f t="shared" si="68"/>
        <v>0.18133826510940843</v>
      </c>
      <c r="BI127" s="1163">
        <f t="shared" si="69"/>
        <v>0.19323076941907402</v>
      </c>
    </row>
    <row r="128" spans="3:61" x14ac:dyDescent="0.45">
      <c r="C128" s="1267"/>
      <c r="D128" s="1137"/>
      <c r="E128" s="1261"/>
      <c r="F128" s="72">
        <v>70</v>
      </c>
      <c r="G128" s="56">
        <v>3.7981413497447871</v>
      </c>
      <c r="H128" s="56">
        <v>3.8616902159962789</v>
      </c>
      <c r="I128" s="56">
        <v>3.925268157433877</v>
      </c>
      <c r="J128" s="56">
        <v>3.988875174057581</v>
      </c>
      <c r="K128" s="56">
        <v>4.0525112658673921</v>
      </c>
      <c r="L128" s="56">
        <v>4.116176432863309</v>
      </c>
      <c r="M128" s="56">
        <v>4.1798706750453336</v>
      </c>
      <c r="N128" s="56">
        <v>4.243593992413464</v>
      </c>
      <c r="O128" s="56">
        <v>4.3073463849677012</v>
      </c>
      <c r="P128" s="56">
        <v>4.371127852708045</v>
      </c>
      <c r="Q128" s="56">
        <v>4.4349383956344948</v>
      </c>
      <c r="R128" s="56">
        <v>5.0746429601348586</v>
      </c>
      <c r="S128" s="56">
        <v>6.3627746449675548</v>
      </c>
      <c r="T128" s="56">
        <v>7.6625364042428759</v>
      </c>
      <c r="U128" s="56">
        <v>8.9739282379608198</v>
      </c>
      <c r="V128" s="56">
        <v>10.296950146121391</v>
      </c>
      <c r="W128" s="59">
        <v>11.631602128724591</v>
      </c>
      <c r="Y128" s="1001"/>
      <c r="Z128" s="25">
        <v>70</v>
      </c>
      <c r="AA128" s="557">
        <v>3.7934059991964348</v>
      </c>
      <c r="AB128" s="557">
        <v>3.8598601431309061</v>
      </c>
      <c r="AC128" s="557">
        <v>3.9263222604024666</v>
      </c>
      <c r="AD128" s="557">
        <v>3.9927923510111145</v>
      </c>
      <c r="AE128" s="557">
        <v>4.0592704149568517</v>
      </c>
      <c r="AF128" s="557">
        <v>4.1257564522396768</v>
      </c>
      <c r="AG128" s="557">
        <v>4.1922504628595894</v>
      </c>
      <c r="AH128" s="557">
        <v>4.2587524468165912</v>
      </c>
      <c r="AI128" s="557">
        <v>4.3252624041106813</v>
      </c>
      <c r="AJ128" s="557">
        <v>4.3917803347418589</v>
      </c>
      <c r="AK128" s="557">
        <v>4.4583062387101249</v>
      </c>
      <c r="AL128" s="557">
        <v>5.1240038119326483</v>
      </c>
      <c r="AM128" s="557">
        <v>6.4577909595041927</v>
      </c>
      <c r="AN128" s="557">
        <v>7.7947674419110653</v>
      </c>
      <c r="AO128" s="557">
        <v>9.1349332591532661</v>
      </c>
      <c r="AP128" s="557">
        <v>10.478288411230801</v>
      </c>
      <c r="AQ128" s="1163">
        <v>11.824832898143665</v>
      </c>
      <c r="AS128" s="1166">
        <f t="shared" si="70"/>
        <v>-4.7353505483522795E-3</v>
      </c>
      <c r="AT128" s="557">
        <f t="shared" si="54"/>
        <v>-1.8300728653728449E-3</v>
      </c>
      <c r="AU128" s="557">
        <f t="shared" si="55"/>
        <v>1.0541029685895431E-3</v>
      </c>
      <c r="AV128" s="557">
        <f t="shared" si="56"/>
        <v>3.9171769535335521E-3</v>
      </c>
      <c r="AW128" s="557">
        <f t="shared" si="57"/>
        <v>6.7591490894596262E-3</v>
      </c>
      <c r="AX128" s="557">
        <f t="shared" si="58"/>
        <v>9.5800193763677655E-3</v>
      </c>
      <c r="AY128" s="557">
        <f t="shared" si="59"/>
        <v>1.2379787814255749E-2</v>
      </c>
      <c r="AZ128" s="557">
        <f t="shared" si="60"/>
        <v>1.5158454403127131E-2</v>
      </c>
      <c r="BA128" s="557">
        <f t="shared" si="61"/>
        <v>1.7916019142980133E-2</v>
      </c>
      <c r="BB128" s="557">
        <f t="shared" si="62"/>
        <v>2.0652482033813868E-2</v>
      </c>
      <c r="BC128" s="557">
        <f t="shared" si="63"/>
        <v>2.3367843075630113E-2</v>
      </c>
      <c r="BD128" s="557">
        <f t="shared" si="64"/>
        <v>4.9360851797789707E-2</v>
      </c>
      <c r="BE128" s="557">
        <f t="shared" si="65"/>
        <v>9.5016314536637836E-2</v>
      </c>
      <c r="BF128" s="557">
        <f t="shared" si="66"/>
        <v>0.13223103766818944</v>
      </c>
      <c r="BG128" s="557">
        <f t="shared" si="67"/>
        <v>0.16100502119244631</v>
      </c>
      <c r="BH128" s="557">
        <f t="shared" si="68"/>
        <v>0.1813382651094102</v>
      </c>
      <c r="BI128" s="1163">
        <f t="shared" si="69"/>
        <v>0.19323076941907402</v>
      </c>
    </row>
    <row r="129" spans="3:61" x14ac:dyDescent="0.45">
      <c r="C129" s="1267"/>
      <c r="D129" s="1135" t="s">
        <v>496</v>
      </c>
      <c r="E129" s="1261"/>
      <c r="F129" s="72">
        <v>80</v>
      </c>
      <c r="G129" s="56">
        <v>3.883431906630789</v>
      </c>
      <c r="H129" s="56">
        <v>3.9471250139985239</v>
      </c>
      <c r="I129" s="56">
        <v>4.0108471965523655</v>
      </c>
      <c r="J129" s="56">
        <v>4.0745984542923139</v>
      </c>
      <c r="K129" s="56">
        <v>4.1383787872183682</v>
      </c>
      <c r="L129" s="56">
        <v>4.2021881953305291</v>
      </c>
      <c r="M129" s="56">
        <v>4.2660266786287968</v>
      </c>
      <c r="N129" s="56">
        <v>4.3298942371131721</v>
      </c>
      <c r="O129" s="56">
        <v>4.3937908707836524</v>
      </c>
      <c r="P129" s="56">
        <v>4.4577165796402403</v>
      </c>
      <c r="Q129" s="56">
        <v>4.521671363682934</v>
      </c>
      <c r="R129" s="56">
        <v>5.1628183393457343</v>
      </c>
      <c r="S129" s="56">
        <v>6.4538348465033053</v>
      </c>
      <c r="T129" s="56">
        <v>7.7564814281035002</v>
      </c>
      <c r="U129" s="56">
        <v>9.0707580841463198</v>
      </c>
      <c r="V129" s="56">
        <v>10.396664814631764</v>
      </c>
      <c r="W129" s="59">
        <v>11.734201619559837</v>
      </c>
      <c r="Y129" s="1001"/>
      <c r="Z129" s="25">
        <v>80</v>
      </c>
      <c r="AA129" s="557">
        <v>3.8786965560824358</v>
      </c>
      <c r="AB129" s="557">
        <v>3.9452949411331515</v>
      </c>
      <c r="AC129" s="557">
        <v>4.0119012995209546</v>
      </c>
      <c r="AD129" s="557">
        <v>4.078515631245847</v>
      </c>
      <c r="AE129" s="557">
        <v>4.1451379363078278</v>
      </c>
      <c r="AF129" s="557">
        <v>4.211768214706896</v>
      </c>
      <c r="AG129" s="557">
        <v>4.2784064664430534</v>
      </c>
      <c r="AH129" s="557">
        <v>4.3450526915162984</v>
      </c>
      <c r="AI129" s="557">
        <v>4.4117068899266325</v>
      </c>
      <c r="AJ129" s="557">
        <v>4.4783690616740541</v>
      </c>
      <c r="AK129" s="557">
        <v>4.5450392067585641</v>
      </c>
      <c r="AL129" s="557">
        <v>5.2121791911435231</v>
      </c>
      <c r="AM129" s="557">
        <v>6.5488511610399431</v>
      </c>
      <c r="AN129" s="557">
        <v>7.8887124657716887</v>
      </c>
      <c r="AO129" s="557">
        <v>9.2317631053387661</v>
      </c>
      <c r="AP129" s="557">
        <v>10.578003079741173</v>
      </c>
      <c r="AQ129" s="1163">
        <v>11.927432388978913</v>
      </c>
      <c r="AS129" s="1166">
        <f t="shared" si="70"/>
        <v>-4.7353505483531677E-3</v>
      </c>
      <c r="AT129" s="557">
        <f t="shared" si="54"/>
        <v>-1.8300728653724008E-3</v>
      </c>
      <c r="AU129" s="557">
        <f t="shared" si="55"/>
        <v>1.054102968589099E-3</v>
      </c>
      <c r="AV129" s="557">
        <f t="shared" si="56"/>
        <v>3.917176953533108E-3</v>
      </c>
      <c r="AW129" s="557">
        <f t="shared" si="57"/>
        <v>6.7591490894596262E-3</v>
      </c>
      <c r="AX129" s="557">
        <f t="shared" si="58"/>
        <v>9.5800193763668773E-3</v>
      </c>
      <c r="AY129" s="557">
        <f t="shared" si="59"/>
        <v>1.2379787814256638E-2</v>
      </c>
      <c r="AZ129" s="557">
        <f t="shared" si="60"/>
        <v>1.5158454403126242E-2</v>
      </c>
      <c r="BA129" s="557">
        <f t="shared" si="61"/>
        <v>1.7916019142980133E-2</v>
      </c>
      <c r="BB129" s="557">
        <f t="shared" si="62"/>
        <v>2.0652482033813868E-2</v>
      </c>
      <c r="BC129" s="557">
        <f t="shared" si="63"/>
        <v>2.3367843075630113E-2</v>
      </c>
      <c r="BD129" s="557">
        <f t="shared" si="64"/>
        <v>4.9360851797788818E-2</v>
      </c>
      <c r="BE129" s="557">
        <f t="shared" si="65"/>
        <v>9.5016314536637836E-2</v>
      </c>
      <c r="BF129" s="557">
        <f t="shared" si="66"/>
        <v>0.13223103766818856</v>
      </c>
      <c r="BG129" s="557">
        <f t="shared" si="67"/>
        <v>0.16100502119244631</v>
      </c>
      <c r="BH129" s="557">
        <f t="shared" si="68"/>
        <v>0.18133826510940843</v>
      </c>
      <c r="BI129" s="1163">
        <f t="shared" si="69"/>
        <v>0.1932307694190758</v>
      </c>
    </row>
    <row r="130" spans="3:61" x14ac:dyDescent="0.45">
      <c r="C130" s="1267"/>
      <c r="D130" s="1135" t="s">
        <v>517</v>
      </c>
      <c r="E130" s="1261"/>
      <c r="F130" s="72">
        <v>90</v>
      </c>
      <c r="G130" s="56">
        <v>3.9767181649417473</v>
      </c>
      <c r="H130" s="56">
        <v>4.040569360572885</v>
      </c>
      <c r="I130" s="56">
        <v>4.1044496313901293</v>
      </c>
      <c r="J130" s="56">
        <v>4.1683589773934813</v>
      </c>
      <c r="K130" s="56">
        <v>4.2322973985829391</v>
      </c>
      <c r="L130" s="56">
        <v>4.2962648949585027</v>
      </c>
      <c r="M130" s="56">
        <v>4.360261466520174</v>
      </c>
      <c r="N130" s="56">
        <v>4.4242871132679511</v>
      </c>
      <c r="O130" s="56">
        <v>4.4883418352018349</v>
      </c>
      <c r="P130" s="56">
        <v>4.5524256323218264</v>
      </c>
      <c r="Q130" s="56">
        <v>4.6165385046279237</v>
      </c>
      <c r="R130" s="56">
        <v>5.2592663629247545</v>
      </c>
      <c r="S130" s="56">
        <v>6.5534446353503881</v>
      </c>
      <c r="T130" s="56">
        <v>7.8592529822186448</v>
      </c>
      <c r="U130" s="56">
        <v>9.1766914035295279</v>
      </c>
      <c r="V130" s="56">
        <v>10.505759899283035</v>
      </c>
      <c r="W130" s="59">
        <v>11.846458469479167</v>
      </c>
      <c r="Y130" s="1001"/>
      <c r="Z130" s="25">
        <v>90</v>
      </c>
      <c r="AA130" s="557">
        <v>3.9719828143933946</v>
      </c>
      <c r="AB130" s="557">
        <v>4.0387392877075126</v>
      </c>
      <c r="AC130" s="557">
        <v>4.1055037343587202</v>
      </c>
      <c r="AD130" s="557">
        <v>4.1722761543470144</v>
      </c>
      <c r="AE130" s="557">
        <v>4.2390565476723978</v>
      </c>
      <c r="AF130" s="557">
        <v>4.3058449143348696</v>
      </c>
      <c r="AG130" s="557">
        <v>4.3726412543344306</v>
      </c>
      <c r="AH130" s="557">
        <v>4.4394455676710782</v>
      </c>
      <c r="AI130" s="557">
        <v>4.5062578543448151</v>
      </c>
      <c r="AJ130" s="557">
        <v>4.5730781143556403</v>
      </c>
      <c r="AK130" s="557">
        <v>4.6399063477035529</v>
      </c>
      <c r="AL130" s="557">
        <v>5.3086272147225442</v>
      </c>
      <c r="AM130" s="557">
        <v>6.6484609498870251</v>
      </c>
      <c r="AN130" s="557">
        <v>7.9914840198868324</v>
      </c>
      <c r="AO130" s="557">
        <v>9.3376964247219725</v>
      </c>
      <c r="AP130" s="557">
        <v>10.687098164392442</v>
      </c>
      <c r="AQ130" s="1163">
        <v>12.039689238898243</v>
      </c>
      <c r="AS130" s="1166">
        <f t="shared" si="70"/>
        <v>-4.7353505483527236E-3</v>
      </c>
      <c r="AT130" s="557">
        <f t="shared" si="54"/>
        <v>-1.8300728653724008E-3</v>
      </c>
      <c r="AU130" s="557">
        <f t="shared" si="55"/>
        <v>1.0541029685908754E-3</v>
      </c>
      <c r="AV130" s="557">
        <f t="shared" si="56"/>
        <v>3.917176953533108E-3</v>
      </c>
      <c r="AW130" s="557">
        <f t="shared" si="57"/>
        <v>6.759149089458738E-3</v>
      </c>
      <c r="AX130" s="557">
        <f t="shared" si="58"/>
        <v>9.5800193763668773E-3</v>
      </c>
      <c r="AY130" s="557">
        <f t="shared" si="59"/>
        <v>1.2379787814256638E-2</v>
      </c>
      <c r="AZ130" s="557">
        <f t="shared" si="60"/>
        <v>1.5158454403127131E-2</v>
      </c>
      <c r="BA130" s="557">
        <f t="shared" si="61"/>
        <v>1.7916019142980133E-2</v>
      </c>
      <c r="BB130" s="557">
        <f t="shared" si="62"/>
        <v>2.0652482033813868E-2</v>
      </c>
      <c r="BC130" s="557">
        <f t="shared" si="63"/>
        <v>2.3367843075629224E-2</v>
      </c>
      <c r="BD130" s="557">
        <f t="shared" si="64"/>
        <v>4.9360851797789707E-2</v>
      </c>
      <c r="BE130" s="557">
        <f t="shared" si="65"/>
        <v>9.5016314536636948E-2</v>
      </c>
      <c r="BF130" s="557">
        <f t="shared" si="66"/>
        <v>0.13223103766818767</v>
      </c>
      <c r="BG130" s="557">
        <f t="shared" si="67"/>
        <v>0.16100502119244453</v>
      </c>
      <c r="BH130" s="557">
        <f t="shared" si="68"/>
        <v>0.18133826510940665</v>
      </c>
      <c r="BI130" s="1163">
        <f t="shared" si="69"/>
        <v>0.1932307694190758</v>
      </c>
    </row>
    <row r="131" spans="3:61" ht="15" customHeight="1" x14ac:dyDescent="0.45">
      <c r="C131" s="1267"/>
      <c r="D131" s="1138" t="s">
        <v>513</v>
      </c>
      <c r="E131" s="1261"/>
      <c r="F131" s="72">
        <v>100</v>
      </c>
      <c r="G131" s="56">
        <v>4.0792095585066468</v>
      </c>
      <c r="H131" s="56">
        <v>4.1432347840748092</v>
      </c>
      <c r="I131" s="56">
        <v>4.2072890848290765</v>
      </c>
      <c r="J131" s="56">
        <v>4.2713724607694514</v>
      </c>
      <c r="K131" s="56">
        <v>4.3354849118959331</v>
      </c>
      <c r="L131" s="56">
        <v>4.3996264382085206</v>
      </c>
      <c r="M131" s="56">
        <v>4.4637970397072149</v>
      </c>
      <c r="N131" s="56">
        <v>4.5279967163920167</v>
      </c>
      <c r="O131" s="56">
        <v>4.5922254682629235</v>
      </c>
      <c r="P131" s="56">
        <v>4.6564832953199371</v>
      </c>
      <c r="Q131" s="56">
        <v>4.7207701975630583</v>
      </c>
      <c r="R131" s="56">
        <v>5.3652383552301259</v>
      </c>
      <c r="S131" s="56">
        <v>6.6628972263962307</v>
      </c>
      <c r="T131" s="56">
        <v>7.9721861720049594</v>
      </c>
      <c r="U131" s="56">
        <v>9.2931051920563128</v>
      </c>
      <c r="V131" s="56">
        <v>10.625654286550292</v>
      </c>
      <c r="W131" s="59">
        <v>11.969833455486897</v>
      </c>
      <c r="Y131" s="1001"/>
      <c r="Z131" s="25">
        <v>100</v>
      </c>
      <c r="AA131" s="557">
        <v>4.0744742079582945</v>
      </c>
      <c r="AB131" s="557">
        <v>4.1414047112094359</v>
      </c>
      <c r="AC131" s="557">
        <v>4.2083431877976674</v>
      </c>
      <c r="AD131" s="557">
        <v>4.2752896377229845</v>
      </c>
      <c r="AE131" s="557">
        <v>4.3422440609853918</v>
      </c>
      <c r="AF131" s="557">
        <v>4.4092064575848884</v>
      </c>
      <c r="AG131" s="557">
        <v>4.4761768275214706</v>
      </c>
      <c r="AH131" s="557">
        <v>4.543155170795143</v>
      </c>
      <c r="AI131" s="557">
        <v>4.6101414874059028</v>
      </c>
      <c r="AJ131" s="557">
        <v>4.6771357773537519</v>
      </c>
      <c r="AK131" s="557">
        <v>4.7441380406386884</v>
      </c>
      <c r="AL131" s="557">
        <v>5.4145992070279156</v>
      </c>
      <c r="AM131" s="557">
        <v>6.7579135409328677</v>
      </c>
      <c r="AN131" s="557">
        <v>8.1044172096731479</v>
      </c>
      <c r="AO131" s="557">
        <v>9.4541102132487609</v>
      </c>
      <c r="AP131" s="557">
        <v>10.806992551659702</v>
      </c>
      <c r="AQ131" s="1163">
        <v>12.163064224905973</v>
      </c>
      <c r="AS131" s="1166">
        <f t="shared" si="70"/>
        <v>-4.7353505483522795E-3</v>
      </c>
      <c r="AT131" s="557">
        <f t="shared" si="54"/>
        <v>-1.8300728653732889E-3</v>
      </c>
      <c r="AU131" s="557">
        <f t="shared" si="55"/>
        <v>1.0541029685908754E-3</v>
      </c>
      <c r="AV131" s="557">
        <f t="shared" si="56"/>
        <v>3.917176953533108E-3</v>
      </c>
      <c r="AW131" s="557">
        <f t="shared" si="57"/>
        <v>6.759149089458738E-3</v>
      </c>
      <c r="AX131" s="557">
        <f t="shared" si="58"/>
        <v>9.5800193763677655E-3</v>
      </c>
      <c r="AY131" s="557">
        <f t="shared" si="59"/>
        <v>1.2379787814255749E-2</v>
      </c>
      <c r="AZ131" s="557">
        <f t="shared" si="60"/>
        <v>1.5158454403126242E-2</v>
      </c>
      <c r="BA131" s="557">
        <f t="shared" si="61"/>
        <v>1.7916019142979245E-2</v>
      </c>
      <c r="BB131" s="557">
        <f t="shared" si="62"/>
        <v>2.0652482033814756E-2</v>
      </c>
      <c r="BC131" s="557">
        <f t="shared" si="63"/>
        <v>2.3367843075630113E-2</v>
      </c>
      <c r="BD131" s="557">
        <f t="shared" si="64"/>
        <v>4.9360851797789707E-2</v>
      </c>
      <c r="BE131" s="557">
        <f t="shared" si="65"/>
        <v>9.5016314536636948E-2</v>
      </c>
      <c r="BF131" s="557">
        <f t="shared" si="66"/>
        <v>0.13223103766818856</v>
      </c>
      <c r="BG131" s="557">
        <f t="shared" si="67"/>
        <v>0.16100502119244808</v>
      </c>
      <c r="BH131" s="557">
        <f t="shared" si="68"/>
        <v>0.1813382651094102</v>
      </c>
      <c r="BI131" s="1163">
        <f t="shared" si="69"/>
        <v>0.1932307694190758</v>
      </c>
    </row>
    <row r="132" spans="3:61" x14ac:dyDescent="0.45">
      <c r="C132" s="1267"/>
      <c r="D132" s="1138" t="s">
        <v>514</v>
      </c>
      <c r="E132" s="1261"/>
      <c r="F132" s="72">
        <v>200</v>
      </c>
      <c r="G132" s="56">
        <v>6.2044542799108005</v>
      </c>
      <c r="H132" s="56">
        <v>6.2721253840478912</v>
      </c>
      <c r="I132" s="56">
        <v>6.3398255633710896</v>
      </c>
      <c r="J132" s="56">
        <v>6.4075548178803947</v>
      </c>
      <c r="K132" s="56">
        <v>6.4753131475758057</v>
      </c>
      <c r="L132" s="56">
        <v>6.5431005524573242</v>
      </c>
      <c r="M132" s="56">
        <v>6.6109170325249478</v>
      </c>
      <c r="N132" s="56">
        <v>6.6787625877786798</v>
      </c>
      <c r="O132" s="56">
        <v>6.7466372182185168</v>
      </c>
      <c r="P132" s="56">
        <v>6.8145409238444614</v>
      </c>
      <c r="Q132" s="56">
        <v>6.8824737046565119</v>
      </c>
      <c r="R132" s="56">
        <v>7.5634006480128786</v>
      </c>
      <c r="S132" s="56">
        <v>8.933977090557585</v>
      </c>
      <c r="T132" s="56">
        <v>10.316183607544913</v>
      </c>
      <c r="U132" s="56">
        <v>11.710020198974865</v>
      </c>
      <c r="V132" s="56">
        <v>13.115486864847448</v>
      </c>
      <c r="W132" s="59">
        <v>14.532583605162651</v>
      </c>
      <c r="Y132" s="1001"/>
      <c r="Z132" s="25">
        <v>200</v>
      </c>
      <c r="AA132" s="557">
        <v>6.1997189293624455</v>
      </c>
      <c r="AB132" s="557">
        <v>6.2702953111825188</v>
      </c>
      <c r="AC132" s="557">
        <v>6.3408796663396796</v>
      </c>
      <c r="AD132" s="557">
        <v>6.4114719948339278</v>
      </c>
      <c r="AE132" s="557">
        <v>6.4820722966652653</v>
      </c>
      <c r="AF132" s="557">
        <v>6.5526805718336902</v>
      </c>
      <c r="AG132" s="557">
        <v>6.6232968203392035</v>
      </c>
      <c r="AH132" s="557">
        <v>6.6939210421818052</v>
      </c>
      <c r="AI132" s="557">
        <v>6.7645532373614952</v>
      </c>
      <c r="AJ132" s="557">
        <v>6.8351934058782744</v>
      </c>
      <c r="AK132" s="557">
        <v>6.905841547732142</v>
      </c>
      <c r="AL132" s="557">
        <v>7.6127614998106683</v>
      </c>
      <c r="AM132" s="557">
        <v>9.0289934050942211</v>
      </c>
      <c r="AN132" s="557">
        <v>10.4484146452131</v>
      </c>
      <c r="AO132" s="557">
        <v>11.871025220167313</v>
      </c>
      <c r="AP132" s="557">
        <v>13.296825129956856</v>
      </c>
      <c r="AQ132" s="1163">
        <v>14.725814374581727</v>
      </c>
      <c r="AS132" s="1166">
        <f t="shared" si="70"/>
        <v>-4.7353505483549441E-3</v>
      </c>
      <c r="AT132" s="557">
        <f t="shared" si="54"/>
        <v>-1.8300728653724008E-3</v>
      </c>
      <c r="AU132" s="557">
        <f t="shared" si="55"/>
        <v>1.0541029685899872E-3</v>
      </c>
      <c r="AV132" s="557">
        <f t="shared" si="56"/>
        <v>3.917176953533108E-3</v>
      </c>
      <c r="AW132" s="557">
        <f t="shared" si="57"/>
        <v>6.7591490894596262E-3</v>
      </c>
      <c r="AX132" s="557">
        <f t="shared" si="58"/>
        <v>9.5800193763659891E-3</v>
      </c>
      <c r="AY132" s="557">
        <f t="shared" si="59"/>
        <v>1.2379787814255749E-2</v>
      </c>
      <c r="AZ132" s="557">
        <f t="shared" si="60"/>
        <v>1.5158454403125354E-2</v>
      </c>
      <c r="BA132" s="557">
        <f t="shared" si="61"/>
        <v>1.7916019142978357E-2</v>
      </c>
      <c r="BB132" s="557">
        <f t="shared" si="62"/>
        <v>2.065248203381298E-2</v>
      </c>
      <c r="BC132" s="557">
        <f t="shared" si="63"/>
        <v>2.3367843075630113E-2</v>
      </c>
      <c r="BD132" s="557">
        <f t="shared" si="64"/>
        <v>4.9360851797789707E-2</v>
      </c>
      <c r="BE132" s="557">
        <f t="shared" si="65"/>
        <v>9.501631453663606E-2</v>
      </c>
      <c r="BF132" s="557">
        <f t="shared" si="66"/>
        <v>0.13223103766818767</v>
      </c>
      <c r="BG132" s="557">
        <f t="shared" si="67"/>
        <v>0.16100502119244808</v>
      </c>
      <c r="BH132" s="557">
        <f t="shared" si="68"/>
        <v>0.18133826510940843</v>
      </c>
      <c r="BI132" s="1163">
        <f t="shared" si="69"/>
        <v>0.1932307694190758</v>
      </c>
    </row>
    <row r="133" spans="3:61" x14ac:dyDescent="0.45">
      <c r="C133" s="1267"/>
      <c r="D133" s="1138" t="s">
        <v>515</v>
      </c>
      <c r="E133" s="1261"/>
      <c r="F133" s="72">
        <v>300</v>
      </c>
      <c r="G133" s="56">
        <v>7.6279574287670222</v>
      </c>
      <c r="H133" s="56">
        <v>7.6980591186167331</v>
      </c>
      <c r="I133" s="56">
        <v>7.7681898836525516</v>
      </c>
      <c r="J133" s="56">
        <v>7.8383497238744768</v>
      </c>
      <c r="K133" s="56">
        <v>7.9085386392825079</v>
      </c>
      <c r="L133" s="56">
        <v>7.9787566298766457</v>
      </c>
      <c r="M133" s="56">
        <v>8.0490036956568893</v>
      </c>
      <c r="N133" s="56">
        <v>8.1192798366232406</v>
      </c>
      <c r="O133" s="56">
        <v>8.1895850527756977</v>
      </c>
      <c r="P133" s="56">
        <v>8.2599193441142642</v>
      </c>
      <c r="Q133" s="56">
        <v>8.330282710638933</v>
      </c>
      <c r="R133" s="56">
        <v>9.0355155111215009</v>
      </c>
      <c r="S133" s="56">
        <v>10.454703667918608</v>
      </c>
      <c r="T133" s="56">
        <v>11.885521899158336</v>
      </c>
      <c r="U133" s="56">
        <v>13.327970204840687</v>
      </c>
      <c r="V133" s="56">
        <v>14.782048584965668</v>
      </c>
      <c r="W133" s="59">
        <v>16.247757039533273</v>
      </c>
      <c r="Y133" s="1001"/>
      <c r="Z133" s="25">
        <v>300</v>
      </c>
      <c r="AA133" s="557">
        <v>7.623222078218669</v>
      </c>
      <c r="AB133" s="557">
        <v>7.6962290457513589</v>
      </c>
      <c r="AC133" s="557">
        <v>7.7692439866211398</v>
      </c>
      <c r="AD133" s="557">
        <v>7.8422669008280081</v>
      </c>
      <c r="AE133" s="557">
        <v>7.9152977883719657</v>
      </c>
      <c r="AF133" s="557">
        <v>7.9883366492530126</v>
      </c>
      <c r="AG133" s="557">
        <v>8.0613834834711451</v>
      </c>
      <c r="AH133" s="557">
        <v>8.1344382910263668</v>
      </c>
      <c r="AI133" s="557">
        <v>8.2075010719186778</v>
      </c>
      <c r="AJ133" s="557">
        <v>8.2805718261480763</v>
      </c>
      <c r="AK133" s="557">
        <v>8.3536505537145622</v>
      </c>
      <c r="AL133" s="557">
        <v>9.0848763629192906</v>
      </c>
      <c r="AM133" s="557">
        <v>10.549719982455242</v>
      </c>
      <c r="AN133" s="557">
        <v>12.017752936826522</v>
      </c>
      <c r="AO133" s="557">
        <v>13.488975226033133</v>
      </c>
      <c r="AP133" s="557">
        <v>14.963386850075077</v>
      </c>
      <c r="AQ133" s="1163">
        <v>16.44098780895235</v>
      </c>
      <c r="AS133" s="1166">
        <f t="shared" si="70"/>
        <v>-4.7353505483531677E-3</v>
      </c>
      <c r="AT133" s="557">
        <f t="shared" si="54"/>
        <v>-1.8300728653741771E-3</v>
      </c>
      <c r="AU133" s="557">
        <f t="shared" si="55"/>
        <v>1.0541029685882108E-3</v>
      </c>
      <c r="AV133" s="557">
        <f t="shared" si="56"/>
        <v>3.9171769535313317E-3</v>
      </c>
      <c r="AW133" s="557">
        <f t="shared" si="57"/>
        <v>6.7591490894578499E-3</v>
      </c>
      <c r="AX133" s="557">
        <f t="shared" si="58"/>
        <v>9.5800193763668773E-3</v>
      </c>
      <c r="AY133" s="557">
        <f t="shared" si="59"/>
        <v>1.2379787814255749E-2</v>
      </c>
      <c r="AZ133" s="557">
        <f t="shared" si="60"/>
        <v>1.5158454403126242E-2</v>
      </c>
      <c r="BA133" s="557">
        <f t="shared" si="61"/>
        <v>1.7916019142980133E-2</v>
      </c>
      <c r="BB133" s="557">
        <f t="shared" si="62"/>
        <v>2.0652482033812092E-2</v>
      </c>
      <c r="BC133" s="557">
        <f t="shared" si="63"/>
        <v>2.3367843075629224E-2</v>
      </c>
      <c r="BD133" s="557">
        <f t="shared" si="64"/>
        <v>4.9360851797789707E-2</v>
      </c>
      <c r="BE133" s="557">
        <f t="shared" si="65"/>
        <v>9.5016314536634283E-2</v>
      </c>
      <c r="BF133" s="557">
        <f t="shared" si="66"/>
        <v>0.13223103766818589</v>
      </c>
      <c r="BG133" s="557">
        <f t="shared" si="67"/>
        <v>0.16100502119244631</v>
      </c>
      <c r="BH133" s="557">
        <f t="shared" si="68"/>
        <v>0.18133826510940843</v>
      </c>
      <c r="BI133" s="1163">
        <f t="shared" si="69"/>
        <v>0.19323076941907757</v>
      </c>
    </row>
    <row r="134" spans="3:61" x14ac:dyDescent="0.45">
      <c r="C134" s="1267"/>
      <c r="D134" s="1138" t="s">
        <v>516</v>
      </c>
      <c r="E134" s="1261"/>
      <c r="F134" s="72">
        <v>400</v>
      </c>
      <c r="G134" s="56">
        <v>9.051460577623244</v>
      </c>
      <c r="H134" s="56">
        <v>9.123992853185575</v>
      </c>
      <c r="I134" s="56">
        <v>9.1965542039340136</v>
      </c>
      <c r="J134" s="56">
        <v>9.269144629868558</v>
      </c>
      <c r="K134" s="56">
        <v>9.3417641309892101</v>
      </c>
      <c r="L134" s="56">
        <v>9.414412707295968</v>
      </c>
      <c r="M134" s="56">
        <v>9.4870903587888318</v>
      </c>
      <c r="N134" s="56">
        <v>9.5597970854678032</v>
      </c>
      <c r="O134" s="56">
        <v>9.6325328873328804</v>
      </c>
      <c r="P134" s="56">
        <v>9.7052977643840634</v>
      </c>
      <c r="Q134" s="56">
        <v>9.7780917166213559</v>
      </c>
      <c r="R134" s="56">
        <v>10.507630374230121</v>
      </c>
      <c r="S134" s="56">
        <v>11.975430245279629</v>
      </c>
      <c r="T134" s="56">
        <v>13.454860190771756</v>
      </c>
      <c r="U134" s="56">
        <v>14.945920210706511</v>
      </c>
      <c r="V134" s="56">
        <v>16.448610305083889</v>
      </c>
      <c r="W134" s="59">
        <v>17.962930473903896</v>
      </c>
      <c r="Y134" s="1001"/>
      <c r="Z134" s="25">
        <v>400</v>
      </c>
      <c r="AA134" s="557">
        <v>9.0467252270748908</v>
      </c>
      <c r="AB134" s="557">
        <v>9.1221627803202026</v>
      </c>
      <c r="AC134" s="557">
        <v>9.1976083069026018</v>
      </c>
      <c r="AD134" s="557">
        <v>9.273061806822092</v>
      </c>
      <c r="AE134" s="557">
        <v>9.348523280078668</v>
      </c>
      <c r="AF134" s="557">
        <v>9.4239927266723349</v>
      </c>
      <c r="AG134" s="557">
        <v>9.4994701466030875</v>
      </c>
      <c r="AH134" s="557">
        <v>9.5749555398709276</v>
      </c>
      <c r="AI134" s="557">
        <v>9.6504489064758605</v>
      </c>
      <c r="AJ134" s="557">
        <v>9.7259502464178773</v>
      </c>
      <c r="AK134" s="557">
        <v>9.8014595596969851</v>
      </c>
      <c r="AL134" s="557">
        <v>10.556991226027913</v>
      </c>
      <c r="AM134" s="557">
        <v>12.070446559816265</v>
      </c>
      <c r="AN134" s="557">
        <v>13.587091228439945</v>
      </c>
      <c r="AO134" s="557">
        <v>15.106925231898956</v>
      </c>
      <c r="AP134" s="557">
        <v>16.629948570193299</v>
      </c>
      <c r="AQ134" s="1163">
        <v>18.15616124332297</v>
      </c>
      <c r="AS134" s="1166">
        <f t="shared" si="70"/>
        <v>-4.7353505483531677E-3</v>
      </c>
      <c r="AT134" s="557">
        <f t="shared" si="54"/>
        <v>-1.8300728653724008E-3</v>
      </c>
      <c r="AU134" s="557">
        <f t="shared" si="55"/>
        <v>1.0541029685882108E-3</v>
      </c>
      <c r="AV134" s="557">
        <f t="shared" si="56"/>
        <v>3.9171769535339962E-3</v>
      </c>
      <c r="AW134" s="557">
        <f t="shared" si="57"/>
        <v>6.7591490894578499E-3</v>
      </c>
      <c r="AX134" s="557">
        <f t="shared" si="58"/>
        <v>9.5800193763668773E-3</v>
      </c>
      <c r="AY134" s="557">
        <f t="shared" si="59"/>
        <v>1.2379787814255749E-2</v>
      </c>
      <c r="AZ134" s="557">
        <f t="shared" si="60"/>
        <v>1.5158454403124466E-2</v>
      </c>
      <c r="BA134" s="557">
        <f t="shared" si="61"/>
        <v>1.7916019142980133E-2</v>
      </c>
      <c r="BB134" s="557">
        <f t="shared" si="62"/>
        <v>2.0652482033813868E-2</v>
      </c>
      <c r="BC134" s="557">
        <f t="shared" si="63"/>
        <v>2.3367843075629224E-2</v>
      </c>
      <c r="BD134" s="557">
        <f t="shared" si="64"/>
        <v>4.9360851797791483E-2</v>
      </c>
      <c r="BE134" s="557">
        <f t="shared" si="65"/>
        <v>9.501631453663606E-2</v>
      </c>
      <c r="BF134" s="557">
        <f t="shared" si="66"/>
        <v>0.13223103766818944</v>
      </c>
      <c r="BG134" s="557">
        <f t="shared" si="67"/>
        <v>0.16100502119244453</v>
      </c>
      <c r="BH134" s="557">
        <f t="shared" si="68"/>
        <v>0.1813382651094102</v>
      </c>
      <c r="BI134" s="1163">
        <f t="shared" si="69"/>
        <v>0.19323076941907402</v>
      </c>
    </row>
    <row r="135" spans="3:61" x14ac:dyDescent="0.45">
      <c r="C135" s="1267"/>
      <c r="D135" s="1137" t="s">
        <v>550</v>
      </c>
      <c r="E135" s="1261"/>
      <c r="F135" s="72">
        <v>500</v>
      </c>
      <c r="G135" s="56">
        <v>10.474963726479466</v>
      </c>
      <c r="H135" s="56">
        <v>10.549926587754417</v>
      </c>
      <c r="I135" s="56">
        <v>10.624918524215474</v>
      </c>
      <c r="J135" s="56">
        <v>10.69993953586264</v>
      </c>
      <c r="K135" s="56">
        <v>10.774989622695912</v>
      </c>
      <c r="L135" s="56">
        <v>10.850068784715289</v>
      </c>
      <c r="M135" s="56">
        <v>10.925177021920774</v>
      </c>
      <c r="N135" s="56">
        <v>11.000314334312364</v>
      </c>
      <c r="O135" s="56">
        <v>11.075480721890061</v>
      </c>
      <c r="P135" s="56">
        <v>11.150676184653866</v>
      </c>
      <c r="Q135" s="56">
        <v>11.225900722603775</v>
      </c>
      <c r="R135" s="56">
        <v>11.979745237338744</v>
      </c>
      <c r="S135" s="56">
        <v>13.49615682264065</v>
      </c>
      <c r="T135" s="56">
        <v>15.024198482385177</v>
      </c>
      <c r="U135" s="56">
        <v>16.563870216572333</v>
      </c>
      <c r="V135" s="56">
        <v>18.11517202520211</v>
      </c>
      <c r="W135" s="59">
        <v>19.678103908274515</v>
      </c>
      <c r="Y135" s="1001"/>
      <c r="Z135" s="25">
        <v>500</v>
      </c>
      <c r="AA135" s="557">
        <v>10.470228375931111</v>
      </c>
      <c r="AB135" s="557">
        <v>10.548096514889043</v>
      </c>
      <c r="AC135" s="557">
        <v>10.625972627184062</v>
      </c>
      <c r="AD135" s="557">
        <v>10.703856712816171</v>
      </c>
      <c r="AE135" s="557">
        <v>10.781748771785368</v>
      </c>
      <c r="AF135" s="557">
        <v>10.859648804091655</v>
      </c>
      <c r="AG135" s="557">
        <v>10.937556809735028</v>
      </c>
      <c r="AH135" s="557">
        <v>11.01547278871549</v>
      </c>
      <c r="AI135" s="557">
        <v>11.09339674103304</v>
      </c>
      <c r="AJ135" s="557">
        <v>11.171328666687678</v>
      </c>
      <c r="AK135" s="557">
        <v>11.249268565679406</v>
      </c>
      <c r="AL135" s="557">
        <v>12.029106089136533</v>
      </c>
      <c r="AM135" s="557">
        <v>13.591173137177286</v>
      </c>
      <c r="AN135" s="557">
        <v>15.156429520053365</v>
      </c>
      <c r="AO135" s="557">
        <v>16.724875237764778</v>
      </c>
      <c r="AP135" s="557">
        <v>18.296510290311517</v>
      </c>
      <c r="AQ135" s="1163">
        <v>19.871334677693589</v>
      </c>
      <c r="AS135" s="1166">
        <f t="shared" si="70"/>
        <v>-4.7353505483549441E-3</v>
      </c>
      <c r="AT135" s="557">
        <f t="shared" si="54"/>
        <v>-1.8300728653741771E-3</v>
      </c>
      <c r="AU135" s="557">
        <f t="shared" si="55"/>
        <v>1.0541029685882108E-3</v>
      </c>
      <c r="AV135" s="557">
        <f t="shared" si="56"/>
        <v>3.9171769535304435E-3</v>
      </c>
      <c r="AW135" s="557">
        <f t="shared" si="57"/>
        <v>6.7591490894560735E-3</v>
      </c>
      <c r="AX135" s="557">
        <f t="shared" si="58"/>
        <v>9.5800193763668773E-3</v>
      </c>
      <c r="AY135" s="557">
        <f t="shared" si="59"/>
        <v>1.2379787814253973E-2</v>
      </c>
      <c r="AZ135" s="557">
        <f t="shared" si="60"/>
        <v>1.5158454403126242E-2</v>
      </c>
      <c r="BA135" s="557">
        <f t="shared" si="61"/>
        <v>1.7916019142978357E-2</v>
      </c>
      <c r="BB135" s="557">
        <f t="shared" si="62"/>
        <v>2.0652482033812092E-2</v>
      </c>
      <c r="BC135" s="557">
        <f t="shared" si="63"/>
        <v>2.3367843075631001E-2</v>
      </c>
      <c r="BD135" s="557">
        <f t="shared" si="64"/>
        <v>4.9360851797789707E-2</v>
      </c>
      <c r="BE135" s="557">
        <f t="shared" si="65"/>
        <v>9.501631453663606E-2</v>
      </c>
      <c r="BF135" s="557">
        <f t="shared" si="66"/>
        <v>0.13223103766818767</v>
      </c>
      <c r="BG135" s="557">
        <f t="shared" si="67"/>
        <v>0.16100502119244453</v>
      </c>
      <c r="BH135" s="557">
        <f t="shared" si="68"/>
        <v>0.18133826510940665</v>
      </c>
      <c r="BI135" s="1163">
        <f t="shared" si="69"/>
        <v>0.19323076941907402</v>
      </c>
    </row>
    <row r="136" spans="3:61" x14ac:dyDescent="0.45">
      <c r="C136" s="1267"/>
      <c r="D136" s="1140" t="s">
        <v>549</v>
      </c>
      <c r="E136" s="1261"/>
      <c r="F136" s="72">
        <v>600</v>
      </c>
      <c r="G136" s="56">
        <v>11.898466875335689</v>
      </c>
      <c r="H136" s="56">
        <v>11.975860322323257</v>
      </c>
      <c r="I136" s="56">
        <v>12.053282844496938</v>
      </c>
      <c r="J136" s="56">
        <v>12.130734441856722</v>
      </c>
      <c r="K136" s="56">
        <v>12.208215114402615</v>
      </c>
      <c r="L136" s="56">
        <v>12.285724862134613</v>
      </c>
      <c r="M136" s="56">
        <v>12.363263685052715</v>
      </c>
      <c r="N136" s="56">
        <v>12.440831583156928</v>
      </c>
      <c r="O136" s="56">
        <v>12.518428556447244</v>
      </c>
      <c r="P136" s="56">
        <v>12.596054604923669</v>
      </c>
      <c r="Q136" s="56">
        <v>12.6737097285862</v>
      </c>
      <c r="R136" s="56">
        <v>13.451860100447366</v>
      </c>
      <c r="S136" s="56">
        <v>15.016883400001673</v>
      </c>
      <c r="T136" s="56">
        <v>16.593536773998601</v>
      </c>
      <c r="U136" s="56">
        <v>18.181820222438155</v>
      </c>
      <c r="V136" s="56">
        <v>19.781733745320334</v>
      </c>
      <c r="W136" s="59">
        <v>21.393277342645135</v>
      </c>
      <c r="Y136" s="1001"/>
      <c r="Z136" s="25">
        <v>600</v>
      </c>
      <c r="AA136" s="557">
        <v>11.893731524787334</v>
      </c>
      <c r="AB136" s="557">
        <v>11.974030249457886</v>
      </c>
      <c r="AC136" s="557">
        <v>12.054336947465526</v>
      </c>
      <c r="AD136" s="557">
        <v>12.134651618810253</v>
      </c>
      <c r="AE136" s="557">
        <v>12.214974263492071</v>
      </c>
      <c r="AF136" s="557">
        <v>12.295304881510976</v>
      </c>
      <c r="AG136" s="557">
        <v>12.375643472866972</v>
      </c>
      <c r="AH136" s="557">
        <v>12.455990037560053</v>
      </c>
      <c r="AI136" s="557">
        <v>12.536344575590222</v>
      </c>
      <c r="AJ136" s="557">
        <v>12.616707086957481</v>
      </c>
      <c r="AK136" s="557">
        <v>12.697077571661829</v>
      </c>
      <c r="AL136" s="557">
        <v>13.501220952245154</v>
      </c>
      <c r="AM136" s="557">
        <v>15.111899714538309</v>
      </c>
      <c r="AN136" s="557">
        <v>16.725767811666792</v>
      </c>
      <c r="AO136" s="557">
        <v>18.3428252436306</v>
      </c>
      <c r="AP136" s="557">
        <v>19.963072010429741</v>
      </c>
      <c r="AQ136" s="1163">
        <v>21.586508112064212</v>
      </c>
      <c r="AS136" s="1166">
        <f t="shared" si="70"/>
        <v>-4.7353505483549441E-3</v>
      </c>
      <c r="AT136" s="557">
        <f t="shared" si="54"/>
        <v>-1.8300728653706244E-3</v>
      </c>
      <c r="AU136" s="557">
        <f t="shared" si="55"/>
        <v>1.0541029685882108E-3</v>
      </c>
      <c r="AV136" s="557">
        <f t="shared" si="56"/>
        <v>3.9171769535304435E-3</v>
      </c>
      <c r="AW136" s="557">
        <f t="shared" si="57"/>
        <v>6.7591490894560735E-3</v>
      </c>
      <c r="AX136" s="557">
        <f t="shared" si="58"/>
        <v>9.5800193763633246E-3</v>
      </c>
      <c r="AY136" s="557">
        <f t="shared" si="59"/>
        <v>1.2379787814257526E-2</v>
      </c>
      <c r="AZ136" s="557">
        <f t="shared" si="60"/>
        <v>1.5158454403124466E-2</v>
      </c>
      <c r="BA136" s="557">
        <f t="shared" si="61"/>
        <v>1.7916019142978357E-2</v>
      </c>
      <c r="BB136" s="557">
        <f t="shared" si="62"/>
        <v>2.0652482033812092E-2</v>
      </c>
      <c r="BC136" s="557">
        <f t="shared" si="63"/>
        <v>2.3367843075629224E-2</v>
      </c>
      <c r="BD136" s="557">
        <f t="shared" si="64"/>
        <v>4.936085179778793E-2</v>
      </c>
      <c r="BE136" s="557">
        <f t="shared" si="65"/>
        <v>9.501631453663606E-2</v>
      </c>
      <c r="BF136" s="557">
        <f t="shared" si="66"/>
        <v>0.13223103766819122</v>
      </c>
      <c r="BG136" s="557">
        <f t="shared" si="67"/>
        <v>0.16100502119244453</v>
      </c>
      <c r="BH136" s="557">
        <f t="shared" si="68"/>
        <v>0.18133826510940665</v>
      </c>
      <c r="BI136" s="1163">
        <f t="shared" si="69"/>
        <v>0.19323076941907757</v>
      </c>
    </row>
    <row r="137" spans="3:61" x14ac:dyDescent="0.45">
      <c r="C137" s="1267"/>
      <c r="D137" s="1140"/>
      <c r="E137" s="1261"/>
      <c r="F137" s="72">
        <v>700</v>
      </c>
      <c r="G137" s="56">
        <v>13.321970024191906</v>
      </c>
      <c r="H137" s="56">
        <v>13.401794056892097</v>
      </c>
      <c r="I137" s="56">
        <v>13.481647164778398</v>
      </c>
      <c r="J137" s="56">
        <v>13.561529347850803</v>
      </c>
      <c r="K137" s="56">
        <v>13.641440606109313</v>
      </c>
      <c r="L137" s="56">
        <v>13.721380939553931</v>
      </c>
      <c r="M137" s="56">
        <v>13.801350348184656</v>
      </c>
      <c r="N137" s="56">
        <v>13.881348832001486</v>
      </c>
      <c r="O137" s="56">
        <v>13.961376391004425</v>
      </c>
      <c r="P137" s="56">
        <v>14.041433025193468</v>
      </c>
      <c r="Q137" s="56">
        <v>14.121518734568621</v>
      </c>
      <c r="R137" s="56">
        <v>14.923974963555986</v>
      </c>
      <c r="S137" s="56">
        <v>16.537609977362692</v>
      </c>
      <c r="T137" s="56">
        <v>18.16287506561202</v>
      </c>
      <c r="U137" s="56">
        <v>19.799770228303974</v>
      </c>
      <c r="V137" s="56">
        <v>21.448295465438555</v>
      </c>
      <c r="W137" s="59">
        <v>23.108450777015761</v>
      </c>
      <c r="Y137" s="1001"/>
      <c r="Z137" s="25">
        <v>700</v>
      </c>
      <c r="AA137" s="557">
        <v>13.317234673643551</v>
      </c>
      <c r="AB137" s="557">
        <v>13.399963984026725</v>
      </c>
      <c r="AC137" s="557">
        <v>13.482701267746986</v>
      </c>
      <c r="AD137" s="557">
        <v>13.565446524804331</v>
      </c>
      <c r="AE137" s="557">
        <v>13.648199755198771</v>
      </c>
      <c r="AF137" s="557">
        <v>13.730960958930295</v>
      </c>
      <c r="AG137" s="557">
        <v>13.813730135998908</v>
      </c>
      <c r="AH137" s="557">
        <v>13.89650728640461</v>
      </c>
      <c r="AI137" s="557">
        <v>13.9792924101474</v>
      </c>
      <c r="AJ137" s="557">
        <v>14.062085507227279</v>
      </c>
      <c r="AK137" s="557">
        <v>14.144886577644245</v>
      </c>
      <c r="AL137" s="557">
        <v>14.973335815353774</v>
      </c>
      <c r="AM137" s="557">
        <v>16.632626291899328</v>
      </c>
      <c r="AN137" s="557">
        <v>18.295106103280204</v>
      </c>
      <c r="AO137" s="557">
        <v>19.960775249496418</v>
      </c>
      <c r="AP137" s="557">
        <v>21.629633730547958</v>
      </c>
      <c r="AQ137" s="1163">
        <v>23.301681546434835</v>
      </c>
      <c r="AS137" s="1166">
        <f t="shared" si="70"/>
        <v>-4.7353505483549441E-3</v>
      </c>
      <c r="AT137" s="557">
        <f t="shared" si="54"/>
        <v>-1.8300728653724008E-3</v>
      </c>
      <c r="AU137" s="557">
        <f t="shared" si="55"/>
        <v>1.0541029685882108E-3</v>
      </c>
      <c r="AV137" s="557">
        <f t="shared" si="56"/>
        <v>3.9171769535286671E-3</v>
      </c>
      <c r="AW137" s="557">
        <f t="shared" si="57"/>
        <v>6.7591490894578499E-3</v>
      </c>
      <c r="AX137" s="557">
        <f t="shared" si="58"/>
        <v>9.5800193763633246E-3</v>
      </c>
      <c r="AY137" s="557">
        <f t="shared" si="59"/>
        <v>1.2379787814252197E-2</v>
      </c>
      <c r="AZ137" s="557">
        <f t="shared" si="60"/>
        <v>1.5158454403124466E-2</v>
      </c>
      <c r="BA137" s="557">
        <f t="shared" si="61"/>
        <v>1.7916019142974804E-2</v>
      </c>
      <c r="BB137" s="557">
        <f t="shared" si="62"/>
        <v>2.0652482033810315E-2</v>
      </c>
      <c r="BC137" s="557">
        <f t="shared" si="63"/>
        <v>2.3367843075623895E-2</v>
      </c>
      <c r="BD137" s="557">
        <f t="shared" si="64"/>
        <v>4.936085179778793E-2</v>
      </c>
      <c r="BE137" s="557">
        <f t="shared" si="65"/>
        <v>9.501631453663606E-2</v>
      </c>
      <c r="BF137" s="557">
        <f t="shared" si="66"/>
        <v>0.13223103766818411</v>
      </c>
      <c r="BG137" s="557">
        <f t="shared" si="67"/>
        <v>0.16100502119244453</v>
      </c>
      <c r="BH137" s="557">
        <f t="shared" si="68"/>
        <v>0.1813382651094031</v>
      </c>
      <c r="BI137" s="1163">
        <f t="shared" si="69"/>
        <v>0.19323076941907402</v>
      </c>
    </row>
    <row r="138" spans="3:61" x14ac:dyDescent="0.45">
      <c r="C138" s="1267"/>
      <c r="D138" s="1134"/>
      <c r="E138" s="1261"/>
      <c r="F138" s="72">
        <v>800</v>
      </c>
      <c r="G138" s="56">
        <v>14.745473173048135</v>
      </c>
      <c r="H138" s="56">
        <v>14.827727791460944</v>
      </c>
      <c r="I138" s="56">
        <v>14.910011485059862</v>
      </c>
      <c r="J138" s="56">
        <v>14.992324253844888</v>
      </c>
      <c r="K138" s="56">
        <v>15.074666097816021</v>
      </c>
      <c r="L138" s="56">
        <v>15.157037016973257</v>
      </c>
      <c r="M138" s="56">
        <v>15.239437011316603</v>
      </c>
      <c r="N138" s="56">
        <v>15.321866080846052</v>
      </c>
      <c r="O138" s="56">
        <v>15.404324225561611</v>
      </c>
      <c r="P138" s="56">
        <v>15.486811445463273</v>
      </c>
      <c r="Q138" s="56">
        <v>15.569327740551046</v>
      </c>
      <c r="R138" s="56">
        <v>16.39608982666461</v>
      </c>
      <c r="S138" s="56">
        <v>18.058336554723716</v>
      </c>
      <c r="T138" s="56">
        <v>19.732213357225447</v>
      </c>
      <c r="U138" s="56">
        <v>21.417720234169799</v>
      </c>
      <c r="V138" s="56">
        <v>23.114857185556779</v>
      </c>
      <c r="W138" s="59">
        <v>24.823624211386385</v>
      </c>
      <c r="Y138" s="1001"/>
      <c r="Z138" s="25">
        <v>800</v>
      </c>
      <c r="AA138" s="557">
        <v>14.740737822499778</v>
      </c>
      <c r="AB138" s="557">
        <v>14.82589771859557</v>
      </c>
      <c r="AC138" s="557">
        <v>14.91106558802845</v>
      </c>
      <c r="AD138" s="557">
        <v>14.996241430798417</v>
      </c>
      <c r="AE138" s="557">
        <v>15.081425246905479</v>
      </c>
      <c r="AF138" s="557">
        <v>15.166617036349621</v>
      </c>
      <c r="AG138" s="557">
        <v>15.251816799130854</v>
      </c>
      <c r="AH138" s="557">
        <v>15.337024535249174</v>
      </c>
      <c r="AI138" s="557">
        <v>15.422240244704586</v>
      </c>
      <c r="AJ138" s="557">
        <v>15.507463927497085</v>
      </c>
      <c r="AK138" s="557">
        <v>15.592695583626675</v>
      </c>
      <c r="AL138" s="557">
        <v>16.4454506784624</v>
      </c>
      <c r="AM138" s="557">
        <v>18.153352869260353</v>
      </c>
      <c r="AN138" s="557">
        <v>19.864444394893628</v>
      </c>
      <c r="AO138" s="557">
        <v>21.578725255362244</v>
      </c>
      <c r="AP138" s="557">
        <v>23.296195450666186</v>
      </c>
      <c r="AQ138" s="1163">
        <v>25.016854980805459</v>
      </c>
      <c r="AS138" s="1166">
        <f t="shared" si="70"/>
        <v>-4.7353505483567204E-3</v>
      </c>
      <c r="AT138" s="557">
        <f t="shared" si="54"/>
        <v>-1.8300728653741771E-3</v>
      </c>
      <c r="AU138" s="557">
        <f t="shared" si="55"/>
        <v>1.0541029685882108E-3</v>
      </c>
      <c r="AV138" s="557">
        <f t="shared" si="56"/>
        <v>3.9171769535286671E-3</v>
      </c>
      <c r="AW138" s="557">
        <f t="shared" si="57"/>
        <v>6.7591490894578499E-3</v>
      </c>
      <c r="AX138" s="557">
        <f t="shared" si="58"/>
        <v>9.5800193763633246E-3</v>
      </c>
      <c r="AY138" s="557">
        <f t="shared" si="59"/>
        <v>1.237978781425042E-2</v>
      </c>
      <c r="AZ138" s="557">
        <f t="shared" si="60"/>
        <v>1.515845440312269E-2</v>
      </c>
      <c r="BA138" s="557">
        <f t="shared" si="61"/>
        <v>1.7916019142974804E-2</v>
      </c>
      <c r="BB138" s="557">
        <f t="shared" si="62"/>
        <v>2.0652482033812092E-2</v>
      </c>
      <c r="BC138" s="557">
        <f t="shared" si="63"/>
        <v>2.3367843075629224E-2</v>
      </c>
      <c r="BD138" s="557">
        <f t="shared" si="64"/>
        <v>4.9360851797789707E-2</v>
      </c>
      <c r="BE138" s="557">
        <f t="shared" si="65"/>
        <v>9.501631453663606E-2</v>
      </c>
      <c r="BF138" s="557">
        <f t="shared" si="66"/>
        <v>0.13223103766818056</v>
      </c>
      <c r="BG138" s="557">
        <f t="shared" si="67"/>
        <v>0.16100502119244453</v>
      </c>
      <c r="BH138" s="557">
        <f t="shared" si="68"/>
        <v>0.18133826510940665</v>
      </c>
      <c r="BI138" s="1163">
        <f t="shared" si="69"/>
        <v>0.19323076941907402</v>
      </c>
    </row>
    <row r="139" spans="3:61" ht="14.65" thickBot="1" x14ac:dyDescent="0.5">
      <c r="C139" s="1267"/>
      <c r="D139" s="5"/>
      <c r="E139" s="1262"/>
      <c r="F139" s="374">
        <v>900</v>
      </c>
      <c r="G139" s="57">
        <v>16.168976321904356</v>
      </c>
      <c r="H139" s="57">
        <v>16.253661526029784</v>
      </c>
      <c r="I139" s="57">
        <v>16.338375805341322</v>
      </c>
      <c r="J139" s="57">
        <v>16.423119159838969</v>
      </c>
      <c r="K139" s="57">
        <v>16.507891589522721</v>
      </c>
      <c r="L139" s="57">
        <v>16.59269309439258</v>
      </c>
      <c r="M139" s="57">
        <v>16.677523674448544</v>
      </c>
      <c r="N139" s="57">
        <v>16.762383329690614</v>
      </c>
      <c r="O139" s="57">
        <v>16.847272060118794</v>
      </c>
      <c r="P139" s="57">
        <v>16.932189865733072</v>
      </c>
      <c r="Q139" s="57">
        <v>17.017136746533467</v>
      </c>
      <c r="R139" s="57">
        <v>17.868204689773233</v>
      </c>
      <c r="S139" s="57">
        <v>19.579063132084737</v>
      </c>
      <c r="T139" s="57">
        <v>21.301551648838867</v>
      </c>
      <c r="U139" s="57">
        <v>23.035670240035621</v>
      </c>
      <c r="V139" s="57">
        <v>24.781418905675</v>
      </c>
      <c r="W139" s="60">
        <v>26.538797645757008</v>
      </c>
      <c r="Y139" s="1001"/>
      <c r="Z139" s="25">
        <v>900</v>
      </c>
      <c r="AA139" s="557">
        <v>16.164240971356001</v>
      </c>
      <c r="AB139" s="557">
        <v>16.25183145316441</v>
      </c>
      <c r="AC139" s="557">
        <v>16.33942990830991</v>
      </c>
      <c r="AD139" s="557">
        <v>16.427036336792501</v>
      </c>
      <c r="AE139" s="557">
        <v>16.514650738612175</v>
      </c>
      <c r="AF139" s="557">
        <v>16.602273113768941</v>
      </c>
      <c r="AG139" s="557">
        <v>16.689903462262798</v>
      </c>
      <c r="AH139" s="557">
        <v>16.777541784093735</v>
      </c>
      <c r="AI139" s="557">
        <v>16.865188079261767</v>
      </c>
      <c r="AJ139" s="557">
        <v>16.952842347766886</v>
      </c>
      <c r="AK139" s="557">
        <v>17.040504589609096</v>
      </c>
      <c r="AL139" s="557">
        <v>17.917565541571022</v>
      </c>
      <c r="AM139" s="557">
        <v>19.674079446621374</v>
      </c>
      <c r="AN139" s="557">
        <v>21.433782686507055</v>
      </c>
      <c r="AO139" s="557">
        <v>23.196675261228066</v>
      </c>
      <c r="AP139" s="557">
        <v>24.962757170784407</v>
      </c>
      <c r="AQ139" s="1163">
        <v>26.732028415176082</v>
      </c>
      <c r="AS139" s="1166">
        <f t="shared" si="70"/>
        <v>-4.7353505483549441E-3</v>
      </c>
      <c r="AT139" s="557">
        <f t="shared" si="54"/>
        <v>-1.8300728653741771E-3</v>
      </c>
      <c r="AU139" s="557">
        <f t="shared" si="55"/>
        <v>1.0541029685882108E-3</v>
      </c>
      <c r="AV139" s="557">
        <f t="shared" si="56"/>
        <v>3.9171769535322198E-3</v>
      </c>
      <c r="AW139" s="557">
        <f t="shared" si="57"/>
        <v>6.7591490894542972E-3</v>
      </c>
      <c r="AX139" s="557">
        <f t="shared" si="58"/>
        <v>9.5800193763615482E-3</v>
      </c>
      <c r="AY139" s="557">
        <f t="shared" si="59"/>
        <v>1.2379787814253973E-2</v>
      </c>
      <c r="AZ139" s="557">
        <f t="shared" si="60"/>
        <v>1.5158454403120913E-2</v>
      </c>
      <c r="BA139" s="557">
        <f t="shared" si="61"/>
        <v>1.7916019142973028E-2</v>
      </c>
      <c r="BB139" s="557">
        <f t="shared" si="62"/>
        <v>2.0652482033813868E-2</v>
      </c>
      <c r="BC139" s="557">
        <f t="shared" si="63"/>
        <v>2.3367843075629224E-2</v>
      </c>
      <c r="BD139" s="557">
        <f t="shared" si="64"/>
        <v>4.9360851797789707E-2</v>
      </c>
      <c r="BE139" s="557">
        <f t="shared" si="65"/>
        <v>9.501631453663606E-2</v>
      </c>
      <c r="BF139" s="557">
        <f t="shared" si="66"/>
        <v>0.13223103766818767</v>
      </c>
      <c r="BG139" s="557">
        <f t="shared" si="67"/>
        <v>0.16100502119244453</v>
      </c>
      <c r="BH139" s="557">
        <f t="shared" si="68"/>
        <v>0.18133826510940665</v>
      </c>
      <c r="BI139" s="1163">
        <f t="shared" si="69"/>
        <v>0.19323076941907402</v>
      </c>
    </row>
    <row r="140" spans="3:61" s="992" customFormat="1" ht="14.65" thickBot="1" x14ac:dyDescent="0.5">
      <c r="C140" s="1267"/>
      <c r="D140" s="993"/>
      <c r="E140" s="1168"/>
      <c r="F140" s="321"/>
      <c r="G140" s="56"/>
      <c r="H140" s="56"/>
      <c r="I140" s="56"/>
      <c r="J140" s="56"/>
      <c r="K140" s="56"/>
      <c r="L140" s="56"/>
      <c r="M140" s="56"/>
      <c r="N140" s="56"/>
      <c r="O140" s="56"/>
      <c r="P140" s="56"/>
      <c r="Q140" s="56"/>
      <c r="R140" s="56"/>
      <c r="S140" s="56"/>
      <c r="T140" s="56"/>
      <c r="U140" s="56"/>
      <c r="V140" s="56"/>
      <c r="W140" s="56"/>
      <c r="Y140" s="1001"/>
      <c r="Z140" s="25"/>
      <c r="AA140" s="557"/>
      <c r="AB140" s="557"/>
      <c r="AC140" s="557"/>
      <c r="AD140" s="557"/>
      <c r="AE140" s="557"/>
      <c r="AF140" s="557"/>
      <c r="AG140" s="557"/>
      <c r="AH140" s="557"/>
      <c r="AI140" s="557"/>
      <c r="AJ140" s="557"/>
      <c r="AK140" s="557"/>
      <c r="AL140" s="557"/>
      <c r="AM140" s="557"/>
      <c r="AN140" s="557"/>
      <c r="AO140" s="557"/>
      <c r="AP140" s="557"/>
      <c r="AQ140" s="1163"/>
      <c r="AS140" s="1166"/>
      <c r="AT140" s="557"/>
      <c r="AU140" s="557"/>
      <c r="AV140" s="557"/>
      <c r="AW140" s="557"/>
      <c r="AX140" s="557"/>
      <c r="AY140" s="557"/>
      <c r="AZ140" s="557"/>
      <c r="BA140" s="557"/>
      <c r="BB140" s="557"/>
      <c r="BC140" s="557"/>
      <c r="BD140" s="557"/>
      <c r="BE140" s="557"/>
      <c r="BF140" s="557"/>
      <c r="BG140" s="557"/>
      <c r="BH140" s="557"/>
      <c r="BI140" s="1163"/>
    </row>
    <row r="141" spans="3:61" s="992" customFormat="1" ht="14.65" thickBot="1" x14ac:dyDescent="0.5">
      <c r="C141" s="1267"/>
      <c r="D141" s="376" t="s">
        <v>89</v>
      </c>
      <c r="E141" s="29"/>
      <c r="F141" s="29" t="s">
        <v>206</v>
      </c>
      <c r="G141" s="381">
        <v>0</v>
      </c>
      <c r="H141" s="382">
        <v>10</v>
      </c>
      <c r="I141" s="382">
        <v>20</v>
      </c>
      <c r="J141" s="382">
        <v>30</v>
      </c>
      <c r="K141" s="382">
        <v>40</v>
      </c>
      <c r="L141" s="382">
        <v>50</v>
      </c>
      <c r="M141" s="382">
        <v>60</v>
      </c>
      <c r="N141" s="382">
        <v>70</v>
      </c>
      <c r="O141" s="382">
        <v>80</v>
      </c>
      <c r="P141" s="382">
        <v>90</v>
      </c>
      <c r="Q141" s="382">
        <v>100</v>
      </c>
      <c r="R141" s="382">
        <v>200</v>
      </c>
      <c r="S141" s="382">
        <v>400</v>
      </c>
      <c r="T141" s="382">
        <v>600</v>
      </c>
      <c r="U141" s="382">
        <v>800</v>
      </c>
      <c r="V141" s="382">
        <v>1000</v>
      </c>
      <c r="W141" s="383">
        <v>1200</v>
      </c>
      <c r="Y141" s="1001"/>
      <c r="Z141" s="25"/>
      <c r="AA141" s="557"/>
      <c r="AB141" s="557"/>
      <c r="AC141" s="557"/>
      <c r="AD141" s="557"/>
      <c r="AE141" s="557"/>
      <c r="AF141" s="557"/>
      <c r="AG141" s="557"/>
      <c r="AH141" s="557"/>
      <c r="AI141" s="557"/>
      <c r="AJ141" s="557"/>
      <c r="AK141" s="557"/>
      <c r="AL141" s="557"/>
      <c r="AM141" s="557"/>
      <c r="AN141" s="557"/>
      <c r="AO141" s="557"/>
      <c r="AP141" s="557"/>
      <c r="AQ141" s="1163"/>
      <c r="AS141" s="1166"/>
      <c r="AT141" s="557"/>
      <c r="AU141" s="557"/>
      <c r="AV141" s="557"/>
      <c r="AW141" s="557"/>
      <c r="AX141" s="557"/>
      <c r="AY141" s="557"/>
      <c r="AZ141" s="557"/>
      <c r="BA141" s="557"/>
      <c r="BB141" s="557"/>
      <c r="BC141" s="557"/>
      <c r="BD141" s="557"/>
      <c r="BE141" s="557"/>
      <c r="BF141" s="557"/>
      <c r="BG141" s="557"/>
      <c r="BH141" s="557"/>
      <c r="BI141" s="1163"/>
    </row>
    <row r="142" spans="3:61" s="992" customFormat="1" x14ac:dyDescent="0.45">
      <c r="C142" s="1267"/>
      <c r="D142" s="1135" t="s">
        <v>544</v>
      </c>
      <c r="E142" s="1260" t="s">
        <v>205</v>
      </c>
      <c r="F142" s="375">
        <v>0</v>
      </c>
      <c r="G142" s="379">
        <v>2.5540543657623282</v>
      </c>
      <c r="H142" s="379">
        <v>2.5714969360375481</v>
      </c>
      <c r="I142" s="379">
        <v>2.5889395063127685</v>
      </c>
      <c r="J142" s="379">
        <v>2.6063820765879884</v>
      </c>
      <c r="K142" s="379">
        <v>2.6238246468632083</v>
      </c>
      <c r="L142" s="379">
        <v>2.6412672171384282</v>
      </c>
      <c r="M142" s="379">
        <v>2.6587097874136481</v>
      </c>
      <c r="N142" s="379">
        <v>2.6761523576888684</v>
      </c>
      <c r="O142" s="379">
        <v>2.6935949279640878</v>
      </c>
      <c r="P142" s="379">
        <v>2.7110374982393082</v>
      </c>
      <c r="Q142" s="379">
        <v>2.7284800685145281</v>
      </c>
      <c r="R142" s="55">
        <v>2.9029057712667274</v>
      </c>
      <c r="S142" s="55">
        <v>3.251757176771128</v>
      </c>
      <c r="T142" s="55">
        <v>3.6006085822755272</v>
      </c>
      <c r="U142" s="55">
        <v>3.9494599877799268</v>
      </c>
      <c r="V142" s="55">
        <v>4.2983113932843269</v>
      </c>
      <c r="W142" s="58">
        <v>4.6471627987887256</v>
      </c>
      <c r="Y142" s="1001"/>
      <c r="Z142" s="25"/>
      <c r="AA142" s="557"/>
      <c r="AB142" s="557"/>
      <c r="AC142" s="557"/>
      <c r="AD142" s="557"/>
      <c r="AE142" s="557"/>
      <c r="AF142" s="557"/>
      <c r="AG142" s="557"/>
      <c r="AH142" s="557"/>
      <c r="AI142" s="557"/>
      <c r="AJ142" s="557"/>
      <c r="AK142" s="557"/>
      <c r="AL142" s="557"/>
      <c r="AM142" s="557"/>
      <c r="AN142" s="557"/>
      <c r="AO142" s="557"/>
      <c r="AP142" s="557"/>
      <c r="AQ142" s="1163"/>
      <c r="AS142" s="1166"/>
      <c r="AT142" s="557"/>
      <c r="AU142" s="557"/>
      <c r="AV142" s="557"/>
      <c r="AW142" s="557"/>
      <c r="AX142" s="557"/>
      <c r="AY142" s="557"/>
      <c r="AZ142" s="557"/>
      <c r="BA142" s="557"/>
      <c r="BB142" s="557"/>
      <c r="BC142" s="557"/>
      <c r="BD142" s="557"/>
      <c r="BE142" s="557"/>
      <c r="BF142" s="557"/>
      <c r="BG142" s="557"/>
      <c r="BH142" s="557"/>
      <c r="BI142" s="1163"/>
    </row>
    <row r="143" spans="3:61" s="992" customFormat="1" x14ac:dyDescent="0.45">
      <c r="C143" s="1267"/>
      <c r="D143" s="1135" t="s">
        <v>545</v>
      </c>
      <c r="E143" s="1261"/>
      <c r="F143" s="72">
        <v>10</v>
      </c>
      <c r="G143" s="56">
        <v>2.5572903491175079</v>
      </c>
      <c r="H143" s="56">
        <v>2.5747385235461779</v>
      </c>
      <c r="I143" s="56">
        <v>2.5921866979748476</v>
      </c>
      <c r="J143" s="56">
        <v>2.6096348724035172</v>
      </c>
      <c r="K143" s="56">
        <v>2.6270830468321873</v>
      </c>
      <c r="L143" s="56">
        <v>2.6445312212608565</v>
      </c>
      <c r="M143" s="56">
        <v>2.661979395689527</v>
      </c>
      <c r="N143" s="56">
        <v>2.6794275701181971</v>
      </c>
      <c r="O143" s="56">
        <v>2.6968757445468667</v>
      </c>
      <c r="P143" s="56">
        <v>2.7143239189755364</v>
      </c>
      <c r="Q143" s="56">
        <v>2.7317720934042065</v>
      </c>
      <c r="R143" s="56">
        <v>2.9062538376909037</v>
      </c>
      <c r="S143" s="56">
        <v>3.2552173262643009</v>
      </c>
      <c r="T143" s="56">
        <v>3.6041808148376968</v>
      </c>
      <c r="U143" s="56">
        <v>3.9531443034110931</v>
      </c>
      <c r="V143" s="56">
        <v>4.3021077919844899</v>
      </c>
      <c r="W143" s="59">
        <v>4.6510712805578862</v>
      </c>
      <c r="Y143" s="1001"/>
      <c r="Z143" s="25"/>
      <c r="AA143" s="557"/>
      <c r="AB143" s="557"/>
      <c r="AC143" s="557"/>
      <c r="AD143" s="557"/>
      <c r="AE143" s="557"/>
      <c r="AF143" s="557"/>
      <c r="AG143" s="557"/>
      <c r="AH143" s="557"/>
      <c r="AI143" s="557"/>
      <c r="AJ143" s="557"/>
      <c r="AK143" s="557"/>
      <c r="AL143" s="557"/>
      <c r="AM143" s="557"/>
      <c r="AN143" s="557"/>
      <c r="AO143" s="557"/>
      <c r="AP143" s="557"/>
      <c r="AQ143" s="1163"/>
      <c r="AS143" s="1166"/>
      <c r="AT143" s="557"/>
      <c r="AU143" s="557"/>
      <c r="AV143" s="557"/>
      <c r="AW143" s="557"/>
      <c r="AX143" s="557"/>
      <c r="AY143" s="557"/>
      <c r="AZ143" s="557"/>
      <c r="BA143" s="557"/>
      <c r="BB143" s="557"/>
      <c r="BC143" s="557"/>
      <c r="BD143" s="557"/>
      <c r="BE143" s="557"/>
      <c r="BF143" s="557"/>
      <c r="BG143" s="557"/>
      <c r="BH143" s="557"/>
      <c r="BI143" s="1163"/>
    </row>
    <row r="144" spans="3:61" s="992" customFormat="1" x14ac:dyDescent="0.45">
      <c r="C144" s="1267"/>
      <c r="D144" s="1135" t="s">
        <v>546</v>
      </c>
      <c r="E144" s="1261"/>
      <c r="F144" s="72">
        <v>20</v>
      </c>
      <c r="G144" s="56">
        <v>2.5607588582227603</v>
      </c>
      <c r="H144" s="380">
        <v>2.5782130394985407</v>
      </c>
      <c r="I144" s="56">
        <v>2.5956672207743217</v>
      </c>
      <c r="J144" s="56">
        <v>2.6131214020501026</v>
      </c>
      <c r="K144" s="56">
        <v>2.630575583325883</v>
      </c>
      <c r="L144" s="56">
        <v>2.6480297646016639</v>
      </c>
      <c r="M144" s="56">
        <v>2.6654839458774449</v>
      </c>
      <c r="N144" s="56">
        <v>2.6829381271532253</v>
      </c>
      <c r="O144" s="56">
        <v>2.7003923084290062</v>
      </c>
      <c r="P144" s="56">
        <v>2.7178464897047871</v>
      </c>
      <c r="Q144" s="56">
        <v>2.7353006709805676</v>
      </c>
      <c r="R144" s="56">
        <v>2.9098424837383745</v>
      </c>
      <c r="S144" s="56">
        <v>3.2589261092539887</v>
      </c>
      <c r="T144" s="56">
        <v>3.6080097347696034</v>
      </c>
      <c r="U144" s="56">
        <v>3.9570933602852172</v>
      </c>
      <c r="V144" s="56">
        <v>4.3061769858008319</v>
      </c>
      <c r="W144" s="59">
        <v>4.6552606113164465</v>
      </c>
      <c r="Y144" s="1001"/>
      <c r="Z144" s="25"/>
      <c r="AA144" s="557"/>
      <c r="AB144" s="557"/>
      <c r="AC144" s="557"/>
      <c r="AD144" s="557"/>
      <c r="AE144" s="557"/>
      <c r="AF144" s="557"/>
      <c r="AG144" s="557"/>
      <c r="AH144" s="557"/>
      <c r="AI144" s="557"/>
      <c r="AJ144" s="557"/>
      <c r="AK144" s="557"/>
      <c r="AL144" s="557"/>
      <c r="AM144" s="557"/>
      <c r="AN144" s="557"/>
      <c r="AO144" s="557"/>
      <c r="AP144" s="557"/>
      <c r="AQ144" s="1163"/>
      <c r="AS144" s="1166"/>
      <c r="AT144" s="557"/>
      <c r="AU144" s="557"/>
      <c r="AV144" s="557"/>
      <c r="AW144" s="557"/>
      <c r="AX144" s="557"/>
      <c r="AY144" s="557"/>
      <c r="AZ144" s="557"/>
      <c r="BA144" s="557"/>
      <c r="BB144" s="557"/>
      <c r="BC144" s="557"/>
      <c r="BD144" s="557"/>
      <c r="BE144" s="557"/>
      <c r="BF144" s="557"/>
      <c r="BG144" s="557"/>
      <c r="BH144" s="557"/>
      <c r="BI144" s="1163"/>
    </row>
    <row r="145" spans="3:61" s="992" customFormat="1" x14ac:dyDescent="0.45">
      <c r="C145" s="1267"/>
      <c r="D145" s="1137" t="s">
        <v>496</v>
      </c>
      <c r="E145" s="1261"/>
      <c r="F145" s="72">
        <v>30</v>
      </c>
      <c r="G145" s="56">
        <v>2.6163537451080336</v>
      </c>
      <c r="H145" s="56">
        <v>2.633904206939965</v>
      </c>
      <c r="I145" s="56">
        <v>2.6514546687718967</v>
      </c>
      <c r="J145" s="56">
        <v>2.669005130603828</v>
      </c>
      <c r="K145" s="56">
        <v>2.6865555924357598</v>
      </c>
      <c r="L145" s="56">
        <v>2.7041060542676911</v>
      </c>
      <c r="M145" s="56">
        <v>2.7216565160996229</v>
      </c>
      <c r="N145" s="56">
        <v>2.7392069779315542</v>
      </c>
      <c r="O145" s="56">
        <v>2.756757439763486</v>
      </c>
      <c r="P145" s="56">
        <v>2.7743079015954168</v>
      </c>
      <c r="Q145" s="56">
        <v>2.7918583634273491</v>
      </c>
      <c r="R145" s="56">
        <v>2.9673629817466631</v>
      </c>
      <c r="S145" s="56">
        <v>3.3183722183852935</v>
      </c>
      <c r="T145" s="56">
        <v>3.6693814550239234</v>
      </c>
      <c r="U145" s="56">
        <v>4.0203906916625538</v>
      </c>
      <c r="V145" s="56">
        <v>4.3713999283011837</v>
      </c>
      <c r="W145" s="59">
        <v>4.7224091649398128</v>
      </c>
      <c r="Y145" s="1001"/>
      <c r="Z145" s="25"/>
      <c r="AA145" s="557"/>
      <c r="AB145" s="557"/>
      <c r="AC145" s="557"/>
      <c r="AD145" s="557"/>
      <c r="AE145" s="557"/>
      <c r="AF145" s="557"/>
      <c r="AG145" s="557"/>
      <c r="AH145" s="557"/>
      <c r="AI145" s="557"/>
      <c r="AJ145" s="557"/>
      <c r="AK145" s="557"/>
      <c r="AL145" s="557"/>
      <c r="AM145" s="557"/>
      <c r="AN145" s="557"/>
      <c r="AO145" s="557"/>
      <c r="AP145" s="557"/>
      <c r="AQ145" s="1163"/>
      <c r="AS145" s="1166"/>
      <c r="AT145" s="557"/>
      <c r="AU145" s="557"/>
      <c r="AV145" s="557"/>
      <c r="AW145" s="557"/>
      <c r="AX145" s="557"/>
      <c r="AY145" s="557"/>
      <c r="AZ145" s="557"/>
      <c r="BA145" s="557"/>
      <c r="BB145" s="557"/>
      <c r="BC145" s="557"/>
      <c r="BD145" s="557"/>
      <c r="BE145" s="557"/>
      <c r="BF145" s="557"/>
      <c r="BG145" s="557"/>
      <c r="BH145" s="557"/>
      <c r="BI145" s="1163"/>
    </row>
    <row r="146" spans="3:61" s="992" customFormat="1" x14ac:dyDescent="0.45">
      <c r="C146" s="1267"/>
      <c r="D146" s="1135" t="s">
        <v>547</v>
      </c>
      <c r="E146" s="1261"/>
      <c r="F146" s="72">
        <v>40</v>
      </c>
      <c r="G146" s="56">
        <v>2.6762527522682964</v>
      </c>
      <c r="H146" s="56">
        <v>2.6939069486349188</v>
      </c>
      <c r="I146" s="56">
        <v>2.711561145001542</v>
      </c>
      <c r="J146" s="56">
        <v>2.7292153413681648</v>
      </c>
      <c r="K146" s="56">
        <v>2.7468695377347876</v>
      </c>
      <c r="L146" s="56">
        <v>2.7645237341014108</v>
      </c>
      <c r="M146" s="56">
        <v>2.7821779304680341</v>
      </c>
      <c r="N146" s="56">
        <v>2.7998321268346569</v>
      </c>
      <c r="O146" s="56">
        <v>2.8174863232012801</v>
      </c>
      <c r="P146" s="56">
        <v>2.8351405195679029</v>
      </c>
      <c r="Q146" s="56">
        <v>2.8527947159345262</v>
      </c>
      <c r="R146" s="56">
        <v>3.029336679600755</v>
      </c>
      <c r="S146" s="56">
        <v>3.382420606933215</v>
      </c>
      <c r="T146" s="56">
        <v>3.7355045342656745</v>
      </c>
      <c r="U146" s="56">
        <v>4.0885884615981336</v>
      </c>
      <c r="V146" s="56">
        <v>4.441672388930594</v>
      </c>
      <c r="W146" s="59">
        <v>4.7947563162630527</v>
      </c>
      <c r="Y146" s="1001"/>
      <c r="Z146" s="25"/>
      <c r="AA146" s="557"/>
      <c r="AB146" s="557"/>
      <c r="AC146" s="557"/>
      <c r="AD146" s="557"/>
      <c r="AE146" s="557"/>
      <c r="AF146" s="557"/>
      <c r="AG146" s="557"/>
      <c r="AH146" s="557"/>
      <c r="AI146" s="557"/>
      <c r="AJ146" s="557"/>
      <c r="AK146" s="557"/>
      <c r="AL146" s="557"/>
      <c r="AM146" s="557"/>
      <c r="AN146" s="557"/>
      <c r="AO146" s="557"/>
      <c r="AP146" s="557"/>
      <c r="AQ146" s="1163"/>
      <c r="AS146" s="1166"/>
      <c r="AT146" s="557"/>
      <c r="AU146" s="557"/>
      <c r="AV146" s="557"/>
      <c r="AW146" s="557"/>
      <c r="AX146" s="557"/>
      <c r="AY146" s="557"/>
      <c r="AZ146" s="557"/>
      <c r="BA146" s="557"/>
      <c r="BB146" s="557"/>
      <c r="BC146" s="557"/>
      <c r="BD146" s="557"/>
      <c r="BE146" s="557"/>
      <c r="BF146" s="557"/>
      <c r="BG146" s="557"/>
      <c r="BH146" s="557"/>
      <c r="BI146" s="1163"/>
    </row>
    <row r="147" spans="3:61" s="992" customFormat="1" x14ac:dyDescent="0.45">
      <c r="C147" s="1267"/>
      <c r="D147" s="1135" t="s">
        <v>548</v>
      </c>
      <c r="E147" s="1261"/>
      <c r="F147" s="72">
        <v>50</v>
      </c>
      <c r="G147" s="56">
        <v>2.7409758405421361</v>
      </c>
      <c r="H147" s="56">
        <v>2.7587421259026206</v>
      </c>
      <c r="I147" s="56">
        <v>2.7765084112631047</v>
      </c>
      <c r="J147" s="56">
        <v>2.7942746966235892</v>
      </c>
      <c r="K147" s="56">
        <v>2.8120409819840733</v>
      </c>
      <c r="L147" s="56">
        <v>2.8298072673445573</v>
      </c>
      <c r="M147" s="56">
        <v>2.8475735527050414</v>
      </c>
      <c r="N147" s="56">
        <v>2.8653398380655259</v>
      </c>
      <c r="O147" s="56">
        <v>2.8831061234260105</v>
      </c>
      <c r="P147" s="56">
        <v>2.9008724087864941</v>
      </c>
      <c r="Q147" s="56">
        <v>2.9186386941469786</v>
      </c>
      <c r="R147" s="56">
        <v>3.0963015477518208</v>
      </c>
      <c r="S147" s="56">
        <v>3.4516272549615059</v>
      </c>
      <c r="T147" s="56">
        <v>3.8069529621711911</v>
      </c>
      <c r="U147" s="56">
        <v>4.1622786693808749</v>
      </c>
      <c r="V147" s="56">
        <v>4.51760437659056</v>
      </c>
      <c r="W147" s="59">
        <v>4.8729300838002452</v>
      </c>
      <c r="Y147" s="1001"/>
      <c r="Z147" s="25"/>
      <c r="AA147" s="557"/>
      <c r="AB147" s="557"/>
      <c r="AC147" s="557"/>
      <c r="AD147" s="557"/>
      <c r="AE147" s="557"/>
      <c r="AF147" s="557"/>
      <c r="AG147" s="557"/>
      <c r="AH147" s="557"/>
      <c r="AI147" s="557"/>
      <c r="AJ147" s="557"/>
      <c r="AK147" s="557"/>
      <c r="AL147" s="557"/>
      <c r="AM147" s="557"/>
      <c r="AN147" s="557"/>
      <c r="AO147" s="557"/>
      <c r="AP147" s="557"/>
      <c r="AQ147" s="1163"/>
      <c r="AS147" s="1166"/>
      <c r="AT147" s="557"/>
      <c r="AU147" s="557"/>
      <c r="AV147" s="557"/>
      <c r="AW147" s="557"/>
      <c r="AX147" s="557"/>
      <c r="AY147" s="557"/>
      <c r="AZ147" s="557"/>
      <c r="BA147" s="557"/>
      <c r="BB147" s="557"/>
      <c r="BC147" s="557"/>
      <c r="BD147" s="557"/>
      <c r="BE147" s="557"/>
      <c r="BF147" s="557"/>
      <c r="BG147" s="557"/>
      <c r="BH147" s="557"/>
      <c r="BI147" s="1163"/>
    </row>
    <row r="148" spans="3:61" s="992" customFormat="1" x14ac:dyDescent="0.45">
      <c r="C148" s="1267"/>
      <c r="E148" s="1261"/>
      <c r="F148" s="72">
        <v>60</v>
      </c>
      <c r="G148" s="56">
        <v>2.8111302369228728</v>
      </c>
      <c r="H148" s="56">
        <v>2.8290180173466331</v>
      </c>
      <c r="I148" s="56">
        <v>2.8469057977703938</v>
      </c>
      <c r="J148" s="56">
        <v>2.8647935781941545</v>
      </c>
      <c r="K148" s="56">
        <v>2.8826813586179147</v>
      </c>
      <c r="L148" s="56">
        <v>2.900569139041675</v>
      </c>
      <c r="M148" s="73">
        <v>2.9184569194654353</v>
      </c>
      <c r="N148" s="56">
        <v>2.936344699889196</v>
      </c>
      <c r="O148" s="56">
        <v>2.9542324803129563</v>
      </c>
      <c r="P148" s="56">
        <v>2.9721202607367165</v>
      </c>
      <c r="Q148" s="56">
        <v>2.9900080411604772</v>
      </c>
      <c r="R148" s="56">
        <v>3.1688858453980817</v>
      </c>
      <c r="S148" s="56">
        <v>3.5266414538732906</v>
      </c>
      <c r="T148" s="56">
        <v>3.8843970623484991</v>
      </c>
      <c r="U148" s="56">
        <v>4.2421526708237076</v>
      </c>
      <c r="V148" s="56">
        <v>4.5999082792989165</v>
      </c>
      <c r="W148" s="59">
        <v>4.9576638877741255</v>
      </c>
      <c r="Y148" s="1001"/>
      <c r="Z148" s="25"/>
      <c r="AA148" s="557"/>
      <c r="AB148" s="557"/>
      <c r="AC148" s="557"/>
      <c r="AD148" s="557"/>
      <c r="AE148" s="557"/>
      <c r="AF148" s="557"/>
      <c r="AG148" s="557"/>
      <c r="AH148" s="557"/>
      <c r="AI148" s="557"/>
      <c r="AJ148" s="557"/>
      <c r="AK148" s="557"/>
      <c r="AL148" s="557"/>
      <c r="AM148" s="557"/>
      <c r="AN148" s="557"/>
      <c r="AO148" s="557"/>
      <c r="AP148" s="557"/>
      <c r="AQ148" s="1163"/>
      <c r="AS148" s="1166"/>
      <c r="AT148" s="557"/>
      <c r="AU148" s="557"/>
      <c r="AV148" s="557"/>
      <c r="AW148" s="557"/>
      <c r="AX148" s="557"/>
      <c r="AY148" s="557"/>
      <c r="AZ148" s="557"/>
      <c r="BA148" s="557"/>
      <c r="BB148" s="557"/>
      <c r="BC148" s="557"/>
      <c r="BD148" s="557"/>
      <c r="BE148" s="557"/>
      <c r="BF148" s="557"/>
      <c r="BG148" s="557"/>
      <c r="BH148" s="557"/>
      <c r="BI148" s="1163"/>
    </row>
    <row r="149" spans="3:61" s="992" customFormat="1" x14ac:dyDescent="0.45">
      <c r="C149" s="1267"/>
      <c r="D149" s="1137"/>
      <c r="E149" s="1261"/>
      <c r="F149" s="72">
        <v>70</v>
      </c>
      <c r="G149" s="56">
        <v>2.887429543935498</v>
      </c>
      <c r="H149" s="56">
        <v>2.9054494613258877</v>
      </c>
      <c r="I149" s="56">
        <v>2.9234693787162769</v>
      </c>
      <c r="J149" s="56">
        <v>2.9414892961066661</v>
      </c>
      <c r="K149" s="56">
        <v>2.9595092134970553</v>
      </c>
      <c r="L149" s="56">
        <v>2.9775291308874445</v>
      </c>
      <c r="M149" s="56">
        <v>2.9955490482778337</v>
      </c>
      <c r="N149" s="56">
        <v>3.0135689656682234</v>
      </c>
      <c r="O149" s="56">
        <v>3.0315888830586126</v>
      </c>
      <c r="P149" s="56">
        <v>3.0496088004490018</v>
      </c>
      <c r="Q149" s="56">
        <v>3.0676287178393915</v>
      </c>
      <c r="R149" s="56">
        <v>3.2478278917432837</v>
      </c>
      <c r="S149" s="56">
        <v>3.6082262395510702</v>
      </c>
      <c r="T149" s="56">
        <v>3.9686245873588559</v>
      </c>
      <c r="U149" s="56">
        <v>4.3290229351666412</v>
      </c>
      <c r="V149" s="56">
        <v>4.6894212829744273</v>
      </c>
      <c r="W149" s="59">
        <v>5.0498196307822134</v>
      </c>
      <c r="Y149" s="1001"/>
      <c r="Z149" s="25"/>
      <c r="AA149" s="557"/>
      <c r="AB149" s="557"/>
      <c r="AC149" s="557"/>
      <c r="AD149" s="557"/>
      <c r="AE149" s="557"/>
      <c r="AF149" s="557"/>
      <c r="AG149" s="557"/>
      <c r="AH149" s="557"/>
      <c r="AI149" s="557"/>
      <c r="AJ149" s="557"/>
      <c r="AK149" s="557"/>
      <c r="AL149" s="557"/>
      <c r="AM149" s="557"/>
      <c r="AN149" s="557"/>
      <c r="AO149" s="557"/>
      <c r="AP149" s="557"/>
      <c r="AQ149" s="1163"/>
      <c r="AS149" s="1166"/>
      <c r="AT149" s="557"/>
      <c r="AU149" s="557"/>
      <c r="AV149" s="557"/>
      <c r="AW149" s="557"/>
      <c r="AX149" s="557"/>
      <c r="AY149" s="557"/>
      <c r="AZ149" s="557"/>
      <c r="BA149" s="557"/>
      <c r="BB149" s="557"/>
      <c r="BC149" s="557"/>
      <c r="BD149" s="557"/>
      <c r="BE149" s="557"/>
      <c r="BF149" s="557"/>
      <c r="BG149" s="557"/>
      <c r="BH149" s="557"/>
      <c r="BI149" s="1163"/>
    </row>
    <row r="150" spans="3:61" s="992" customFormat="1" x14ac:dyDescent="0.45">
      <c r="C150" s="1267"/>
      <c r="D150" s="1137"/>
      <c r="E150" s="1261"/>
      <c r="F150" s="72">
        <v>80</v>
      </c>
      <c r="G150" s="56">
        <v>2.9707181004454633</v>
      </c>
      <c r="H150" s="56">
        <v>2.9888822589520965</v>
      </c>
      <c r="I150" s="56">
        <v>3.0070464174587292</v>
      </c>
      <c r="J150" s="56">
        <v>3.0252105759653629</v>
      </c>
      <c r="K150" s="56">
        <v>3.0433747344719952</v>
      </c>
      <c r="L150" s="56">
        <v>3.0615388929786285</v>
      </c>
      <c r="M150" s="56">
        <v>3.0797030514852617</v>
      </c>
      <c r="N150" s="56">
        <v>3.0978672099918949</v>
      </c>
      <c r="O150" s="56">
        <v>3.1160313684985277</v>
      </c>
      <c r="P150" s="56">
        <v>3.1341955270051605</v>
      </c>
      <c r="Q150" s="56">
        <v>3.1523596855117937</v>
      </c>
      <c r="R150" s="56">
        <v>3.3340012705781232</v>
      </c>
      <c r="S150" s="56">
        <v>3.6972844407107841</v>
      </c>
      <c r="T150" s="56">
        <v>4.0605676108434441</v>
      </c>
      <c r="U150" s="56">
        <v>4.4238507809761041</v>
      </c>
      <c r="V150" s="56">
        <v>4.7871339511087641</v>
      </c>
      <c r="W150" s="59">
        <v>5.1504171212414249</v>
      </c>
      <c r="Y150" s="1001"/>
      <c r="Z150" s="25"/>
      <c r="AA150" s="557"/>
      <c r="AB150" s="557"/>
      <c r="AC150" s="557"/>
      <c r="AD150" s="557"/>
      <c r="AE150" s="557"/>
      <c r="AF150" s="557"/>
      <c r="AG150" s="557"/>
      <c r="AH150" s="557"/>
      <c r="AI150" s="557"/>
      <c r="AJ150" s="557"/>
      <c r="AK150" s="557"/>
      <c r="AL150" s="557"/>
      <c r="AM150" s="557"/>
      <c r="AN150" s="557"/>
      <c r="AO150" s="557"/>
      <c r="AP150" s="557"/>
      <c r="AQ150" s="1163"/>
      <c r="AS150" s="1166"/>
      <c r="AT150" s="557"/>
      <c r="AU150" s="557"/>
      <c r="AV150" s="557"/>
      <c r="AW150" s="557"/>
      <c r="AX150" s="557"/>
      <c r="AY150" s="557"/>
      <c r="AZ150" s="557"/>
      <c r="BA150" s="557"/>
      <c r="BB150" s="557"/>
      <c r="BC150" s="557"/>
      <c r="BD150" s="557"/>
      <c r="BE150" s="557"/>
      <c r="BF150" s="557"/>
      <c r="BG150" s="557"/>
      <c r="BH150" s="557"/>
      <c r="BI150" s="1163"/>
    </row>
    <row r="151" spans="3:61" s="992" customFormat="1" x14ac:dyDescent="0.45">
      <c r="C151" s="1267"/>
      <c r="D151" s="1137"/>
      <c r="E151" s="1261"/>
      <c r="F151" s="72">
        <v>90</v>
      </c>
      <c r="G151" s="56">
        <v>3.0620023583803855</v>
      </c>
      <c r="H151" s="56">
        <v>3.0803246051504214</v>
      </c>
      <c r="I151" s="56">
        <v>3.0986468519204573</v>
      </c>
      <c r="J151" s="56">
        <v>3.1169690986904941</v>
      </c>
      <c r="K151" s="56">
        <v>3.13529134546053</v>
      </c>
      <c r="L151" s="56">
        <v>3.1536135922305668</v>
      </c>
      <c r="M151" s="56">
        <v>3.1719358390006027</v>
      </c>
      <c r="N151" s="56">
        <v>3.1902580857706386</v>
      </c>
      <c r="O151" s="56">
        <v>3.208580332540675</v>
      </c>
      <c r="P151" s="56">
        <v>3.2269025793107113</v>
      </c>
      <c r="Q151" s="56">
        <v>3.2452248260807472</v>
      </c>
      <c r="R151" s="56">
        <v>3.4284472937811081</v>
      </c>
      <c r="S151" s="56">
        <v>3.7948922291818308</v>
      </c>
      <c r="T151" s="56">
        <v>4.1613371645825534</v>
      </c>
      <c r="U151" s="56">
        <v>4.5277820999832752</v>
      </c>
      <c r="V151" s="56">
        <v>4.8942270353839969</v>
      </c>
      <c r="W151" s="59">
        <v>5.2606719707847196</v>
      </c>
      <c r="Y151" s="1001"/>
      <c r="Z151" s="25"/>
      <c r="AA151" s="557"/>
      <c r="AB151" s="557"/>
      <c r="AC151" s="557"/>
      <c r="AD151" s="557"/>
      <c r="AE151" s="557"/>
      <c r="AF151" s="557"/>
      <c r="AG151" s="557"/>
      <c r="AH151" s="557"/>
      <c r="AI151" s="557"/>
      <c r="AJ151" s="557"/>
      <c r="AK151" s="557"/>
      <c r="AL151" s="557"/>
      <c r="AM151" s="557"/>
      <c r="AN151" s="557"/>
      <c r="AO151" s="557"/>
      <c r="AP151" s="557"/>
      <c r="AQ151" s="1163"/>
      <c r="AS151" s="1166"/>
      <c r="AT151" s="557"/>
      <c r="AU151" s="557"/>
      <c r="AV151" s="557"/>
      <c r="AW151" s="557"/>
      <c r="AX151" s="557"/>
      <c r="AY151" s="557"/>
      <c r="AZ151" s="557"/>
      <c r="BA151" s="557"/>
      <c r="BB151" s="557"/>
      <c r="BC151" s="557"/>
      <c r="BD151" s="557"/>
      <c r="BE151" s="557"/>
      <c r="BF151" s="557"/>
      <c r="BG151" s="557"/>
      <c r="BH151" s="557"/>
      <c r="BI151" s="1163"/>
    </row>
    <row r="152" spans="3:61" s="992" customFormat="1" x14ac:dyDescent="0.45">
      <c r="C152" s="1267"/>
      <c r="D152" s="1137"/>
      <c r="E152" s="1261"/>
      <c r="F152" s="72">
        <v>100</v>
      </c>
      <c r="G152" s="56">
        <v>3.1624917515692492</v>
      </c>
      <c r="H152" s="56">
        <v>3.180988028276309</v>
      </c>
      <c r="I152" s="56">
        <v>3.1994843049833683</v>
      </c>
      <c r="J152" s="56">
        <v>3.2179805816904281</v>
      </c>
      <c r="K152" s="56">
        <v>3.2364768583974879</v>
      </c>
      <c r="L152" s="56">
        <v>3.2549731351045477</v>
      </c>
      <c r="M152" s="56">
        <v>3.2734694118116074</v>
      </c>
      <c r="N152" s="56">
        <v>3.2919656885186672</v>
      </c>
      <c r="O152" s="56">
        <v>3.310461965225727</v>
      </c>
      <c r="P152" s="56">
        <v>3.3289582419327863</v>
      </c>
      <c r="Q152" s="56">
        <v>3.3474545186398466</v>
      </c>
      <c r="R152" s="56">
        <v>3.532417285710443</v>
      </c>
      <c r="S152" s="56">
        <v>3.9023428198516377</v>
      </c>
      <c r="T152" s="56">
        <v>4.2722683539928319</v>
      </c>
      <c r="U152" s="56">
        <v>4.6421938881340257</v>
      </c>
      <c r="V152" s="56">
        <v>5.0121194222752203</v>
      </c>
      <c r="W152" s="59">
        <v>5.3820449564164141</v>
      </c>
      <c r="Y152" s="1001"/>
      <c r="Z152" s="25"/>
      <c r="AA152" s="557"/>
      <c r="AB152" s="557"/>
      <c r="AC152" s="557"/>
      <c r="AD152" s="557"/>
      <c r="AE152" s="557"/>
      <c r="AF152" s="557"/>
      <c r="AG152" s="557"/>
      <c r="AH152" s="557"/>
      <c r="AI152" s="557"/>
      <c r="AJ152" s="557"/>
      <c r="AK152" s="557"/>
      <c r="AL152" s="557"/>
      <c r="AM152" s="557"/>
      <c r="AN152" s="557"/>
      <c r="AO152" s="557"/>
      <c r="AP152" s="557"/>
      <c r="AQ152" s="1163"/>
      <c r="AS152" s="1166"/>
      <c r="AT152" s="557"/>
      <c r="AU152" s="557"/>
      <c r="AV152" s="557"/>
      <c r="AW152" s="557"/>
      <c r="AX152" s="557"/>
      <c r="AY152" s="557"/>
      <c r="AZ152" s="557"/>
      <c r="BA152" s="557"/>
      <c r="BB152" s="557"/>
      <c r="BC152" s="557"/>
      <c r="BD152" s="557"/>
      <c r="BE152" s="557"/>
      <c r="BF152" s="557"/>
      <c r="BG152" s="557"/>
      <c r="BH152" s="557"/>
      <c r="BI152" s="1163"/>
    </row>
    <row r="153" spans="3:61" s="992" customFormat="1" x14ac:dyDescent="0.45">
      <c r="C153" s="1267"/>
      <c r="D153" s="1137"/>
      <c r="E153" s="1261"/>
      <c r="F153" s="72">
        <v>200</v>
      </c>
      <c r="G153" s="56">
        <v>5.2677164692130409</v>
      </c>
      <c r="H153" s="56">
        <v>5.28985862448903</v>
      </c>
      <c r="I153" s="56">
        <v>5.3120007797650199</v>
      </c>
      <c r="J153" s="56">
        <v>5.3341429350410099</v>
      </c>
      <c r="K153" s="56">
        <v>5.3562850903169998</v>
      </c>
      <c r="L153" s="56">
        <v>5.3784272455929889</v>
      </c>
      <c r="M153" s="56">
        <v>5.4005694008689789</v>
      </c>
      <c r="N153" s="56">
        <v>5.4227115561449688</v>
      </c>
      <c r="O153" s="56">
        <v>5.4448537114209579</v>
      </c>
      <c r="P153" s="56">
        <v>5.4669958666969478</v>
      </c>
      <c r="Q153" s="56">
        <v>5.4891380219729378</v>
      </c>
      <c r="R153" s="56">
        <v>5.7105595747328337</v>
      </c>
      <c r="S153" s="56">
        <v>6.1534026802526292</v>
      </c>
      <c r="T153" s="56">
        <v>6.5962457857724228</v>
      </c>
      <c r="U153" s="56">
        <v>7.0390888912922165</v>
      </c>
      <c r="V153" s="56">
        <v>7.4819319968120119</v>
      </c>
      <c r="W153" s="59">
        <v>7.9247751023318047</v>
      </c>
      <c r="Y153" s="1001"/>
      <c r="Z153" s="25"/>
      <c r="AA153" s="557"/>
      <c r="AB153" s="557"/>
      <c r="AC153" s="557"/>
      <c r="AD153" s="557"/>
      <c r="AE153" s="557"/>
      <c r="AF153" s="557"/>
      <c r="AG153" s="557"/>
      <c r="AH153" s="557"/>
      <c r="AI153" s="557"/>
      <c r="AJ153" s="557"/>
      <c r="AK153" s="557"/>
      <c r="AL153" s="557"/>
      <c r="AM153" s="557"/>
      <c r="AN153" s="557"/>
      <c r="AO153" s="557"/>
      <c r="AP153" s="557"/>
      <c r="AQ153" s="1163"/>
      <c r="AS153" s="1166"/>
      <c r="AT153" s="557"/>
      <c r="AU153" s="557"/>
      <c r="AV153" s="557"/>
      <c r="AW153" s="557"/>
      <c r="AX153" s="557"/>
      <c r="AY153" s="557"/>
      <c r="AZ153" s="557"/>
      <c r="BA153" s="557"/>
      <c r="BB153" s="557"/>
      <c r="BC153" s="557"/>
      <c r="BD153" s="557"/>
      <c r="BE153" s="557"/>
      <c r="BF153" s="557"/>
      <c r="BG153" s="557"/>
      <c r="BH153" s="557"/>
      <c r="BI153" s="1163"/>
    </row>
    <row r="154" spans="3:61" s="992" customFormat="1" x14ac:dyDescent="0.45">
      <c r="C154" s="1267"/>
      <c r="D154" s="1137"/>
      <c r="E154" s="1261"/>
      <c r="F154" s="72">
        <v>300</v>
      </c>
      <c r="G154" s="56">
        <v>6.6711996143088994</v>
      </c>
      <c r="H154" s="56">
        <v>6.6957723552975104</v>
      </c>
      <c r="I154" s="56">
        <v>6.7203450962861186</v>
      </c>
      <c r="J154" s="56">
        <v>6.7449178372747287</v>
      </c>
      <c r="K154" s="56">
        <v>6.7694905782633388</v>
      </c>
      <c r="L154" s="56">
        <v>6.7940633192519488</v>
      </c>
      <c r="M154" s="56">
        <v>6.8186360602405571</v>
      </c>
      <c r="N154" s="56">
        <v>6.8432088012291672</v>
      </c>
      <c r="O154" s="56">
        <v>6.8677815422177781</v>
      </c>
      <c r="P154" s="56">
        <v>6.8923542832063882</v>
      </c>
      <c r="Q154" s="56">
        <v>6.9169270241949965</v>
      </c>
      <c r="R154" s="56">
        <v>7.1626544340810927</v>
      </c>
      <c r="S154" s="56">
        <v>7.6541092538532887</v>
      </c>
      <c r="T154" s="56">
        <v>8.1455640736254811</v>
      </c>
      <c r="U154" s="56">
        <v>8.637018893397677</v>
      </c>
      <c r="V154" s="56">
        <v>9.1284737131698712</v>
      </c>
      <c r="W154" s="59">
        <v>9.6199285329420654</v>
      </c>
      <c r="Y154" s="1001"/>
      <c r="Z154" s="25"/>
      <c r="AA154" s="557"/>
      <c r="AB154" s="557"/>
      <c r="AC154" s="557"/>
      <c r="AD154" s="557"/>
      <c r="AE154" s="557"/>
      <c r="AF154" s="557"/>
      <c r="AG154" s="557"/>
      <c r="AH154" s="557"/>
      <c r="AI154" s="557"/>
      <c r="AJ154" s="557"/>
      <c r="AK154" s="557"/>
      <c r="AL154" s="557"/>
      <c r="AM154" s="557"/>
      <c r="AN154" s="557"/>
      <c r="AO154" s="557"/>
      <c r="AP154" s="557"/>
      <c r="AQ154" s="1163"/>
      <c r="AS154" s="1166"/>
      <c r="AT154" s="557"/>
      <c r="AU154" s="557"/>
      <c r="AV154" s="557"/>
      <c r="AW154" s="557"/>
      <c r="AX154" s="557"/>
      <c r="AY154" s="557"/>
      <c r="AZ154" s="557"/>
      <c r="BA154" s="557"/>
      <c r="BB154" s="557"/>
      <c r="BC154" s="557"/>
      <c r="BD154" s="557"/>
      <c r="BE154" s="557"/>
      <c r="BF154" s="557"/>
      <c r="BG154" s="557"/>
      <c r="BH154" s="557"/>
      <c r="BI154" s="1163"/>
    </row>
    <row r="155" spans="3:61" s="992" customFormat="1" x14ac:dyDescent="0.45">
      <c r="C155" s="1267"/>
      <c r="D155" s="1137"/>
      <c r="E155" s="1261"/>
      <c r="F155" s="72">
        <v>400</v>
      </c>
      <c r="G155" s="56">
        <v>8.0746827594047605</v>
      </c>
      <c r="H155" s="56">
        <v>8.1016860861059907</v>
      </c>
      <c r="I155" s="56">
        <v>8.1286894128072209</v>
      </c>
      <c r="J155" s="56">
        <v>8.1556927395084493</v>
      </c>
      <c r="K155" s="56">
        <v>8.1826960662096795</v>
      </c>
      <c r="L155" s="56">
        <v>8.2096993929109097</v>
      </c>
      <c r="M155" s="56">
        <v>8.2367027196121381</v>
      </c>
      <c r="N155" s="56">
        <v>8.2637060463133682</v>
      </c>
      <c r="O155" s="56">
        <v>8.2907093730145984</v>
      </c>
      <c r="P155" s="56">
        <v>8.3177126997158286</v>
      </c>
      <c r="Q155" s="56">
        <v>8.344716026417057</v>
      </c>
      <c r="R155" s="56">
        <v>8.6147492934293535</v>
      </c>
      <c r="S155" s="56">
        <v>9.1548158274539482</v>
      </c>
      <c r="T155" s="56">
        <v>9.6948823614785429</v>
      </c>
      <c r="U155" s="56">
        <v>10.234948895503138</v>
      </c>
      <c r="V155" s="56">
        <v>10.775015429527731</v>
      </c>
      <c r="W155" s="59">
        <v>11.315081963552325</v>
      </c>
      <c r="Y155" s="1001"/>
      <c r="Z155" s="25"/>
      <c r="AA155" s="557"/>
      <c r="AB155" s="557"/>
      <c r="AC155" s="557"/>
      <c r="AD155" s="557"/>
      <c r="AE155" s="557"/>
      <c r="AF155" s="557"/>
      <c r="AG155" s="557"/>
      <c r="AH155" s="557"/>
      <c r="AI155" s="557"/>
      <c r="AJ155" s="557"/>
      <c r="AK155" s="557"/>
      <c r="AL155" s="557"/>
      <c r="AM155" s="557"/>
      <c r="AN155" s="557"/>
      <c r="AO155" s="557"/>
      <c r="AP155" s="557"/>
      <c r="AQ155" s="1163"/>
      <c r="AS155" s="1166"/>
      <c r="AT155" s="557"/>
      <c r="AU155" s="557"/>
      <c r="AV155" s="557"/>
      <c r="AW155" s="557"/>
      <c r="AX155" s="557"/>
      <c r="AY155" s="557"/>
      <c r="AZ155" s="557"/>
      <c r="BA155" s="557"/>
      <c r="BB155" s="557"/>
      <c r="BC155" s="557"/>
      <c r="BD155" s="557"/>
      <c r="BE155" s="557"/>
      <c r="BF155" s="557"/>
      <c r="BG155" s="557"/>
      <c r="BH155" s="557"/>
      <c r="BI155" s="1163"/>
    </row>
    <row r="156" spans="3:61" s="992" customFormat="1" x14ac:dyDescent="0.45">
      <c r="C156" s="1267"/>
      <c r="D156" s="1137"/>
      <c r="E156" s="1261"/>
      <c r="F156" s="72">
        <v>500</v>
      </c>
      <c r="G156" s="56">
        <v>9.4781659045006208</v>
      </c>
      <c r="H156" s="56">
        <v>9.5075998169144693</v>
      </c>
      <c r="I156" s="56">
        <v>9.5370337293283196</v>
      </c>
      <c r="J156" s="56">
        <v>9.5664676417421699</v>
      </c>
      <c r="K156" s="56">
        <v>9.5959015541560202</v>
      </c>
      <c r="L156" s="56">
        <v>9.6253354665698687</v>
      </c>
      <c r="M156" s="56">
        <v>9.6547693789837172</v>
      </c>
      <c r="N156" s="56">
        <v>9.6842032913975675</v>
      </c>
      <c r="O156" s="56">
        <v>9.7136372038114178</v>
      </c>
      <c r="P156" s="56">
        <v>9.7430711162252681</v>
      </c>
      <c r="Q156" s="56">
        <v>9.7725050286391166</v>
      </c>
      <c r="R156" s="56">
        <v>10.066844152777612</v>
      </c>
      <c r="S156" s="56">
        <v>10.655522401054609</v>
      </c>
      <c r="T156" s="56">
        <v>11.244200649331603</v>
      </c>
      <c r="U156" s="56">
        <v>11.832878897608596</v>
      </c>
      <c r="V156" s="56">
        <v>12.421557145885592</v>
      </c>
      <c r="W156" s="59">
        <v>13.010235394162585</v>
      </c>
      <c r="Y156" s="1001"/>
      <c r="Z156" s="25"/>
      <c r="AA156" s="557"/>
      <c r="AB156" s="557"/>
      <c r="AC156" s="557"/>
      <c r="AD156" s="557"/>
      <c r="AE156" s="557"/>
      <c r="AF156" s="557"/>
      <c r="AG156" s="557"/>
      <c r="AH156" s="557"/>
      <c r="AI156" s="557"/>
      <c r="AJ156" s="557"/>
      <c r="AK156" s="557"/>
      <c r="AL156" s="557"/>
      <c r="AM156" s="557"/>
      <c r="AN156" s="557"/>
      <c r="AO156" s="557"/>
      <c r="AP156" s="557"/>
      <c r="AQ156" s="1163"/>
      <c r="AS156" s="1166"/>
      <c r="AT156" s="557"/>
      <c r="AU156" s="557"/>
      <c r="AV156" s="557"/>
      <c r="AW156" s="557"/>
      <c r="AX156" s="557"/>
      <c r="AY156" s="557"/>
      <c r="AZ156" s="557"/>
      <c r="BA156" s="557"/>
      <c r="BB156" s="557"/>
      <c r="BC156" s="557"/>
      <c r="BD156" s="557"/>
      <c r="BE156" s="557"/>
      <c r="BF156" s="557"/>
      <c r="BG156" s="557"/>
      <c r="BH156" s="557"/>
      <c r="BI156" s="1163"/>
    </row>
    <row r="157" spans="3:61" s="992" customFormat="1" x14ac:dyDescent="0.45">
      <c r="C157" s="1267"/>
      <c r="D157" s="1137"/>
      <c r="E157" s="1261"/>
      <c r="F157" s="72">
        <v>600</v>
      </c>
      <c r="G157" s="56">
        <v>10.881649049596483</v>
      </c>
      <c r="H157" s="56">
        <v>10.91351354772295</v>
      </c>
      <c r="I157" s="56">
        <v>10.94537804584942</v>
      </c>
      <c r="J157" s="56">
        <v>10.97724254397589</v>
      </c>
      <c r="K157" s="56">
        <v>11.009107042102361</v>
      </c>
      <c r="L157" s="56">
        <v>11.04097154022883</v>
      </c>
      <c r="M157" s="56">
        <v>11.0728360383553</v>
      </c>
      <c r="N157" s="56">
        <v>11.10470053648177</v>
      </c>
      <c r="O157" s="56">
        <v>11.136565034608239</v>
      </c>
      <c r="P157" s="56">
        <v>11.168429532734709</v>
      </c>
      <c r="Q157" s="56">
        <v>11.20029403086118</v>
      </c>
      <c r="R157" s="56">
        <v>11.518939012125875</v>
      </c>
      <c r="S157" s="56">
        <v>12.156228974655271</v>
      </c>
      <c r="T157" s="56">
        <v>12.793518937184665</v>
      </c>
      <c r="U157" s="56">
        <v>13.430808899714059</v>
      </c>
      <c r="V157" s="56">
        <v>14.068098862243453</v>
      </c>
      <c r="W157" s="59">
        <v>14.705388824772845</v>
      </c>
      <c r="Y157" s="1001"/>
      <c r="Z157" s="25"/>
      <c r="AA157" s="557"/>
      <c r="AB157" s="557"/>
      <c r="AC157" s="557"/>
      <c r="AD157" s="557"/>
      <c r="AE157" s="557"/>
      <c r="AF157" s="557"/>
      <c r="AG157" s="557"/>
      <c r="AH157" s="557"/>
      <c r="AI157" s="557"/>
      <c r="AJ157" s="557"/>
      <c r="AK157" s="557"/>
      <c r="AL157" s="557"/>
      <c r="AM157" s="557"/>
      <c r="AN157" s="557"/>
      <c r="AO157" s="557"/>
      <c r="AP157" s="557"/>
      <c r="AQ157" s="1163"/>
      <c r="AS157" s="1166"/>
      <c r="AT157" s="557"/>
      <c r="AU157" s="557"/>
      <c r="AV157" s="557"/>
      <c r="AW157" s="557"/>
      <c r="AX157" s="557"/>
      <c r="AY157" s="557"/>
      <c r="AZ157" s="557"/>
      <c r="BA157" s="557"/>
      <c r="BB157" s="557"/>
      <c r="BC157" s="557"/>
      <c r="BD157" s="557"/>
      <c r="BE157" s="557"/>
      <c r="BF157" s="557"/>
      <c r="BG157" s="557"/>
      <c r="BH157" s="557"/>
      <c r="BI157" s="1163"/>
    </row>
    <row r="158" spans="3:61" s="992" customFormat="1" x14ac:dyDescent="0.45">
      <c r="C158" s="1267"/>
      <c r="D158" s="1137"/>
      <c r="E158" s="1261"/>
      <c r="F158" s="72">
        <v>700</v>
      </c>
      <c r="G158" s="56">
        <v>12.28513219469234</v>
      </c>
      <c r="H158" s="56">
        <v>12.319427278531428</v>
      </c>
      <c r="I158" s="56">
        <v>12.353722362370519</v>
      </c>
      <c r="J158" s="56">
        <v>12.388017446209609</v>
      </c>
      <c r="K158" s="56">
        <v>12.422312530048698</v>
      </c>
      <c r="L158" s="56">
        <v>12.456607613887789</v>
      </c>
      <c r="M158" s="56">
        <v>12.490902697726879</v>
      </c>
      <c r="N158" s="56">
        <v>12.525197781565966</v>
      </c>
      <c r="O158" s="56">
        <v>12.559492865405057</v>
      </c>
      <c r="P158" s="56">
        <v>12.593787949244147</v>
      </c>
      <c r="Q158" s="56">
        <v>12.628083033083238</v>
      </c>
      <c r="R158" s="56">
        <v>12.971033871474134</v>
      </c>
      <c r="S158" s="56">
        <v>13.656935548255927</v>
      </c>
      <c r="T158" s="56">
        <v>14.342837225037723</v>
      </c>
      <c r="U158" s="56">
        <v>15.028738901819516</v>
      </c>
      <c r="V158" s="56">
        <v>15.71464057860131</v>
      </c>
      <c r="W158" s="59">
        <v>16.400542255383101</v>
      </c>
      <c r="Y158" s="1001"/>
      <c r="Z158" s="25"/>
      <c r="AA158" s="557"/>
      <c r="AB158" s="557"/>
      <c r="AC158" s="557"/>
      <c r="AD158" s="557"/>
      <c r="AE158" s="557"/>
      <c r="AF158" s="557"/>
      <c r="AG158" s="557"/>
      <c r="AH158" s="557"/>
      <c r="AI158" s="557"/>
      <c r="AJ158" s="557"/>
      <c r="AK158" s="557"/>
      <c r="AL158" s="557"/>
      <c r="AM158" s="557"/>
      <c r="AN158" s="557"/>
      <c r="AO158" s="557"/>
      <c r="AP158" s="557"/>
      <c r="AQ158" s="1163"/>
      <c r="AS158" s="1166"/>
      <c r="AT158" s="557"/>
      <c r="AU158" s="557"/>
      <c r="AV158" s="557"/>
      <c r="AW158" s="557"/>
      <c r="AX158" s="557"/>
      <c r="AY158" s="557"/>
      <c r="AZ158" s="557"/>
      <c r="BA158" s="557"/>
      <c r="BB158" s="557"/>
      <c r="BC158" s="557"/>
      <c r="BD158" s="557"/>
      <c r="BE158" s="557"/>
      <c r="BF158" s="557"/>
      <c r="BG158" s="557"/>
      <c r="BH158" s="557"/>
      <c r="BI158" s="1163"/>
    </row>
    <row r="159" spans="3:61" s="992" customFormat="1" x14ac:dyDescent="0.45">
      <c r="C159" s="1267"/>
      <c r="D159" s="1137"/>
      <c r="E159" s="1261"/>
      <c r="F159" s="72">
        <v>800</v>
      </c>
      <c r="G159" s="56">
        <v>13.688615339788203</v>
      </c>
      <c r="H159" s="56">
        <v>13.725341009339912</v>
      </c>
      <c r="I159" s="56">
        <v>13.762066678891623</v>
      </c>
      <c r="J159" s="56">
        <v>13.798792348443333</v>
      </c>
      <c r="K159" s="56">
        <v>13.835518017995042</v>
      </c>
      <c r="L159" s="56">
        <v>13.872243687546751</v>
      </c>
      <c r="M159" s="56">
        <v>13.908969357098462</v>
      </c>
      <c r="N159" s="56">
        <v>13.945695026650171</v>
      </c>
      <c r="O159" s="56">
        <v>13.982420696201883</v>
      </c>
      <c r="P159" s="56">
        <v>14.01914636575359</v>
      </c>
      <c r="Q159" s="56">
        <v>14.055872035305301</v>
      </c>
      <c r="R159" s="56">
        <v>14.423128730822398</v>
      </c>
      <c r="S159" s="56">
        <v>15.157642121856593</v>
      </c>
      <c r="T159" s="56">
        <v>15.892155512890785</v>
      </c>
      <c r="U159" s="56">
        <v>16.62666890392498</v>
      </c>
      <c r="V159" s="56">
        <v>17.361182294959175</v>
      </c>
      <c r="W159" s="59">
        <v>18.095695685993366</v>
      </c>
      <c r="Y159" s="1001"/>
      <c r="Z159" s="25"/>
      <c r="AA159" s="557"/>
      <c r="AB159" s="557"/>
      <c r="AC159" s="557"/>
      <c r="AD159" s="557"/>
      <c r="AE159" s="557"/>
      <c r="AF159" s="557"/>
      <c r="AG159" s="557"/>
      <c r="AH159" s="557"/>
      <c r="AI159" s="557"/>
      <c r="AJ159" s="557"/>
      <c r="AK159" s="557"/>
      <c r="AL159" s="557"/>
      <c r="AM159" s="557"/>
      <c r="AN159" s="557"/>
      <c r="AO159" s="557"/>
      <c r="AP159" s="557"/>
      <c r="AQ159" s="1163"/>
      <c r="AS159" s="1166"/>
      <c r="AT159" s="557"/>
      <c r="AU159" s="557"/>
      <c r="AV159" s="557"/>
      <c r="AW159" s="557"/>
      <c r="AX159" s="557"/>
      <c r="AY159" s="557"/>
      <c r="AZ159" s="557"/>
      <c r="BA159" s="557"/>
      <c r="BB159" s="557"/>
      <c r="BC159" s="557"/>
      <c r="BD159" s="557"/>
      <c r="BE159" s="557"/>
      <c r="BF159" s="557"/>
      <c r="BG159" s="557"/>
      <c r="BH159" s="557"/>
      <c r="BI159" s="1163"/>
    </row>
    <row r="160" spans="3:61" s="992" customFormat="1" ht="14.65" thickBot="1" x14ac:dyDescent="0.5">
      <c r="C160" s="1268"/>
      <c r="D160" s="1137"/>
      <c r="E160" s="1262"/>
      <c r="F160" s="374">
        <v>900</v>
      </c>
      <c r="G160" s="57">
        <v>15.092098484884064</v>
      </c>
      <c r="H160" s="57">
        <v>15.131254740148391</v>
      </c>
      <c r="I160" s="57">
        <v>15.170410995412723</v>
      </c>
      <c r="J160" s="57">
        <v>15.209567250677051</v>
      </c>
      <c r="K160" s="57">
        <v>15.248723505941385</v>
      </c>
      <c r="L160" s="57">
        <v>15.287879761205712</v>
      </c>
      <c r="M160" s="57">
        <v>15.327036016470041</v>
      </c>
      <c r="N160" s="57">
        <v>15.366192271734372</v>
      </c>
      <c r="O160" s="57">
        <v>15.405348526998701</v>
      </c>
      <c r="P160" s="57">
        <v>15.44450478226303</v>
      </c>
      <c r="Q160" s="57">
        <v>15.483661037527362</v>
      </c>
      <c r="R160" s="57">
        <v>15.875223590170656</v>
      </c>
      <c r="S160" s="57">
        <v>16.658348695457253</v>
      </c>
      <c r="T160" s="57">
        <v>17.441473800743847</v>
      </c>
      <c r="U160" s="57">
        <v>18.22459890603044</v>
      </c>
      <c r="V160" s="57">
        <v>19.00772401131703</v>
      </c>
      <c r="W160" s="60">
        <v>19.790849116603624</v>
      </c>
      <c r="Y160" s="1001"/>
      <c r="Z160" s="25"/>
      <c r="AA160" s="557"/>
      <c r="AB160" s="557"/>
      <c r="AC160" s="557"/>
      <c r="AD160" s="557"/>
      <c r="AE160" s="557"/>
      <c r="AF160" s="557"/>
      <c r="AG160" s="557"/>
      <c r="AH160" s="557"/>
      <c r="AI160" s="557"/>
      <c r="AJ160" s="557"/>
      <c r="AK160" s="557"/>
      <c r="AL160" s="557"/>
      <c r="AM160" s="557"/>
      <c r="AN160" s="557"/>
      <c r="AO160" s="557"/>
      <c r="AP160" s="557"/>
      <c r="AQ160" s="1163"/>
      <c r="AS160" s="1166"/>
      <c r="AT160" s="557"/>
      <c r="AU160" s="557"/>
      <c r="AV160" s="557"/>
      <c r="AW160" s="557"/>
      <c r="AX160" s="557"/>
      <c r="AY160" s="557"/>
      <c r="AZ160" s="557"/>
      <c r="BA160" s="557"/>
      <c r="BB160" s="557"/>
      <c r="BC160" s="557"/>
      <c r="BD160" s="557"/>
      <c r="BE160" s="557"/>
      <c r="BF160" s="557"/>
      <c r="BG160" s="557"/>
      <c r="BH160" s="557"/>
      <c r="BI160" s="1163"/>
    </row>
    <row r="161" spans="3:61" s="992" customFormat="1" ht="14.65" thickBot="1" x14ac:dyDescent="0.5">
      <c r="C161" s="531"/>
      <c r="D161" s="993"/>
      <c r="E161" s="1168"/>
      <c r="F161" s="321"/>
      <c r="G161" s="56"/>
      <c r="H161" s="56"/>
      <c r="I161" s="56"/>
      <c r="J161" s="56"/>
      <c r="K161" s="56"/>
      <c r="L161" s="56"/>
      <c r="M161" s="56"/>
      <c r="N161" s="56"/>
      <c r="O161" s="56"/>
      <c r="P161" s="56"/>
      <c r="Q161" s="56"/>
      <c r="R161" s="56"/>
      <c r="S161" s="56"/>
      <c r="T161" s="56"/>
      <c r="U161" s="56"/>
      <c r="V161" s="56"/>
      <c r="W161" s="56"/>
      <c r="Y161" s="1001"/>
      <c r="Z161" s="25"/>
      <c r="AA161" s="557"/>
      <c r="AB161" s="557"/>
      <c r="AC161" s="557"/>
      <c r="AD161" s="557"/>
      <c r="AE161" s="557"/>
      <c r="AF161" s="557"/>
      <c r="AG161" s="557"/>
      <c r="AH161" s="557"/>
      <c r="AI161" s="557"/>
      <c r="AJ161" s="557"/>
      <c r="AK161" s="557"/>
      <c r="AL161" s="557"/>
      <c r="AM161" s="557"/>
      <c r="AN161" s="557"/>
      <c r="AO161" s="557"/>
      <c r="AP161" s="557"/>
      <c r="AQ161" s="1163"/>
      <c r="AS161" s="1166"/>
      <c r="AT161" s="557"/>
      <c r="AU161" s="557"/>
      <c r="AV161" s="557"/>
      <c r="AW161" s="557"/>
      <c r="AX161" s="557"/>
      <c r="AY161" s="557"/>
      <c r="AZ161" s="557"/>
      <c r="BA161" s="557"/>
      <c r="BB161" s="557"/>
      <c r="BC161" s="557"/>
      <c r="BD161" s="557"/>
      <c r="BE161" s="557"/>
      <c r="BF161" s="557"/>
      <c r="BG161" s="557"/>
      <c r="BH161" s="557"/>
      <c r="BI161" s="1163"/>
    </row>
    <row r="162" spans="3:61" ht="15" customHeight="1" thickBot="1" x14ac:dyDescent="0.5">
      <c r="C162" s="1263" t="s">
        <v>80</v>
      </c>
      <c r="D162" s="376" t="s">
        <v>149</v>
      </c>
      <c r="E162" s="29"/>
      <c r="F162" s="29" t="s">
        <v>206</v>
      </c>
      <c r="G162" s="381">
        <v>0</v>
      </c>
      <c r="H162" s="382">
        <v>10</v>
      </c>
      <c r="I162" s="382">
        <v>20</v>
      </c>
      <c r="J162" s="382">
        <v>30</v>
      </c>
      <c r="K162" s="382">
        <v>40</v>
      </c>
      <c r="L162" s="382">
        <v>50</v>
      </c>
      <c r="M162" s="382">
        <v>60</v>
      </c>
      <c r="N162" s="382">
        <v>70</v>
      </c>
      <c r="O162" s="382">
        <v>80</v>
      </c>
      <c r="P162" s="382">
        <v>90</v>
      </c>
      <c r="Q162" s="382">
        <v>100</v>
      </c>
      <c r="R162" s="382">
        <v>200</v>
      </c>
      <c r="S162" s="382">
        <v>400</v>
      </c>
      <c r="T162" s="382">
        <v>600</v>
      </c>
      <c r="U162" s="382">
        <v>800</v>
      </c>
      <c r="V162" s="382">
        <v>1000</v>
      </c>
      <c r="W162" s="383">
        <v>1200</v>
      </c>
      <c r="Y162" s="1001"/>
      <c r="Z162" s="25" t="s">
        <v>206</v>
      </c>
      <c r="AA162" s="1164">
        <v>0</v>
      </c>
      <c r="AB162" s="1164">
        <v>10</v>
      </c>
      <c r="AC162" s="1164">
        <v>20</v>
      </c>
      <c r="AD162" s="1164">
        <v>30</v>
      </c>
      <c r="AE162" s="1164">
        <v>40</v>
      </c>
      <c r="AF162" s="1164">
        <v>50</v>
      </c>
      <c r="AG162" s="1164">
        <v>60</v>
      </c>
      <c r="AH162" s="1164">
        <v>70</v>
      </c>
      <c r="AI162" s="1164">
        <v>80</v>
      </c>
      <c r="AJ162" s="1164">
        <v>90</v>
      </c>
      <c r="AK162" s="1164">
        <v>100</v>
      </c>
      <c r="AL162" s="1164">
        <v>200</v>
      </c>
      <c r="AM162" s="1164">
        <v>400</v>
      </c>
      <c r="AN162" s="1164">
        <v>600</v>
      </c>
      <c r="AO162" s="1164">
        <v>800</v>
      </c>
      <c r="AP162" s="1164">
        <v>1000</v>
      </c>
      <c r="AQ162" s="933">
        <v>1200</v>
      </c>
      <c r="AS162" s="797">
        <v>0</v>
      </c>
      <c r="AT162" s="1164">
        <v>10</v>
      </c>
      <c r="AU162" s="1164">
        <v>20</v>
      </c>
      <c r="AV162" s="1164">
        <v>30</v>
      </c>
      <c r="AW162" s="1164">
        <v>40</v>
      </c>
      <c r="AX162" s="1164">
        <v>50</v>
      </c>
      <c r="AY162" s="1164">
        <v>60</v>
      </c>
      <c r="AZ162" s="1164">
        <v>70</v>
      </c>
      <c r="BA162" s="1164">
        <v>80</v>
      </c>
      <c r="BB162" s="1164">
        <v>90</v>
      </c>
      <c r="BC162" s="1164">
        <v>100</v>
      </c>
      <c r="BD162" s="1164">
        <v>200</v>
      </c>
      <c r="BE162" s="1164">
        <v>400</v>
      </c>
      <c r="BF162" s="1164">
        <v>600</v>
      </c>
      <c r="BG162" s="1164">
        <v>800</v>
      </c>
      <c r="BH162" s="1164">
        <v>1000</v>
      </c>
      <c r="BI162" s="933">
        <v>1200</v>
      </c>
    </row>
    <row r="163" spans="3:61" ht="15" customHeight="1" x14ac:dyDescent="0.45">
      <c r="C163" s="1264"/>
      <c r="D163" s="377"/>
      <c r="E163" s="1260" t="s">
        <v>205</v>
      </c>
      <c r="F163" s="375">
        <v>0</v>
      </c>
      <c r="G163" s="379">
        <v>3.3052433451215908</v>
      </c>
      <c r="H163" s="379">
        <v>3.3629944520776172</v>
      </c>
      <c r="I163" s="379">
        <v>3.4207992400047456</v>
      </c>
      <c r="J163" s="379">
        <v>3.4786577089029755</v>
      </c>
      <c r="K163" s="379">
        <v>3.5365698587723058</v>
      </c>
      <c r="L163" s="379">
        <v>3.5945356896127381</v>
      </c>
      <c r="M163" s="379">
        <v>3.6525552014242719</v>
      </c>
      <c r="N163" s="379">
        <v>3.710628394206906</v>
      </c>
      <c r="O163" s="379">
        <v>3.7687552679606426</v>
      </c>
      <c r="P163" s="379">
        <v>3.8269358226854795</v>
      </c>
      <c r="Q163" s="379">
        <v>3.8851700583814188</v>
      </c>
      <c r="R163" s="55">
        <v>4.4704648687513791</v>
      </c>
      <c r="S163" s="55">
        <v>5.657158780821697</v>
      </c>
      <c r="T163" s="55">
        <v>6.8653250813325419</v>
      </c>
      <c r="U163" s="55">
        <v>8.0949637702839183</v>
      </c>
      <c r="V163" s="55">
        <v>9.3460748476758244</v>
      </c>
      <c r="W163" s="58">
        <v>10.618658313508259</v>
      </c>
      <c r="Y163" s="1001" t="s">
        <v>205</v>
      </c>
      <c r="Z163" s="25">
        <v>0</v>
      </c>
      <c r="AA163" s="557">
        <v>3.4234051978020252</v>
      </c>
      <c r="AB163" s="557">
        <v>3.4826756729370385</v>
      </c>
      <c r="AC163" s="557">
        <v>3.5419707538570457</v>
      </c>
      <c r="AD163" s="557">
        <v>3.6012904405620478</v>
      </c>
      <c r="AE163" s="557">
        <v>3.6606347330520452</v>
      </c>
      <c r="AF163" s="557">
        <v>3.720003631327037</v>
      </c>
      <c r="AG163" s="557">
        <v>3.7793971353870233</v>
      </c>
      <c r="AH163" s="557">
        <v>3.8388152452320048</v>
      </c>
      <c r="AI163" s="557">
        <v>3.8982579608619812</v>
      </c>
      <c r="AJ163" s="557">
        <v>3.957725282276952</v>
      </c>
      <c r="AK163" s="557">
        <v>4.0172172094769181</v>
      </c>
      <c r="AL163" s="557">
        <v>4.6134897996512851</v>
      </c>
      <c r="AM163" s="557">
        <v>5.8134167154984508</v>
      </c>
      <c r="AN163" s="557">
        <v>7.023185945343517</v>
      </c>
      <c r="AO163" s="557">
        <v>8.2427974891864899</v>
      </c>
      <c r="AP163" s="557">
        <v>9.4722513470273686</v>
      </c>
      <c r="AQ163" s="1163">
        <v>10.711547518866148</v>
      </c>
      <c r="AS163" s="1166">
        <f>AA163-G163</f>
        <v>0.11816185268043444</v>
      </c>
      <c r="AT163" s="557">
        <f t="shared" ref="AT163:AT181" si="71">AB163-H163</f>
        <v>0.11968122085942134</v>
      </c>
      <c r="AU163" s="557">
        <f t="shared" ref="AU163:AU181" si="72">AC163-I163</f>
        <v>0.12117151385230018</v>
      </c>
      <c r="AV163" s="557">
        <f t="shared" ref="AV163:AV181" si="73">AD163-J163</f>
        <v>0.12263273165907229</v>
      </c>
      <c r="AW163" s="557">
        <f t="shared" ref="AW163:AW181" si="74">AE163-K163</f>
        <v>0.12406487427973945</v>
      </c>
      <c r="AX163" s="557">
        <f t="shared" ref="AX163:AX181" si="75">AF163-L163</f>
        <v>0.12546794171429898</v>
      </c>
      <c r="AY163" s="557">
        <f t="shared" ref="AY163:AY181" si="76">AG163-M163</f>
        <v>0.12684193396275134</v>
      </c>
      <c r="AZ163" s="557">
        <f t="shared" ref="AZ163:AZ181" si="77">AH163-N163</f>
        <v>0.12818685102509875</v>
      </c>
      <c r="BA163" s="557">
        <f t="shared" ref="BA163:BA181" si="78">AI163-O163</f>
        <v>0.12950269290133853</v>
      </c>
      <c r="BB163" s="557">
        <f t="shared" ref="BB163:BB181" si="79">AJ163-P163</f>
        <v>0.13078945959147248</v>
      </c>
      <c r="BC163" s="557">
        <f t="shared" ref="BC163:BC181" si="80">AK163-Q163</f>
        <v>0.13204715109549925</v>
      </c>
      <c r="BD163" s="557">
        <f t="shared" ref="BD163:BD181" si="81">AL163-R163</f>
        <v>0.14302493089990609</v>
      </c>
      <c r="BE163" s="557">
        <f t="shared" ref="BE163:BE181" si="82">AM163-S163</f>
        <v>0.15625793467675386</v>
      </c>
      <c r="BF163" s="557">
        <f t="shared" ref="BF163:BF181" si="83">AN163-T163</f>
        <v>0.1578608640109751</v>
      </c>
      <c r="BG163" s="557">
        <f t="shared" ref="BG163:BG181" si="84">AO163-U163</f>
        <v>0.14783371890257158</v>
      </c>
      <c r="BH163" s="557">
        <f t="shared" ref="BH163:BH181" si="85">AP163-V163</f>
        <v>0.12617649935154418</v>
      </c>
      <c r="BI163" s="1163">
        <f t="shared" ref="BI163:BI181" si="86">AQ163-W163</f>
        <v>9.2889205357888471E-2</v>
      </c>
    </row>
    <row r="164" spans="3:61" ht="15" customHeight="1" x14ac:dyDescent="0.45">
      <c r="C164" s="1264"/>
      <c r="D164" s="377"/>
      <c r="E164" s="1261"/>
      <c r="F164" s="72">
        <v>10</v>
      </c>
      <c r="G164" s="56">
        <v>3.3124744818612766</v>
      </c>
      <c r="H164" s="56">
        <v>3.3702786631836026</v>
      </c>
      <c r="I164" s="56">
        <v>3.4281366776777613</v>
      </c>
      <c r="J164" s="56">
        <v>3.4860485253437541</v>
      </c>
      <c r="K164" s="56">
        <v>3.5440142061815805</v>
      </c>
      <c r="L164" s="56">
        <v>3.6020337201912387</v>
      </c>
      <c r="M164" s="56">
        <v>3.6601070673727314</v>
      </c>
      <c r="N164" s="56">
        <v>3.7182342477260564</v>
      </c>
      <c r="O164" s="56">
        <v>3.7764152612512163</v>
      </c>
      <c r="P164" s="56">
        <v>3.8346501079482076</v>
      </c>
      <c r="Q164" s="56">
        <v>3.892938787817033</v>
      </c>
      <c r="R164" s="56">
        <v>4.4787864109561148</v>
      </c>
      <c r="S164" s="56">
        <v>5.6666316087842539</v>
      </c>
      <c r="T164" s="56">
        <v>6.8760100753456896</v>
      </c>
      <c r="U164" s="56">
        <v>8.1069218106404275</v>
      </c>
      <c r="V164" s="56">
        <v>9.3593668146684657</v>
      </c>
      <c r="W164" s="59">
        <v>10.633345087429802</v>
      </c>
      <c r="Y164" s="1001"/>
      <c r="Z164" s="25">
        <v>10</v>
      </c>
      <c r="AA164" s="557">
        <v>3.4306363345417115</v>
      </c>
      <c r="AB164" s="557">
        <v>3.4899598840430235</v>
      </c>
      <c r="AC164" s="557">
        <v>3.5493081915300615</v>
      </c>
      <c r="AD164" s="557">
        <v>3.6086812570028277</v>
      </c>
      <c r="AE164" s="557">
        <v>3.668079080461319</v>
      </c>
      <c r="AF164" s="557">
        <v>3.7275016619055377</v>
      </c>
      <c r="AG164" s="557">
        <v>3.7869490013354836</v>
      </c>
      <c r="AH164" s="557">
        <v>3.8464210987511556</v>
      </c>
      <c r="AI164" s="557">
        <v>3.9059179541525539</v>
      </c>
      <c r="AJ164" s="557">
        <v>3.9654395675396801</v>
      </c>
      <c r="AK164" s="557">
        <v>4.0249859389125326</v>
      </c>
      <c r="AL164" s="557">
        <v>4.6218113418560218</v>
      </c>
      <c r="AM164" s="557">
        <v>5.8228895434610068</v>
      </c>
      <c r="AN164" s="557">
        <v>7.0338709393566647</v>
      </c>
      <c r="AO164" s="557">
        <v>8.2547555295429991</v>
      </c>
      <c r="AP164" s="557">
        <v>9.4855433140200081</v>
      </c>
      <c r="AQ164" s="1163">
        <v>10.726234292787691</v>
      </c>
      <c r="AS164" s="1166">
        <f t="shared" ref="AS164:AS181" si="87">AA164-G164</f>
        <v>0.11816185268043489</v>
      </c>
      <c r="AT164" s="557">
        <f t="shared" si="71"/>
        <v>0.1196812208594209</v>
      </c>
      <c r="AU164" s="557">
        <f t="shared" si="72"/>
        <v>0.12117151385230018</v>
      </c>
      <c r="AV164" s="557">
        <f t="shared" si="73"/>
        <v>0.12263273165907362</v>
      </c>
      <c r="AW164" s="557">
        <f t="shared" si="74"/>
        <v>0.12406487427973856</v>
      </c>
      <c r="AX164" s="557">
        <f t="shared" si="75"/>
        <v>0.12546794171429898</v>
      </c>
      <c r="AY164" s="557">
        <f t="shared" si="76"/>
        <v>0.12684193396275223</v>
      </c>
      <c r="AZ164" s="557">
        <f t="shared" si="77"/>
        <v>0.12818685102509919</v>
      </c>
      <c r="BA164" s="557">
        <f t="shared" si="78"/>
        <v>0.12950269290133765</v>
      </c>
      <c r="BB164" s="557">
        <f t="shared" si="79"/>
        <v>0.13078945959147248</v>
      </c>
      <c r="BC164" s="557">
        <f t="shared" si="80"/>
        <v>0.13204715109549969</v>
      </c>
      <c r="BD164" s="557">
        <f t="shared" si="81"/>
        <v>0.14302493089990698</v>
      </c>
      <c r="BE164" s="557">
        <f t="shared" si="82"/>
        <v>0.15625793467675297</v>
      </c>
      <c r="BF164" s="557">
        <f t="shared" si="83"/>
        <v>0.1578608640109751</v>
      </c>
      <c r="BG164" s="557">
        <f t="shared" si="84"/>
        <v>0.14783371890257158</v>
      </c>
      <c r="BH164" s="557">
        <f t="shared" si="85"/>
        <v>0.1261764993515424</v>
      </c>
      <c r="BI164" s="1163">
        <f t="shared" si="86"/>
        <v>9.2889205357888471E-2</v>
      </c>
    </row>
    <row r="165" spans="3:61" ht="15" customHeight="1" x14ac:dyDescent="0.45">
      <c r="C165" s="1264"/>
      <c r="D165" s="377"/>
      <c r="E165" s="1261"/>
      <c r="F165" s="72">
        <v>20</v>
      </c>
      <c r="G165" s="56">
        <v>3.3197056186009624</v>
      </c>
      <c r="H165" s="380">
        <v>3.3775628742895871</v>
      </c>
      <c r="I165" s="56">
        <v>3.435474115350778</v>
      </c>
      <c r="J165" s="56">
        <v>3.4934393417845335</v>
      </c>
      <c r="K165" s="56">
        <v>3.5514585535908547</v>
      </c>
      <c r="L165" s="56">
        <v>3.6095317507697402</v>
      </c>
      <c r="M165" s="56">
        <v>3.6676589333211917</v>
      </c>
      <c r="N165" s="56">
        <v>3.7258401012452076</v>
      </c>
      <c r="O165" s="56">
        <v>3.7840752545417895</v>
      </c>
      <c r="P165" s="56">
        <v>3.8423643932109357</v>
      </c>
      <c r="Q165" s="56">
        <v>3.9007075172526475</v>
      </c>
      <c r="R165" s="56">
        <v>4.4871079531608498</v>
      </c>
      <c r="S165" s="56">
        <v>5.6761044367468099</v>
      </c>
      <c r="T165" s="56">
        <v>6.8866950693588365</v>
      </c>
      <c r="U165" s="56">
        <v>8.1188798509969349</v>
      </c>
      <c r="V165" s="56">
        <v>9.3726587816611051</v>
      </c>
      <c r="W165" s="59">
        <v>10.648031861351345</v>
      </c>
      <c r="Y165" s="1001"/>
      <c r="Z165" s="25">
        <v>20</v>
      </c>
      <c r="AA165" s="557">
        <v>3.4378674712813968</v>
      </c>
      <c r="AB165" s="557">
        <v>3.497244095149008</v>
      </c>
      <c r="AC165" s="557">
        <v>3.5566456292030786</v>
      </c>
      <c r="AD165" s="557">
        <v>3.6160720734436058</v>
      </c>
      <c r="AE165" s="557">
        <v>3.6755234278705933</v>
      </c>
      <c r="AF165" s="557">
        <v>3.7349996924840392</v>
      </c>
      <c r="AG165" s="557">
        <v>3.7945008672839435</v>
      </c>
      <c r="AH165" s="557">
        <v>3.8540269522703055</v>
      </c>
      <c r="AI165" s="557">
        <v>3.9135779474431276</v>
      </c>
      <c r="AJ165" s="557">
        <v>3.9731538528024077</v>
      </c>
      <c r="AK165" s="557">
        <v>4.0327546683481472</v>
      </c>
      <c r="AL165" s="557">
        <v>4.6301328840607567</v>
      </c>
      <c r="AM165" s="557">
        <v>5.832362371423562</v>
      </c>
      <c r="AN165" s="557">
        <v>7.0445559333698125</v>
      </c>
      <c r="AO165" s="557">
        <v>8.2667135698995082</v>
      </c>
      <c r="AP165" s="557">
        <v>9.4988352810126493</v>
      </c>
      <c r="AQ165" s="1163">
        <v>10.740921066709236</v>
      </c>
      <c r="AS165" s="1166">
        <f t="shared" si="87"/>
        <v>0.11816185268043444</v>
      </c>
      <c r="AT165" s="557">
        <f t="shared" si="71"/>
        <v>0.1196812208594209</v>
      </c>
      <c r="AU165" s="557">
        <f t="shared" si="72"/>
        <v>0.12117151385230063</v>
      </c>
      <c r="AV165" s="557">
        <f t="shared" si="73"/>
        <v>0.12263273165907229</v>
      </c>
      <c r="AW165" s="557">
        <f t="shared" si="74"/>
        <v>0.12406487427973856</v>
      </c>
      <c r="AX165" s="557">
        <f t="shared" si="75"/>
        <v>0.12546794171429898</v>
      </c>
      <c r="AY165" s="557">
        <f t="shared" si="76"/>
        <v>0.12684193396275179</v>
      </c>
      <c r="AZ165" s="557">
        <f t="shared" si="77"/>
        <v>0.12818685102509786</v>
      </c>
      <c r="BA165" s="557">
        <f t="shared" si="78"/>
        <v>0.12950269290133809</v>
      </c>
      <c r="BB165" s="557">
        <f t="shared" si="79"/>
        <v>0.13078945959147203</v>
      </c>
      <c r="BC165" s="557">
        <f t="shared" si="80"/>
        <v>0.13204715109549969</v>
      </c>
      <c r="BD165" s="557">
        <f t="shared" si="81"/>
        <v>0.14302493089990698</v>
      </c>
      <c r="BE165" s="557">
        <f t="shared" si="82"/>
        <v>0.15625793467675209</v>
      </c>
      <c r="BF165" s="557">
        <f t="shared" si="83"/>
        <v>0.15786086401097599</v>
      </c>
      <c r="BG165" s="557">
        <f t="shared" si="84"/>
        <v>0.14783371890257335</v>
      </c>
      <c r="BH165" s="557">
        <f t="shared" si="85"/>
        <v>0.12617649935154418</v>
      </c>
      <c r="BI165" s="1163">
        <f t="shared" si="86"/>
        <v>9.2889205357890248E-2</v>
      </c>
    </row>
    <row r="166" spans="3:61" ht="15" customHeight="1" x14ac:dyDescent="0.45">
      <c r="C166" s="1264"/>
      <c r="D166" s="377"/>
      <c r="E166" s="1261"/>
      <c r="F166" s="72">
        <v>30</v>
      </c>
      <c r="G166" s="56">
        <v>3.3269367553406481</v>
      </c>
      <c r="H166" s="56">
        <v>3.3848470853955721</v>
      </c>
      <c r="I166" s="56">
        <v>3.4428115530237937</v>
      </c>
      <c r="J166" s="56">
        <v>3.500830158225313</v>
      </c>
      <c r="K166" s="56">
        <v>3.558902901000129</v>
      </c>
      <c r="L166" s="56">
        <v>3.6170297813482417</v>
      </c>
      <c r="M166" s="56">
        <v>3.6752107992696517</v>
      </c>
      <c r="N166" s="56">
        <v>3.7334459547643579</v>
      </c>
      <c r="O166" s="56">
        <v>3.7917352478323627</v>
      </c>
      <c r="P166" s="56">
        <v>3.8500786784736638</v>
      </c>
      <c r="Q166" s="56">
        <v>3.9084762466882621</v>
      </c>
      <c r="R166" s="56">
        <v>4.4954294953655864</v>
      </c>
      <c r="S166" s="56">
        <v>5.685577264709365</v>
      </c>
      <c r="T166" s="56">
        <v>6.8973800633719833</v>
      </c>
      <c r="U166" s="56">
        <v>8.130837891353444</v>
      </c>
      <c r="V166" s="56">
        <v>9.3859507486537446</v>
      </c>
      <c r="W166" s="59">
        <v>10.662718635272888</v>
      </c>
      <c r="Y166" s="1001"/>
      <c r="Z166" s="25">
        <v>30</v>
      </c>
      <c r="AA166" s="557">
        <v>3.445098608021083</v>
      </c>
      <c r="AB166" s="557">
        <v>3.504528306254993</v>
      </c>
      <c r="AC166" s="557">
        <v>3.5639830668760939</v>
      </c>
      <c r="AD166" s="557">
        <v>3.6234628898843857</v>
      </c>
      <c r="AE166" s="557">
        <v>3.682967775279868</v>
      </c>
      <c r="AF166" s="557">
        <v>3.7424977230625398</v>
      </c>
      <c r="AG166" s="557">
        <v>3.8020527332324034</v>
      </c>
      <c r="AH166" s="557">
        <v>3.8616328057894567</v>
      </c>
      <c r="AI166" s="557">
        <v>3.9212379407337004</v>
      </c>
      <c r="AJ166" s="557">
        <v>3.9808681380651363</v>
      </c>
      <c r="AK166" s="557">
        <v>4.0405233977837609</v>
      </c>
      <c r="AL166" s="557">
        <v>4.6384544262654925</v>
      </c>
      <c r="AM166" s="557">
        <v>5.8418351993861188</v>
      </c>
      <c r="AN166" s="557">
        <v>7.0552409273829584</v>
      </c>
      <c r="AO166" s="557">
        <v>8.2786716102560174</v>
      </c>
      <c r="AP166" s="557">
        <v>9.5121272480052905</v>
      </c>
      <c r="AQ166" s="1163">
        <v>10.755607840630779</v>
      </c>
      <c r="AS166" s="1166">
        <f t="shared" si="87"/>
        <v>0.11816185268043489</v>
      </c>
      <c r="AT166" s="557">
        <f t="shared" si="71"/>
        <v>0.1196812208594209</v>
      </c>
      <c r="AU166" s="557">
        <f t="shared" si="72"/>
        <v>0.12117151385230018</v>
      </c>
      <c r="AV166" s="557">
        <f t="shared" si="73"/>
        <v>0.12263273165907274</v>
      </c>
      <c r="AW166" s="557">
        <f t="shared" si="74"/>
        <v>0.124064874279739</v>
      </c>
      <c r="AX166" s="557">
        <f t="shared" si="75"/>
        <v>0.12546794171429809</v>
      </c>
      <c r="AY166" s="557">
        <f t="shared" si="76"/>
        <v>0.12684193396275179</v>
      </c>
      <c r="AZ166" s="557">
        <f t="shared" si="77"/>
        <v>0.12818685102509875</v>
      </c>
      <c r="BA166" s="557">
        <f t="shared" si="78"/>
        <v>0.12950269290133765</v>
      </c>
      <c r="BB166" s="557">
        <f t="shared" si="79"/>
        <v>0.13078945959147248</v>
      </c>
      <c r="BC166" s="557">
        <f t="shared" si="80"/>
        <v>0.1320471510954988</v>
      </c>
      <c r="BD166" s="557">
        <f t="shared" si="81"/>
        <v>0.14302493089990609</v>
      </c>
      <c r="BE166" s="557">
        <f t="shared" si="82"/>
        <v>0.15625793467675386</v>
      </c>
      <c r="BF166" s="557">
        <f t="shared" si="83"/>
        <v>0.1578608640109751</v>
      </c>
      <c r="BG166" s="557">
        <f t="shared" si="84"/>
        <v>0.14783371890257335</v>
      </c>
      <c r="BH166" s="557">
        <f t="shared" si="85"/>
        <v>0.12617649935154596</v>
      </c>
      <c r="BI166" s="1163">
        <f t="shared" si="86"/>
        <v>9.2889205357890248E-2</v>
      </c>
    </row>
    <row r="167" spans="3:61" ht="15" customHeight="1" x14ac:dyDescent="0.45">
      <c r="C167" s="1264"/>
      <c r="D167" s="377"/>
      <c r="E167" s="1261"/>
      <c r="F167" s="72">
        <v>40</v>
      </c>
      <c r="G167" s="56">
        <v>3.3341678920803339</v>
      </c>
      <c r="H167" s="56">
        <v>3.3921312965015575</v>
      </c>
      <c r="I167" s="56">
        <v>3.4501489906968099</v>
      </c>
      <c r="J167" s="56">
        <v>3.508220974666092</v>
      </c>
      <c r="K167" s="56">
        <v>3.5663472484094023</v>
      </c>
      <c r="L167" s="56">
        <v>3.6245278119267423</v>
      </c>
      <c r="M167" s="56">
        <v>3.6827626652181111</v>
      </c>
      <c r="N167" s="56">
        <v>3.7410518082835087</v>
      </c>
      <c r="O167" s="56">
        <v>3.7993952411229355</v>
      </c>
      <c r="P167" s="56">
        <v>3.857792963736391</v>
      </c>
      <c r="Q167" s="56">
        <v>3.9162449761238758</v>
      </c>
      <c r="R167" s="56">
        <v>4.5037510375703214</v>
      </c>
      <c r="S167" s="56">
        <v>5.695050092671921</v>
      </c>
      <c r="T167" s="56">
        <v>6.9080650573851301</v>
      </c>
      <c r="U167" s="56">
        <v>8.1427959317099532</v>
      </c>
      <c r="V167" s="56">
        <v>9.3992427156463858</v>
      </c>
      <c r="W167" s="59">
        <v>10.677405409194431</v>
      </c>
      <c r="Y167" s="1001"/>
      <c r="Z167" s="25">
        <v>40</v>
      </c>
      <c r="AA167" s="557">
        <v>3.4523297447607688</v>
      </c>
      <c r="AB167" s="557">
        <v>3.5118125173609784</v>
      </c>
      <c r="AC167" s="557">
        <v>3.5713205045491101</v>
      </c>
      <c r="AD167" s="557">
        <v>3.6308537063251642</v>
      </c>
      <c r="AE167" s="557">
        <v>3.6904121226891413</v>
      </c>
      <c r="AF167" s="557">
        <v>3.7499957536410413</v>
      </c>
      <c r="AG167" s="557">
        <v>3.8096045991808634</v>
      </c>
      <c r="AH167" s="557">
        <v>3.869238659308607</v>
      </c>
      <c r="AI167" s="557">
        <v>3.928897934024274</v>
      </c>
      <c r="AJ167" s="557">
        <v>3.9885824233278631</v>
      </c>
      <c r="AK167" s="557">
        <v>4.0482921272193755</v>
      </c>
      <c r="AL167" s="557">
        <v>4.6467759684702283</v>
      </c>
      <c r="AM167" s="557">
        <v>5.8513080273486748</v>
      </c>
      <c r="AN167" s="557">
        <v>7.0659259213961043</v>
      </c>
      <c r="AO167" s="557">
        <v>8.2906296506125248</v>
      </c>
      <c r="AP167" s="557">
        <v>9.5254192149979282</v>
      </c>
      <c r="AQ167" s="1163">
        <v>10.770294614552324</v>
      </c>
      <c r="AS167" s="1166">
        <f t="shared" si="87"/>
        <v>0.11816185268043489</v>
      </c>
      <c r="AT167" s="557">
        <f t="shared" si="71"/>
        <v>0.1196812208594209</v>
      </c>
      <c r="AU167" s="557">
        <f t="shared" si="72"/>
        <v>0.12117151385230018</v>
      </c>
      <c r="AV167" s="557">
        <f t="shared" si="73"/>
        <v>0.12263273165907229</v>
      </c>
      <c r="AW167" s="557">
        <f t="shared" si="74"/>
        <v>0.124064874279739</v>
      </c>
      <c r="AX167" s="557">
        <f t="shared" si="75"/>
        <v>0.12546794171429898</v>
      </c>
      <c r="AY167" s="557">
        <f t="shared" si="76"/>
        <v>0.12684193396275223</v>
      </c>
      <c r="AZ167" s="557">
        <f t="shared" si="77"/>
        <v>0.1281868510250983</v>
      </c>
      <c r="BA167" s="557">
        <f t="shared" si="78"/>
        <v>0.12950269290133853</v>
      </c>
      <c r="BB167" s="557">
        <f t="shared" si="79"/>
        <v>0.13078945959147203</v>
      </c>
      <c r="BC167" s="557">
        <f t="shared" si="80"/>
        <v>0.13204715109549969</v>
      </c>
      <c r="BD167" s="557">
        <f t="shared" si="81"/>
        <v>0.14302493089990698</v>
      </c>
      <c r="BE167" s="557">
        <f t="shared" si="82"/>
        <v>0.15625793467675386</v>
      </c>
      <c r="BF167" s="557">
        <f t="shared" si="83"/>
        <v>0.15786086401097421</v>
      </c>
      <c r="BG167" s="557">
        <f t="shared" si="84"/>
        <v>0.14783371890257158</v>
      </c>
      <c r="BH167" s="557">
        <f t="shared" si="85"/>
        <v>0.1261764993515424</v>
      </c>
      <c r="BI167" s="1163">
        <f t="shared" si="86"/>
        <v>9.2889205357892024E-2</v>
      </c>
    </row>
    <row r="168" spans="3:61" ht="15" customHeight="1" x14ac:dyDescent="0.45">
      <c r="C168" s="1264"/>
      <c r="D168" s="377"/>
      <c r="E168" s="1261"/>
      <c r="F168" s="72">
        <v>50</v>
      </c>
      <c r="G168" s="56">
        <v>3.3413990288200193</v>
      </c>
      <c r="H168" s="56">
        <v>3.3994155076075421</v>
      </c>
      <c r="I168" s="56">
        <v>3.4574864283698261</v>
      </c>
      <c r="J168" s="56">
        <v>3.5156117911068709</v>
      </c>
      <c r="K168" s="56">
        <v>3.5737915958186766</v>
      </c>
      <c r="L168" s="56">
        <v>3.632025842505243</v>
      </c>
      <c r="M168" s="56">
        <v>3.690314531166571</v>
      </c>
      <c r="N168" s="56">
        <v>3.7486576618026595</v>
      </c>
      <c r="O168" s="56">
        <v>3.8070552344135087</v>
      </c>
      <c r="P168" s="56">
        <v>3.8655072489991191</v>
      </c>
      <c r="Q168" s="56">
        <v>3.9240137055594908</v>
      </c>
      <c r="R168" s="56">
        <v>4.512072579775058</v>
      </c>
      <c r="S168" s="56">
        <v>5.7045229206344761</v>
      </c>
      <c r="T168" s="56">
        <v>6.9187500513982769</v>
      </c>
      <c r="U168" s="56">
        <v>8.1547539720664606</v>
      </c>
      <c r="V168" s="56">
        <v>9.412534682639027</v>
      </c>
      <c r="W168" s="59">
        <v>10.692092183115975</v>
      </c>
      <c r="Y168" s="1001"/>
      <c r="Z168" s="25">
        <v>50</v>
      </c>
      <c r="AA168" s="557">
        <v>3.4595608815004546</v>
      </c>
      <c r="AB168" s="557">
        <v>3.5190967284669634</v>
      </c>
      <c r="AC168" s="557">
        <v>3.5786579422221267</v>
      </c>
      <c r="AD168" s="557">
        <v>3.6382445227659437</v>
      </c>
      <c r="AE168" s="557">
        <v>3.697856470098416</v>
      </c>
      <c r="AF168" s="557">
        <v>3.7574937842195419</v>
      </c>
      <c r="AG168" s="557">
        <v>3.8171564651293224</v>
      </c>
      <c r="AH168" s="557">
        <v>3.8768445128277582</v>
      </c>
      <c r="AI168" s="557">
        <v>3.9365579273148472</v>
      </c>
      <c r="AJ168" s="557">
        <v>3.9962967085905907</v>
      </c>
      <c r="AK168" s="557">
        <v>4.0560608566549892</v>
      </c>
      <c r="AL168" s="557">
        <v>4.6550975106749632</v>
      </c>
      <c r="AM168" s="557">
        <v>5.8607808553112308</v>
      </c>
      <c r="AN168" s="557">
        <v>7.0766109154092529</v>
      </c>
      <c r="AO168" s="557">
        <v>8.3025876909690322</v>
      </c>
      <c r="AP168" s="557">
        <v>9.5387111819905694</v>
      </c>
      <c r="AQ168" s="1163">
        <v>10.784981388473865</v>
      </c>
      <c r="AS168" s="1166">
        <f t="shared" si="87"/>
        <v>0.11816185268043533</v>
      </c>
      <c r="AT168" s="557">
        <f t="shared" si="71"/>
        <v>0.11968122085942134</v>
      </c>
      <c r="AU168" s="557">
        <f t="shared" si="72"/>
        <v>0.12117151385230063</v>
      </c>
      <c r="AV168" s="557">
        <f t="shared" si="73"/>
        <v>0.12263273165907274</v>
      </c>
      <c r="AW168" s="557">
        <f t="shared" si="74"/>
        <v>0.12406487427973945</v>
      </c>
      <c r="AX168" s="557">
        <f t="shared" si="75"/>
        <v>0.12546794171429898</v>
      </c>
      <c r="AY168" s="557">
        <f t="shared" si="76"/>
        <v>0.12684193396275134</v>
      </c>
      <c r="AZ168" s="557">
        <f t="shared" si="77"/>
        <v>0.12818685102509875</v>
      </c>
      <c r="BA168" s="557">
        <f t="shared" si="78"/>
        <v>0.12950269290133853</v>
      </c>
      <c r="BB168" s="557">
        <f t="shared" si="79"/>
        <v>0.13078945959147159</v>
      </c>
      <c r="BC168" s="557">
        <f t="shared" si="80"/>
        <v>0.13204715109549836</v>
      </c>
      <c r="BD168" s="557">
        <f t="shared" si="81"/>
        <v>0.1430249308999052</v>
      </c>
      <c r="BE168" s="557">
        <f t="shared" si="82"/>
        <v>0.15625793467675475</v>
      </c>
      <c r="BF168" s="557">
        <f t="shared" si="83"/>
        <v>0.15786086401097599</v>
      </c>
      <c r="BG168" s="557">
        <f t="shared" si="84"/>
        <v>0.14783371890257158</v>
      </c>
      <c r="BH168" s="557">
        <f t="shared" si="85"/>
        <v>0.1261764993515424</v>
      </c>
      <c r="BI168" s="1163">
        <f t="shared" si="86"/>
        <v>9.2889205357890248E-2</v>
      </c>
    </row>
    <row r="169" spans="3:61" ht="15" customHeight="1" x14ac:dyDescent="0.45">
      <c r="C169" s="1264"/>
      <c r="D169" s="377"/>
      <c r="E169" s="1261"/>
      <c r="F169" s="72">
        <v>60</v>
      </c>
      <c r="G169" s="56">
        <v>3.3486301655597055</v>
      </c>
      <c r="H169" s="56">
        <v>3.4066997187135275</v>
      </c>
      <c r="I169" s="56">
        <v>3.4648238660428423</v>
      </c>
      <c r="J169" s="56">
        <v>3.5230026075476495</v>
      </c>
      <c r="K169" s="56">
        <v>3.5812359432279512</v>
      </c>
      <c r="L169" s="56">
        <v>3.6395238730837445</v>
      </c>
      <c r="M169" s="56">
        <v>3.6978663971150305</v>
      </c>
      <c r="N169" s="56">
        <v>3.7562635153218098</v>
      </c>
      <c r="O169" s="56">
        <v>3.8147152277040819</v>
      </c>
      <c r="P169" s="56">
        <v>3.8732215342618468</v>
      </c>
      <c r="Q169" s="56">
        <v>3.9317824349951054</v>
      </c>
      <c r="R169" s="56">
        <v>4.520394121979793</v>
      </c>
      <c r="S169" s="56">
        <v>5.7139957485970339</v>
      </c>
      <c r="T169" s="56">
        <v>6.9294350454114237</v>
      </c>
      <c r="U169" s="56">
        <v>8.166712012422968</v>
      </c>
      <c r="V169" s="56">
        <v>9.4258266496316665</v>
      </c>
      <c r="W169" s="59">
        <v>10.706778957037518</v>
      </c>
      <c r="Y169" s="1001"/>
      <c r="Z169" s="25">
        <v>60</v>
      </c>
      <c r="AA169" s="557">
        <v>3.4667920182401399</v>
      </c>
      <c r="AB169" s="557">
        <v>3.526380939572948</v>
      </c>
      <c r="AC169" s="557">
        <v>3.5859953798951425</v>
      </c>
      <c r="AD169" s="557">
        <v>3.6456353392067227</v>
      </c>
      <c r="AE169" s="557">
        <v>3.7053008175076898</v>
      </c>
      <c r="AF169" s="557">
        <v>3.764991814798043</v>
      </c>
      <c r="AG169" s="557">
        <v>3.8247083310777827</v>
      </c>
      <c r="AH169" s="557">
        <v>3.8844503663469085</v>
      </c>
      <c r="AI169" s="557">
        <v>3.9442179206054204</v>
      </c>
      <c r="AJ169" s="557">
        <v>4.0040109938533188</v>
      </c>
      <c r="AK169" s="557">
        <v>4.0638295860906037</v>
      </c>
      <c r="AL169" s="557">
        <v>4.663419052879699</v>
      </c>
      <c r="AM169" s="557">
        <v>5.8702536832737859</v>
      </c>
      <c r="AN169" s="557">
        <v>7.0872959094223997</v>
      </c>
      <c r="AO169" s="557">
        <v>8.3145457313255431</v>
      </c>
      <c r="AP169" s="557">
        <v>9.5520031489832107</v>
      </c>
      <c r="AQ169" s="1163">
        <v>10.79966816239541</v>
      </c>
      <c r="AS169" s="1166">
        <f t="shared" si="87"/>
        <v>0.11816185268043444</v>
      </c>
      <c r="AT169" s="557">
        <f t="shared" si="71"/>
        <v>0.11968122085942046</v>
      </c>
      <c r="AU169" s="557">
        <f t="shared" si="72"/>
        <v>0.12117151385230018</v>
      </c>
      <c r="AV169" s="557">
        <f t="shared" si="73"/>
        <v>0.12263273165907318</v>
      </c>
      <c r="AW169" s="557">
        <f t="shared" si="74"/>
        <v>0.12406487427973856</v>
      </c>
      <c r="AX169" s="557">
        <f t="shared" si="75"/>
        <v>0.12546794171429854</v>
      </c>
      <c r="AY169" s="557">
        <f t="shared" si="76"/>
        <v>0.12684193396275223</v>
      </c>
      <c r="AZ169" s="557">
        <f t="shared" si="77"/>
        <v>0.12818685102509875</v>
      </c>
      <c r="BA169" s="557">
        <f t="shared" si="78"/>
        <v>0.12950269290133853</v>
      </c>
      <c r="BB169" s="557">
        <f t="shared" si="79"/>
        <v>0.13078945959147203</v>
      </c>
      <c r="BC169" s="557">
        <f t="shared" si="80"/>
        <v>0.13204715109549836</v>
      </c>
      <c r="BD169" s="557">
        <f t="shared" si="81"/>
        <v>0.14302493089990609</v>
      </c>
      <c r="BE169" s="557">
        <f t="shared" si="82"/>
        <v>0.15625793467675209</v>
      </c>
      <c r="BF169" s="557">
        <f t="shared" si="83"/>
        <v>0.15786086401097599</v>
      </c>
      <c r="BG169" s="557">
        <f t="shared" si="84"/>
        <v>0.14783371890257513</v>
      </c>
      <c r="BH169" s="557">
        <f t="shared" si="85"/>
        <v>0.12617649935154418</v>
      </c>
      <c r="BI169" s="1163">
        <f t="shared" si="86"/>
        <v>9.2889205357892024E-2</v>
      </c>
    </row>
    <row r="170" spans="3:61" ht="15" customHeight="1" x14ac:dyDescent="0.45">
      <c r="C170" s="1264"/>
      <c r="D170" s="377"/>
      <c r="E170" s="1261"/>
      <c r="F170" s="72">
        <v>70</v>
      </c>
      <c r="G170" s="56">
        <v>3.3558613022993908</v>
      </c>
      <c r="H170" s="56">
        <v>3.4139839298195125</v>
      </c>
      <c r="I170" s="56">
        <v>3.4721613037158585</v>
      </c>
      <c r="J170" s="56">
        <v>3.5303934239884294</v>
      </c>
      <c r="K170" s="56">
        <v>3.588680290637225</v>
      </c>
      <c r="L170" s="56">
        <v>3.6470219036622455</v>
      </c>
      <c r="M170" s="56">
        <v>3.7054182630634904</v>
      </c>
      <c r="N170" s="56">
        <v>3.7638693688409606</v>
      </c>
      <c r="O170" s="56">
        <v>3.8223752209946555</v>
      </c>
      <c r="P170" s="56">
        <v>3.8809358195245749</v>
      </c>
      <c r="Q170" s="56">
        <v>3.9395511644307195</v>
      </c>
      <c r="R170" s="56">
        <v>4.5287156641845279</v>
      </c>
      <c r="S170" s="56">
        <v>5.723468576559589</v>
      </c>
      <c r="T170" s="56">
        <v>6.9401200394245715</v>
      </c>
      <c r="U170" s="56">
        <v>8.1786700527794771</v>
      </c>
      <c r="V170" s="56">
        <v>9.439118616624306</v>
      </c>
      <c r="W170" s="59">
        <v>10.721465730959061</v>
      </c>
      <c r="Y170" s="1001"/>
      <c r="Z170" s="25">
        <v>70</v>
      </c>
      <c r="AA170" s="557">
        <v>3.4740231549798257</v>
      </c>
      <c r="AB170" s="557">
        <v>3.5336651506789334</v>
      </c>
      <c r="AC170" s="557">
        <v>3.5933328175681583</v>
      </c>
      <c r="AD170" s="557">
        <v>3.6530261556475021</v>
      </c>
      <c r="AE170" s="557">
        <v>3.7127451649169645</v>
      </c>
      <c r="AF170" s="557">
        <v>3.7724898453765436</v>
      </c>
      <c r="AG170" s="557">
        <v>3.8322601970262418</v>
      </c>
      <c r="AH170" s="557">
        <v>3.8920562198660589</v>
      </c>
      <c r="AI170" s="557">
        <v>3.9518779138959941</v>
      </c>
      <c r="AJ170" s="557">
        <v>4.0117252791160469</v>
      </c>
      <c r="AK170" s="557">
        <v>4.0715983155262183</v>
      </c>
      <c r="AL170" s="557">
        <v>4.6717405950844348</v>
      </c>
      <c r="AM170" s="557">
        <v>5.8797265112363419</v>
      </c>
      <c r="AN170" s="557">
        <v>7.0979809034355466</v>
      </c>
      <c r="AO170" s="557">
        <v>8.3265037716820487</v>
      </c>
      <c r="AP170" s="557">
        <v>9.5652951159758519</v>
      </c>
      <c r="AQ170" s="1163">
        <v>10.814354936316951</v>
      </c>
      <c r="AS170" s="1166">
        <f t="shared" si="87"/>
        <v>0.11816185268043489</v>
      </c>
      <c r="AT170" s="557">
        <f t="shared" si="71"/>
        <v>0.1196812208594209</v>
      </c>
      <c r="AU170" s="557">
        <f t="shared" si="72"/>
        <v>0.12117151385229974</v>
      </c>
      <c r="AV170" s="557">
        <f t="shared" si="73"/>
        <v>0.12263273165907274</v>
      </c>
      <c r="AW170" s="557">
        <f t="shared" si="74"/>
        <v>0.12406487427973945</v>
      </c>
      <c r="AX170" s="557">
        <f t="shared" si="75"/>
        <v>0.12546794171429809</v>
      </c>
      <c r="AY170" s="557">
        <f t="shared" si="76"/>
        <v>0.12684193396275134</v>
      </c>
      <c r="AZ170" s="557">
        <f t="shared" si="77"/>
        <v>0.1281868510250983</v>
      </c>
      <c r="BA170" s="557">
        <f t="shared" si="78"/>
        <v>0.12950269290133853</v>
      </c>
      <c r="BB170" s="557">
        <f t="shared" si="79"/>
        <v>0.13078945959147203</v>
      </c>
      <c r="BC170" s="557">
        <f t="shared" si="80"/>
        <v>0.1320471510954988</v>
      </c>
      <c r="BD170" s="557">
        <f t="shared" si="81"/>
        <v>0.14302493089990698</v>
      </c>
      <c r="BE170" s="557">
        <f t="shared" si="82"/>
        <v>0.15625793467675297</v>
      </c>
      <c r="BF170" s="557">
        <f t="shared" si="83"/>
        <v>0.1578608640109751</v>
      </c>
      <c r="BG170" s="557">
        <f t="shared" si="84"/>
        <v>0.14783371890257158</v>
      </c>
      <c r="BH170" s="557">
        <f t="shared" si="85"/>
        <v>0.12617649935154596</v>
      </c>
      <c r="BI170" s="1163">
        <f t="shared" si="86"/>
        <v>9.2889205357890248E-2</v>
      </c>
    </row>
    <row r="171" spans="3:61" ht="15" customHeight="1" x14ac:dyDescent="0.45">
      <c r="C171" s="1264"/>
      <c r="D171" s="377"/>
      <c r="E171" s="1261"/>
      <c r="F171" s="72">
        <v>80</v>
      </c>
      <c r="G171" s="56">
        <v>3.3630924390390771</v>
      </c>
      <c r="H171" s="56">
        <v>3.4212681409254975</v>
      </c>
      <c r="I171" s="56">
        <v>3.4794987413888747</v>
      </c>
      <c r="J171" s="56">
        <v>3.5377842404292084</v>
      </c>
      <c r="K171" s="56">
        <v>3.5961246380464993</v>
      </c>
      <c r="L171" s="56">
        <v>3.6545199342407462</v>
      </c>
      <c r="M171" s="56">
        <v>3.7129701290119499</v>
      </c>
      <c r="N171" s="56">
        <v>3.7714752223601105</v>
      </c>
      <c r="O171" s="56">
        <v>3.8300352142852292</v>
      </c>
      <c r="P171" s="56">
        <v>3.8886501047873026</v>
      </c>
      <c r="Q171" s="56">
        <v>3.9473198938663341</v>
      </c>
      <c r="R171" s="56">
        <v>4.5370372063892646</v>
      </c>
      <c r="S171" s="56">
        <v>5.732941404522145</v>
      </c>
      <c r="T171" s="56">
        <v>6.9508050334377192</v>
      </c>
      <c r="U171" s="56">
        <v>8.1906280931359863</v>
      </c>
      <c r="V171" s="56">
        <v>9.452410583616949</v>
      </c>
      <c r="W171" s="59">
        <v>10.736152504880604</v>
      </c>
      <c r="Y171" s="1001"/>
      <c r="Z171" s="25">
        <v>80</v>
      </c>
      <c r="AA171" s="557">
        <v>3.4812542917195115</v>
      </c>
      <c r="AB171" s="557">
        <v>3.5409493617849184</v>
      </c>
      <c r="AC171" s="557">
        <v>3.6006702552411749</v>
      </c>
      <c r="AD171" s="557">
        <v>3.6604169720882811</v>
      </c>
      <c r="AE171" s="557">
        <v>3.7201895123262378</v>
      </c>
      <c r="AF171" s="557">
        <v>3.7799878759550452</v>
      </c>
      <c r="AG171" s="557">
        <v>3.8398120629747017</v>
      </c>
      <c r="AH171" s="557">
        <v>3.8996620733852092</v>
      </c>
      <c r="AI171" s="557">
        <v>3.9595379071865668</v>
      </c>
      <c r="AJ171" s="557">
        <v>4.019439564378775</v>
      </c>
      <c r="AK171" s="557">
        <v>4.079367044961832</v>
      </c>
      <c r="AL171" s="557">
        <v>4.6800621372891706</v>
      </c>
      <c r="AM171" s="557">
        <v>5.8891993391988988</v>
      </c>
      <c r="AN171" s="557">
        <v>7.1086658974486916</v>
      </c>
      <c r="AO171" s="557">
        <v>8.3384618120385579</v>
      </c>
      <c r="AP171" s="557">
        <v>9.5785870829684931</v>
      </c>
      <c r="AQ171" s="1163">
        <v>10.829041710238494</v>
      </c>
      <c r="AS171" s="1166">
        <f t="shared" si="87"/>
        <v>0.11816185268043444</v>
      </c>
      <c r="AT171" s="557">
        <f t="shared" si="71"/>
        <v>0.1196812208594209</v>
      </c>
      <c r="AU171" s="557">
        <f t="shared" si="72"/>
        <v>0.12117151385230018</v>
      </c>
      <c r="AV171" s="557">
        <f t="shared" si="73"/>
        <v>0.12263273165907274</v>
      </c>
      <c r="AW171" s="557">
        <f t="shared" si="74"/>
        <v>0.12406487427973856</v>
      </c>
      <c r="AX171" s="557">
        <f t="shared" si="75"/>
        <v>0.12546794171429898</v>
      </c>
      <c r="AY171" s="557">
        <f t="shared" si="76"/>
        <v>0.12684193396275179</v>
      </c>
      <c r="AZ171" s="557">
        <f t="shared" si="77"/>
        <v>0.12818685102509875</v>
      </c>
      <c r="BA171" s="557">
        <f t="shared" si="78"/>
        <v>0.12950269290133765</v>
      </c>
      <c r="BB171" s="557">
        <f t="shared" si="79"/>
        <v>0.13078945959147248</v>
      </c>
      <c r="BC171" s="557">
        <f t="shared" si="80"/>
        <v>0.13204715109549792</v>
      </c>
      <c r="BD171" s="557">
        <f t="shared" si="81"/>
        <v>0.14302493089990609</v>
      </c>
      <c r="BE171" s="557">
        <f t="shared" si="82"/>
        <v>0.15625793467675386</v>
      </c>
      <c r="BF171" s="557">
        <f t="shared" si="83"/>
        <v>0.15786086401097243</v>
      </c>
      <c r="BG171" s="557">
        <f t="shared" si="84"/>
        <v>0.14783371890257158</v>
      </c>
      <c r="BH171" s="557">
        <f t="shared" si="85"/>
        <v>0.12617649935154418</v>
      </c>
      <c r="BI171" s="1163">
        <f t="shared" si="86"/>
        <v>9.2889205357890248E-2</v>
      </c>
    </row>
    <row r="172" spans="3:61" ht="15" customHeight="1" x14ac:dyDescent="0.45">
      <c r="C172" s="1264"/>
      <c r="D172" s="377"/>
      <c r="E172" s="1261"/>
      <c r="F172" s="72">
        <v>90</v>
      </c>
      <c r="G172" s="56">
        <v>3.3703235757787624</v>
      </c>
      <c r="H172" s="56">
        <v>3.428552352031482</v>
      </c>
      <c r="I172" s="56">
        <v>3.4868361790618905</v>
      </c>
      <c r="J172" s="56">
        <v>3.5451750568699874</v>
      </c>
      <c r="K172" s="56">
        <v>3.6035689854557731</v>
      </c>
      <c r="L172" s="56">
        <v>3.6620179648192472</v>
      </c>
      <c r="M172" s="56">
        <v>3.7205219949604098</v>
      </c>
      <c r="N172" s="56">
        <v>3.7790810758792617</v>
      </c>
      <c r="O172" s="56">
        <v>3.8376952075758011</v>
      </c>
      <c r="P172" s="56">
        <v>3.8963643900500311</v>
      </c>
      <c r="Q172" s="56">
        <v>3.9550886233019487</v>
      </c>
      <c r="R172" s="56">
        <v>4.5453587485939995</v>
      </c>
      <c r="S172" s="56">
        <v>5.742414232484701</v>
      </c>
      <c r="T172" s="56">
        <v>6.9614900274508651</v>
      </c>
      <c r="U172" s="56">
        <v>8.2025861334924937</v>
      </c>
      <c r="V172" s="56">
        <v>9.4657025506095884</v>
      </c>
      <c r="W172" s="59">
        <v>10.750839278802143</v>
      </c>
      <c r="Y172" s="1001"/>
      <c r="Z172" s="25">
        <v>90</v>
      </c>
      <c r="AA172" s="557">
        <v>3.4884854284591977</v>
      </c>
      <c r="AB172" s="557">
        <v>3.5482335728909034</v>
      </c>
      <c r="AC172" s="557">
        <v>3.6080076929141911</v>
      </c>
      <c r="AD172" s="557">
        <v>3.6678077885290605</v>
      </c>
      <c r="AE172" s="557">
        <v>3.7276338597355121</v>
      </c>
      <c r="AF172" s="557">
        <v>3.7874859065335462</v>
      </c>
      <c r="AG172" s="557">
        <v>3.8473639289231616</v>
      </c>
      <c r="AH172" s="557">
        <v>3.9072679269043595</v>
      </c>
      <c r="AI172" s="557">
        <v>3.9671979004771405</v>
      </c>
      <c r="AJ172" s="557">
        <v>4.0271538496415022</v>
      </c>
      <c r="AK172" s="557">
        <v>4.0871357743974475</v>
      </c>
      <c r="AL172" s="557">
        <v>4.6883836794939064</v>
      </c>
      <c r="AM172" s="557">
        <v>5.8986721671614557</v>
      </c>
      <c r="AN172" s="557">
        <v>7.1193508914618402</v>
      </c>
      <c r="AO172" s="557">
        <v>8.350419852395067</v>
      </c>
      <c r="AP172" s="557">
        <v>9.5918790499611326</v>
      </c>
      <c r="AQ172" s="1163">
        <v>10.843728484160035</v>
      </c>
      <c r="AS172" s="1166">
        <f t="shared" si="87"/>
        <v>0.11816185268043533</v>
      </c>
      <c r="AT172" s="557">
        <f t="shared" si="71"/>
        <v>0.11968122085942134</v>
      </c>
      <c r="AU172" s="557">
        <f t="shared" si="72"/>
        <v>0.12117151385230063</v>
      </c>
      <c r="AV172" s="557">
        <f t="shared" si="73"/>
        <v>0.12263273165907318</v>
      </c>
      <c r="AW172" s="557">
        <f t="shared" si="74"/>
        <v>0.124064874279739</v>
      </c>
      <c r="AX172" s="557">
        <f t="shared" si="75"/>
        <v>0.12546794171429898</v>
      </c>
      <c r="AY172" s="557">
        <f t="shared" si="76"/>
        <v>0.12684193396275179</v>
      </c>
      <c r="AZ172" s="557">
        <f t="shared" si="77"/>
        <v>0.12818685102509786</v>
      </c>
      <c r="BA172" s="557">
        <f t="shared" si="78"/>
        <v>0.12950269290133942</v>
      </c>
      <c r="BB172" s="557">
        <f t="shared" si="79"/>
        <v>0.13078945959147115</v>
      </c>
      <c r="BC172" s="557">
        <f t="shared" si="80"/>
        <v>0.1320471510954988</v>
      </c>
      <c r="BD172" s="557">
        <f t="shared" si="81"/>
        <v>0.14302493089990698</v>
      </c>
      <c r="BE172" s="557">
        <f t="shared" si="82"/>
        <v>0.15625793467675475</v>
      </c>
      <c r="BF172" s="557">
        <f t="shared" si="83"/>
        <v>0.1578608640109751</v>
      </c>
      <c r="BG172" s="557">
        <f t="shared" si="84"/>
        <v>0.14783371890257335</v>
      </c>
      <c r="BH172" s="557">
        <f t="shared" si="85"/>
        <v>0.12617649935154418</v>
      </c>
      <c r="BI172" s="1163">
        <f t="shared" si="86"/>
        <v>9.2889205357892024E-2</v>
      </c>
    </row>
    <row r="173" spans="3:61" ht="15" customHeight="1" x14ac:dyDescent="0.45">
      <c r="C173" s="1264"/>
      <c r="D173" s="5"/>
      <c r="E173" s="1261"/>
      <c r="F173" s="72">
        <v>100</v>
      </c>
      <c r="G173" s="56">
        <v>3.3775547125184482</v>
      </c>
      <c r="H173" s="56">
        <v>3.4358365631374674</v>
      </c>
      <c r="I173" s="56">
        <v>3.4941736167349067</v>
      </c>
      <c r="J173" s="56">
        <v>3.5525658733107668</v>
      </c>
      <c r="K173" s="56">
        <v>3.6110133328650473</v>
      </c>
      <c r="L173" s="56">
        <v>3.6695159953977479</v>
      </c>
      <c r="M173" s="56">
        <v>3.7280738609088706</v>
      </c>
      <c r="N173" s="56">
        <v>3.7866869293984116</v>
      </c>
      <c r="O173" s="56">
        <v>3.8453552008663752</v>
      </c>
      <c r="P173" s="56">
        <v>3.9040786753127583</v>
      </c>
      <c r="Q173" s="56">
        <v>3.9628573527375623</v>
      </c>
      <c r="R173" s="56">
        <v>4.5536802907987362</v>
      </c>
      <c r="S173" s="56">
        <v>5.7518870604472578</v>
      </c>
      <c r="T173" s="56">
        <v>6.9721750214640119</v>
      </c>
      <c r="U173" s="56">
        <v>8.2145441738490028</v>
      </c>
      <c r="V173" s="56">
        <v>9.4789945176022279</v>
      </c>
      <c r="W173" s="59">
        <v>10.765526052723686</v>
      </c>
      <c r="Y173" s="1001"/>
      <c r="Z173" s="25">
        <v>100</v>
      </c>
      <c r="AA173" s="557">
        <v>3.4957165651988835</v>
      </c>
      <c r="AB173" s="557">
        <v>3.5555177839968879</v>
      </c>
      <c r="AC173" s="557">
        <v>3.6153451305872069</v>
      </c>
      <c r="AD173" s="557">
        <v>3.6751986049698395</v>
      </c>
      <c r="AE173" s="557">
        <v>3.7350782071447863</v>
      </c>
      <c r="AF173" s="557">
        <v>3.7949839371120473</v>
      </c>
      <c r="AG173" s="557">
        <v>3.8549157948716219</v>
      </c>
      <c r="AH173" s="557">
        <v>3.9148737804235108</v>
      </c>
      <c r="AI173" s="557">
        <v>3.9748578937677133</v>
      </c>
      <c r="AJ173" s="557">
        <v>4.0348681349042304</v>
      </c>
      <c r="AK173" s="557">
        <v>4.094904503833062</v>
      </c>
      <c r="AL173" s="557">
        <v>4.6967052216986414</v>
      </c>
      <c r="AM173" s="557">
        <v>5.9081449951240099</v>
      </c>
      <c r="AN173" s="557">
        <v>7.130035885474987</v>
      </c>
      <c r="AO173" s="557">
        <v>8.3623778927515762</v>
      </c>
      <c r="AP173" s="557">
        <v>9.6051710169537721</v>
      </c>
      <c r="AQ173" s="1163">
        <v>10.858415258081578</v>
      </c>
      <c r="AS173" s="1166">
        <f t="shared" si="87"/>
        <v>0.11816185268043533</v>
      </c>
      <c r="AT173" s="557">
        <f t="shared" si="71"/>
        <v>0.11968122085942046</v>
      </c>
      <c r="AU173" s="557">
        <f t="shared" si="72"/>
        <v>0.12117151385230018</v>
      </c>
      <c r="AV173" s="557">
        <f t="shared" si="73"/>
        <v>0.12263273165907274</v>
      </c>
      <c r="AW173" s="557">
        <f t="shared" si="74"/>
        <v>0.124064874279739</v>
      </c>
      <c r="AX173" s="557">
        <f t="shared" si="75"/>
        <v>0.12546794171429942</v>
      </c>
      <c r="AY173" s="557">
        <f t="shared" si="76"/>
        <v>0.12684193396275134</v>
      </c>
      <c r="AZ173" s="557">
        <f t="shared" si="77"/>
        <v>0.12818685102509919</v>
      </c>
      <c r="BA173" s="557">
        <f t="shared" si="78"/>
        <v>0.12950269290133809</v>
      </c>
      <c r="BB173" s="557">
        <f t="shared" si="79"/>
        <v>0.13078945959147203</v>
      </c>
      <c r="BC173" s="557">
        <f t="shared" si="80"/>
        <v>0.13204715109549969</v>
      </c>
      <c r="BD173" s="557">
        <f t="shared" si="81"/>
        <v>0.1430249308999052</v>
      </c>
      <c r="BE173" s="557">
        <f t="shared" si="82"/>
        <v>0.15625793467675209</v>
      </c>
      <c r="BF173" s="557">
        <f t="shared" si="83"/>
        <v>0.1578608640109751</v>
      </c>
      <c r="BG173" s="557">
        <f t="shared" si="84"/>
        <v>0.14783371890257335</v>
      </c>
      <c r="BH173" s="557">
        <f t="shared" si="85"/>
        <v>0.12617649935154418</v>
      </c>
      <c r="BI173" s="1163">
        <f t="shared" si="86"/>
        <v>9.2889205357892024E-2</v>
      </c>
    </row>
    <row r="174" spans="3:61" x14ac:dyDescent="0.45">
      <c r="C174" s="1264"/>
      <c r="D174" s="5"/>
      <c r="E174" s="1261"/>
      <c r="F174" s="72">
        <v>200</v>
      </c>
      <c r="G174" s="56">
        <v>3.4498660799153065</v>
      </c>
      <c r="H174" s="56">
        <v>3.5086786741973173</v>
      </c>
      <c r="I174" s="56">
        <v>3.5675479934650678</v>
      </c>
      <c r="J174" s="56">
        <v>3.626474037718558</v>
      </c>
      <c r="K174" s="56">
        <v>3.6854568069577884</v>
      </c>
      <c r="L174" s="56">
        <v>3.7444963011827586</v>
      </c>
      <c r="M174" s="56">
        <v>3.8035925203934684</v>
      </c>
      <c r="N174" s="56">
        <v>3.862745464589918</v>
      </c>
      <c r="O174" s="56">
        <v>3.9219551337721077</v>
      </c>
      <c r="P174" s="56">
        <v>3.9812215279400371</v>
      </c>
      <c r="Q174" s="56">
        <v>4.0405446470937063</v>
      </c>
      <c r="R174" s="56">
        <v>4.6368957128460915</v>
      </c>
      <c r="S174" s="56">
        <v>5.8466153400728169</v>
      </c>
      <c r="T174" s="56">
        <v>7.0790249615954819</v>
      </c>
      <c r="U174" s="56">
        <v>8.3341245774140873</v>
      </c>
      <c r="V174" s="56">
        <v>9.6119141875286331</v>
      </c>
      <c r="W174" s="59">
        <v>10.912393791939119</v>
      </c>
      <c r="Y174" s="1001"/>
      <c r="Z174" s="25">
        <v>200</v>
      </c>
      <c r="AA174" s="557">
        <v>3.5680279325957409</v>
      </c>
      <c r="AB174" s="557">
        <v>3.6283598950567377</v>
      </c>
      <c r="AC174" s="557">
        <v>3.688719507317368</v>
      </c>
      <c r="AD174" s="557">
        <v>3.7491067693776308</v>
      </c>
      <c r="AE174" s="557">
        <v>3.809521681237527</v>
      </c>
      <c r="AF174" s="557">
        <v>3.8699642428970575</v>
      </c>
      <c r="AG174" s="557">
        <v>3.9304344543562202</v>
      </c>
      <c r="AH174" s="557">
        <v>3.9909323156150167</v>
      </c>
      <c r="AI174" s="557">
        <v>4.0514578266734462</v>
      </c>
      <c r="AJ174" s="557">
        <v>4.1120109875315087</v>
      </c>
      <c r="AK174" s="557">
        <v>4.172591798189206</v>
      </c>
      <c r="AL174" s="557">
        <v>4.7799206437459976</v>
      </c>
      <c r="AM174" s="557">
        <v>6.0028732747495699</v>
      </c>
      <c r="AN174" s="557">
        <v>7.2368858256064561</v>
      </c>
      <c r="AO174" s="557">
        <v>8.4819582963166589</v>
      </c>
      <c r="AP174" s="557">
        <v>9.7380906868801773</v>
      </c>
      <c r="AQ174" s="1163">
        <v>11.005282997297011</v>
      </c>
      <c r="AS174" s="1166">
        <f t="shared" si="87"/>
        <v>0.11816185268043444</v>
      </c>
      <c r="AT174" s="557">
        <f t="shared" si="71"/>
        <v>0.11968122085942046</v>
      </c>
      <c r="AU174" s="557">
        <f t="shared" si="72"/>
        <v>0.12117151385230018</v>
      </c>
      <c r="AV174" s="557">
        <f t="shared" si="73"/>
        <v>0.12263273165907274</v>
      </c>
      <c r="AW174" s="557">
        <f t="shared" si="74"/>
        <v>0.12406487427973856</v>
      </c>
      <c r="AX174" s="557">
        <f t="shared" si="75"/>
        <v>0.12546794171429898</v>
      </c>
      <c r="AY174" s="557">
        <f t="shared" si="76"/>
        <v>0.12684193396275179</v>
      </c>
      <c r="AZ174" s="557">
        <f t="shared" si="77"/>
        <v>0.12818685102509875</v>
      </c>
      <c r="BA174" s="557">
        <f t="shared" si="78"/>
        <v>0.12950269290133853</v>
      </c>
      <c r="BB174" s="557">
        <f t="shared" si="79"/>
        <v>0.13078945959147159</v>
      </c>
      <c r="BC174" s="557">
        <f t="shared" si="80"/>
        <v>0.13204715109549969</v>
      </c>
      <c r="BD174" s="557">
        <f t="shared" si="81"/>
        <v>0.14302493089990609</v>
      </c>
      <c r="BE174" s="557">
        <f t="shared" si="82"/>
        <v>0.15625793467675297</v>
      </c>
      <c r="BF174" s="557">
        <f t="shared" si="83"/>
        <v>0.15786086401097421</v>
      </c>
      <c r="BG174" s="557">
        <f t="shared" si="84"/>
        <v>0.14783371890257158</v>
      </c>
      <c r="BH174" s="557">
        <f t="shared" si="85"/>
        <v>0.12617649935154418</v>
      </c>
      <c r="BI174" s="1163">
        <f t="shared" si="86"/>
        <v>9.2889205357892024E-2</v>
      </c>
    </row>
    <row r="175" spans="3:61" x14ac:dyDescent="0.45">
      <c r="C175" s="1264"/>
      <c r="D175" s="5"/>
      <c r="E175" s="1261"/>
      <c r="F175" s="72">
        <v>300</v>
      </c>
      <c r="G175" s="56">
        <v>3.5221774473121643</v>
      </c>
      <c r="H175" s="56">
        <v>3.5815207852571671</v>
      </c>
      <c r="I175" s="56">
        <v>3.6409223701952289</v>
      </c>
      <c r="J175" s="56">
        <v>3.7003822021263488</v>
      </c>
      <c r="K175" s="56">
        <v>3.7599002810505291</v>
      </c>
      <c r="L175" s="56">
        <v>3.8194766069677684</v>
      </c>
      <c r="M175" s="56">
        <v>3.8791111798780662</v>
      </c>
      <c r="N175" s="56">
        <v>3.9388039997814235</v>
      </c>
      <c r="O175" s="56">
        <v>3.9985550666778398</v>
      </c>
      <c r="P175" s="56">
        <v>4.0583643805673155</v>
      </c>
      <c r="Q175" s="56">
        <v>4.1182319414498503</v>
      </c>
      <c r="R175" s="56">
        <v>4.7201111348934477</v>
      </c>
      <c r="S175" s="56">
        <v>5.9413436196983778</v>
      </c>
      <c r="T175" s="56">
        <v>7.185874901726951</v>
      </c>
      <c r="U175" s="56">
        <v>8.45370498097917</v>
      </c>
      <c r="V175" s="56">
        <v>9.7448338574550348</v>
      </c>
      <c r="W175" s="59">
        <v>11.059261531154547</v>
      </c>
      <c r="Y175" s="1001"/>
      <c r="Z175" s="25">
        <v>300</v>
      </c>
      <c r="AA175" s="557">
        <v>3.6403392999925992</v>
      </c>
      <c r="AB175" s="557">
        <v>3.7012020061165876</v>
      </c>
      <c r="AC175" s="557">
        <v>3.7620938840475286</v>
      </c>
      <c r="AD175" s="557">
        <v>3.823014933785422</v>
      </c>
      <c r="AE175" s="557">
        <v>3.8839651553302681</v>
      </c>
      <c r="AF175" s="557">
        <v>3.9449445486820673</v>
      </c>
      <c r="AG175" s="557">
        <v>4.0059531138408184</v>
      </c>
      <c r="AH175" s="557">
        <v>4.0669908508065218</v>
      </c>
      <c r="AI175" s="557">
        <v>4.1280577595791783</v>
      </c>
      <c r="AJ175" s="557">
        <v>4.189153840158788</v>
      </c>
      <c r="AK175" s="557">
        <v>4.2502790925453491</v>
      </c>
      <c r="AL175" s="557">
        <v>4.8631360657933538</v>
      </c>
      <c r="AM175" s="557">
        <v>6.0976015543751307</v>
      </c>
      <c r="AN175" s="557">
        <v>7.343735765737927</v>
      </c>
      <c r="AO175" s="557">
        <v>8.6015386998817416</v>
      </c>
      <c r="AP175" s="557">
        <v>9.8710103568065808</v>
      </c>
      <c r="AQ175" s="1163">
        <v>11.152150736512439</v>
      </c>
      <c r="AS175" s="1166">
        <f t="shared" si="87"/>
        <v>0.11816185268043489</v>
      </c>
      <c r="AT175" s="557">
        <f t="shared" si="71"/>
        <v>0.11968122085942046</v>
      </c>
      <c r="AU175" s="557">
        <f t="shared" si="72"/>
        <v>0.12117151385229974</v>
      </c>
      <c r="AV175" s="557">
        <f t="shared" si="73"/>
        <v>0.12263273165907318</v>
      </c>
      <c r="AW175" s="557">
        <f t="shared" si="74"/>
        <v>0.124064874279739</v>
      </c>
      <c r="AX175" s="557">
        <f t="shared" si="75"/>
        <v>0.12546794171429898</v>
      </c>
      <c r="AY175" s="557">
        <f t="shared" si="76"/>
        <v>0.12684193396275223</v>
      </c>
      <c r="AZ175" s="557">
        <f t="shared" si="77"/>
        <v>0.1281868510250983</v>
      </c>
      <c r="BA175" s="557">
        <f t="shared" si="78"/>
        <v>0.12950269290133853</v>
      </c>
      <c r="BB175" s="557">
        <f t="shared" si="79"/>
        <v>0.13078945959147248</v>
      </c>
      <c r="BC175" s="557">
        <f t="shared" si="80"/>
        <v>0.1320471510954988</v>
      </c>
      <c r="BD175" s="557">
        <f t="shared" si="81"/>
        <v>0.14302493089990609</v>
      </c>
      <c r="BE175" s="557">
        <f t="shared" si="82"/>
        <v>0.15625793467675297</v>
      </c>
      <c r="BF175" s="557">
        <f t="shared" si="83"/>
        <v>0.15786086401097599</v>
      </c>
      <c r="BG175" s="557">
        <f t="shared" si="84"/>
        <v>0.14783371890257158</v>
      </c>
      <c r="BH175" s="557">
        <f t="shared" si="85"/>
        <v>0.12617649935154596</v>
      </c>
      <c r="BI175" s="1163">
        <f t="shared" si="86"/>
        <v>9.2889205357892024E-2</v>
      </c>
    </row>
    <row r="176" spans="3:61" x14ac:dyDescent="0.45">
      <c r="C176" s="1264"/>
      <c r="D176" s="5"/>
      <c r="E176" s="1261"/>
      <c r="F176" s="72">
        <v>400</v>
      </c>
      <c r="G176" s="56">
        <v>3.5944888147090222</v>
      </c>
      <c r="H176" s="56">
        <v>3.6543628963170161</v>
      </c>
      <c r="I176" s="56">
        <v>3.7142967469253896</v>
      </c>
      <c r="J176" s="56">
        <v>3.7742903665341414</v>
      </c>
      <c r="K176" s="56">
        <v>3.8343437551432702</v>
      </c>
      <c r="L176" s="56">
        <v>3.8944569127527786</v>
      </c>
      <c r="M176" s="56">
        <v>3.9546298393626644</v>
      </c>
      <c r="N176" s="56">
        <v>4.0148625349729299</v>
      </c>
      <c r="O176" s="56">
        <v>4.0751549995835727</v>
      </c>
      <c r="P176" s="56">
        <v>4.1355072331945939</v>
      </c>
      <c r="Q176" s="56">
        <v>4.1959192358059951</v>
      </c>
      <c r="R176" s="56">
        <v>4.8033265569408039</v>
      </c>
      <c r="S176" s="56">
        <v>6.0360718993239368</v>
      </c>
      <c r="T176" s="56">
        <v>7.2927248418584201</v>
      </c>
      <c r="U176" s="56">
        <v>8.5732853845442545</v>
      </c>
      <c r="V176" s="56">
        <v>9.8777535273814401</v>
      </c>
      <c r="W176" s="59">
        <v>11.206129270369976</v>
      </c>
      <c r="Y176" s="1001"/>
      <c r="Z176" s="25">
        <v>400</v>
      </c>
      <c r="AA176" s="557">
        <v>3.712650667389457</v>
      </c>
      <c r="AB176" s="557">
        <v>3.774044117176437</v>
      </c>
      <c r="AC176" s="557">
        <v>3.8354682607776898</v>
      </c>
      <c r="AD176" s="557">
        <v>3.8969230981932133</v>
      </c>
      <c r="AE176" s="557">
        <v>3.9584086294230101</v>
      </c>
      <c r="AF176" s="557">
        <v>4.019924854467078</v>
      </c>
      <c r="AG176" s="557">
        <v>4.0814717733254167</v>
      </c>
      <c r="AH176" s="557">
        <v>4.1430493859980286</v>
      </c>
      <c r="AI176" s="557">
        <v>4.2046576924849113</v>
      </c>
      <c r="AJ176" s="557">
        <v>4.2662966927860664</v>
      </c>
      <c r="AK176" s="557">
        <v>4.327966386901493</v>
      </c>
      <c r="AL176" s="557">
        <v>4.94635148784071</v>
      </c>
      <c r="AM176" s="557">
        <v>6.1923298340006898</v>
      </c>
      <c r="AN176" s="557">
        <v>7.4505857058693952</v>
      </c>
      <c r="AO176" s="557">
        <v>8.7211191034468261</v>
      </c>
      <c r="AP176" s="557">
        <v>10.003930026732984</v>
      </c>
      <c r="AQ176" s="1163">
        <v>11.299018475727868</v>
      </c>
      <c r="AS176" s="1166">
        <f t="shared" si="87"/>
        <v>0.11816185268043489</v>
      </c>
      <c r="AT176" s="557">
        <f t="shared" si="71"/>
        <v>0.1196812208594209</v>
      </c>
      <c r="AU176" s="557">
        <f t="shared" si="72"/>
        <v>0.12117151385230018</v>
      </c>
      <c r="AV176" s="557">
        <f t="shared" si="73"/>
        <v>0.12263273165907185</v>
      </c>
      <c r="AW176" s="557">
        <f t="shared" si="74"/>
        <v>0.12406487427973989</v>
      </c>
      <c r="AX176" s="557">
        <f t="shared" si="75"/>
        <v>0.12546794171429942</v>
      </c>
      <c r="AY176" s="557">
        <f t="shared" si="76"/>
        <v>0.12684193396275223</v>
      </c>
      <c r="AZ176" s="557">
        <f t="shared" si="77"/>
        <v>0.12818685102509875</v>
      </c>
      <c r="BA176" s="557">
        <f t="shared" si="78"/>
        <v>0.12950269290133853</v>
      </c>
      <c r="BB176" s="557">
        <f t="shared" si="79"/>
        <v>0.13078945959147248</v>
      </c>
      <c r="BC176" s="557">
        <f t="shared" si="80"/>
        <v>0.13204715109549792</v>
      </c>
      <c r="BD176" s="557">
        <f t="shared" si="81"/>
        <v>0.14302493089990609</v>
      </c>
      <c r="BE176" s="557">
        <f t="shared" si="82"/>
        <v>0.15625793467675297</v>
      </c>
      <c r="BF176" s="557">
        <f t="shared" si="83"/>
        <v>0.1578608640109751</v>
      </c>
      <c r="BG176" s="557">
        <f t="shared" si="84"/>
        <v>0.14783371890257158</v>
      </c>
      <c r="BH176" s="557">
        <f t="shared" si="85"/>
        <v>0.12617649935154418</v>
      </c>
      <c r="BI176" s="1163">
        <f t="shared" si="86"/>
        <v>9.2889205357892024E-2</v>
      </c>
    </row>
    <row r="177" spans="3:61" x14ac:dyDescent="0.45">
      <c r="C177" s="1264"/>
      <c r="D177" s="5"/>
      <c r="E177" s="1261"/>
      <c r="F177" s="72">
        <v>500</v>
      </c>
      <c r="G177" s="56">
        <v>3.66680018210588</v>
      </c>
      <c r="H177" s="56">
        <v>3.7272050073768668</v>
      </c>
      <c r="I177" s="56">
        <v>3.7876711236555511</v>
      </c>
      <c r="J177" s="56">
        <v>3.8481985309419322</v>
      </c>
      <c r="K177" s="56">
        <v>3.9087872292360117</v>
      </c>
      <c r="L177" s="56">
        <v>3.9694372185377889</v>
      </c>
      <c r="M177" s="56">
        <v>4.0301484988472636</v>
      </c>
      <c r="N177" s="56">
        <v>4.0909210701644358</v>
      </c>
      <c r="O177" s="56">
        <v>4.1517549324893057</v>
      </c>
      <c r="P177" s="56">
        <v>4.2126500858218723</v>
      </c>
      <c r="Q177" s="56">
        <v>4.2736065301621391</v>
      </c>
      <c r="R177" s="56">
        <v>4.886541978988161</v>
      </c>
      <c r="S177" s="56">
        <v>6.1308001789494968</v>
      </c>
      <c r="T177" s="56">
        <v>7.3995747819898892</v>
      </c>
      <c r="U177" s="56">
        <v>8.6928657881093372</v>
      </c>
      <c r="V177" s="56">
        <v>10.010673197307842</v>
      </c>
      <c r="W177" s="59">
        <v>11.352997009585406</v>
      </c>
      <c r="Y177" s="1001"/>
      <c r="Z177" s="25">
        <v>500</v>
      </c>
      <c r="AA177" s="557">
        <v>3.7849620347863144</v>
      </c>
      <c r="AB177" s="557">
        <v>3.8468862282362872</v>
      </c>
      <c r="AC177" s="557">
        <v>3.9088426375078504</v>
      </c>
      <c r="AD177" s="557">
        <v>3.9708312626010049</v>
      </c>
      <c r="AE177" s="557">
        <v>4.0328521035157507</v>
      </c>
      <c r="AF177" s="557">
        <v>4.0949051602520878</v>
      </c>
      <c r="AG177" s="557">
        <v>4.1569904328100158</v>
      </c>
      <c r="AH177" s="557">
        <v>4.2191079211895346</v>
      </c>
      <c r="AI177" s="557">
        <v>4.2812576253906443</v>
      </c>
      <c r="AJ177" s="557">
        <v>4.3434395454133456</v>
      </c>
      <c r="AK177" s="557">
        <v>4.405653681257637</v>
      </c>
      <c r="AL177" s="557">
        <v>5.0295669098880671</v>
      </c>
      <c r="AM177" s="557">
        <v>6.2870581136262507</v>
      </c>
      <c r="AN177" s="557">
        <v>7.5574356460008643</v>
      </c>
      <c r="AO177" s="557">
        <v>8.8406995070119088</v>
      </c>
      <c r="AP177" s="557">
        <v>10.136849696659388</v>
      </c>
      <c r="AQ177" s="1163">
        <v>11.445886214943297</v>
      </c>
      <c r="AS177" s="1166">
        <f t="shared" si="87"/>
        <v>0.11816185268043444</v>
      </c>
      <c r="AT177" s="557">
        <f t="shared" si="71"/>
        <v>0.11968122085942046</v>
      </c>
      <c r="AU177" s="557">
        <f t="shared" si="72"/>
        <v>0.1211715138522993</v>
      </c>
      <c r="AV177" s="557">
        <f t="shared" si="73"/>
        <v>0.12263273165907274</v>
      </c>
      <c r="AW177" s="557">
        <f t="shared" si="74"/>
        <v>0.124064874279739</v>
      </c>
      <c r="AX177" s="557">
        <f t="shared" si="75"/>
        <v>0.12546794171429898</v>
      </c>
      <c r="AY177" s="557">
        <f t="shared" si="76"/>
        <v>0.12684193396275223</v>
      </c>
      <c r="AZ177" s="557">
        <f t="shared" si="77"/>
        <v>0.12818685102509875</v>
      </c>
      <c r="BA177" s="557">
        <f t="shared" si="78"/>
        <v>0.12950269290133853</v>
      </c>
      <c r="BB177" s="557">
        <f t="shared" si="79"/>
        <v>0.13078945959147337</v>
      </c>
      <c r="BC177" s="557">
        <f t="shared" si="80"/>
        <v>0.13204715109549792</v>
      </c>
      <c r="BD177" s="557">
        <f t="shared" si="81"/>
        <v>0.14302493089990609</v>
      </c>
      <c r="BE177" s="557">
        <f t="shared" si="82"/>
        <v>0.15625793467675386</v>
      </c>
      <c r="BF177" s="557">
        <f t="shared" si="83"/>
        <v>0.1578608640109751</v>
      </c>
      <c r="BG177" s="557">
        <f t="shared" si="84"/>
        <v>0.14783371890257158</v>
      </c>
      <c r="BH177" s="557">
        <f t="shared" si="85"/>
        <v>0.12617649935154596</v>
      </c>
      <c r="BI177" s="1163">
        <f t="shared" si="86"/>
        <v>9.2889205357890248E-2</v>
      </c>
    </row>
    <row r="178" spans="3:61" x14ac:dyDescent="0.45">
      <c r="C178" s="1264"/>
      <c r="D178" s="5"/>
      <c r="E178" s="1261"/>
      <c r="F178" s="72">
        <v>600</v>
      </c>
      <c r="G178" s="56">
        <v>3.7391115495027383</v>
      </c>
      <c r="H178" s="56">
        <v>3.8000471184367162</v>
      </c>
      <c r="I178" s="56">
        <v>3.8610455003857123</v>
      </c>
      <c r="J178" s="56">
        <v>3.9221066953497239</v>
      </c>
      <c r="K178" s="56">
        <v>3.9832307033287524</v>
      </c>
      <c r="L178" s="56">
        <v>4.0444175243227987</v>
      </c>
      <c r="M178" s="56">
        <v>4.1056671583318618</v>
      </c>
      <c r="N178" s="56">
        <v>4.1669796053559409</v>
      </c>
      <c r="O178" s="56">
        <v>4.2283548653950387</v>
      </c>
      <c r="P178" s="56">
        <v>4.2897929384491515</v>
      </c>
      <c r="Q178" s="56">
        <v>4.3512938245182822</v>
      </c>
      <c r="R178" s="56">
        <v>4.9697574010355163</v>
      </c>
      <c r="S178" s="56">
        <v>6.2255284585750577</v>
      </c>
      <c r="T178" s="56">
        <v>7.5064247221213591</v>
      </c>
      <c r="U178" s="56">
        <v>8.8124461916744217</v>
      </c>
      <c r="V178" s="56">
        <v>10.143592867234247</v>
      </c>
      <c r="W178" s="59">
        <v>11.499864748800835</v>
      </c>
      <c r="Y178" s="1001"/>
      <c r="Z178" s="25">
        <v>600</v>
      </c>
      <c r="AA178" s="557">
        <v>3.8572734021831732</v>
      </c>
      <c r="AB178" s="557">
        <v>3.9197283392961371</v>
      </c>
      <c r="AC178" s="557">
        <v>3.9822170142380116</v>
      </c>
      <c r="AD178" s="557">
        <v>4.0447394270087962</v>
      </c>
      <c r="AE178" s="557">
        <v>4.1072955776084914</v>
      </c>
      <c r="AF178" s="557">
        <v>4.1698854660370976</v>
      </c>
      <c r="AG178" s="557">
        <v>4.2325090922946131</v>
      </c>
      <c r="AH178" s="557">
        <v>4.2951664563810397</v>
      </c>
      <c r="AI178" s="557">
        <v>4.3578575582963763</v>
      </c>
      <c r="AJ178" s="557">
        <v>4.420582398040624</v>
      </c>
      <c r="AK178" s="557">
        <v>4.4833409756137819</v>
      </c>
      <c r="AL178" s="557">
        <v>5.1127823319354233</v>
      </c>
      <c r="AM178" s="557">
        <v>6.3817863932518115</v>
      </c>
      <c r="AN178" s="557">
        <v>7.6642855861323333</v>
      </c>
      <c r="AO178" s="557">
        <v>8.9602799105769932</v>
      </c>
      <c r="AP178" s="557">
        <v>10.269769366585791</v>
      </c>
      <c r="AQ178" s="1163">
        <v>11.592753954158727</v>
      </c>
      <c r="AS178" s="1166">
        <f t="shared" si="87"/>
        <v>0.11816185268043489</v>
      </c>
      <c r="AT178" s="557">
        <f t="shared" si="71"/>
        <v>0.1196812208594209</v>
      </c>
      <c r="AU178" s="557">
        <f t="shared" si="72"/>
        <v>0.1211715138522993</v>
      </c>
      <c r="AV178" s="557">
        <f t="shared" si="73"/>
        <v>0.12263273165907229</v>
      </c>
      <c r="AW178" s="557">
        <f t="shared" si="74"/>
        <v>0.124064874279739</v>
      </c>
      <c r="AX178" s="557">
        <f t="shared" si="75"/>
        <v>0.12546794171429898</v>
      </c>
      <c r="AY178" s="557">
        <f t="shared" si="76"/>
        <v>0.12684193396275134</v>
      </c>
      <c r="AZ178" s="557">
        <f t="shared" si="77"/>
        <v>0.12818685102509875</v>
      </c>
      <c r="BA178" s="557">
        <f t="shared" si="78"/>
        <v>0.12950269290133765</v>
      </c>
      <c r="BB178" s="557">
        <f t="shared" si="79"/>
        <v>0.13078945959147248</v>
      </c>
      <c r="BC178" s="557">
        <f t="shared" si="80"/>
        <v>0.13204715109549969</v>
      </c>
      <c r="BD178" s="557">
        <f t="shared" si="81"/>
        <v>0.14302493089990698</v>
      </c>
      <c r="BE178" s="557">
        <f t="shared" si="82"/>
        <v>0.15625793467675386</v>
      </c>
      <c r="BF178" s="557">
        <f t="shared" si="83"/>
        <v>0.15786086401097421</v>
      </c>
      <c r="BG178" s="557">
        <f t="shared" si="84"/>
        <v>0.14783371890257158</v>
      </c>
      <c r="BH178" s="557">
        <f t="shared" si="85"/>
        <v>0.12617649935154418</v>
      </c>
      <c r="BI178" s="1163">
        <f t="shared" si="86"/>
        <v>9.2889205357892024E-2</v>
      </c>
    </row>
    <row r="179" spans="3:61" x14ac:dyDescent="0.45">
      <c r="C179" s="1264"/>
      <c r="D179" s="5"/>
      <c r="E179" s="1261"/>
      <c r="F179" s="72">
        <v>700</v>
      </c>
      <c r="G179" s="56">
        <v>3.8114229168995957</v>
      </c>
      <c r="H179" s="56">
        <v>3.872889229496566</v>
      </c>
      <c r="I179" s="56">
        <v>3.934419877115872</v>
      </c>
      <c r="J179" s="56">
        <v>3.9960148597575156</v>
      </c>
      <c r="K179" s="56">
        <v>4.0576741774214939</v>
      </c>
      <c r="L179" s="56">
        <v>4.1193978301078094</v>
      </c>
      <c r="M179" s="56">
        <v>4.18118581781646</v>
      </c>
      <c r="N179" s="56">
        <v>4.243038140547446</v>
      </c>
      <c r="O179" s="56">
        <v>4.3049547983007708</v>
      </c>
      <c r="P179" s="56">
        <v>4.3669357910764308</v>
      </c>
      <c r="Q179" s="56">
        <v>4.428981118874427</v>
      </c>
      <c r="R179" s="56">
        <v>5.0529728230828734</v>
      </c>
      <c r="S179" s="56">
        <v>6.3202567382006176</v>
      </c>
      <c r="T179" s="56">
        <v>7.6132746622528273</v>
      </c>
      <c r="U179" s="56">
        <v>8.9320265952395062</v>
      </c>
      <c r="V179" s="56">
        <v>10.27651253716065</v>
      </c>
      <c r="W179" s="59">
        <v>11.646732488016266</v>
      </c>
      <c r="Y179" s="1001"/>
      <c r="Z179" s="25">
        <v>700</v>
      </c>
      <c r="AA179" s="557">
        <v>3.9295847695800301</v>
      </c>
      <c r="AB179" s="557">
        <v>3.9925704503559869</v>
      </c>
      <c r="AC179" s="557">
        <v>4.0555913909681731</v>
      </c>
      <c r="AD179" s="557">
        <v>4.1186475914165888</v>
      </c>
      <c r="AE179" s="557">
        <v>4.1817390517012329</v>
      </c>
      <c r="AF179" s="557">
        <v>4.2448657718221074</v>
      </c>
      <c r="AG179" s="557">
        <v>4.3080277517792123</v>
      </c>
      <c r="AH179" s="557">
        <v>4.3712249915725456</v>
      </c>
      <c r="AI179" s="557">
        <v>4.4344574912021093</v>
      </c>
      <c r="AJ179" s="557">
        <v>4.4977252506679024</v>
      </c>
      <c r="AK179" s="557">
        <v>4.5610282699699249</v>
      </c>
      <c r="AL179" s="557">
        <v>5.1959977539827795</v>
      </c>
      <c r="AM179" s="557">
        <v>6.4765146728773706</v>
      </c>
      <c r="AN179" s="557">
        <v>7.7711355262638033</v>
      </c>
      <c r="AO179" s="557">
        <v>9.0798603141420795</v>
      </c>
      <c r="AP179" s="557">
        <v>10.402689036512195</v>
      </c>
      <c r="AQ179" s="1163">
        <v>11.739621693374158</v>
      </c>
      <c r="AS179" s="1166">
        <f t="shared" si="87"/>
        <v>0.11816185268043444</v>
      </c>
      <c r="AT179" s="557">
        <f t="shared" si="71"/>
        <v>0.1196812208594209</v>
      </c>
      <c r="AU179" s="557">
        <f t="shared" si="72"/>
        <v>0.12117151385230107</v>
      </c>
      <c r="AV179" s="557">
        <f t="shared" si="73"/>
        <v>0.12263273165907318</v>
      </c>
      <c r="AW179" s="557">
        <f t="shared" si="74"/>
        <v>0.124064874279739</v>
      </c>
      <c r="AX179" s="557">
        <f t="shared" si="75"/>
        <v>0.12546794171429809</v>
      </c>
      <c r="AY179" s="557">
        <f t="shared" si="76"/>
        <v>0.12684193396275223</v>
      </c>
      <c r="AZ179" s="557">
        <f t="shared" si="77"/>
        <v>0.12818685102509964</v>
      </c>
      <c r="BA179" s="557">
        <f t="shared" si="78"/>
        <v>0.12950269290133853</v>
      </c>
      <c r="BB179" s="557">
        <f t="shared" si="79"/>
        <v>0.13078945959147159</v>
      </c>
      <c r="BC179" s="557">
        <f t="shared" si="80"/>
        <v>0.13204715109549792</v>
      </c>
      <c r="BD179" s="557">
        <f t="shared" si="81"/>
        <v>0.14302493089990609</v>
      </c>
      <c r="BE179" s="557">
        <f t="shared" si="82"/>
        <v>0.15625793467675297</v>
      </c>
      <c r="BF179" s="557">
        <f t="shared" si="83"/>
        <v>0.15786086401097599</v>
      </c>
      <c r="BG179" s="557">
        <f t="shared" si="84"/>
        <v>0.14783371890257335</v>
      </c>
      <c r="BH179" s="557">
        <f t="shared" si="85"/>
        <v>0.12617649935154418</v>
      </c>
      <c r="BI179" s="1163">
        <f t="shared" si="86"/>
        <v>9.2889205357892024E-2</v>
      </c>
    </row>
    <row r="180" spans="3:61" x14ac:dyDescent="0.45">
      <c r="C180" s="1264"/>
      <c r="D180" s="5"/>
      <c r="E180" s="1261"/>
      <c r="F180" s="72">
        <v>800</v>
      </c>
      <c r="G180" s="56">
        <v>3.883734284296454</v>
      </c>
      <c r="H180" s="56">
        <v>3.9457313405564154</v>
      </c>
      <c r="I180" s="56">
        <v>4.0077942538460336</v>
      </c>
      <c r="J180" s="56">
        <v>4.0699230241653073</v>
      </c>
      <c r="K180" s="56">
        <v>4.1321176515142355</v>
      </c>
      <c r="L180" s="56">
        <v>4.1943781358928192</v>
      </c>
      <c r="M180" s="56">
        <v>4.2567044773010583</v>
      </c>
      <c r="N180" s="56">
        <v>4.3190966757389528</v>
      </c>
      <c r="O180" s="56">
        <v>4.3815547312065029</v>
      </c>
      <c r="P180" s="56">
        <v>4.4440786437037083</v>
      </c>
      <c r="Q180" s="56">
        <v>4.5066684132305701</v>
      </c>
      <c r="R180" s="56">
        <v>5.1361882451302296</v>
      </c>
      <c r="S180" s="56">
        <v>6.4149850178261758</v>
      </c>
      <c r="T180" s="56">
        <v>7.7201246023842973</v>
      </c>
      <c r="U180" s="56">
        <v>9.0516069988045906</v>
      </c>
      <c r="V180" s="56">
        <v>10.409432207087054</v>
      </c>
      <c r="W180" s="59">
        <v>11.793600227231693</v>
      </c>
      <c r="Y180" s="1001"/>
      <c r="Z180" s="25">
        <v>800</v>
      </c>
      <c r="AA180" s="557">
        <v>4.001896136976888</v>
      </c>
      <c r="AB180" s="557">
        <v>4.0654125614158358</v>
      </c>
      <c r="AC180" s="557">
        <v>4.1289657676983342</v>
      </c>
      <c r="AD180" s="557">
        <v>4.1925557558243796</v>
      </c>
      <c r="AE180" s="557">
        <v>4.2561825257939745</v>
      </c>
      <c r="AF180" s="557">
        <v>4.3198460776071181</v>
      </c>
      <c r="AG180" s="557">
        <v>4.3835464112638096</v>
      </c>
      <c r="AH180" s="557">
        <v>4.4472835267640516</v>
      </c>
      <c r="AI180" s="557">
        <v>4.5110574241078414</v>
      </c>
      <c r="AJ180" s="557">
        <v>4.5748681032951799</v>
      </c>
      <c r="AK180" s="557">
        <v>4.6387155643260689</v>
      </c>
      <c r="AL180" s="557">
        <v>5.2792131760301357</v>
      </c>
      <c r="AM180" s="557">
        <v>6.5712429525029314</v>
      </c>
      <c r="AN180" s="557">
        <v>7.8779854663952715</v>
      </c>
      <c r="AO180" s="557">
        <v>9.1994407177071622</v>
      </c>
      <c r="AP180" s="557">
        <v>10.535608706438598</v>
      </c>
      <c r="AQ180" s="1163">
        <v>11.886489432589585</v>
      </c>
      <c r="AS180" s="1166">
        <f t="shared" si="87"/>
        <v>0.118161852680434</v>
      </c>
      <c r="AT180" s="557">
        <f t="shared" si="71"/>
        <v>0.11968122085942046</v>
      </c>
      <c r="AU180" s="557">
        <f t="shared" si="72"/>
        <v>0.12117151385230063</v>
      </c>
      <c r="AV180" s="557">
        <f t="shared" si="73"/>
        <v>0.12263273165907229</v>
      </c>
      <c r="AW180" s="557">
        <f t="shared" si="74"/>
        <v>0.124064874279739</v>
      </c>
      <c r="AX180" s="557">
        <f t="shared" si="75"/>
        <v>0.12546794171429898</v>
      </c>
      <c r="AY180" s="557">
        <f t="shared" si="76"/>
        <v>0.12684193396275134</v>
      </c>
      <c r="AZ180" s="557">
        <f t="shared" si="77"/>
        <v>0.12818685102509875</v>
      </c>
      <c r="BA180" s="557">
        <f t="shared" si="78"/>
        <v>0.12950269290133853</v>
      </c>
      <c r="BB180" s="557">
        <f t="shared" si="79"/>
        <v>0.13078945959147159</v>
      </c>
      <c r="BC180" s="557">
        <f t="shared" si="80"/>
        <v>0.1320471510954988</v>
      </c>
      <c r="BD180" s="557">
        <f t="shared" si="81"/>
        <v>0.14302493089990609</v>
      </c>
      <c r="BE180" s="557">
        <f t="shared" si="82"/>
        <v>0.15625793467675564</v>
      </c>
      <c r="BF180" s="557">
        <f t="shared" si="83"/>
        <v>0.15786086401097421</v>
      </c>
      <c r="BG180" s="557">
        <f t="shared" si="84"/>
        <v>0.14783371890257158</v>
      </c>
      <c r="BH180" s="557">
        <f t="shared" si="85"/>
        <v>0.12617649935154418</v>
      </c>
      <c r="BI180" s="1163">
        <f t="shared" si="86"/>
        <v>9.2889205357892024E-2</v>
      </c>
    </row>
    <row r="181" spans="3:61" ht="14.65" thickBot="1" x14ac:dyDescent="0.5">
      <c r="C181" s="1264"/>
      <c r="D181" s="5"/>
      <c r="E181" s="1262"/>
      <c r="F181" s="374">
        <v>900</v>
      </c>
      <c r="G181" s="57">
        <v>3.9560456516933118</v>
      </c>
      <c r="H181" s="57">
        <v>4.0185734516162661</v>
      </c>
      <c r="I181" s="57">
        <v>4.0811686305761947</v>
      </c>
      <c r="J181" s="57">
        <v>4.1438311885730972</v>
      </c>
      <c r="K181" s="57">
        <v>4.2065611256069761</v>
      </c>
      <c r="L181" s="57">
        <v>4.269358441677829</v>
      </c>
      <c r="M181" s="57">
        <v>4.3322231367856574</v>
      </c>
      <c r="N181" s="57">
        <v>4.3951552109304588</v>
      </c>
      <c r="O181" s="57">
        <v>4.4581546641122358</v>
      </c>
      <c r="P181" s="57">
        <v>4.5212214963309876</v>
      </c>
      <c r="Q181" s="57">
        <v>4.5843557075867141</v>
      </c>
      <c r="R181" s="57">
        <v>5.2194036671775859</v>
      </c>
      <c r="S181" s="57">
        <v>6.5097132974517375</v>
      </c>
      <c r="T181" s="57">
        <v>7.8269745425157664</v>
      </c>
      <c r="U181" s="57">
        <v>9.1711874023696733</v>
      </c>
      <c r="V181" s="57">
        <v>10.542351877013459</v>
      </c>
      <c r="W181" s="60">
        <v>11.940467966447123</v>
      </c>
      <c r="Y181" s="1001"/>
      <c r="Z181" s="25">
        <v>900</v>
      </c>
      <c r="AA181" s="557">
        <v>4.0742075043737458</v>
      </c>
      <c r="AB181" s="557">
        <v>4.1382546724756866</v>
      </c>
      <c r="AC181" s="557">
        <v>4.2023401444284936</v>
      </c>
      <c r="AD181" s="557">
        <v>4.2664639202321704</v>
      </c>
      <c r="AE181" s="557">
        <v>4.3306259998867151</v>
      </c>
      <c r="AF181" s="557">
        <v>4.3948263833921271</v>
      </c>
      <c r="AG181" s="557">
        <v>4.4590650707484087</v>
      </c>
      <c r="AH181" s="557">
        <v>4.5233420619555575</v>
      </c>
      <c r="AI181" s="557">
        <v>4.5876573570135744</v>
      </c>
      <c r="AJ181" s="557">
        <v>4.6520109559224583</v>
      </c>
      <c r="AK181" s="557">
        <v>4.716402858682212</v>
      </c>
      <c r="AL181" s="557">
        <v>5.3624285980774911</v>
      </c>
      <c r="AM181" s="557">
        <v>6.6659712321284914</v>
      </c>
      <c r="AN181" s="557">
        <v>7.9848354065267415</v>
      </c>
      <c r="AO181" s="557">
        <v>9.3190211212722467</v>
      </c>
      <c r="AP181" s="557">
        <v>10.668528376365003</v>
      </c>
      <c r="AQ181" s="1163">
        <v>12.033357171805015</v>
      </c>
      <c r="AS181" s="1166">
        <f t="shared" si="87"/>
        <v>0.118161852680434</v>
      </c>
      <c r="AT181" s="557">
        <f t="shared" si="71"/>
        <v>0.11968122085942046</v>
      </c>
      <c r="AU181" s="557">
        <f t="shared" si="72"/>
        <v>0.12117151385229885</v>
      </c>
      <c r="AV181" s="557">
        <f t="shared" si="73"/>
        <v>0.12263273165907318</v>
      </c>
      <c r="AW181" s="557">
        <f t="shared" si="74"/>
        <v>0.124064874279739</v>
      </c>
      <c r="AX181" s="557">
        <f t="shared" si="75"/>
        <v>0.12546794171429809</v>
      </c>
      <c r="AY181" s="557">
        <f t="shared" si="76"/>
        <v>0.12684193396275134</v>
      </c>
      <c r="AZ181" s="557">
        <f t="shared" si="77"/>
        <v>0.12818685102509875</v>
      </c>
      <c r="BA181" s="557">
        <f t="shared" si="78"/>
        <v>0.12950269290133853</v>
      </c>
      <c r="BB181" s="557">
        <f t="shared" si="79"/>
        <v>0.1307894595914707</v>
      </c>
      <c r="BC181" s="557">
        <f t="shared" si="80"/>
        <v>0.13204715109549792</v>
      </c>
      <c r="BD181" s="557">
        <f t="shared" si="81"/>
        <v>0.1430249308999052</v>
      </c>
      <c r="BE181" s="557">
        <f t="shared" si="82"/>
        <v>0.15625793467675386</v>
      </c>
      <c r="BF181" s="557">
        <f t="shared" si="83"/>
        <v>0.1578608640109751</v>
      </c>
      <c r="BG181" s="557">
        <f t="shared" si="84"/>
        <v>0.14783371890257335</v>
      </c>
      <c r="BH181" s="557">
        <f t="shared" si="85"/>
        <v>0.12617649935154418</v>
      </c>
      <c r="BI181" s="1163">
        <f t="shared" si="86"/>
        <v>9.2889205357892024E-2</v>
      </c>
    </row>
    <row r="182" spans="3:61" ht="14.65" thickBot="1" x14ac:dyDescent="0.5">
      <c r="C182" s="1264"/>
      <c r="D182" s="5"/>
      <c r="G182" s="341"/>
      <c r="H182" s="341"/>
      <c r="I182" s="341"/>
      <c r="J182" s="341"/>
      <c r="K182" s="341"/>
      <c r="L182" s="341"/>
      <c r="M182" s="341"/>
      <c r="N182" s="341"/>
      <c r="O182" s="341"/>
      <c r="P182" s="341"/>
      <c r="Q182" s="341"/>
      <c r="R182" s="341"/>
      <c r="S182" s="341"/>
      <c r="T182" s="341"/>
      <c r="U182" s="341"/>
      <c r="V182" s="341"/>
      <c r="W182" s="341"/>
      <c r="Y182" s="1001"/>
      <c r="Z182" s="25"/>
      <c r="AA182" s="557"/>
      <c r="AB182" s="557"/>
      <c r="AC182" s="557"/>
      <c r="AD182" s="557"/>
      <c r="AE182" s="557"/>
      <c r="AF182" s="557"/>
      <c r="AG182" s="557"/>
      <c r="AH182" s="557"/>
      <c r="AI182" s="557"/>
      <c r="AJ182" s="557"/>
      <c r="AK182" s="557"/>
      <c r="AL182" s="557"/>
      <c r="AM182" s="557"/>
      <c r="AN182" s="557"/>
      <c r="AO182" s="557"/>
      <c r="AP182" s="557"/>
      <c r="AQ182" s="1163"/>
      <c r="AS182" s="1001"/>
      <c r="AT182" s="25"/>
      <c r="AU182" s="25"/>
      <c r="AV182" s="25"/>
      <c r="AW182" s="25"/>
      <c r="AX182" s="25"/>
      <c r="AY182" s="25"/>
      <c r="AZ182" s="25"/>
      <c r="BA182" s="25"/>
      <c r="BB182" s="25"/>
      <c r="BC182" s="25"/>
      <c r="BD182" s="25"/>
      <c r="BE182" s="25"/>
      <c r="BF182" s="25"/>
      <c r="BG182" s="25"/>
      <c r="BH182" s="25"/>
      <c r="BI182" s="1002"/>
    </row>
    <row r="183" spans="3:61" ht="14.65" thickBot="1" x14ac:dyDescent="0.5">
      <c r="C183" s="1264"/>
      <c r="D183" s="376" t="s">
        <v>85</v>
      </c>
      <c r="E183" s="29"/>
      <c r="F183" s="29" t="s">
        <v>206</v>
      </c>
      <c r="G183" s="381">
        <v>0</v>
      </c>
      <c r="H183" s="382">
        <v>10</v>
      </c>
      <c r="I183" s="382">
        <v>20</v>
      </c>
      <c r="J183" s="382">
        <v>30</v>
      </c>
      <c r="K183" s="382">
        <v>40</v>
      </c>
      <c r="L183" s="382">
        <v>50</v>
      </c>
      <c r="M183" s="382">
        <v>60</v>
      </c>
      <c r="N183" s="382">
        <v>70</v>
      </c>
      <c r="O183" s="382">
        <v>80</v>
      </c>
      <c r="P183" s="382">
        <v>90</v>
      </c>
      <c r="Q183" s="382">
        <v>100</v>
      </c>
      <c r="R183" s="382">
        <v>200</v>
      </c>
      <c r="S183" s="382">
        <v>400</v>
      </c>
      <c r="T183" s="382">
        <v>600</v>
      </c>
      <c r="U183" s="382">
        <v>800</v>
      </c>
      <c r="V183" s="382">
        <v>1000</v>
      </c>
      <c r="W183" s="383">
        <v>1200</v>
      </c>
      <c r="Y183" s="1001"/>
      <c r="Z183" s="25" t="s">
        <v>206</v>
      </c>
      <c r="AA183" s="1164">
        <v>0</v>
      </c>
      <c r="AB183" s="1164">
        <v>10</v>
      </c>
      <c r="AC183" s="1164">
        <v>20</v>
      </c>
      <c r="AD183" s="1164">
        <v>30</v>
      </c>
      <c r="AE183" s="1164">
        <v>40</v>
      </c>
      <c r="AF183" s="1164">
        <v>50</v>
      </c>
      <c r="AG183" s="1164">
        <v>60</v>
      </c>
      <c r="AH183" s="1164">
        <v>70</v>
      </c>
      <c r="AI183" s="1164">
        <v>80</v>
      </c>
      <c r="AJ183" s="1164">
        <v>90</v>
      </c>
      <c r="AK183" s="1164">
        <v>100</v>
      </c>
      <c r="AL183" s="1164">
        <v>200</v>
      </c>
      <c r="AM183" s="1164">
        <v>400</v>
      </c>
      <c r="AN183" s="1164">
        <v>600</v>
      </c>
      <c r="AO183" s="1164">
        <v>800</v>
      </c>
      <c r="AP183" s="1164">
        <v>1000</v>
      </c>
      <c r="AQ183" s="933">
        <v>1200</v>
      </c>
      <c r="AS183" s="797">
        <v>0</v>
      </c>
      <c r="AT183" s="1164">
        <v>10</v>
      </c>
      <c r="AU183" s="1164">
        <v>20</v>
      </c>
      <c r="AV183" s="1164">
        <v>30</v>
      </c>
      <c r="AW183" s="1164">
        <v>40</v>
      </c>
      <c r="AX183" s="1164">
        <v>50</v>
      </c>
      <c r="AY183" s="1164">
        <v>60</v>
      </c>
      <c r="AZ183" s="1164">
        <v>70</v>
      </c>
      <c r="BA183" s="1164">
        <v>80</v>
      </c>
      <c r="BB183" s="1164">
        <v>90</v>
      </c>
      <c r="BC183" s="1164">
        <v>100</v>
      </c>
      <c r="BD183" s="1164">
        <v>200</v>
      </c>
      <c r="BE183" s="1164">
        <v>400</v>
      </c>
      <c r="BF183" s="1164">
        <v>600</v>
      </c>
      <c r="BG183" s="1164">
        <v>800</v>
      </c>
      <c r="BH183" s="1164">
        <v>1000</v>
      </c>
      <c r="BI183" s="933">
        <v>1200</v>
      </c>
    </row>
    <row r="184" spans="3:61" ht="15" customHeight="1" x14ac:dyDescent="0.45">
      <c r="C184" s="1264"/>
      <c r="D184" s="5"/>
      <c r="E184" s="1260" t="s">
        <v>205</v>
      </c>
      <c r="F184" s="375">
        <v>0</v>
      </c>
      <c r="G184" s="379">
        <v>2.4920005361329576</v>
      </c>
      <c r="H184" s="379">
        <v>2.5036109182345951</v>
      </c>
      <c r="I184" s="379">
        <v>2.5152459061212271</v>
      </c>
      <c r="J184" s="379">
        <v>2.5269054997928535</v>
      </c>
      <c r="K184" s="379">
        <v>2.5385896992494756</v>
      </c>
      <c r="L184" s="379">
        <v>2.5502985044910917</v>
      </c>
      <c r="M184" s="379">
        <v>2.5620319155177027</v>
      </c>
      <c r="N184" s="379">
        <v>2.5737899323293085</v>
      </c>
      <c r="O184" s="379">
        <v>2.5855725549259096</v>
      </c>
      <c r="P184" s="379">
        <v>2.5973797833075047</v>
      </c>
      <c r="Q184" s="379">
        <v>2.6092116174740947</v>
      </c>
      <c r="R184" s="55">
        <v>2.7288832773147074</v>
      </c>
      <c r="S184" s="55">
        <v>2.9756083324943621</v>
      </c>
      <c r="T184" s="55">
        <v>3.2321757016719195</v>
      </c>
      <c r="U184" s="55">
        <v>3.4985853848473818</v>
      </c>
      <c r="V184" s="55">
        <v>3.7748373820207481</v>
      </c>
      <c r="W184" s="58">
        <v>4.0609316931920185</v>
      </c>
      <c r="Y184" s="1001" t="s">
        <v>205</v>
      </c>
      <c r="Z184" s="25">
        <v>0</v>
      </c>
      <c r="AA184" s="557">
        <v>2.6009940134611229</v>
      </c>
      <c r="AB184" s="557">
        <v>2.6155791383351916</v>
      </c>
      <c r="AC184" s="557">
        <v>2.6301888689942547</v>
      </c>
      <c r="AD184" s="557">
        <v>2.6448232054383123</v>
      </c>
      <c r="AE184" s="557">
        <v>2.6594821476673656</v>
      </c>
      <c r="AF184" s="557">
        <v>2.6741656956814124</v>
      </c>
      <c r="AG184" s="557">
        <v>2.6888738494804549</v>
      </c>
      <c r="AH184" s="557">
        <v>2.7036066090644919</v>
      </c>
      <c r="AI184" s="557">
        <v>2.7183639744335233</v>
      </c>
      <c r="AJ184" s="557">
        <v>2.73314594558755</v>
      </c>
      <c r="AK184" s="557">
        <v>2.7479525225265711</v>
      </c>
      <c r="AL184" s="557">
        <v>2.8973716100914948</v>
      </c>
      <c r="AM184" s="557">
        <v>3.2035915207197707</v>
      </c>
      <c r="AN184" s="557">
        <v>3.5196537453459502</v>
      </c>
      <c r="AO184" s="557">
        <v>3.8455582839700346</v>
      </c>
      <c r="AP184" s="557">
        <v>4.1813051365920231</v>
      </c>
      <c r="AQ184" s="1163">
        <v>4.5268943032119147</v>
      </c>
      <c r="AS184" s="1166">
        <f>AA184-G184</f>
        <v>0.10899347732816533</v>
      </c>
      <c r="AT184" s="557">
        <f t="shared" ref="AT184:AT202" si="88">AB184-H184</f>
        <v>0.11196822010059648</v>
      </c>
      <c r="AU184" s="557">
        <f t="shared" ref="AU184:AU202" si="89">AC184-I184</f>
        <v>0.11494296287302763</v>
      </c>
      <c r="AV184" s="557">
        <f t="shared" ref="AV184:AV202" si="90">AD184-J184</f>
        <v>0.11791770564545878</v>
      </c>
      <c r="AW184" s="557">
        <f t="shared" ref="AW184:AW202" si="91">AE184-K184</f>
        <v>0.12089244841788993</v>
      </c>
      <c r="AX184" s="557">
        <f t="shared" ref="AX184:AX202" si="92">AF184-L184</f>
        <v>0.12386719119032064</v>
      </c>
      <c r="AY184" s="557">
        <f t="shared" ref="AY184:AY202" si="93">AG184-M184</f>
        <v>0.12684193396275223</v>
      </c>
      <c r="AZ184" s="557">
        <f t="shared" ref="AZ184:AZ202" si="94">AH184-N184</f>
        <v>0.12981667673518338</v>
      </c>
      <c r="BA184" s="557">
        <f t="shared" ref="BA184:BA202" si="95">AI184-O184</f>
        <v>0.13279141950761364</v>
      </c>
      <c r="BB184" s="557">
        <f t="shared" ref="BB184:BB202" si="96">AJ184-P184</f>
        <v>0.13576616228004523</v>
      </c>
      <c r="BC184" s="557">
        <f t="shared" ref="BC184:BC202" si="97">AK184-Q184</f>
        <v>0.13874090505247638</v>
      </c>
      <c r="BD184" s="557">
        <f t="shared" ref="BD184:BD202" si="98">AL184-R184</f>
        <v>0.16848833277678743</v>
      </c>
      <c r="BE184" s="557">
        <f t="shared" ref="BE184:BE202" si="99">AM184-S184</f>
        <v>0.22798318822540864</v>
      </c>
      <c r="BF184" s="557">
        <f t="shared" ref="BF184:BF202" si="100">AN184-T184</f>
        <v>0.28747804367403074</v>
      </c>
      <c r="BG184" s="557">
        <f t="shared" ref="BG184:BG202" si="101">AO184-U184</f>
        <v>0.34697289912265283</v>
      </c>
      <c r="BH184" s="557">
        <f t="shared" ref="BH184:BH202" si="102">AP184-V184</f>
        <v>0.40646775457127493</v>
      </c>
      <c r="BI184" s="1163">
        <f t="shared" ref="BI184:BI202" si="103">AQ184-W184</f>
        <v>0.46596261001989614</v>
      </c>
    </row>
    <row r="185" spans="3:61" x14ac:dyDescent="0.45">
      <c r="C185" s="1264"/>
      <c r="D185" s="5"/>
      <c r="E185" s="1261"/>
      <c r="F185" s="72">
        <v>10</v>
      </c>
      <c r="G185" s="56">
        <v>2.4972296724966077</v>
      </c>
      <c r="H185" s="56">
        <v>2.5088931289645435</v>
      </c>
      <c r="I185" s="56">
        <v>2.5205813434182067</v>
      </c>
      <c r="J185" s="56">
        <v>2.5322943158575968</v>
      </c>
      <c r="K185" s="56">
        <v>2.5440320462827133</v>
      </c>
      <c r="L185" s="56">
        <v>2.5557945346935567</v>
      </c>
      <c r="M185" s="56">
        <v>2.5675817810901265</v>
      </c>
      <c r="N185" s="56">
        <v>2.5793937854724232</v>
      </c>
      <c r="O185" s="56">
        <v>2.5912305478404463</v>
      </c>
      <c r="P185" s="56">
        <v>2.6030920681941963</v>
      </c>
      <c r="Q185" s="56">
        <v>2.6149783465336727</v>
      </c>
      <c r="R185" s="56">
        <v>2.7352028191434075</v>
      </c>
      <c r="S185" s="56">
        <v>2.9830791600808815</v>
      </c>
      <c r="T185" s="56">
        <v>3.2408586953090301</v>
      </c>
      <c r="U185" s="56">
        <v>3.5085414248278544</v>
      </c>
      <c r="V185" s="56">
        <v>3.7861273486373528</v>
      </c>
      <c r="W185" s="59">
        <v>4.0736164667375254</v>
      </c>
      <c r="Y185" s="1001"/>
      <c r="Z185" s="25">
        <v>10</v>
      </c>
      <c r="AA185" s="557">
        <v>2.606223149824773</v>
      </c>
      <c r="AB185" s="557">
        <v>2.6208613490651405</v>
      </c>
      <c r="AC185" s="557">
        <v>2.6355243062912348</v>
      </c>
      <c r="AD185" s="557">
        <v>2.6502120215030556</v>
      </c>
      <c r="AE185" s="557">
        <v>2.6649244947006032</v>
      </c>
      <c r="AF185" s="557">
        <v>2.6796617258838773</v>
      </c>
      <c r="AG185" s="557">
        <v>2.6944237150528783</v>
      </c>
      <c r="AH185" s="557">
        <v>2.7092104622076061</v>
      </c>
      <c r="AI185" s="557">
        <v>2.7240219673480608</v>
      </c>
      <c r="AJ185" s="557">
        <v>2.7388582304742419</v>
      </c>
      <c r="AK185" s="557">
        <v>2.7537192515861495</v>
      </c>
      <c r="AL185" s="557">
        <v>2.9036911519201944</v>
      </c>
      <c r="AM185" s="557">
        <v>3.2110623483062906</v>
      </c>
      <c r="AN185" s="557">
        <v>3.5283367389830609</v>
      </c>
      <c r="AO185" s="557">
        <v>3.8555143239505067</v>
      </c>
      <c r="AP185" s="557">
        <v>4.1925951032086264</v>
      </c>
      <c r="AQ185" s="1163">
        <v>4.5395790767574216</v>
      </c>
      <c r="AS185" s="1166">
        <f t="shared" ref="AS185:AS202" si="104">AA185-G185</f>
        <v>0.10899347732816533</v>
      </c>
      <c r="AT185" s="557">
        <f t="shared" si="88"/>
        <v>0.11196822010059693</v>
      </c>
      <c r="AU185" s="557">
        <f t="shared" si="89"/>
        <v>0.11494296287302808</v>
      </c>
      <c r="AV185" s="557">
        <f t="shared" si="90"/>
        <v>0.11791770564545878</v>
      </c>
      <c r="AW185" s="557">
        <f t="shared" si="91"/>
        <v>0.12089244841788993</v>
      </c>
      <c r="AX185" s="557">
        <f t="shared" si="92"/>
        <v>0.12386719119032064</v>
      </c>
      <c r="AY185" s="557">
        <f t="shared" si="93"/>
        <v>0.12684193396275179</v>
      </c>
      <c r="AZ185" s="557">
        <f t="shared" si="94"/>
        <v>0.12981667673518293</v>
      </c>
      <c r="BA185" s="557">
        <f t="shared" si="95"/>
        <v>0.13279141950761453</v>
      </c>
      <c r="BB185" s="557">
        <f t="shared" si="96"/>
        <v>0.13576616228004568</v>
      </c>
      <c r="BC185" s="557">
        <f t="shared" si="97"/>
        <v>0.13874090505247683</v>
      </c>
      <c r="BD185" s="557">
        <f t="shared" si="98"/>
        <v>0.16848833277678699</v>
      </c>
      <c r="BE185" s="557">
        <f t="shared" si="99"/>
        <v>0.22798318822540908</v>
      </c>
      <c r="BF185" s="557">
        <f t="shared" si="100"/>
        <v>0.28747804367403074</v>
      </c>
      <c r="BG185" s="557">
        <f t="shared" si="101"/>
        <v>0.34697289912265239</v>
      </c>
      <c r="BH185" s="557">
        <f t="shared" si="102"/>
        <v>0.4064677545712736</v>
      </c>
      <c r="BI185" s="1163">
        <f t="shared" si="103"/>
        <v>0.46596261001989614</v>
      </c>
    </row>
    <row r="186" spans="3:61" x14ac:dyDescent="0.45">
      <c r="C186" s="1264"/>
      <c r="D186" s="5"/>
      <c r="E186" s="1261"/>
      <c r="F186" s="72">
        <v>20</v>
      </c>
      <c r="G186" s="56">
        <v>2.5024588088602568</v>
      </c>
      <c r="H186" s="380">
        <v>2.5141753396944928</v>
      </c>
      <c r="I186" s="56">
        <v>2.5259167807151872</v>
      </c>
      <c r="J186" s="56">
        <v>2.5376831319223401</v>
      </c>
      <c r="K186" s="56">
        <v>2.5494743933159514</v>
      </c>
      <c r="L186" s="56">
        <v>2.5612905648960216</v>
      </c>
      <c r="M186" s="56">
        <v>2.5731316466625502</v>
      </c>
      <c r="N186" s="56">
        <v>2.5849976386155373</v>
      </c>
      <c r="O186" s="56">
        <v>2.5968885407549838</v>
      </c>
      <c r="P186" s="56">
        <v>2.6088043530808882</v>
      </c>
      <c r="Q186" s="56">
        <v>2.6207450755932515</v>
      </c>
      <c r="R186" s="56">
        <v>2.7415223609721067</v>
      </c>
      <c r="S186" s="56">
        <v>2.9905499876674009</v>
      </c>
      <c r="T186" s="56">
        <v>3.2495416889461408</v>
      </c>
      <c r="U186" s="56">
        <v>3.518497464808326</v>
      </c>
      <c r="V186" s="56">
        <v>3.7974173152539565</v>
      </c>
      <c r="W186" s="59">
        <v>4.0863012402830323</v>
      </c>
      <c r="Y186" s="1001"/>
      <c r="Z186" s="25">
        <v>20</v>
      </c>
      <c r="AA186" s="557">
        <v>2.6114522861884222</v>
      </c>
      <c r="AB186" s="557">
        <v>2.6261435597950888</v>
      </c>
      <c r="AC186" s="557">
        <v>2.6408597435882144</v>
      </c>
      <c r="AD186" s="557">
        <v>2.655600837567798</v>
      </c>
      <c r="AE186" s="557">
        <v>2.6703668417338413</v>
      </c>
      <c r="AF186" s="557">
        <v>2.6851577560863427</v>
      </c>
      <c r="AG186" s="557">
        <v>2.6999735806253025</v>
      </c>
      <c r="AH186" s="557">
        <v>2.7148143153507207</v>
      </c>
      <c r="AI186" s="557">
        <v>2.7296799602625978</v>
      </c>
      <c r="AJ186" s="557">
        <v>2.7445705153609339</v>
      </c>
      <c r="AK186" s="557">
        <v>2.7594859806457279</v>
      </c>
      <c r="AL186" s="557">
        <v>2.9100106937488937</v>
      </c>
      <c r="AM186" s="557">
        <v>3.2185331758928104</v>
      </c>
      <c r="AN186" s="557">
        <v>3.5370197326201716</v>
      </c>
      <c r="AO186" s="557">
        <v>3.8654703639309789</v>
      </c>
      <c r="AP186" s="557">
        <v>4.2038850698252315</v>
      </c>
      <c r="AQ186" s="1163">
        <v>4.5522638503029285</v>
      </c>
      <c r="AS186" s="1166">
        <f t="shared" si="104"/>
        <v>0.10899347732816533</v>
      </c>
      <c r="AT186" s="557">
        <f t="shared" si="88"/>
        <v>0.11196822010059604</v>
      </c>
      <c r="AU186" s="557">
        <f t="shared" si="89"/>
        <v>0.11494296287302719</v>
      </c>
      <c r="AV186" s="557">
        <f t="shared" si="90"/>
        <v>0.11791770564545789</v>
      </c>
      <c r="AW186" s="557">
        <f t="shared" si="91"/>
        <v>0.12089244841788993</v>
      </c>
      <c r="AX186" s="557">
        <f t="shared" si="92"/>
        <v>0.12386719119032108</v>
      </c>
      <c r="AY186" s="557">
        <f t="shared" si="93"/>
        <v>0.12684193396275223</v>
      </c>
      <c r="AZ186" s="557">
        <f t="shared" si="94"/>
        <v>0.12981667673518338</v>
      </c>
      <c r="BA186" s="557">
        <f t="shared" si="95"/>
        <v>0.13279141950761408</v>
      </c>
      <c r="BB186" s="557">
        <f t="shared" si="96"/>
        <v>0.13576616228004568</v>
      </c>
      <c r="BC186" s="557">
        <f t="shared" si="97"/>
        <v>0.13874090505247638</v>
      </c>
      <c r="BD186" s="557">
        <f t="shared" si="98"/>
        <v>0.16848833277678699</v>
      </c>
      <c r="BE186" s="557">
        <f t="shared" si="99"/>
        <v>0.22798318822540953</v>
      </c>
      <c r="BF186" s="557">
        <f t="shared" si="100"/>
        <v>0.28747804367403074</v>
      </c>
      <c r="BG186" s="557">
        <f t="shared" si="101"/>
        <v>0.34697289912265283</v>
      </c>
      <c r="BH186" s="557">
        <f t="shared" si="102"/>
        <v>0.40646775457127493</v>
      </c>
      <c r="BI186" s="1163">
        <f t="shared" si="103"/>
        <v>0.46596261001989614</v>
      </c>
    </row>
    <row r="187" spans="3:61" x14ac:dyDescent="0.45">
      <c r="C187" s="1264"/>
      <c r="D187" s="5"/>
      <c r="E187" s="1261"/>
      <c r="F187" s="72">
        <v>30</v>
      </c>
      <c r="G187" s="56">
        <v>2.5076879452239069</v>
      </c>
      <c r="H187" s="56">
        <v>2.5194575504244416</v>
      </c>
      <c r="I187" s="56">
        <v>2.5312522180121668</v>
      </c>
      <c r="J187" s="56">
        <v>2.5430719479870829</v>
      </c>
      <c r="K187" s="56">
        <v>2.5549167403491895</v>
      </c>
      <c r="L187" s="56">
        <v>2.5667865950984865</v>
      </c>
      <c r="M187" s="56">
        <v>2.578681512234974</v>
      </c>
      <c r="N187" s="56">
        <v>2.590601491758652</v>
      </c>
      <c r="O187" s="56">
        <v>2.6025465336695208</v>
      </c>
      <c r="P187" s="56">
        <v>2.6145166379675797</v>
      </c>
      <c r="Q187" s="56">
        <v>2.6265118046528295</v>
      </c>
      <c r="R187" s="56">
        <v>2.7478419028008059</v>
      </c>
      <c r="S187" s="56">
        <v>2.9980208152539212</v>
      </c>
      <c r="T187" s="56">
        <v>3.2582246825832519</v>
      </c>
      <c r="U187" s="56">
        <v>3.5284535047887982</v>
      </c>
      <c r="V187" s="56">
        <v>3.8087072818705612</v>
      </c>
      <c r="W187" s="59">
        <v>4.0989860138285392</v>
      </c>
      <c r="Y187" s="1001"/>
      <c r="Z187" s="25">
        <v>30</v>
      </c>
      <c r="AA187" s="557">
        <v>2.6166814225520723</v>
      </c>
      <c r="AB187" s="557">
        <v>2.6314257705250381</v>
      </c>
      <c r="AC187" s="557">
        <v>2.6461951808851945</v>
      </c>
      <c r="AD187" s="557">
        <v>2.6609896536325417</v>
      </c>
      <c r="AE187" s="557">
        <v>2.6758091887670794</v>
      </c>
      <c r="AF187" s="557">
        <v>2.6906537862888071</v>
      </c>
      <c r="AG187" s="557">
        <v>2.7055234461977258</v>
      </c>
      <c r="AH187" s="557">
        <v>2.7204181684938344</v>
      </c>
      <c r="AI187" s="557">
        <v>2.7353379531771349</v>
      </c>
      <c r="AJ187" s="557">
        <v>2.7502828002476254</v>
      </c>
      <c r="AK187" s="557">
        <v>2.7652527097053063</v>
      </c>
      <c r="AL187" s="557">
        <v>2.9163302355775933</v>
      </c>
      <c r="AM187" s="557">
        <v>3.2260040034793303</v>
      </c>
      <c r="AN187" s="557">
        <v>3.5457027262572831</v>
      </c>
      <c r="AO187" s="557">
        <v>3.875426403911451</v>
      </c>
      <c r="AP187" s="557">
        <v>4.2151750364418348</v>
      </c>
      <c r="AQ187" s="1163">
        <v>4.5649486238484354</v>
      </c>
      <c r="AS187" s="1166">
        <f t="shared" si="104"/>
        <v>0.10899347732816533</v>
      </c>
      <c r="AT187" s="557">
        <f t="shared" si="88"/>
        <v>0.11196822010059648</v>
      </c>
      <c r="AU187" s="557">
        <f t="shared" si="89"/>
        <v>0.11494296287302763</v>
      </c>
      <c r="AV187" s="557">
        <f t="shared" si="90"/>
        <v>0.11791770564545878</v>
      </c>
      <c r="AW187" s="557">
        <f t="shared" si="91"/>
        <v>0.12089244841788993</v>
      </c>
      <c r="AX187" s="557">
        <f t="shared" si="92"/>
        <v>0.12386719119032064</v>
      </c>
      <c r="AY187" s="557">
        <f t="shared" si="93"/>
        <v>0.12684193396275179</v>
      </c>
      <c r="AZ187" s="557">
        <f t="shared" si="94"/>
        <v>0.12981667673518249</v>
      </c>
      <c r="BA187" s="557">
        <f t="shared" si="95"/>
        <v>0.13279141950761408</v>
      </c>
      <c r="BB187" s="557">
        <f t="shared" si="96"/>
        <v>0.13576616228004568</v>
      </c>
      <c r="BC187" s="557">
        <f t="shared" si="97"/>
        <v>0.13874090505247683</v>
      </c>
      <c r="BD187" s="557">
        <f t="shared" si="98"/>
        <v>0.16848833277678743</v>
      </c>
      <c r="BE187" s="557">
        <f t="shared" si="99"/>
        <v>0.22798318822540908</v>
      </c>
      <c r="BF187" s="557">
        <f t="shared" si="100"/>
        <v>0.28747804367403118</v>
      </c>
      <c r="BG187" s="557">
        <f t="shared" si="101"/>
        <v>0.34697289912265283</v>
      </c>
      <c r="BH187" s="557">
        <f t="shared" si="102"/>
        <v>0.4064677545712736</v>
      </c>
      <c r="BI187" s="1163">
        <f t="shared" si="103"/>
        <v>0.46596261001989614</v>
      </c>
    </row>
    <row r="188" spans="3:61" x14ac:dyDescent="0.45">
      <c r="C188" s="1264"/>
      <c r="D188" s="5"/>
      <c r="E188" s="1261"/>
      <c r="F188" s="72">
        <v>40</v>
      </c>
      <c r="G188" s="56">
        <v>2.5129170815875561</v>
      </c>
      <c r="H188" s="56">
        <v>2.5247397611543905</v>
      </c>
      <c r="I188" s="56">
        <v>2.5365876553091464</v>
      </c>
      <c r="J188" s="56">
        <v>2.5484607640518262</v>
      </c>
      <c r="K188" s="56">
        <v>2.5603590873824276</v>
      </c>
      <c r="L188" s="56">
        <v>2.5722826253009514</v>
      </c>
      <c r="M188" s="56">
        <v>2.5842313778073978</v>
      </c>
      <c r="N188" s="56">
        <v>2.5962053449017661</v>
      </c>
      <c r="O188" s="56">
        <v>2.6082045265840579</v>
      </c>
      <c r="P188" s="56">
        <v>2.6202289228542712</v>
      </c>
      <c r="Q188" s="56">
        <v>2.6322785337124075</v>
      </c>
      <c r="R188" s="56">
        <v>2.7541614446295055</v>
      </c>
      <c r="S188" s="56">
        <v>3.0054916428404406</v>
      </c>
      <c r="T188" s="56">
        <v>3.266907676220363</v>
      </c>
      <c r="U188" s="56">
        <v>3.5384095447692712</v>
      </c>
      <c r="V188" s="56">
        <v>3.8199972484871649</v>
      </c>
      <c r="W188" s="59">
        <v>4.1116707873740461</v>
      </c>
      <c r="Y188" s="1001"/>
      <c r="Z188" s="25">
        <v>40</v>
      </c>
      <c r="AA188" s="557">
        <v>2.6219105589157214</v>
      </c>
      <c r="AB188" s="557">
        <v>2.636707981254987</v>
      </c>
      <c r="AC188" s="557">
        <v>2.6515306181821745</v>
      </c>
      <c r="AD188" s="557">
        <v>2.6663784696972841</v>
      </c>
      <c r="AE188" s="557">
        <v>2.6812515358003171</v>
      </c>
      <c r="AF188" s="557">
        <v>2.6961498164912721</v>
      </c>
      <c r="AG188" s="557">
        <v>2.7110733117701495</v>
      </c>
      <c r="AH188" s="557">
        <v>2.7260220216369491</v>
      </c>
      <c r="AI188" s="557">
        <v>2.7409959460916715</v>
      </c>
      <c r="AJ188" s="557">
        <v>2.7559950851343165</v>
      </c>
      <c r="AK188" s="557">
        <v>2.7710194387648843</v>
      </c>
      <c r="AL188" s="557">
        <v>2.9226497774062929</v>
      </c>
      <c r="AM188" s="557">
        <v>3.2334748310658501</v>
      </c>
      <c r="AN188" s="557">
        <v>3.5543857198943938</v>
      </c>
      <c r="AO188" s="557">
        <v>3.885382443891924</v>
      </c>
      <c r="AP188" s="557">
        <v>4.2264650030584399</v>
      </c>
      <c r="AQ188" s="1163">
        <v>4.5776333973939423</v>
      </c>
      <c r="AS188" s="1166">
        <f t="shared" si="104"/>
        <v>0.10899347732816533</v>
      </c>
      <c r="AT188" s="557">
        <f t="shared" si="88"/>
        <v>0.11196822010059648</v>
      </c>
      <c r="AU188" s="557">
        <f t="shared" si="89"/>
        <v>0.11494296287302808</v>
      </c>
      <c r="AV188" s="557">
        <f t="shared" si="90"/>
        <v>0.11791770564545789</v>
      </c>
      <c r="AW188" s="557">
        <f t="shared" si="91"/>
        <v>0.12089244841788949</v>
      </c>
      <c r="AX188" s="557">
        <f t="shared" si="92"/>
        <v>0.12386719119032064</v>
      </c>
      <c r="AY188" s="557">
        <f t="shared" si="93"/>
        <v>0.12684193396275179</v>
      </c>
      <c r="AZ188" s="557">
        <f t="shared" si="94"/>
        <v>0.12981667673518293</v>
      </c>
      <c r="BA188" s="557">
        <f t="shared" si="95"/>
        <v>0.13279141950761364</v>
      </c>
      <c r="BB188" s="557">
        <f t="shared" si="96"/>
        <v>0.13576616228004523</v>
      </c>
      <c r="BC188" s="557">
        <f t="shared" si="97"/>
        <v>0.13874090505247683</v>
      </c>
      <c r="BD188" s="557">
        <f t="shared" si="98"/>
        <v>0.16848833277678743</v>
      </c>
      <c r="BE188" s="557">
        <f t="shared" si="99"/>
        <v>0.22798318822540953</v>
      </c>
      <c r="BF188" s="557">
        <f t="shared" si="100"/>
        <v>0.28747804367403074</v>
      </c>
      <c r="BG188" s="557">
        <f t="shared" si="101"/>
        <v>0.34697289912265283</v>
      </c>
      <c r="BH188" s="557">
        <f t="shared" si="102"/>
        <v>0.40646775457127493</v>
      </c>
      <c r="BI188" s="1163">
        <f t="shared" si="103"/>
        <v>0.46596261001989614</v>
      </c>
    </row>
    <row r="189" spans="3:61" x14ac:dyDescent="0.45">
      <c r="C189" s="1264"/>
      <c r="D189" s="5"/>
      <c r="E189" s="1261"/>
      <c r="F189" s="72">
        <v>50</v>
      </c>
      <c r="G189" s="56">
        <v>2.5181462179512057</v>
      </c>
      <c r="H189" s="56">
        <v>2.5300219718843389</v>
      </c>
      <c r="I189" s="56">
        <v>2.5419230926061269</v>
      </c>
      <c r="J189" s="56">
        <v>2.5538495801165686</v>
      </c>
      <c r="K189" s="56">
        <v>2.5658014344156652</v>
      </c>
      <c r="L189" s="56">
        <v>2.5777786555034159</v>
      </c>
      <c r="M189" s="56">
        <v>2.5897812433798211</v>
      </c>
      <c r="N189" s="56">
        <v>2.6018091980448808</v>
      </c>
      <c r="O189" s="56">
        <v>2.6138625194985949</v>
      </c>
      <c r="P189" s="56">
        <v>2.6259412077409632</v>
      </c>
      <c r="Q189" s="56">
        <v>2.6380452627719859</v>
      </c>
      <c r="R189" s="56">
        <v>2.7604809864582047</v>
      </c>
      <c r="S189" s="56">
        <v>3.0129624704269604</v>
      </c>
      <c r="T189" s="56">
        <v>3.2755906698574733</v>
      </c>
      <c r="U189" s="56">
        <v>3.5483655847497433</v>
      </c>
      <c r="V189" s="56">
        <v>3.8312872151037696</v>
      </c>
      <c r="W189" s="59">
        <v>4.124355560919553</v>
      </c>
      <c r="Y189" s="1001"/>
      <c r="Z189" s="25">
        <v>50</v>
      </c>
      <c r="AA189" s="557">
        <v>2.6271396952793715</v>
      </c>
      <c r="AB189" s="557">
        <v>2.6419901919849353</v>
      </c>
      <c r="AC189" s="557">
        <v>2.6568660554791546</v>
      </c>
      <c r="AD189" s="557">
        <v>2.6717672857620274</v>
      </c>
      <c r="AE189" s="557">
        <v>2.6866938828335551</v>
      </c>
      <c r="AF189" s="557">
        <v>2.7016458466937365</v>
      </c>
      <c r="AG189" s="557">
        <v>2.7166231773425729</v>
      </c>
      <c r="AH189" s="557">
        <v>2.7316258747800641</v>
      </c>
      <c r="AI189" s="557">
        <v>2.746653939006209</v>
      </c>
      <c r="AJ189" s="557">
        <v>2.7617073700210089</v>
      </c>
      <c r="AK189" s="557">
        <v>2.7767861678244619</v>
      </c>
      <c r="AL189" s="557">
        <v>2.9289693192349922</v>
      </c>
      <c r="AM189" s="557">
        <v>3.2409456586523699</v>
      </c>
      <c r="AN189" s="557">
        <v>3.5630687135315045</v>
      </c>
      <c r="AO189" s="557">
        <v>3.8953384838723957</v>
      </c>
      <c r="AP189" s="557">
        <v>4.2377549696750432</v>
      </c>
      <c r="AQ189" s="1163">
        <v>4.5903181709394492</v>
      </c>
      <c r="AS189" s="1166">
        <f t="shared" si="104"/>
        <v>0.10899347732816578</v>
      </c>
      <c r="AT189" s="557">
        <f t="shared" si="88"/>
        <v>0.11196822010059648</v>
      </c>
      <c r="AU189" s="557">
        <f t="shared" si="89"/>
        <v>0.11494296287302763</v>
      </c>
      <c r="AV189" s="557">
        <f t="shared" si="90"/>
        <v>0.11791770564545878</v>
      </c>
      <c r="AW189" s="557">
        <f t="shared" si="91"/>
        <v>0.12089244841788993</v>
      </c>
      <c r="AX189" s="557">
        <f t="shared" si="92"/>
        <v>0.12386719119032064</v>
      </c>
      <c r="AY189" s="557">
        <f t="shared" si="93"/>
        <v>0.12684193396275179</v>
      </c>
      <c r="AZ189" s="557">
        <f t="shared" si="94"/>
        <v>0.12981667673518338</v>
      </c>
      <c r="BA189" s="557">
        <f t="shared" si="95"/>
        <v>0.13279141950761408</v>
      </c>
      <c r="BB189" s="557">
        <f t="shared" si="96"/>
        <v>0.13576616228004568</v>
      </c>
      <c r="BC189" s="557">
        <f t="shared" si="97"/>
        <v>0.13874090505247594</v>
      </c>
      <c r="BD189" s="557">
        <f t="shared" si="98"/>
        <v>0.16848833277678743</v>
      </c>
      <c r="BE189" s="557">
        <f t="shared" si="99"/>
        <v>0.22798318822540953</v>
      </c>
      <c r="BF189" s="557">
        <f t="shared" si="100"/>
        <v>0.28747804367403118</v>
      </c>
      <c r="BG189" s="557">
        <f t="shared" si="101"/>
        <v>0.34697289912265239</v>
      </c>
      <c r="BH189" s="557">
        <f t="shared" si="102"/>
        <v>0.4064677545712736</v>
      </c>
      <c r="BI189" s="1163">
        <f t="shared" si="103"/>
        <v>0.46596261001989614</v>
      </c>
    </row>
    <row r="190" spans="3:61" x14ac:dyDescent="0.45">
      <c r="C190" s="1264"/>
      <c r="D190" s="378"/>
      <c r="E190" s="1261"/>
      <c r="F190" s="72">
        <v>60</v>
      </c>
      <c r="G190" s="56">
        <v>2.5233753543148554</v>
      </c>
      <c r="H190" s="56">
        <v>2.5353041826142881</v>
      </c>
      <c r="I190" s="56">
        <v>2.5472585299031065</v>
      </c>
      <c r="J190" s="56">
        <v>2.5592383961813114</v>
      </c>
      <c r="K190" s="56">
        <v>2.5712437814489033</v>
      </c>
      <c r="L190" s="56">
        <v>2.5832746857058808</v>
      </c>
      <c r="M190" s="56">
        <v>2.5953311089522453</v>
      </c>
      <c r="N190" s="56">
        <v>2.6074130511879949</v>
      </c>
      <c r="O190" s="56">
        <v>2.619520512413132</v>
      </c>
      <c r="P190" s="56">
        <v>2.6316534926276547</v>
      </c>
      <c r="Q190" s="56">
        <v>2.6438119918315643</v>
      </c>
      <c r="R190" s="56">
        <v>2.7668005282869044</v>
      </c>
      <c r="S190" s="56">
        <v>3.0204332980134811</v>
      </c>
      <c r="T190" s="56">
        <v>3.2842736634945844</v>
      </c>
      <c r="U190" s="56">
        <v>3.5583216247302154</v>
      </c>
      <c r="V190" s="56">
        <v>3.8425771817203733</v>
      </c>
      <c r="W190" s="59">
        <v>4.1370403344650599</v>
      </c>
      <c r="Y190" s="1001"/>
      <c r="Z190" s="25">
        <v>60</v>
      </c>
      <c r="AA190" s="557">
        <v>2.6323688316430207</v>
      </c>
      <c r="AB190" s="557">
        <v>2.6472724027148846</v>
      </c>
      <c r="AC190" s="557">
        <v>2.6622014927761342</v>
      </c>
      <c r="AD190" s="557">
        <v>2.6771561018267707</v>
      </c>
      <c r="AE190" s="557">
        <v>2.6921362298667932</v>
      </c>
      <c r="AF190" s="557">
        <v>2.7071418768962019</v>
      </c>
      <c r="AG190" s="557">
        <v>2.7221730429149966</v>
      </c>
      <c r="AH190" s="557">
        <v>2.7372297279231783</v>
      </c>
      <c r="AI190" s="557">
        <v>2.7523119319207456</v>
      </c>
      <c r="AJ190" s="557">
        <v>2.7674196549077004</v>
      </c>
      <c r="AK190" s="557">
        <v>2.7825528968840407</v>
      </c>
      <c r="AL190" s="557">
        <v>2.9352888610636914</v>
      </c>
      <c r="AM190" s="557">
        <v>3.2484164862388902</v>
      </c>
      <c r="AN190" s="557">
        <v>3.5717517071686151</v>
      </c>
      <c r="AO190" s="557">
        <v>3.9052945238528682</v>
      </c>
      <c r="AP190" s="557">
        <v>4.2490449362916483</v>
      </c>
      <c r="AQ190" s="1163">
        <v>4.6030029444849561</v>
      </c>
      <c r="AS190" s="1166">
        <f t="shared" si="104"/>
        <v>0.10899347732816533</v>
      </c>
      <c r="AT190" s="557">
        <f t="shared" si="88"/>
        <v>0.11196822010059648</v>
      </c>
      <c r="AU190" s="557">
        <f t="shared" si="89"/>
        <v>0.11494296287302763</v>
      </c>
      <c r="AV190" s="557">
        <f t="shared" si="90"/>
        <v>0.11791770564545923</v>
      </c>
      <c r="AW190" s="557">
        <f t="shared" si="91"/>
        <v>0.12089244841788993</v>
      </c>
      <c r="AX190" s="557">
        <f t="shared" si="92"/>
        <v>0.12386719119032108</v>
      </c>
      <c r="AY190" s="557">
        <f t="shared" si="93"/>
        <v>0.12684193396275134</v>
      </c>
      <c r="AZ190" s="557">
        <f t="shared" si="94"/>
        <v>0.12981667673518338</v>
      </c>
      <c r="BA190" s="557">
        <f t="shared" si="95"/>
        <v>0.13279141950761364</v>
      </c>
      <c r="BB190" s="557">
        <f t="shared" si="96"/>
        <v>0.13576616228004568</v>
      </c>
      <c r="BC190" s="557">
        <f t="shared" si="97"/>
        <v>0.13874090505247638</v>
      </c>
      <c r="BD190" s="557">
        <f t="shared" si="98"/>
        <v>0.16848833277678699</v>
      </c>
      <c r="BE190" s="557">
        <f t="shared" si="99"/>
        <v>0.22798318822540908</v>
      </c>
      <c r="BF190" s="557">
        <f t="shared" si="100"/>
        <v>0.28747804367403074</v>
      </c>
      <c r="BG190" s="557">
        <f t="shared" si="101"/>
        <v>0.34697289912265283</v>
      </c>
      <c r="BH190" s="557">
        <f t="shared" si="102"/>
        <v>0.40646775457127493</v>
      </c>
      <c r="BI190" s="1163">
        <f t="shared" si="103"/>
        <v>0.46596261001989614</v>
      </c>
    </row>
    <row r="191" spans="3:61" x14ac:dyDescent="0.45">
      <c r="C191" s="1264"/>
      <c r="D191" s="5"/>
      <c r="E191" s="1261"/>
      <c r="F191" s="72">
        <v>70</v>
      </c>
      <c r="G191" s="56">
        <v>2.528604490678505</v>
      </c>
      <c r="H191" s="56">
        <v>2.540586393344237</v>
      </c>
      <c r="I191" s="56">
        <v>2.552593967200087</v>
      </c>
      <c r="J191" s="56">
        <v>2.5646272122460547</v>
      </c>
      <c r="K191" s="56">
        <v>2.576686128482141</v>
      </c>
      <c r="L191" s="56">
        <v>2.5887707159083457</v>
      </c>
      <c r="M191" s="56">
        <v>2.6008809745246686</v>
      </c>
      <c r="N191" s="56">
        <v>2.6130169043311096</v>
      </c>
      <c r="O191" s="56">
        <v>2.6251785053276691</v>
      </c>
      <c r="P191" s="56">
        <v>2.6373657775143466</v>
      </c>
      <c r="Q191" s="56">
        <v>2.6495787208911423</v>
      </c>
      <c r="R191" s="56">
        <v>2.773120070115604</v>
      </c>
      <c r="S191" s="56">
        <v>3.0279041256000001</v>
      </c>
      <c r="T191" s="56">
        <v>3.2929566571316951</v>
      </c>
      <c r="U191" s="56">
        <v>3.5682776647106875</v>
      </c>
      <c r="V191" s="56">
        <v>3.853867148336978</v>
      </c>
      <c r="W191" s="59">
        <v>4.1497251080105659</v>
      </c>
      <c r="Y191" s="1001"/>
      <c r="Z191" s="25">
        <v>70</v>
      </c>
      <c r="AA191" s="557">
        <v>2.6375979680066703</v>
      </c>
      <c r="AB191" s="557">
        <v>2.652554613444833</v>
      </c>
      <c r="AC191" s="557">
        <v>2.6675369300731142</v>
      </c>
      <c r="AD191" s="557">
        <v>2.6825449178915131</v>
      </c>
      <c r="AE191" s="557">
        <v>2.6975785769000309</v>
      </c>
      <c r="AF191" s="557">
        <v>2.7126379070986664</v>
      </c>
      <c r="AG191" s="557">
        <v>2.7277229084874204</v>
      </c>
      <c r="AH191" s="557">
        <v>2.7428335810662925</v>
      </c>
      <c r="AI191" s="557">
        <v>2.7579699248352831</v>
      </c>
      <c r="AJ191" s="557">
        <v>2.7731319397943919</v>
      </c>
      <c r="AK191" s="557">
        <v>2.7883196259436187</v>
      </c>
      <c r="AL191" s="557">
        <v>2.941608402892391</v>
      </c>
      <c r="AM191" s="557">
        <v>3.2558873138254096</v>
      </c>
      <c r="AN191" s="557">
        <v>3.5804347008057258</v>
      </c>
      <c r="AO191" s="557">
        <v>3.9152505638333399</v>
      </c>
      <c r="AP191" s="557">
        <v>4.2603349029082516</v>
      </c>
      <c r="AQ191" s="1163">
        <v>4.6156877180304621</v>
      </c>
      <c r="AS191" s="1166">
        <f t="shared" si="104"/>
        <v>0.10899347732816533</v>
      </c>
      <c r="AT191" s="557">
        <f t="shared" si="88"/>
        <v>0.11196822010059604</v>
      </c>
      <c r="AU191" s="557">
        <f t="shared" si="89"/>
        <v>0.11494296287302719</v>
      </c>
      <c r="AV191" s="557">
        <f t="shared" si="90"/>
        <v>0.11791770564545834</v>
      </c>
      <c r="AW191" s="557">
        <f t="shared" si="91"/>
        <v>0.12089244841788993</v>
      </c>
      <c r="AX191" s="557">
        <f t="shared" si="92"/>
        <v>0.12386719119032064</v>
      </c>
      <c r="AY191" s="557">
        <f t="shared" si="93"/>
        <v>0.12684193396275179</v>
      </c>
      <c r="AZ191" s="557">
        <f t="shared" si="94"/>
        <v>0.12981667673518293</v>
      </c>
      <c r="BA191" s="557">
        <f t="shared" si="95"/>
        <v>0.13279141950761408</v>
      </c>
      <c r="BB191" s="557">
        <f t="shared" si="96"/>
        <v>0.13576616228004523</v>
      </c>
      <c r="BC191" s="557">
        <f t="shared" si="97"/>
        <v>0.13874090505247638</v>
      </c>
      <c r="BD191" s="557">
        <f t="shared" si="98"/>
        <v>0.16848833277678699</v>
      </c>
      <c r="BE191" s="557">
        <f t="shared" si="99"/>
        <v>0.22798318822540953</v>
      </c>
      <c r="BF191" s="557">
        <f t="shared" si="100"/>
        <v>0.28747804367403074</v>
      </c>
      <c r="BG191" s="557">
        <f t="shared" si="101"/>
        <v>0.34697289912265239</v>
      </c>
      <c r="BH191" s="557">
        <f t="shared" si="102"/>
        <v>0.4064677545712736</v>
      </c>
      <c r="BI191" s="1163">
        <f t="shared" si="103"/>
        <v>0.46596261001989614</v>
      </c>
    </row>
    <row r="192" spans="3:61" x14ac:dyDescent="0.45">
      <c r="C192" s="1264"/>
      <c r="D192" s="5"/>
      <c r="E192" s="1261"/>
      <c r="F192" s="72">
        <v>80</v>
      </c>
      <c r="G192" s="56">
        <v>2.5338336270421546</v>
      </c>
      <c r="H192" s="56">
        <v>2.5458686040741858</v>
      </c>
      <c r="I192" s="56">
        <v>2.5579294044970666</v>
      </c>
      <c r="J192" s="56">
        <v>2.570016028310798</v>
      </c>
      <c r="K192" s="56">
        <v>2.5821284755153791</v>
      </c>
      <c r="L192" s="56">
        <v>2.5942667461108107</v>
      </c>
      <c r="M192" s="56">
        <v>2.6064308400970924</v>
      </c>
      <c r="N192" s="56">
        <v>2.6186207574742237</v>
      </c>
      <c r="O192" s="56">
        <v>2.6308364982422061</v>
      </c>
      <c r="P192" s="56">
        <v>2.6430780624010382</v>
      </c>
      <c r="Q192" s="56">
        <v>2.6553454499507203</v>
      </c>
      <c r="R192" s="56">
        <v>2.7794396119443032</v>
      </c>
      <c r="S192" s="56">
        <v>3.03537495318652</v>
      </c>
      <c r="T192" s="56">
        <v>3.3016396507688057</v>
      </c>
      <c r="U192" s="56">
        <v>3.5782337046911596</v>
      </c>
      <c r="V192" s="56">
        <v>3.8651571149535826</v>
      </c>
      <c r="W192" s="59">
        <v>4.1624098815560728</v>
      </c>
      <c r="Y192" s="1001"/>
      <c r="Z192" s="25">
        <v>80</v>
      </c>
      <c r="AA192" s="557">
        <v>2.64282710437032</v>
      </c>
      <c r="AB192" s="557">
        <v>2.6578368241747823</v>
      </c>
      <c r="AC192" s="557">
        <v>2.6728723673700943</v>
      </c>
      <c r="AD192" s="557">
        <v>2.6879337339562563</v>
      </c>
      <c r="AE192" s="557">
        <v>2.703020923933269</v>
      </c>
      <c r="AF192" s="557">
        <v>2.7181339373011313</v>
      </c>
      <c r="AG192" s="557">
        <v>2.7332727740598441</v>
      </c>
      <c r="AH192" s="557">
        <v>2.7484374342094067</v>
      </c>
      <c r="AI192" s="557">
        <v>2.7636279177498198</v>
      </c>
      <c r="AJ192" s="557">
        <v>2.7788442246810829</v>
      </c>
      <c r="AK192" s="557">
        <v>2.7940863550031967</v>
      </c>
      <c r="AL192" s="557">
        <v>2.9479279447210907</v>
      </c>
      <c r="AM192" s="557">
        <v>3.2633581414119295</v>
      </c>
      <c r="AN192" s="557">
        <v>3.5891176944428365</v>
      </c>
      <c r="AO192" s="557">
        <v>3.9252066038138125</v>
      </c>
      <c r="AP192" s="557">
        <v>4.2716248695248566</v>
      </c>
      <c r="AQ192" s="1163">
        <v>4.628372491575969</v>
      </c>
      <c r="AS192" s="1166">
        <f t="shared" si="104"/>
        <v>0.10899347732816533</v>
      </c>
      <c r="AT192" s="557">
        <f t="shared" si="88"/>
        <v>0.11196822010059648</v>
      </c>
      <c r="AU192" s="557">
        <f t="shared" si="89"/>
        <v>0.11494296287302763</v>
      </c>
      <c r="AV192" s="557">
        <f t="shared" si="90"/>
        <v>0.11791770564545834</v>
      </c>
      <c r="AW192" s="557">
        <f t="shared" si="91"/>
        <v>0.12089244841788993</v>
      </c>
      <c r="AX192" s="557">
        <f t="shared" si="92"/>
        <v>0.12386719119032064</v>
      </c>
      <c r="AY192" s="557">
        <f t="shared" si="93"/>
        <v>0.12684193396275179</v>
      </c>
      <c r="AZ192" s="557">
        <f t="shared" si="94"/>
        <v>0.12981667673518293</v>
      </c>
      <c r="BA192" s="557">
        <f t="shared" si="95"/>
        <v>0.13279141950761364</v>
      </c>
      <c r="BB192" s="557">
        <f t="shared" si="96"/>
        <v>0.13576616228004479</v>
      </c>
      <c r="BC192" s="557">
        <f t="shared" si="97"/>
        <v>0.13874090505247638</v>
      </c>
      <c r="BD192" s="557">
        <f t="shared" si="98"/>
        <v>0.16848833277678743</v>
      </c>
      <c r="BE192" s="557">
        <f t="shared" si="99"/>
        <v>0.22798318822540953</v>
      </c>
      <c r="BF192" s="557">
        <f t="shared" si="100"/>
        <v>0.28747804367403074</v>
      </c>
      <c r="BG192" s="557">
        <f t="shared" si="101"/>
        <v>0.34697289912265283</v>
      </c>
      <c r="BH192" s="557">
        <f t="shared" si="102"/>
        <v>0.40646775457127404</v>
      </c>
      <c r="BI192" s="1163">
        <f t="shared" si="103"/>
        <v>0.46596261001989614</v>
      </c>
    </row>
    <row r="193" spans="3:61" x14ac:dyDescent="0.45">
      <c r="C193" s="1264"/>
      <c r="D193" s="5"/>
      <c r="E193" s="1261"/>
      <c r="F193" s="72">
        <v>90</v>
      </c>
      <c r="G193" s="56">
        <v>2.5390627634058047</v>
      </c>
      <c r="H193" s="56">
        <v>2.5511508148041346</v>
      </c>
      <c r="I193" s="56">
        <v>2.5632648417940467</v>
      </c>
      <c r="J193" s="56">
        <v>2.5754048443755404</v>
      </c>
      <c r="K193" s="56">
        <v>2.5875708225486167</v>
      </c>
      <c r="L193" s="56">
        <v>2.5997627763132751</v>
      </c>
      <c r="M193" s="56">
        <v>2.6119807056695157</v>
      </c>
      <c r="N193" s="56">
        <v>2.6242246106173384</v>
      </c>
      <c r="O193" s="56">
        <v>2.6364944911567427</v>
      </c>
      <c r="P193" s="56">
        <v>2.6487903472877301</v>
      </c>
      <c r="Q193" s="56">
        <v>2.6611121790102987</v>
      </c>
      <c r="R193" s="56">
        <v>2.7857591537730029</v>
      </c>
      <c r="S193" s="56">
        <v>3.0428457807730402</v>
      </c>
      <c r="T193" s="56">
        <v>3.3103226444059164</v>
      </c>
      <c r="U193" s="56">
        <v>3.5881897446716322</v>
      </c>
      <c r="V193" s="56">
        <v>3.8764470815701868</v>
      </c>
      <c r="W193" s="59">
        <v>4.1750946551015797</v>
      </c>
      <c r="Y193" s="1001"/>
      <c r="Z193" s="25">
        <v>90</v>
      </c>
      <c r="AA193" s="557">
        <v>2.6480562407339696</v>
      </c>
      <c r="AB193" s="557">
        <v>2.6631190349047316</v>
      </c>
      <c r="AC193" s="557">
        <v>2.6782078046670739</v>
      </c>
      <c r="AD193" s="557">
        <v>2.6933225500209992</v>
      </c>
      <c r="AE193" s="557">
        <v>2.7084632709665071</v>
      </c>
      <c r="AF193" s="557">
        <v>2.7236299675035962</v>
      </c>
      <c r="AG193" s="557">
        <v>2.7388226396322675</v>
      </c>
      <c r="AH193" s="557">
        <v>2.7540412873525213</v>
      </c>
      <c r="AI193" s="557">
        <v>2.7692859106643573</v>
      </c>
      <c r="AJ193" s="557">
        <v>2.7845565095677749</v>
      </c>
      <c r="AK193" s="557">
        <v>2.7998530840627756</v>
      </c>
      <c r="AL193" s="557">
        <v>2.9542474865497903</v>
      </c>
      <c r="AM193" s="557">
        <v>3.2708289689984493</v>
      </c>
      <c r="AN193" s="557">
        <v>3.5978006880799467</v>
      </c>
      <c r="AO193" s="557">
        <v>3.9351626437942846</v>
      </c>
      <c r="AP193" s="557">
        <v>4.2829148361414608</v>
      </c>
      <c r="AQ193" s="1163">
        <v>4.6410572651214768</v>
      </c>
      <c r="AS193" s="1166">
        <f t="shared" si="104"/>
        <v>0.10899347732816489</v>
      </c>
      <c r="AT193" s="557">
        <f t="shared" si="88"/>
        <v>0.11196822010059693</v>
      </c>
      <c r="AU193" s="557">
        <f t="shared" si="89"/>
        <v>0.11494296287302719</v>
      </c>
      <c r="AV193" s="557">
        <f t="shared" si="90"/>
        <v>0.11791770564545878</v>
      </c>
      <c r="AW193" s="557">
        <f t="shared" si="91"/>
        <v>0.12089244841789037</v>
      </c>
      <c r="AX193" s="557">
        <f t="shared" si="92"/>
        <v>0.12386719119032108</v>
      </c>
      <c r="AY193" s="557">
        <f t="shared" si="93"/>
        <v>0.12684193396275179</v>
      </c>
      <c r="AZ193" s="557">
        <f t="shared" si="94"/>
        <v>0.12981667673518293</v>
      </c>
      <c r="BA193" s="557">
        <f t="shared" si="95"/>
        <v>0.13279141950761453</v>
      </c>
      <c r="BB193" s="557">
        <f t="shared" si="96"/>
        <v>0.13576616228004479</v>
      </c>
      <c r="BC193" s="557">
        <f t="shared" si="97"/>
        <v>0.13874090505247683</v>
      </c>
      <c r="BD193" s="557">
        <f t="shared" si="98"/>
        <v>0.16848833277678743</v>
      </c>
      <c r="BE193" s="557">
        <f t="shared" si="99"/>
        <v>0.22798318822540908</v>
      </c>
      <c r="BF193" s="557">
        <f t="shared" si="100"/>
        <v>0.28747804367403029</v>
      </c>
      <c r="BG193" s="557">
        <f t="shared" si="101"/>
        <v>0.34697289912265239</v>
      </c>
      <c r="BH193" s="557">
        <f t="shared" si="102"/>
        <v>0.40646775457127404</v>
      </c>
      <c r="BI193" s="1163">
        <f t="shared" si="103"/>
        <v>0.46596261001989703</v>
      </c>
    </row>
    <row r="194" spans="3:61" x14ac:dyDescent="0.45">
      <c r="C194" s="1264"/>
      <c r="E194" s="1261"/>
      <c r="F194" s="72">
        <v>100</v>
      </c>
      <c r="G194" s="56">
        <v>2.5442918997694539</v>
      </c>
      <c r="H194" s="56">
        <v>2.5564330255340835</v>
      </c>
      <c r="I194" s="56">
        <v>2.5686002790910263</v>
      </c>
      <c r="J194" s="56">
        <v>2.5807936604402837</v>
      </c>
      <c r="K194" s="56">
        <v>2.5930131695818552</v>
      </c>
      <c r="L194" s="56">
        <v>2.60525880651574</v>
      </c>
      <c r="M194" s="56">
        <v>2.6175305712419394</v>
      </c>
      <c r="N194" s="56">
        <v>2.629828463760453</v>
      </c>
      <c r="O194" s="56">
        <v>2.6421524840712807</v>
      </c>
      <c r="P194" s="56">
        <v>2.6545026321744216</v>
      </c>
      <c r="Q194" s="56">
        <v>2.6668789080698767</v>
      </c>
      <c r="R194" s="56">
        <v>2.7920786956017025</v>
      </c>
      <c r="S194" s="56">
        <v>3.0503166083595601</v>
      </c>
      <c r="T194" s="56">
        <v>3.3190056380430275</v>
      </c>
      <c r="U194" s="56">
        <v>3.5981457846521043</v>
      </c>
      <c r="V194" s="56">
        <v>3.887737048186791</v>
      </c>
      <c r="W194" s="59">
        <v>4.1877794286470866</v>
      </c>
      <c r="Y194" s="1001"/>
      <c r="Z194" s="25">
        <v>100</v>
      </c>
      <c r="AA194" s="557">
        <v>2.6532853770976192</v>
      </c>
      <c r="AB194" s="557">
        <v>2.66840124563468</v>
      </c>
      <c r="AC194" s="557">
        <v>2.6835432419640539</v>
      </c>
      <c r="AD194" s="557">
        <v>2.698711366085742</v>
      </c>
      <c r="AE194" s="557">
        <v>2.7139056179997447</v>
      </c>
      <c r="AF194" s="557">
        <v>2.7291259977060616</v>
      </c>
      <c r="AG194" s="557">
        <v>2.7443725052046917</v>
      </c>
      <c r="AH194" s="557">
        <v>2.7596451404956355</v>
      </c>
      <c r="AI194" s="557">
        <v>2.7749439035788943</v>
      </c>
      <c r="AJ194" s="557">
        <v>2.7902687944544668</v>
      </c>
      <c r="AK194" s="557">
        <v>2.8056198131223535</v>
      </c>
      <c r="AL194" s="557">
        <v>2.9605670283784895</v>
      </c>
      <c r="AM194" s="557">
        <v>3.2782997965849692</v>
      </c>
      <c r="AN194" s="557">
        <v>3.6064836817170582</v>
      </c>
      <c r="AO194" s="557">
        <v>3.9451186837747572</v>
      </c>
      <c r="AP194" s="557">
        <v>4.294204802758065</v>
      </c>
      <c r="AQ194" s="1163">
        <v>4.6537420386669828</v>
      </c>
      <c r="AS194" s="1166">
        <f t="shared" si="104"/>
        <v>0.10899347732816533</v>
      </c>
      <c r="AT194" s="557">
        <f t="shared" si="88"/>
        <v>0.11196822010059648</v>
      </c>
      <c r="AU194" s="557">
        <f t="shared" si="89"/>
        <v>0.11494296287302763</v>
      </c>
      <c r="AV194" s="557">
        <f t="shared" si="90"/>
        <v>0.11791770564545834</v>
      </c>
      <c r="AW194" s="557">
        <f t="shared" si="91"/>
        <v>0.12089244841788949</v>
      </c>
      <c r="AX194" s="557">
        <f t="shared" si="92"/>
        <v>0.12386719119032152</v>
      </c>
      <c r="AY194" s="557">
        <f t="shared" si="93"/>
        <v>0.12684193396275223</v>
      </c>
      <c r="AZ194" s="557">
        <f t="shared" si="94"/>
        <v>0.12981667673518249</v>
      </c>
      <c r="BA194" s="557">
        <f t="shared" si="95"/>
        <v>0.13279141950761364</v>
      </c>
      <c r="BB194" s="557">
        <f t="shared" si="96"/>
        <v>0.13576616228004523</v>
      </c>
      <c r="BC194" s="557">
        <f t="shared" si="97"/>
        <v>0.13874090505247683</v>
      </c>
      <c r="BD194" s="557">
        <f t="shared" si="98"/>
        <v>0.16848833277678699</v>
      </c>
      <c r="BE194" s="557">
        <f t="shared" si="99"/>
        <v>0.22798318822540908</v>
      </c>
      <c r="BF194" s="557">
        <f t="shared" si="100"/>
        <v>0.28747804367403074</v>
      </c>
      <c r="BG194" s="557">
        <f t="shared" si="101"/>
        <v>0.34697289912265283</v>
      </c>
      <c r="BH194" s="557">
        <f t="shared" si="102"/>
        <v>0.40646775457127404</v>
      </c>
      <c r="BI194" s="1163">
        <f t="shared" si="103"/>
        <v>0.46596261001989614</v>
      </c>
    </row>
    <row r="195" spans="3:61" x14ac:dyDescent="0.45">
      <c r="C195" s="1264"/>
      <c r="D195" s="377"/>
      <c r="E195" s="1261"/>
      <c r="F195" s="72">
        <v>200</v>
      </c>
      <c r="G195" s="56">
        <v>2.5965832634059502</v>
      </c>
      <c r="H195" s="56">
        <v>2.6092551328335718</v>
      </c>
      <c r="I195" s="56">
        <v>2.6219546520608259</v>
      </c>
      <c r="J195" s="56">
        <v>2.6346818210877134</v>
      </c>
      <c r="K195" s="56">
        <v>2.6474366399142344</v>
      </c>
      <c r="L195" s="56">
        <v>2.6602191085403888</v>
      </c>
      <c r="M195" s="56">
        <v>2.6730292269661762</v>
      </c>
      <c r="N195" s="56">
        <v>2.6858669951915974</v>
      </c>
      <c r="O195" s="56">
        <v>2.6987324132166512</v>
      </c>
      <c r="P195" s="56">
        <v>2.7116254810413385</v>
      </c>
      <c r="Q195" s="56">
        <v>2.7245461986656592</v>
      </c>
      <c r="R195" s="56">
        <v>2.8552741138886968</v>
      </c>
      <c r="S195" s="56">
        <v>3.1250248842247581</v>
      </c>
      <c r="T195" s="56">
        <v>3.4058355744141351</v>
      </c>
      <c r="U195" s="56">
        <v>3.6977061844568269</v>
      </c>
      <c r="V195" s="56">
        <v>4.000636714352833</v>
      </c>
      <c r="W195" s="59">
        <v>4.3146271641021539</v>
      </c>
      <c r="Y195" s="1001"/>
      <c r="Z195" s="25">
        <v>200</v>
      </c>
      <c r="AA195" s="557">
        <v>2.7055767407341156</v>
      </c>
      <c r="AB195" s="557">
        <v>2.7212233529341683</v>
      </c>
      <c r="AC195" s="557">
        <v>2.7368976149338535</v>
      </c>
      <c r="AD195" s="557">
        <v>2.7525995267331722</v>
      </c>
      <c r="AE195" s="557">
        <v>2.7683290883321243</v>
      </c>
      <c r="AF195" s="557">
        <v>2.7840862997307099</v>
      </c>
      <c r="AG195" s="557">
        <v>2.7998711609289284</v>
      </c>
      <c r="AH195" s="557">
        <v>2.8156836719267799</v>
      </c>
      <c r="AI195" s="557">
        <v>2.8315238327242653</v>
      </c>
      <c r="AJ195" s="557">
        <v>2.8473916433213837</v>
      </c>
      <c r="AK195" s="557">
        <v>2.863287103718136</v>
      </c>
      <c r="AL195" s="557">
        <v>3.0237624466654842</v>
      </c>
      <c r="AM195" s="557">
        <v>3.3530080724501672</v>
      </c>
      <c r="AN195" s="557">
        <v>3.6933136180881658</v>
      </c>
      <c r="AO195" s="557">
        <v>4.0446790835794797</v>
      </c>
      <c r="AP195" s="557">
        <v>4.4071044689241079</v>
      </c>
      <c r="AQ195" s="1163">
        <v>4.7805897741220509</v>
      </c>
      <c r="AS195" s="1166">
        <f t="shared" si="104"/>
        <v>0.10899347732816533</v>
      </c>
      <c r="AT195" s="557">
        <f t="shared" si="88"/>
        <v>0.11196822010059648</v>
      </c>
      <c r="AU195" s="557">
        <f t="shared" si="89"/>
        <v>0.11494296287302763</v>
      </c>
      <c r="AV195" s="557">
        <f t="shared" si="90"/>
        <v>0.11791770564545878</v>
      </c>
      <c r="AW195" s="557">
        <f t="shared" si="91"/>
        <v>0.12089244841788993</v>
      </c>
      <c r="AX195" s="557">
        <f t="shared" si="92"/>
        <v>0.12386719119032108</v>
      </c>
      <c r="AY195" s="557">
        <f t="shared" si="93"/>
        <v>0.12684193396275223</v>
      </c>
      <c r="AZ195" s="557">
        <f t="shared" si="94"/>
        <v>0.12981667673518249</v>
      </c>
      <c r="BA195" s="557">
        <f t="shared" si="95"/>
        <v>0.13279141950761408</v>
      </c>
      <c r="BB195" s="557">
        <f t="shared" si="96"/>
        <v>0.13576616228004523</v>
      </c>
      <c r="BC195" s="557">
        <f t="shared" si="97"/>
        <v>0.13874090505247683</v>
      </c>
      <c r="BD195" s="557">
        <f t="shared" si="98"/>
        <v>0.16848833277678743</v>
      </c>
      <c r="BE195" s="557">
        <f t="shared" si="99"/>
        <v>0.22798318822540908</v>
      </c>
      <c r="BF195" s="557">
        <f t="shared" si="100"/>
        <v>0.28747804367403074</v>
      </c>
      <c r="BG195" s="557">
        <f t="shared" si="101"/>
        <v>0.34697289912265283</v>
      </c>
      <c r="BH195" s="557">
        <f t="shared" si="102"/>
        <v>0.40646775457127493</v>
      </c>
      <c r="BI195" s="1163">
        <f t="shared" si="103"/>
        <v>0.46596261001989703</v>
      </c>
    </row>
    <row r="196" spans="3:61" x14ac:dyDescent="0.45">
      <c r="C196" s="1264"/>
      <c r="D196" s="377"/>
      <c r="E196" s="1261"/>
      <c r="F196" s="72">
        <v>300</v>
      </c>
      <c r="G196" s="56">
        <v>2.6488746270424461</v>
      </c>
      <c r="H196" s="56">
        <v>2.6620772401330597</v>
      </c>
      <c r="I196" s="56">
        <v>2.6753090250306251</v>
      </c>
      <c r="J196" s="56">
        <v>2.6885699817351432</v>
      </c>
      <c r="K196" s="56">
        <v>2.701860110246614</v>
      </c>
      <c r="L196" s="56">
        <v>2.7151794105650371</v>
      </c>
      <c r="M196" s="56">
        <v>2.7285278826904129</v>
      </c>
      <c r="N196" s="56">
        <v>2.741905526622741</v>
      </c>
      <c r="O196" s="56">
        <v>2.7553123423620223</v>
      </c>
      <c r="P196" s="56">
        <v>2.7687483299082549</v>
      </c>
      <c r="Q196" s="56">
        <v>2.7822134892614416</v>
      </c>
      <c r="R196" s="56">
        <v>2.9184695321756915</v>
      </c>
      <c r="S196" s="56">
        <v>3.1997331600899566</v>
      </c>
      <c r="T196" s="56">
        <v>3.4926655107852422</v>
      </c>
      <c r="U196" s="56">
        <v>3.7972665842615481</v>
      </c>
      <c r="V196" s="56">
        <v>4.1135363805188749</v>
      </c>
      <c r="W196" s="59">
        <v>4.4414748995572211</v>
      </c>
      <c r="Y196" s="1001"/>
      <c r="Z196" s="25">
        <v>300</v>
      </c>
      <c r="AA196" s="557">
        <v>2.7578681043706119</v>
      </c>
      <c r="AB196" s="557">
        <v>2.7740454602336562</v>
      </c>
      <c r="AC196" s="557">
        <v>2.7902519879036527</v>
      </c>
      <c r="AD196" s="557">
        <v>2.8064876873806019</v>
      </c>
      <c r="AE196" s="557">
        <v>2.8227525586645035</v>
      </c>
      <c r="AF196" s="557">
        <v>2.8390466017553577</v>
      </c>
      <c r="AG196" s="557">
        <v>2.8553698166531642</v>
      </c>
      <c r="AH196" s="557">
        <v>2.8717222033579244</v>
      </c>
      <c r="AI196" s="557">
        <v>2.8881037618696359</v>
      </c>
      <c r="AJ196" s="557">
        <v>2.9045144921883006</v>
      </c>
      <c r="AK196" s="557">
        <v>2.920954394313918</v>
      </c>
      <c r="AL196" s="557">
        <v>3.0869578649524789</v>
      </c>
      <c r="AM196" s="557">
        <v>3.4277163483153661</v>
      </c>
      <c r="AN196" s="557">
        <v>3.780143554459273</v>
      </c>
      <c r="AO196" s="557">
        <v>4.1442394833842009</v>
      </c>
      <c r="AP196" s="557">
        <v>4.5200041350901499</v>
      </c>
      <c r="AQ196" s="1163">
        <v>4.9074375095771181</v>
      </c>
      <c r="AS196" s="1166">
        <f t="shared" si="104"/>
        <v>0.10899347732816578</v>
      </c>
      <c r="AT196" s="557">
        <f t="shared" si="88"/>
        <v>0.11196822010059648</v>
      </c>
      <c r="AU196" s="557">
        <f t="shared" si="89"/>
        <v>0.11494296287302763</v>
      </c>
      <c r="AV196" s="557">
        <f t="shared" si="90"/>
        <v>0.11791770564545878</v>
      </c>
      <c r="AW196" s="557">
        <f t="shared" si="91"/>
        <v>0.12089244841788949</v>
      </c>
      <c r="AX196" s="557">
        <f t="shared" si="92"/>
        <v>0.12386719119032064</v>
      </c>
      <c r="AY196" s="557">
        <f t="shared" si="93"/>
        <v>0.12684193396275134</v>
      </c>
      <c r="AZ196" s="557">
        <f t="shared" si="94"/>
        <v>0.12981667673518338</v>
      </c>
      <c r="BA196" s="557">
        <f t="shared" si="95"/>
        <v>0.13279141950761364</v>
      </c>
      <c r="BB196" s="557">
        <f t="shared" si="96"/>
        <v>0.13576616228004568</v>
      </c>
      <c r="BC196" s="557">
        <f t="shared" si="97"/>
        <v>0.13874090505247638</v>
      </c>
      <c r="BD196" s="557">
        <f t="shared" si="98"/>
        <v>0.16848833277678743</v>
      </c>
      <c r="BE196" s="557">
        <f t="shared" si="99"/>
        <v>0.22798318822540953</v>
      </c>
      <c r="BF196" s="557">
        <f t="shared" si="100"/>
        <v>0.28747804367403074</v>
      </c>
      <c r="BG196" s="557">
        <f t="shared" si="101"/>
        <v>0.34697289912265283</v>
      </c>
      <c r="BH196" s="557">
        <f t="shared" si="102"/>
        <v>0.40646775457127493</v>
      </c>
      <c r="BI196" s="1163">
        <f t="shared" si="103"/>
        <v>0.46596261001989703</v>
      </c>
    </row>
    <row r="197" spans="3:61" x14ac:dyDescent="0.45">
      <c r="C197" s="1264"/>
      <c r="D197" s="377"/>
      <c r="E197" s="1261"/>
      <c r="F197" s="72">
        <v>400</v>
      </c>
      <c r="G197" s="56">
        <v>2.7011659906789429</v>
      </c>
      <c r="H197" s="56">
        <v>2.7148993474325476</v>
      </c>
      <c r="I197" s="56">
        <v>2.7286633980004242</v>
      </c>
      <c r="J197" s="56">
        <v>2.7424581423825729</v>
      </c>
      <c r="K197" s="56">
        <v>2.7562835805789931</v>
      </c>
      <c r="L197" s="56">
        <v>2.7701397125896854</v>
      </c>
      <c r="M197" s="56">
        <v>2.7840265384146496</v>
      </c>
      <c r="N197" s="56">
        <v>2.7979440580538855</v>
      </c>
      <c r="O197" s="56">
        <v>2.8118922715073928</v>
      </c>
      <c r="P197" s="56">
        <v>2.8258711787751722</v>
      </c>
      <c r="Q197" s="56">
        <v>2.8398807798572241</v>
      </c>
      <c r="R197" s="56">
        <v>2.9816649504626858</v>
      </c>
      <c r="S197" s="56">
        <v>3.274441435955155</v>
      </c>
      <c r="T197" s="56">
        <v>3.5794954471563498</v>
      </c>
      <c r="U197" s="56">
        <v>3.8968269840662706</v>
      </c>
      <c r="V197" s="56">
        <v>4.2264360466849178</v>
      </c>
      <c r="W197" s="59">
        <v>4.5683226350122901</v>
      </c>
      <c r="Y197" s="1001"/>
      <c r="Z197" s="25">
        <v>400</v>
      </c>
      <c r="AA197" s="557">
        <v>2.8101594680071087</v>
      </c>
      <c r="AB197" s="557">
        <v>2.8268675675331441</v>
      </c>
      <c r="AC197" s="557">
        <v>2.8436063608734523</v>
      </c>
      <c r="AD197" s="557">
        <v>2.8603758480280317</v>
      </c>
      <c r="AE197" s="557">
        <v>2.8771760289968831</v>
      </c>
      <c r="AF197" s="557">
        <v>2.8940069037800065</v>
      </c>
      <c r="AG197" s="557">
        <v>2.9108684723774014</v>
      </c>
      <c r="AH197" s="557">
        <v>2.9277607347890688</v>
      </c>
      <c r="AI197" s="557">
        <v>2.9446836910150069</v>
      </c>
      <c r="AJ197" s="557">
        <v>2.9616373410552179</v>
      </c>
      <c r="AK197" s="557">
        <v>2.9786216849097</v>
      </c>
      <c r="AL197" s="557">
        <v>3.1501532832394732</v>
      </c>
      <c r="AM197" s="557">
        <v>3.5024246241805641</v>
      </c>
      <c r="AN197" s="557">
        <v>3.8669734908303806</v>
      </c>
      <c r="AO197" s="557">
        <v>4.2437998831889239</v>
      </c>
      <c r="AP197" s="557">
        <v>4.6329038012561927</v>
      </c>
      <c r="AQ197" s="1163">
        <v>5.0342852450321853</v>
      </c>
      <c r="AS197" s="1166">
        <f t="shared" si="104"/>
        <v>0.10899347732816578</v>
      </c>
      <c r="AT197" s="557">
        <f t="shared" si="88"/>
        <v>0.11196822010059648</v>
      </c>
      <c r="AU197" s="557">
        <f t="shared" si="89"/>
        <v>0.11494296287302808</v>
      </c>
      <c r="AV197" s="557">
        <f t="shared" si="90"/>
        <v>0.11791770564545878</v>
      </c>
      <c r="AW197" s="557">
        <f t="shared" si="91"/>
        <v>0.12089244841788993</v>
      </c>
      <c r="AX197" s="557">
        <f t="shared" si="92"/>
        <v>0.12386719119032108</v>
      </c>
      <c r="AY197" s="557">
        <f t="shared" si="93"/>
        <v>0.12684193396275179</v>
      </c>
      <c r="AZ197" s="557">
        <f t="shared" si="94"/>
        <v>0.12981667673518338</v>
      </c>
      <c r="BA197" s="557">
        <f t="shared" si="95"/>
        <v>0.13279141950761408</v>
      </c>
      <c r="BB197" s="557">
        <f t="shared" si="96"/>
        <v>0.13576616228004568</v>
      </c>
      <c r="BC197" s="557">
        <f t="shared" si="97"/>
        <v>0.13874090505247594</v>
      </c>
      <c r="BD197" s="557">
        <f t="shared" si="98"/>
        <v>0.16848833277678743</v>
      </c>
      <c r="BE197" s="557">
        <f t="shared" si="99"/>
        <v>0.22798318822540908</v>
      </c>
      <c r="BF197" s="557">
        <f t="shared" si="100"/>
        <v>0.28747804367403074</v>
      </c>
      <c r="BG197" s="557">
        <f t="shared" si="101"/>
        <v>0.34697289912265328</v>
      </c>
      <c r="BH197" s="557">
        <f t="shared" si="102"/>
        <v>0.40646775457127493</v>
      </c>
      <c r="BI197" s="1163">
        <f t="shared" si="103"/>
        <v>0.46596261001989525</v>
      </c>
    </row>
    <row r="198" spans="3:61" x14ac:dyDescent="0.45">
      <c r="C198" s="1264"/>
      <c r="D198" s="377"/>
      <c r="E198" s="1261"/>
      <c r="F198" s="72">
        <v>500</v>
      </c>
      <c r="G198" s="56">
        <v>2.7534573543154388</v>
      </c>
      <c r="H198" s="56">
        <v>2.7677214547320359</v>
      </c>
      <c r="I198" s="56">
        <v>2.7820177709702234</v>
      </c>
      <c r="J198" s="56">
        <v>2.7963463030300026</v>
      </c>
      <c r="K198" s="56">
        <v>2.8107070509113727</v>
      </c>
      <c r="L198" s="56">
        <v>2.8251000146143337</v>
      </c>
      <c r="M198" s="56">
        <v>2.8395251941388864</v>
      </c>
      <c r="N198" s="56">
        <v>2.853982589485029</v>
      </c>
      <c r="O198" s="56">
        <v>2.8684722006527639</v>
      </c>
      <c r="P198" s="56">
        <v>2.8829940276420896</v>
      </c>
      <c r="Q198" s="56">
        <v>2.8975480704530057</v>
      </c>
      <c r="R198" s="56">
        <v>3.0448603687496809</v>
      </c>
      <c r="S198" s="56">
        <v>3.3491497118203535</v>
      </c>
      <c r="T198" s="56">
        <v>3.666325383527457</v>
      </c>
      <c r="U198" s="56">
        <v>3.9963873838709931</v>
      </c>
      <c r="V198" s="56">
        <v>4.3393357128509598</v>
      </c>
      <c r="W198" s="59">
        <v>4.6951703704673573</v>
      </c>
      <c r="Y198" s="1001"/>
      <c r="Z198" s="25">
        <v>500</v>
      </c>
      <c r="AA198" s="557">
        <v>2.8624508316436041</v>
      </c>
      <c r="AB198" s="557">
        <v>2.8796896748326324</v>
      </c>
      <c r="AC198" s="557">
        <v>2.8969607338432515</v>
      </c>
      <c r="AD198" s="557">
        <v>2.914264008675461</v>
      </c>
      <c r="AE198" s="557">
        <v>2.9315994993292627</v>
      </c>
      <c r="AF198" s="557">
        <v>2.9489672058046548</v>
      </c>
      <c r="AG198" s="557">
        <v>2.9663671281016382</v>
      </c>
      <c r="AH198" s="557">
        <v>2.9837992662202124</v>
      </c>
      <c r="AI198" s="557">
        <v>3.001263620160378</v>
      </c>
      <c r="AJ198" s="557">
        <v>3.0187601899221348</v>
      </c>
      <c r="AK198" s="557">
        <v>3.0362889755054825</v>
      </c>
      <c r="AL198" s="557">
        <v>3.2133487015264679</v>
      </c>
      <c r="AM198" s="557">
        <v>3.5771329000457621</v>
      </c>
      <c r="AN198" s="557">
        <v>3.9538034272014877</v>
      </c>
      <c r="AO198" s="557">
        <v>4.3433602829936451</v>
      </c>
      <c r="AP198" s="557">
        <v>4.7458034674222347</v>
      </c>
      <c r="AQ198" s="1163">
        <v>5.1611329804872526</v>
      </c>
      <c r="AS198" s="1166">
        <f t="shared" si="104"/>
        <v>0.10899347732816533</v>
      </c>
      <c r="AT198" s="557">
        <f t="shared" si="88"/>
        <v>0.11196822010059648</v>
      </c>
      <c r="AU198" s="557">
        <f t="shared" si="89"/>
        <v>0.11494296287302808</v>
      </c>
      <c r="AV198" s="557">
        <f t="shared" si="90"/>
        <v>0.11791770564545834</v>
      </c>
      <c r="AW198" s="557">
        <f t="shared" si="91"/>
        <v>0.12089244841788993</v>
      </c>
      <c r="AX198" s="557">
        <f t="shared" si="92"/>
        <v>0.12386719119032108</v>
      </c>
      <c r="AY198" s="557">
        <f t="shared" si="93"/>
        <v>0.12684193396275179</v>
      </c>
      <c r="AZ198" s="557">
        <f t="shared" si="94"/>
        <v>0.12981667673518338</v>
      </c>
      <c r="BA198" s="557">
        <f t="shared" si="95"/>
        <v>0.13279141950761408</v>
      </c>
      <c r="BB198" s="557">
        <f t="shared" si="96"/>
        <v>0.13576616228004523</v>
      </c>
      <c r="BC198" s="557">
        <f t="shared" si="97"/>
        <v>0.13874090505247683</v>
      </c>
      <c r="BD198" s="557">
        <f t="shared" si="98"/>
        <v>0.16848833277678699</v>
      </c>
      <c r="BE198" s="557">
        <f t="shared" si="99"/>
        <v>0.22798318822540864</v>
      </c>
      <c r="BF198" s="557">
        <f t="shared" si="100"/>
        <v>0.28747804367403074</v>
      </c>
      <c r="BG198" s="557">
        <f t="shared" si="101"/>
        <v>0.34697289912265195</v>
      </c>
      <c r="BH198" s="557">
        <f t="shared" si="102"/>
        <v>0.40646775457127493</v>
      </c>
      <c r="BI198" s="1163">
        <f t="shared" si="103"/>
        <v>0.46596261001989525</v>
      </c>
    </row>
    <row r="199" spans="3:61" x14ac:dyDescent="0.45">
      <c r="C199" s="1264"/>
      <c r="D199" s="377"/>
      <c r="E199" s="1261"/>
      <c r="F199" s="72">
        <v>600</v>
      </c>
      <c r="G199" s="56">
        <v>2.8057487179519351</v>
      </c>
      <c r="H199" s="56">
        <v>2.8205435620315242</v>
      </c>
      <c r="I199" s="56">
        <v>2.8353721439400235</v>
      </c>
      <c r="J199" s="56">
        <v>2.8502344636774324</v>
      </c>
      <c r="K199" s="56">
        <v>2.8651305212437519</v>
      </c>
      <c r="L199" s="56">
        <v>2.8800603166389829</v>
      </c>
      <c r="M199" s="56">
        <v>2.8950238498631231</v>
      </c>
      <c r="N199" s="56">
        <v>2.9100211209161735</v>
      </c>
      <c r="O199" s="56">
        <v>2.9250521297981349</v>
      </c>
      <c r="P199" s="56">
        <v>2.9401168765090064</v>
      </c>
      <c r="Q199" s="56">
        <v>2.9552153610487881</v>
      </c>
      <c r="R199" s="56">
        <v>3.1080557870366752</v>
      </c>
      <c r="S199" s="56">
        <v>3.4238579876855524</v>
      </c>
      <c r="T199" s="56">
        <v>3.753155319898565</v>
      </c>
      <c r="U199" s="56">
        <v>4.0959477836757152</v>
      </c>
      <c r="V199" s="56">
        <v>4.4522353790170017</v>
      </c>
      <c r="W199" s="59">
        <v>4.8220181059224245</v>
      </c>
      <c r="Y199" s="1001"/>
      <c r="Z199" s="25">
        <v>600</v>
      </c>
      <c r="AA199" s="557">
        <v>2.9147421952801009</v>
      </c>
      <c r="AB199" s="557">
        <v>2.9325117821321207</v>
      </c>
      <c r="AC199" s="557">
        <v>2.9503151068130506</v>
      </c>
      <c r="AD199" s="557">
        <v>2.9681521693228912</v>
      </c>
      <c r="AE199" s="557">
        <v>2.9860229696616418</v>
      </c>
      <c r="AF199" s="557">
        <v>3.0039275078293031</v>
      </c>
      <c r="AG199" s="557">
        <v>3.0218657838258753</v>
      </c>
      <c r="AH199" s="557">
        <v>3.0398377976513569</v>
      </c>
      <c r="AI199" s="557">
        <v>3.0578435493057485</v>
      </c>
      <c r="AJ199" s="557">
        <v>3.0758830387890521</v>
      </c>
      <c r="AK199" s="557">
        <v>3.093956266101265</v>
      </c>
      <c r="AL199" s="557">
        <v>3.2765441198134626</v>
      </c>
      <c r="AM199" s="557">
        <v>3.651841175910961</v>
      </c>
      <c r="AN199" s="557">
        <v>4.0406333635725957</v>
      </c>
      <c r="AO199" s="557">
        <v>4.442920682798368</v>
      </c>
      <c r="AP199" s="557">
        <v>4.8587031335882767</v>
      </c>
      <c r="AQ199" s="1163">
        <v>5.2879807159423216</v>
      </c>
      <c r="AS199" s="1166">
        <f t="shared" si="104"/>
        <v>0.10899347732816578</v>
      </c>
      <c r="AT199" s="557">
        <f t="shared" si="88"/>
        <v>0.11196822010059648</v>
      </c>
      <c r="AU199" s="557">
        <f t="shared" si="89"/>
        <v>0.11494296287302719</v>
      </c>
      <c r="AV199" s="557">
        <f t="shared" si="90"/>
        <v>0.11791770564545878</v>
      </c>
      <c r="AW199" s="557">
        <f t="shared" si="91"/>
        <v>0.12089244841788993</v>
      </c>
      <c r="AX199" s="557">
        <f t="shared" si="92"/>
        <v>0.12386719119032019</v>
      </c>
      <c r="AY199" s="557">
        <f t="shared" si="93"/>
        <v>0.12684193396275223</v>
      </c>
      <c r="AZ199" s="557">
        <f t="shared" si="94"/>
        <v>0.12981667673518338</v>
      </c>
      <c r="BA199" s="557">
        <f t="shared" si="95"/>
        <v>0.13279141950761364</v>
      </c>
      <c r="BB199" s="557">
        <f t="shared" si="96"/>
        <v>0.13576616228004568</v>
      </c>
      <c r="BC199" s="557">
        <f t="shared" si="97"/>
        <v>0.13874090505247683</v>
      </c>
      <c r="BD199" s="557">
        <f t="shared" si="98"/>
        <v>0.16848833277678743</v>
      </c>
      <c r="BE199" s="557">
        <f t="shared" si="99"/>
        <v>0.22798318822540864</v>
      </c>
      <c r="BF199" s="557">
        <f t="shared" si="100"/>
        <v>0.28747804367403074</v>
      </c>
      <c r="BG199" s="557">
        <f t="shared" si="101"/>
        <v>0.34697289912265283</v>
      </c>
      <c r="BH199" s="557">
        <f t="shared" si="102"/>
        <v>0.40646775457127493</v>
      </c>
      <c r="BI199" s="1163">
        <f t="shared" si="103"/>
        <v>0.46596261001989703</v>
      </c>
    </row>
    <row r="200" spans="3:61" x14ac:dyDescent="0.45">
      <c r="C200" s="1264"/>
      <c r="D200" s="377"/>
      <c r="E200" s="1261"/>
      <c r="F200" s="72">
        <v>700</v>
      </c>
      <c r="G200" s="56">
        <v>2.8580400815884315</v>
      </c>
      <c r="H200" s="56">
        <v>2.8733656693310126</v>
      </c>
      <c r="I200" s="56">
        <v>2.8887265169098222</v>
      </c>
      <c r="J200" s="56">
        <v>2.9041226243248621</v>
      </c>
      <c r="K200" s="56">
        <v>2.9195539915761319</v>
      </c>
      <c r="L200" s="56">
        <v>2.9350206186636312</v>
      </c>
      <c r="M200" s="56">
        <v>2.9505225055873598</v>
      </c>
      <c r="N200" s="56">
        <v>2.9660596523473179</v>
      </c>
      <c r="O200" s="56">
        <v>2.9816320589435064</v>
      </c>
      <c r="P200" s="56">
        <v>2.9972397253759233</v>
      </c>
      <c r="Q200" s="56">
        <v>3.0128826516445706</v>
      </c>
      <c r="R200" s="56">
        <v>3.1712512053236699</v>
      </c>
      <c r="S200" s="56">
        <v>3.4985662635507504</v>
      </c>
      <c r="T200" s="56">
        <v>3.8399852562696726</v>
      </c>
      <c r="U200" s="56">
        <v>4.1955081834804373</v>
      </c>
      <c r="V200" s="56">
        <v>4.5651350451830446</v>
      </c>
      <c r="W200" s="59">
        <v>4.9488658413774926</v>
      </c>
      <c r="Y200" s="1001"/>
      <c r="Z200" s="25">
        <v>700</v>
      </c>
      <c r="AA200" s="557">
        <v>2.9670335589165968</v>
      </c>
      <c r="AB200" s="557">
        <v>2.985333889431609</v>
      </c>
      <c r="AC200" s="557">
        <v>3.0036694797828498</v>
      </c>
      <c r="AD200" s="557">
        <v>3.0220403299703209</v>
      </c>
      <c r="AE200" s="557">
        <v>3.0404464399940219</v>
      </c>
      <c r="AF200" s="557">
        <v>3.0588878098539523</v>
      </c>
      <c r="AG200" s="557">
        <v>3.0773644395501112</v>
      </c>
      <c r="AH200" s="557">
        <v>3.0958763290825013</v>
      </c>
      <c r="AI200" s="557">
        <v>3.11442347845112</v>
      </c>
      <c r="AJ200" s="557">
        <v>3.133005887655969</v>
      </c>
      <c r="AK200" s="557">
        <v>3.1516235566970465</v>
      </c>
      <c r="AL200" s="557">
        <v>3.3397395381004573</v>
      </c>
      <c r="AM200" s="557">
        <v>3.726549451776159</v>
      </c>
      <c r="AN200" s="557">
        <v>4.1274632999437033</v>
      </c>
      <c r="AO200" s="557">
        <v>4.5424810826030901</v>
      </c>
      <c r="AP200" s="557">
        <v>4.9716027997543186</v>
      </c>
      <c r="AQ200" s="1163">
        <v>5.4148284513973897</v>
      </c>
      <c r="AS200" s="1166">
        <f t="shared" si="104"/>
        <v>0.10899347732816533</v>
      </c>
      <c r="AT200" s="557">
        <f t="shared" si="88"/>
        <v>0.11196822010059648</v>
      </c>
      <c r="AU200" s="557">
        <f t="shared" si="89"/>
        <v>0.11494296287302763</v>
      </c>
      <c r="AV200" s="557">
        <f t="shared" si="90"/>
        <v>0.11791770564545878</v>
      </c>
      <c r="AW200" s="557">
        <f t="shared" si="91"/>
        <v>0.12089244841788993</v>
      </c>
      <c r="AX200" s="557">
        <f t="shared" si="92"/>
        <v>0.12386719119032108</v>
      </c>
      <c r="AY200" s="557">
        <f t="shared" si="93"/>
        <v>0.12684193396275134</v>
      </c>
      <c r="AZ200" s="557">
        <f t="shared" si="94"/>
        <v>0.12981667673518338</v>
      </c>
      <c r="BA200" s="557">
        <f t="shared" si="95"/>
        <v>0.13279141950761364</v>
      </c>
      <c r="BB200" s="557">
        <f t="shared" si="96"/>
        <v>0.13576616228004568</v>
      </c>
      <c r="BC200" s="557">
        <f t="shared" si="97"/>
        <v>0.13874090505247594</v>
      </c>
      <c r="BD200" s="557">
        <f t="shared" si="98"/>
        <v>0.16848833277678743</v>
      </c>
      <c r="BE200" s="557">
        <f t="shared" si="99"/>
        <v>0.22798318822540864</v>
      </c>
      <c r="BF200" s="557">
        <f t="shared" si="100"/>
        <v>0.28747804367403074</v>
      </c>
      <c r="BG200" s="557">
        <f t="shared" si="101"/>
        <v>0.34697289912265283</v>
      </c>
      <c r="BH200" s="557">
        <f t="shared" si="102"/>
        <v>0.40646775457127404</v>
      </c>
      <c r="BI200" s="1163">
        <f t="shared" si="103"/>
        <v>0.46596261001989703</v>
      </c>
    </row>
    <row r="201" spans="3:61" x14ac:dyDescent="0.45">
      <c r="C201" s="1264"/>
      <c r="D201" s="377"/>
      <c r="E201" s="1261"/>
      <c r="F201" s="72">
        <v>800</v>
      </c>
      <c r="G201" s="56">
        <v>2.9103314452249274</v>
      </c>
      <c r="H201" s="56">
        <v>2.9261877766305</v>
      </c>
      <c r="I201" s="56">
        <v>2.9420808898796218</v>
      </c>
      <c r="J201" s="56">
        <v>2.9580107849722923</v>
      </c>
      <c r="K201" s="56">
        <v>2.9739774619085111</v>
      </c>
      <c r="L201" s="56">
        <v>2.9899809206882795</v>
      </c>
      <c r="M201" s="56">
        <v>3.0060211613115957</v>
      </c>
      <c r="N201" s="56">
        <v>3.0220981837784624</v>
      </c>
      <c r="O201" s="56">
        <v>3.0382119880888765</v>
      </c>
      <c r="P201" s="56">
        <v>3.0543625742428402</v>
      </c>
      <c r="Q201" s="56">
        <v>3.070549942240353</v>
      </c>
      <c r="R201" s="56">
        <v>3.2344466236106646</v>
      </c>
      <c r="S201" s="56">
        <v>3.5732745394159484</v>
      </c>
      <c r="T201" s="56">
        <v>3.9268151926407802</v>
      </c>
      <c r="U201" s="56">
        <v>4.2950685832851594</v>
      </c>
      <c r="V201" s="56">
        <v>4.6780347113490865</v>
      </c>
      <c r="W201" s="59">
        <v>5.0757135768325599</v>
      </c>
      <c r="Y201" s="1001"/>
      <c r="Z201" s="25">
        <v>800</v>
      </c>
      <c r="AA201" s="557">
        <v>3.0193249225530931</v>
      </c>
      <c r="AB201" s="557">
        <v>3.0381559967310965</v>
      </c>
      <c r="AC201" s="557">
        <v>3.057023852752649</v>
      </c>
      <c r="AD201" s="557">
        <v>3.0759284906177511</v>
      </c>
      <c r="AE201" s="557">
        <v>3.094869910326401</v>
      </c>
      <c r="AF201" s="557">
        <v>3.1138481118786006</v>
      </c>
      <c r="AG201" s="557">
        <v>3.1328630952743479</v>
      </c>
      <c r="AH201" s="557">
        <v>3.1519148605136449</v>
      </c>
      <c r="AI201" s="557">
        <v>3.1710034075964906</v>
      </c>
      <c r="AJ201" s="557">
        <v>3.190128736522885</v>
      </c>
      <c r="AK201" s="557">
        <v>3.209290847292829</v>
      </c>
      <c r="AL201" s="557">
        <v>3.4029349563874511</v>
      </c>
      <c r="AM201" s="557">
        <v>3.8012577276413571</v>
      </c>
      <c r="AN201" s="557">
        <v>4.2142932363148109</v>
      </c>
      <c r="AO201" s="557">
        <v>4.6420414824078122</v>
      </c>
      <c r="AP201" s="557">
        <v>5.0845024659203606</v>
      </c>
      <c r="AQ201" s="1163">
        <v>5.5416761868524569</v>
      </c>
      <c r="AS201" s="1166">
        <f t="shared" si="104"/>
        <v>0.10899347732816578</v>
      </c>
      <c r="AT201" s="557">
        <f t="shared" si="88"/>
        <v>0.11196822010059648</v>
      </c>
      <c r="AU201" s="557">
        <f t="shared" si="89"/>
        <v>0.11494296287302719</v>
      </c>
      <c r="AV201" s="557">
        <f t="shared" si="90"/>
        <v>0.11791770564545878</v>
      </c>
      <c r="AW201" s="557">
        <f t="shared" si="91"/>
        <v>0.12089244841788993</v>
      </c>
      <c r="AX201" s="557">
        <f t="shared" si="92"/>
        <v>0.12386719119032108</v>
      </c>
      <c r="AY201" s="557">
        <f t="shared" si="93"/>
        <v>0.12684193396275223</v>
      </c>
      <c r="AZ201" s="557">
        <f t="shared" si="94"/>
        <v>0.12981667673518249</v>
      </c>
      <c r="BA201" s="557">
        <f t="shared" si="95"/>
        <v>0.13279141950761408</v>
      </c>
      <c r="BB201" s="557">
        <f t="shared" si="96"/>
        <v>0.13576616228004479</v>
      </c>
      <c r="BC201" s="557">
        <f t="shared" si="97"/>
        <v>0.13874090505247594</v>
      </c>
      <c r="BD201" s="557">
        <f t="shared" si="98"/>
        <v>0.16848833277678654</v>
      </c>
      <c r="BE201" s="557">
        <f t="shared" si="99"/>
        <v>0.22798318822540864</v>
      </c>
      <c r="BF201" s="557">
        <f t="shared" si="100"/>
        <v>0.28747804367403074</v>
      </c>
      <c r="BG201" s="557">
        <f t="shared" si="101"/>
        <v>0.34697289912265283</v>
      </c>
      <c r="BH201" s="557">
        <f t="shared" si="102"/>
        <v>0.40646775457127404</v>
      </c>
      <c r="BI201" s="1163">
        <f t="shared" si="103"/>
        <v>0.46596261001989703</v>
      </c>
    </row>
    <row r="202" spans="3:61" ht="14.65" thickBot="1" x14ac:dyDescent="0.5">
      <c r="C202" s="1264"/>
      <c r="D202" s="377"/>
      <c r="E202" s="1262"/>
      <c r="F202" s="374">
        <v>900</v>
      </c>
      <c r="G202" s="57">
        <v>2.9626228088614237</v>
      </c>
      <c r="H202" s="57">
        <v>2.9790098839299883</v>
      </c>
      <c r="I202" s="57">
        <v>2.995435262849421</v>
      </c>
      <c r="J202" s="57">
        <v>3.0118989456197216</v>
      </c>
      <c r="K202" s="57">
        <v>3.0284009322408907</v>
      </c>
      <c r="L202" s="57">
        <v>3.0449412227129278</v>
      </c>
      <c r="M202" s="57">
        <v>3.0615198170358329</v>
      </c>
      <c r="N202" s="57">
        <v>3.078136715209606</v>
      </c>
      <c r="O202" s="57">
        <v>3.0947919172342475</v>
      </c>
      <c r="P202" s="57">
        <v>3.1114854231097571</v>
      </c>
      <c r="Q202" s="57">
        <v>3.1282172328361351</v>
      </c>
      <c r="R202" s="57">
        <v>3.2976420418976593</v>
      </c>
      <c r="S202" s="57">
        <v>3.6479828152811473</v>
      </c>
      <c r="T202" s="57">
        <v>4.0136451290118877</v>
      </c>
      <c r="U202" s="57">
        <v>4.3946289830898815</v>
      </c>
      <c r="V202" s="57">
        <v>4.7909343775151285</v>
      </c>
      <c r="W202" s="60">
        <v>5.2025613122876271</v>
      </c>
      <c r="Y202" s="1001"/>
      <c r="Z202" s="25">
        <v>900</v>
      </c>
      <c r="AA202" s="557">
        <v>3.071616286189589</v>
      </c>
      <c r="AB202" s="557">
        <v>3.0909781040305844</v>
      </c>
      <c r="AC202" s="557">
        <v>3.1103782257224482</v>
      </c>
      <c r="AD202" s="557">
        <v>3.1298166512651804</v>
      </c>
      <c r="AE202" s="557">
        <v>3.1492933806587802</v>
      </c>
      <c r="AF202" s="557">
        <v>3.1688084139032489</v>
      </c>
      <c r="AG202" s="557">
        <v>3.1883617509985851</v>
      </c>
      <c r="AH202" s="557">
        <v>3.2079533919447893</v>
      </c>
      <c r="AI202" s="557">
        <v>3.2275833367418612</v>
      </c>
      <c r="AJ202" s="557">
        <v>3.2472515853898023</v>
      </c>
      <c r="AK202" s="557">
        <v>3.2669581378886114</v>
      </c>
      <c r="AL202" s="557">
        <v>3.4661303746744463</v>
      </c>
      <c r="AM202" s="557">
        <v>3.875966003506556</v>
      </c>
      <c r="AN202" s="557">
        <v>4.3011231726859194</v>
      </c>
      <c r="AO202" s="557">
        <v>4.7416018822125343</v>
      </c>
      <c r="AP202" s="557">
        <v>5.1974021320864026</v>
      </c>
      <c r="AQ202" s="1163">
        <v>5.6685239223075232</v>
      </c>
      <c r="AS202" s="1166">
        <f t="shared" si="104"/>
        <v>0.10899347732816533</v>
      </c>
      <c r="AT202" s="557">
        <f t="shared" si="88"/>
        <v>0.11196822010059604</v>
      </c>
      <c r="AU202" s="557">
        <f t="shared" si="89"/>
        <v>0.11494296287302719</v>
      </c>
      <c r="AV202" s="557">
        <f t="shared" si="90"/>
        <v>0.11791770564545878</v>
      </c>
      <c r="AW202" s="557">
        <f t="shared" si="91"/>
        <v>0.12089244841788949</v>
      </c>
      <c r="AX202" s="557">
        <f t="shared" si="92"/>
        <v>0.12386719119032108</v>
      </c>
      <c r="AY202" s="557">
        <f t="shared" si="93"/>
        <v>0.12684193396275223</v>
      </c>
      <c r="AZ202" s="557">
        <f t="shared" si="94"/>
        <v>0.12981667673518338</v>
      </c>
      <c r="BA202" s="557">
        <f t="shared" si="95"/>
        <v>0.13279141950761364</v>
      </c>
      <c r="BB202" s="557">
        <f t="shared" si="96"/>
        <v>0.13576616228004523</v>
      </c>
      <c r="BC202" s="557">
        <f t="shared" si="97"/>
        <v>0.13874090505247638</v>
      </c>
      <c r="BD202" s="557">
        <f t="shared" si="98"/>
        <v>0.16848833277678699</v>
      </c>
      <c r="BE202" s="557">
        <f t="shared" si="99"/>
        <v>0.22798318822540864</v>
      </c>
      <c r="BF202" s="557">
        <f t="shared" si="100"/>
        <v>0.28747804367403162</v>
      </c>
      <c r="BG202" s="557">
        <f t="shared" si="101"/>
        <v>0.34697289912265283</v>
      </c>
      <c r="BH202" s="557">
        <f t="shared" si="102"/>
        <v>0.40646775457127404</v>
      </c>
      <c r="BI202" s="1163">
        <f t="shared" si="103"/>
        <v>0.46596261001989614</v>
      </c>
    </row>
    <row r="203" spans="3:61" ht="14.65" thickBot="1" x14ac:dyDescent="0.5">
      <c r="C203" s="1264"/>
      <c r="D203" s="377"/>
      <c r="E203" s="2"/>
      <c r="F203" s="2"/>
      <c r="G203" s="73"/>
      <c r="H203" s="73"/>
      <c r="I203" s="73"/>
      <c r="J203" s="73"/>
      <c r="K203" s="73"/>
      <c r="L203" s="73"/>
      <c r="M203" s="73"/>
      <c r="N203" s="73"/>
      <c r="O203" s="73"/>
      <c r="P203" s="73"/>
      <c r="Q203" s="73"/>
      <c r="R203" s="73"/>
      <c r="S203" s="73"/>
      <c r="T203" s="73"/>
      <c r="U203" s="73"/>
      <c r="V203" s="73"/>
      <c r="W203" s="73"/>
      <c r="X203" s="1"/>
      <c r="Y203" s="1057"/>
      <c r="Z203" s="1"/>
      <c r="AA203" s="1156"/>
      <c r="AB203" s="1156"/>
      <c r="AC203" s="1156"/>
      <c r="AD203" s="1156"/>
      <c r="AE203" s="557"/>
      <c r="AF203" s="557"/>
      <c r="AG203" s="557"/>
      <c r="AH203" s="557"/>
      <c r="AI203" s="557"/>
      <c r="AJ203" s="557"/>
      <c r="AK203" s="557"/>
      <c r="AL203" s="557"/>
      <c r="AM203" s="557"/>
      <c r="AN203" s="557"/>
      <c r="AO203" s="557"/>
      <c r="AP203" s="557"/>
      <c r="AQ203" s="1163"/>
      <c r="AS203" s="1001"/>
      <c r="AT203" s="25"/>
      <c r="AU203" s="25"/>
      <c r="AV203" s="25"/>
      <c r="AW203" s="25"/>
      <c r="AX203" s="25"/>
      <c r="AY203" s="25"/>
      <c r="AZ203" s="25"/>
      <c r="BA203" s="25"/>
      <c r="BB203" s="25"/>
      <c r="BC203" s="25"/>
      <c r="BD203" s="25"/>
      <c r="BE203" s="25"/>
      <c r="BF203" s="25"/>
      <c r="BG203" s="25"/>
      <c r="BH203" s="25"/>
      <c r="BI203" s="1002"/>
    </row>
    <row r="204" spans="3:61" ht="14.65" thickBot="1" x14ac:dyDescent="0.5">
      <c r="C204" s="1264"/>
      <c r="D204" s="376" t="s">
        <v>506</v>
      </c>
      <c r="E204" s="30"/>
      <c r="F204" s="30" t="s">
        <v>206</v>
      </c>
      <c r="G204" s="381">
        <v>0</v>
      </c>
      <c r="H204" s="382">
        <v>10</v>
      </c>
      <c r="I204" s="382">
        <v>20</v>
      </c>
      <c r="J204" s="382">
        <v>30</v>
      </c>
      <c r="K204" s="382">
        <v>40</v>
      </c>
      <c r="L204" s="382">
        <v>50</v>
      </c>
      <c r="M204" s="382">
        <v>60</v>
      </c>
      <c r="N204" s="382">
        <v>70</v>
      </c>
      <c r="O204" s="382">
        <v>80</v>
      </c>
      <c r="P204" s="382">
        <v>90</v>
      </c>
      <c r="Q204" s="382">
        <v>100</v>
      </c>
      <c r="R204" s="382">
        <v>200</v>
      </c>
      <c r="S204" s="382">
        <v>400</v>
      </c>
      <c r="T204" s="382">
        <v>600</v>
      </c>
      <c r="U204" s="382">
        <v>800</v>
      </c>
      <c r="V204" s="382">
        <v>1000</v>
      </c>
      <c r="W204" s="383">
        <v>1200</v>
      </c>
      <c r="Y204" s="1001"/>
      <c r="Z204" s="25" t="s">
        <v>206</v>
      </c>
      <c r="AA204" s="1164">
        <v>0</v>
      </c>
      <c r="AB204" s="1164">
        <v>10</v>
      </c>
      <c r="AC204" s="1164">
        <v>20</v>
      </c>
      <c r="AD204" s="1164">
        <v>30</v>
      </c>
      <c r="AE204" s="1164">
        <v>40</v>
      </c>
      <c r="AF204" s="1164">
        <v>50</v>
      </c>
      <c r="AG204" s="1164">
        <v>60</v>
      </c>
      <c r="AH204" s="1164">
        <v>70</v>
      </c>
      <c r="AI204" s="1164">
        <v>80</v>
      </c>
      <c r="AJ204" s="1164">
        <v>90</v>
      </c>
      <c r="AK204" s="1164">
        <v>100</v>
      </c>
      <c r="AL204" s="1164">
        <v>200</v>
      </c>
      <c r="AM204" s="1164">
        <v>400</v>
      </c>
      <c r="AN204" s="1164">
        <v>600</v>
      </c>
      <c r="AO204" s="1164">
        <v>800</v>
      </c>
      <c r="AP204" s="1164">
        <v>1000</v>
      </c>
      <c r="AQ204" s="933">
        <v>1200</v>
      </c>
      <c r="AS204" s="797">
        <v>0</v>
      </c>
      <c r="AT204" s="1164">
        <v>10</v>
      </c>
      <c r="AU204" s="1164">
        <v>20</v>
      </c>
      <c r="AV204" s="1164">
        <v>30</v>
      </c>
      <c r="AW204" s="1164">
        <v>40</v>
      </c>
      <c r="AX204" s="1164">
        <v>50</v>
      </c>
      <c r="AY204" s="1164">
        <v>60</v>
      </c>
      <c r="AZ204" s="1164">
        <v>70</v>
      </c>
      <c r="BA204" s="1164">
        <v>80</v>
      </c>
      <c r="BB204" s="1164">
        <v>90</v>
      </c>
      <c r="BC204" s="1164">
        <v>100</v>
      </c>
      <c r="BD204" s="1164">
        <v>200</v>
      </c>
      <c r="BE204" s="1164">
        <v>400</v>
      </c>
      <c r="BF204" s="1164">
        <v>600</v>
      </c>
      <c r="BG204" s="1164">
        <v>800</v>
      </c>
      <c r="BH204" s="1164">
        <v>1000</v>
      </c>
      <c r="BI204" s="933">
        <v>1200</v>
      </c>
    </row>
    <row r="205" spans="3:61" x14ac:dyDescent="0.45">
      <c r="C205" s="1264"/>
      <c r="D205" s="377"/>
      <c r="E205" s="1260" t="s">
        <v>205</v>
      </c>
      <c r="F205" s="375">
        <v>0</v>
      </c>
      <c r="G205" s="379">
        <v>3.1112986132453742</v>
      </c>
      <c r="H205" s="379">
        <v>3.1268082627802776</v>
      </c>
      <c r="I205" s="379">
        <v>3.1423525912287325</v>
      </c>
      <c r="J205" s="379">
        <v>3.1579315985907375</v>
      </c>
      <c r="K205" s="379">
        <v>3.1735452848662939</v>
      </c>
      <c r="L205" s="379">
        <v>3.1891936500554015</v>
      </c>
      <c r="M205" s="379">
        <v>3.2048766941580595</v>
      </c>
      <c r="N205" s="379">
        <v>3.2205944171742686</v>
      </c>
      <c r="O205" s="379">
        <v>3.2363468191040292</v>
      </c>
      <c r="P205" s="379">
        <v>3.2521338999473404</v>
      </c>
      <c r="Q205" s="379">
        <v>3.2679556597042025</v>
      </c>
      <c r="R205" s="55">
        <v>3.4280805975181279</v>
      </c>
      <c r="S205" s="55">
        <v>3.7587341472112685</v>
      </c>
      <c r="T205" s="55">
        <v>4.1032592623247952</v>
      </c>
      <c r="U205" s="55">
        <v>4.4616559428587106</v>
      </c>
      <c r="V205" s="55">
        <v>4.8339241888130111</v>
      </c>
      <c r="W205" s="58">
        <v>5.2200640001876994</v>
      </c>
      <c r="Y205" s="1001" t="s">
        <v>205</v>
      </c>
      <c r="Z205" s="25">
        <v>0</v>
      </c>
      <c r="AA205" s="557">
        <v>3.1726061316892533</v>
      </c>
      <c r="AB205" s="557">
        <v>3.1910905239965883</v>
      </c>
      <c r="AC205" s="557">
        <v>3.2096095952174735</v>
      </c>
      <c r="AD205" s="557">
        <v>3.2281633453519101</v>
      </c>
      <c r="AE205" s="557">
        <v>3.2467517743998977</v>
      </c>
      <c r="AF205" s="557">
        <v>3.2653748823614364</v>
      </c>
      <c r="AG205" s="557">
        <v>3.2840326692365256</v>
      </c>
      <c r="AH205" s="557">
        <v>3.3027251350251658</v>
      </c>
      <c r="AI205" s="557">
        <v>3.3214522797273571</v>
      </c>
      <c r="AJ205" s="557">
        <v>3.3402141033431003</v>
      </c>
      <c r="AK205" s="557">
        <v>3.3590106058723936</v>
      </c>
      <c r="AL205" s="557">
        <v>3.5488829714106291</v>
      </c>
      <c r="AM205" s="557">
        <v>3.9390313765523914</v>
      </c>
      <c r="AN205" s="557">
        <v>4.3430513471145407</v>
      </c>
      <c r="AO205" s="557">
        <v>4.7609428830970764</v>
      </c>
      <c r="AP205" s="557">
        <v>5.1927059844999999</v>
      </c>
      <c r="AQ205" s="1163">
        <v>5.6383406513233076</v>
      </c>
      <c r="AS205" s="1166">
        <f>AA205-G205</f>
        <v>6.1307518443879161E-2</v>
      </c>
      <c r="AT205" s="557">
        <f t="shared" ref="AT205:AT223" si="105">AB205-H205</f>
        <v>6.4282261216310754E-2</v>
      </c>
      <c r="AU205" s="557">
        <f t="shared" ref="AU205:AU223" si="106">AC205-I205</f>
        <v>6.7257003988741015E-2</v>
      </c>
      <c r="AV205" s="557">
        <f t="shared" ref="AV205:AV223" si="107">AD205-J205</f>
        <v>7.0231746761172609E-2</v>
      </c>
      <c r="AW205" s="557">
        <f t="shared" ref="AW205:AW223" si="108">AE205-K205</f>
        <v>7.3206489533603758E-2</v>
      </c>
      <c r="AX205" s="557">
        <f t="shared" ref="AX205:AX223" si="109">AF205-L205</f>
        <v>7.6181232306034907E-2</v>
      </c>
      <c r="AY205" s="557">
        <f t="shared" ref="AY205:AY223" si="110">AG205-M205</f>
        <v>7.9155975078466057E-2</v>
      </c>
      <c r="AZ205" s="557">
        <f t="shared" ref="AZ205:AZ223" si="111">AH205-N205</f>
        <v>8.2130717850897206E-2</v>
      </c>
      <c r="BA205" s="557">
        <f t="shared" ref="BA205:BA223" si="112">AI205-O205</f>
        <v>8.5105460623327911E-2</v>
      </c>
      <c r="BB205" s="557">
        <f t="shared" ref="BB205:BB223" si="113">AJ205-P205</f>
        <v>8.8080203395759948E-2</v>
      </c>
      <c r="BC205" s="557">
        <f t="shared" ref="BC205:BC223" si="114">AK205-Q205</f>
        <v>9.1054946168191098E-2</v>
      </c>
      <c r="BD205" s="557">
        <f t="shared" ref="BD205:BD223" si="115">AL205-R205</f>
        <v>0.12080237389250126</v>
      </c>
      <c r="BE205" s="557">
        <f t="shared" ref="BE205:BE223" si="116">AM205-S205</f>
        <v>0.18029722934112291</v>
      </c>
      <c r="BF205" s="557">
        <f t="shared" ref="BF205:BF223" si="117">AN205-T205</f>
        <v>0.23979208478974545</v>
      </c>
      <c r="BG205" s="557">
        <f t="shared" ref="BG205:BG223" si="118">AO205-U205</f>
        <v>0.29928694023836577</v>
      </c>
      <c r="BH205" s="557">
        <f t="shared" ref="BH205:BH223" si="119">AP205-V205</f>
        <v>0.35878179568698876</v>
      </c>
      <c r="BI205" s="1163">
        <f t="shared" ref="BI205:BI223" si="120">AQ205-W205</f>
        <v>0.41827665113560819</v>
      </c>
    </row>
    <row r="206" spans="3:61" x14ac:dyDescent="0.45">
      <c r="C206" s="1264"/>
      <c r="D206" s="377"/>
      <c r="E206" s="1261"/>
      <c r="F206" s="72">
        <v>10</v>
      </c>
      <c r="G206" s="56">
        <v>3.1172548102755955</v>
      </c>
      <c r="H206" s="56">
        <v>3.1328187933178677</v>
      </c>
      <c r="I206" s="56">
        <v>3.148417607474423</v>
      </c>
      <c r="J206" s="56">
        <v>3.1640512527452604</v>
      </c>
      <c r="K206" s="56">
        <v>3.1797197291303818</v>
      </c>
      <c r="L206" s="56">
        <v>3.1954230366297853</v>
      </c>
      <c r="M206" s="56">
        <v>3.2111611752434719</v>
      </c>
      <c r="N206" s="56">
        <v>3.2269341449714419</v>
      </c>
      <c r="O206" s="56">
        <v>3.2427419458136946</v>
      </c>
      <c r="P206" s="56">
        <v>3.2585845777702294</v>
      </c>
      <c r="Q206" s="56">
        <v>3.2744620408410485</v>
      </c>
      <c r="R206" s="56">
        <v>3.4351523828347901</v>
      </c>
      <c r="S206" s="56">
        <v>3.7669824011071409</v>
      </c>
      <c r="T206" s="56">
        <v>4.1127448650926492</v>
      </c>
      <c r="U206" s="56">
        <v>4.472439774791316</v>
      </c>
      <c r="V206" s="56">
        <v>4.8460671302031395</v>
      </c>
      <c r="W206" s="59">
        <v>5.2336269313281205</v>
      </c>
      <c r="Y206" s="1001"/>
      <c r="Z206" s="25">
        <v>10</v>
      </c>
      <c r="AA206" s="557">
        <v>3.1785623287194751</v>
      </c>
      <c r="AB206" s="557">
        <v>3.1971010545341785</v>
      </c>
      <c r="AC206" s="557">
        <v>3.2156746114631649</v>
      </c>
      <c r="AD206" s="557">
        <v>3.2342829995064335</v>
      </c>
      <c r="AE206" s="557">
        <v>3.252926218663986</v>
      </c>
      <c r="AF206" s="557">
        <v>3.2716042689358202</v>
      </c>
      <c r="AG206" s="557">
        <v>3.2903171503219384</v>
      </c>
      <c r="AH206" s="557">
        <v>3.3090648628223391</v>
      </c>
      <c r="AI206" s="557">
        <v>3.3278474064370229</v>
      </c>
      <c r="AJ206" s="557">
        <v>3.3466647811659889</v>
      </c>
      <c r="AK206" s="557">
        <v>3.3655169870092383</v>
      </c>
      <c r="AL206" s="557">
        <v>3.5559547567272909</v>
      </c>
      <c r="AM206" s="557">
        <v>3.9472796304482642</v>
      </c>
      <c r="AN206" s="557">
        <v>4.3525369498823938</v>
      </c>
      <c r="AO206" s="557">
        <v>4.7717267150296827</v>
      </c>
      <c r="AP206" s="557">
        <v>5.2048489258901274</v>
      </c>
      <c r="AQ206" s="1163">
        <v>5.6519035824637296</v>
      </c>
      <c r="AS206" s="1166">
        <f t="shared" ref="AS206:AS223" si="121">AA206-G206</f>
        <v>6.1307518443879605E-2</v>
      </c>
      <c r="AT206" s="557">
        <f t="shared" si="105"/>
        <v>6.4282261216310754E-2</v>
      </c>
      <c r="AU206" s="557">
        <f t="shared" si="106"/>
        <v>6.7257003988741904E-2</v>
      </c>
      <c r="AV206" s="557">
        <f t="shared" si="107"/>
        <v>7.0231746761173053E-2</v>
      </c>
      <c r="AW206" s="557">
        <f t="shared" si="108"/>
        <v>7.3206489533604202E-2</v>
      </c>
      <c r="AX206" s="557">
        <f t="shared" si="109"/>
        <v>7.6181232306034907E-2</v>
      </c>
      <c r="AY206" s="557">
        <f t="shared" si="110"/>
        <v>7.9155975078466501E-2</v>
      </c>
      <c r="AZ206" s="557">
        <f t="shared" si="111"/>
        <v>8.2130717850897206E-2</v>
      </c>
      <c r="BA206" s="557">
        <f t="shared" si="112"/>
        <v>8.5105460623328355E-2</v>
      </c>
      <c r="BB206" s="557">
        <f t="shared" si="113"/>
        <v>8.8080203395759504E-2</v>
      </c>
      <c r="BC206" s="557">
        <f t="shared" si="114"/>
        <v>9.1054946168189765E-2</v>
      </c>
      <c r="BD206" s="557">
        <f t="shared" si="115"/>
        <v>0.12080237389250081</v>
      </c>
      <c r="BE206" s="557">
        <f t="shared" si="116"/>
        <v>0.18029722934112336</v>
      </c>
      <c r="BF206" s="557">
        <f t="shared" si="117"/>
        <v>0.23979208478974456</v>
      </c>
      <c r="BG206" s="557">
        <f t="shared" si="118"/>
        <v>0.29928694023836666</v>
      </c>
      <c r="BH206" s="557">
        <f t="shared" si="119"/>
        <v>0.35878179568698787</v>
      </c>
      <c r="BI206" s="1163">
        <f t="shared" si="120"/>
        <v>0.41827665113560908</v>
      </c>
    </row>
    <row r="207" spans="3:61" x14ac:dyDescent="0.45">
      <c r="C207" s="1264"/>
      <c r="D207" s="377"/>
      <c r="E207" s="1261"/>
      <c r="F207" s="72">
        <v>20</v>
      </c>
      <c r="G207" s="56">
        <v>3.1232110073058168</v>
      </c>
      <c r="H207" s="380">
        <v>3.1388293238554579</v>
      </c>
      <c r="I207" s="56">
        <v>3.154482623720114</v>
      </c>
      <c r="J207" s="56">
        <v>3.1701709068997843</v>
      </c>
      <c r="K207" s="56">
        <v>3.1858941733944697</v>
      </c>
      <c r="L207" s="56">
        <v>3.2016524232041697</v>
      </c>
      <c r="M207" s="56">
        <v>3.2174456563288851</v>
      </c>
      <c r="N207" s="56">
        <v>3.2332738727686143</v>
      </c>
      <c r="O207" s="56">
        <v>3.2491370725233595</v>
      </c>
      <c r="P207" s="56">
        <v>3.2650352555931184</v>
      </c>
      <c r="Q207" s="56">
        <v>3.2809684219778932</v>
      </c>
      <c r="R207" s="56">
        <v>3.4422241681514514</v>
      </c>
      <c r="S207" s="56">
        <v>3.7752306550030141</v>
      </c>
      <c r="T207" s="56">
        <v>4.1222304678605042</v>
      </c>
      <c r="U207" s="56">
        <v>4.4832236067239224</v>
      </c>
      <c r="V207" s="56">
        <v>4.8582100715932688</v>
      </c>
      <c r="W207" s="59">
        <v>5.2471898624685425</v>
      </c>
      <c r="Y207" s="1001"/>
      <c r="Z207" s="25">
        <v>20</v>
      </c>
      <c r="AA207" s="557">
        <v>3.1845185257496964</v>
      </c>
      <c r="AB207" s="557">
        <v>3.2031115850717686</v>
      </c>
      <c r="AC207" s="557">
        <v>3.2217396277088555</v>
      </c>
      <c r="AD207" s="557">
        <v>3.2404026536609569</v>
      </c>
      <c r="AE207" s="557">
        <v>3.2591006629280739</v>
      </c>
      <c r="AF207" s="557">
        <v>3.277833655510205</v>
      </c>
      <c r="AG207" s="557">
        <v>3.2966016314073512</v>
      </c>
      <c r="AH207" s="557">
        <v>3.315404590619512</v>
      </c>
      <c r="AI207" s="557">
        <v>3.3342425331466874</v>
      </c>
      <c r="AJ207" s="557">
        <v>3.3531154589888783</v>
      </c>
      <c r="AK207" s="557">
        <v>3.3720233681460838</v>
      </c>
      <c r="AL207" s="557">
        <v>3.5630265420439526</v>
      </c>
      <c r="AM207" s="557">
        <v>3.955527884344137</v>
      </c>
      <c r="AN207" s="557">
        <v>4.3620225526502487</v>
      </c>
      <c r="AO207" s="557">
        <v>4.7825105469622891</v>
      </c>
      <c r="AP207" s="557">
        <v>5.2169918672802567</v>
      </c>
      <c r="AQ207" s="1163">
        <v>5.6654665136041515</v>
      </c>
      <c r="AS207" s="1166">
        <f t="shared" si="121"/>
        <v>6.1307518443879605E-2</v>
      </c>
      <c r="AT207" s="557">
        <f t="shared" si="105"/>
        <v>6.4282261216310754E-2</v>
      </c>
      <c r="AU207" s="557">
        <f t="shared" si="106"/>
        <v>6.7257003988741459E-2</v>
      </c>
      <c r="AV207" s="557">
        <f t="shared" si="107"/>
        <v>7.0231746761172609E-2</v>
      </c>
      <c r="AW207" s="557">
        <f t="shared" si="108"/>
        <v>7.3206489533604202E-2</v>
      </c>
      <c r="AX207" s="557">
        <f t="shared" si="109"/>
        <v>7.6181232306035351E-2</v>
      </c>
      <c r="AY207" s="557">
        <f t="shared" si="110"/>
        <v>7.9155975078466057E-2</v>
      </c>
      <c r="AZ207" s="557">
        <f t="shared" si="111"/>
        <v>8.213071785089765E-2</v>
      </c>
      <c r="BA207" s="557">
        <f t="shared" si="112"/>
        <v>8.5105460623327911E-2</v>
      </c>
      <c r="BB207" s="557">
        <f t="shared" si="113"/>
        <v>8.8080203395759948E-2</v>
      </c>
      <c r="BC207" s="557">
        <f t="shared" si="114"/>
        <v>9.1054946168190654E-2</v>
      </c>
      <c r="BD207" s="557">
        <f t="shared" si="115"/>
        <v>0.12080237389250126</v>
      </c>
      <c r="BE207" s="557">
        <f t="shared" si="116"/>
        <v>0.18029722934112291</v>
      </c>
      <c r="BF207" s="557">
        <f t="shared" si="117"/>
        <v>0.23979208478974456</v>
      </c>
      <c r="BG207" s="557">
        <f t="shared" si="118"/>
        <v>0.29928694023836666</v>
      </c>
      <c r="BH207" s="557">
        <f t="shared" si="119"/>
        <v>0.35878179568698787</v>
      </c>
      <c r="BI207" s="1163">
        <f t="shared" si="120"/>
        <v>0.41827665113560908</v>
      </c>
    </row>
    <row r="208" spans="3:61" x14ac:dyDescent="0.45">
      <c r="C208" s="1264"/>
      <c r="D208" s="377"/>
      <c r="E208" s="1261"/>
      <c r="F208" s="72">
        <v>30</v>
      </c>
      <c r="G208" s="56">
        <v>3.129167204336039</v>
      </c>
      <c r="H208" s="56">
        <v>3.144839854393048</v>
      </c>
      <c r="I208" s="56">
        <v>3.1605476399658046</v>
      </c>
      <c r="J208" s="56">
        <v>3.1762905610543077</v>
      </c>
      <c r="K208" s="56">
        <v>3.1920686176585575</v>
      </c>
      <c r="L208" s="56">
        <v>3.2078818097785544</v>
      </c>
      <c r="M208" s="56">
        <v>3.2237301374142975</v>
      </c>
      <c r="N208" s="56">
        <v>3.2396136005657876</v>
      </c>
      <c r="O208" s="56">
        <v>3.2555321992330248</v>
      </c>
      <c r="P208" s="56">
        <v>3.2714859334160082</v>
      </c>
      <c r="Q208" s="56">
        <v>3.2874748031147387</v>
      </c>
      <c r="R208" s="56">
        <v>3.4492959534681131</v>
      </c>
      <c r="S208" s="56">
        <v>3.7834789088988865</v>
      </c>
      <c r="T208" s="56">
        <v>4.1317160706283582</v>
      </c>
      <c r="U208" s="56">
        <v>4.4940074386565279</v>
      </c>
      <c r="V208" s="56">
        <v>4.8703530129833972</v>
      </c>
      <c r="W208" s="59">
        <v>5.2607527936089635</v>
      </c>
      <c r="Y208" s="1001"/>
      <c r="Z208" s="25">
        <v>30</v>
      </c>
      <c r="AA208" s="557">
        <v>3.1904747227799177</v>
      </c>
      <c r="AB208" s="557">
        <v>3.2091221156093588</v>
      </c>
      <c r="AC208" s="557">
        <v>3.2278046439545456</v>
      </c>
      <c r="AD208" s="557">
        <v>3.2465223078154803</v>
      </c>
      <c r="AE208" s="557">
        <v>3.2652751071921609</v>
      </c>
      <c r="AF208" s="557">
        <v>3.2840630420845889</v>
      </c>
      <c r="AG208" s="557">
        <v>3.302886112492764</v>
      </c>
      <c r="AH208" s="557">
        <v>3.3217443184166848</v>
      </c>
      <c r="AI208" s="557">
        <v>3.3406376598563527</v>
      </c>
      <c r="AJ208" s="557">
        <v>3.3595661368117682</v>
      </c>
      <c r="AK208" s="557">
        <v>3.3785297492829289</v>
      </c>
      <c r="AL208" s="557">
        <v>3.5700983273606144</v>
      </c>
      <c r="AM208" s="557">
        <v>3.9637761382400098</v>
      </c>
      <c r="AN208" s="557">
        <v>4.3715081554181037</v>
      </c>
      <c r="AO208" s="557">
        <v>4.7932943788948936</v>
      </c>
      <c r="AP208" s="557">
        <v>5.2291348086703859</v>
      </c>
      <c r="AQ208" s="1163">
        <v>5.6790294447445735</v>
      </c>
      <c r="AS208" s="1166">
        <f t="shared" si="121"/>
        <v>6.1307518443878717E-2</v>
      </c>
      <c r="AT208" s="557">
        <f t="shared" si="105"/>
        <v>6.4282261216310754E-2</v>
      </c>
      <c r="AU208" s="557">
        <f t="shared" si="106"/>
        <v>6.7257003988741015E-2</v>
      </c>
      <c r="AV208" s="557">
        <f t="shared" si="107"/>
        <v>7.0231746761172609E-2</v>
      </c>
      <c r="AW208" s="557">
        <f t="shared" si="108"/>
        <v>7.3206489533603314E-2</v>
      </c>
      <c r="AX208" s="557">
        <f t="shared" si="109"/>
        <v>7.6181232306034463E-2</v>
      </c>
      <c r="AY208" s="557">
        <f t="shared" si="110"/>
        <v>7.9155975078466501E-2</v>
      </c>
      <c r="AZ208" s="557">
        <f t="shared" si="111"/>
        <v>8.2130717850897206E-2</v>
      </c>
      <c r="BA208" s="557">
        <f t="shared" si="112"/>
        <v>8.5105460623327911E-2</v>
      </c>
      <c r="BB208" s="557">
        <f t="shared" si="113"/>
        <v>8.8080203395759948E-2</v>
      </c>
      <c r="BC208" s="557">
        <f t="shared" si="114"/>
        <v>9.1054946168190209E-2</v>
      </c>
      <c r="BD208" s="557">
        <f t="shared" si="115"/>
        <v>0.12080237389250126</v>
      </c>
      <c r="BE208" s="557">
        <f t="shared" si="116"/>
        <v>0.18029722934112336</v>
      </c>
      <c r="BF208" s="557">
        <f t="shared" si="117"/>
        <v>0.23979208478974545</v>
      </c>
      <c r="BG208" s="557">
        <f t="shared" si="118"/>
        <v>0.29928694023836577</v>
      </c>
      <c r="BH208" s="557">
        <f t="shared" si="119"/>
        <v>0.35878179568698876</v>
      </c>
      <c r="BI208" s="1163">
        <f t="shared" si="120"/>
        <v>0.41827665113560997</v>
      </c>
    </row>
    <row r="209" spans="3:61" x14ac:dyDescent="0.45">
      <c r="C209" s="1264"/>
      <c r="D209" s="377"/>
      <c r="E209" s="1261"/>
      <c r="F209" s="72">
        <v>40</v>
      </c>
      <c r="G209" s="56">
        <v>3.1351234013662599</v>
      </c>
      <c r="H209" s="56">
        <v>3.1508503849306386</v>
      </c>
      <c r="I209" s="56">
        <v>3.1666126562114947</v>
      </c>
      <c r="J209" s="56">
        <v>3.1824102152088312</v>
      </c>
      <c r="K209" s="56">
        <v>3.1982430619226454</v>
      </c>
      <c r="L209" s="56">
        <v>3.2141111963529383</v>
      </c>
      <c r="M209" s="56">
        <v>3.2300146184997103</v>
      </c>
      <c r="N209" s="56">
        <v>3.2459533283629609</v>
      </c>
      <c r="O209" s="56">
        <v>3.2619273259426897</v>
      </c>
      <c r="P209" s="56">
        <v>3.2779366112388977</v>
      </c>
      <c r="Q209" s="56">
        <v>3.2939811842515838</v>
      </c>
      <c r="R209" s="56">
        <v>3.4563677387847749</v>
      </c>
      <c r="S209" s="56">
        <v>3.7917271627947593</v>
      </c>
      <c r="T209" s="56">
        <v>4.1412016733962123</v>
      </c>
      <c r="U209" s="56">
        <v>4.5047912705891351</v>
      </c>
      <c r="V209" s="56">
        <v>4.8824959543735256</v>
      </c>
      <c r="W209" s="59">
        <v>5.2743157247493864</v>
      </c>
      <c r="Y209" s="1001"/>
      <c r="Z209" s="25">
        <v>40</v>
      </c>
      <c r="AA209" s="557">
        <v>3.1964309198101395</v>
      </c>
      <c r="AB209" s="557">
        <v>3.2151326461469489</v>
      </c>
      <c r="AC209" s="557">
        <v>3.233869660200237</v>
      </c>
      <c r="AD209" s="557">
        <v>3.2526419619700038</v>
      </c>
      <c r="AE209" s="557">
        <v>3.2714495514562487</v>
      </c>
      <c r="AF209" s="557">
        <v>3.2902924286589736</v>
      </c>
      <c r="AG209" s="557">
        <v>3.3091705935781768</v>
      </c>
      <c r="AH209" s="557">
        <v>3.3280840462138577</v>
      </c>
      <c r="AI209" s="557">
        <v>3.3470327865660177</v>
      </c>
      <c r="AJ209" s="557">
        <v>3.3660168146346567</v>
      </c>
      <c r="AK209" s="557">
        <v>3.3850361304197749</v>
      </c>
      <c r="AL209" s="557">
        <v>3.5771701126772761</v>
      </c>
      <c r="AM209" s="557">
        <v>3.9720243921358822</v>
      </c>
      <c r="AN209" s="557">
        <v>4.3809937581859568</v>
      </c>
      <c r="AO209" s="557">
        <v>4.8040782108275017</v>
      </c>
      <c r="AP209" s="557">
        <v>5.2412777500605143</v>
      </c>
      <c r="AQ209" s="1163">
        <v>5.6925923758849954</v>
      </c>
      <c r="AS209" s="1166">
        <f t="shared" si="121"/>
        <v>6.1307518443879605E-2</v>
      </c>
      <c r="AT209" s="557">
        <f t="shared" si="105"/>
        <v>6.428226121631031E-2</v>
      </c>
      <c r="AU209" s="557">
        <f t="shared" si="106"/>
        <v>6.7257003988742348E-2</v>
      </c>
      <c r="AV209" s="557">
        <f t="shared" si="107"/>
        <v>7.0231746761172609E-2</v>
      </c>
      <c r="AW209" s="557">
        <f t="shared" si="108"/>
        <v>7.3206489533603314E-2</v>
      </c>
      <c r="AX209" s="557">
        <f t="shared" si="109"/>
        <v>7.6181232306035351E-2</v>
      </c>
      <c r="AY209" s="557">
        <f t="shared" si="110"/>
        <v>7.9155975078466501E-2</v>
      </c>
      <c r="AZ209" s="557">
        <f t="shared" si="111"/>
        <v>8.2130717850896762E-2</v>
      </c>
      <c r="BA209" s="557">
        <f t="shared" si="112"/>
        <v>8.5105460623327911E-2</v>
      </c>
      <c r="BB209" s="557">
        <f t="shared" si="113"/>
        <v>8.808020339575906E-2</v>
      </c>
      <c r="BC209" s="557">
        <f t="shared" si="114"/>
        <v>9.1054946168191098E-2</v>
      </c>
      <c r="BD209" s="557">
        <f t="shared" si="115"/>
        <v>0.12080237389250126</v>
      </c>
      <c r="BE209" s="557">
        <f t="shared" si="116"/>
        <v>0.18029722934112291</v>
      </c>
      <c r="BF209" s="557">
        <f t="shared" si="117"/>
        <v>0.23979208478974456</v>
      </c>
      <c r="BG209" s="557">
        <f t="shared" si="118"/>
        <v>0.29928694023836666</v>
      </c>
      <c r="BH209" s="557">
        <f t="shared" si="119"/>
        <v>0.35878179568698876</v>
      </c>
      <c r="BI209" s="1163">
        <f t="shared" si="120"/>
        <v>0.41827665113560908</v>
      </c>
    </row>
    <row r="210" spans="3:61" x14ac:dyDescent="0.45">
      <c r="C210" s="1264"/>
      <c r="D210" s="377"/>
      <c r="E210" s="1261"/>
      <c r="F210" s="72">
        <v>50</v>
      </c>
      <c r="G210" s="56">
        <v>3.1410795983964812</v>
      </c>
      <c r="H210" s="56">
        <v>3.1568609154682283</v>
      </c>
      <c r="I210" s="56">
        <v>3.1726776724571857</v>
      </c>
      <c r="J210" s="56">
        <v>3.1885298693633541</v>
      </c>
      <c r="K210" s="56">
        <v>3.2044175061867337</v>
      </c>
      <c r="L210" s="56">
        <v>3.2203405829273226</v>
      </c>
      <c r="M210" s="56">
        <v>3.2362990995851226</v>
      </c>
      <c r="N210" s="56">
        <v>3.2522930561601338</v>
      </c>
      <c r="O210" s="56">
        <v>3.2683224526523551</v>
      </c>
      <c r="P210" s="56">
        <v>3.2843872890617867</v>
      </c>
      <c r="Q210" s="56">
        <v>3.3004875653884298</v>
      </c>
      <c r="R210" s="56">
        <v>3.4634395241014366</v>
      </c>
      <c r="S210" s="56">
        <v>3.7999754166906321</v>
      </c>
      <c r="T210" s="56">
        <v>4.1506872761640663</v>
      </c>
      <c r="U210" s="56">
        <v>4.5155751025217405</v>
      </c>
      <c r="V210" s="56">
        <v>4.894638895763654</v>
      </c>
      <c r="W210" s="59">
        <v>5.2878786558898074</v>
      </c>
      <c r="Y210" s="1001"/>
      <c r="Z210" s="25">
        <v>50</v>
      </c>
      <c r="AA210" s="557">
        <v>3.2023871168403608</v>
      </c>
      <c r="AB210" s="557">
        <v>3.2211431766845391</v>
      </c>
      <c r="AC210" s="557">
        <v>3.239934676445928</v>
      </c>
      <c r="AD210" s="557">
        <v>3.2587616161245272</v>
      </c>
      <c r="AE210" s="557">
        <v>3.2776239957203375</v>
      </c>
      <c r="AF210" s="557">
        <v>3.2965218152333575</v>
      </c>
      <c r="AG210" s="557">
        <v>3.3154550746635891</v>
      </c>
      <c r="AH210" s="557">
        <v>3.3344237740110314</v>
      </c>
      <c r="AI210" s="557">
        <v>3.3534279132756835</v>
      </c>
      <c r="AJ210" s="557">
        <v>3.3724674924575462</v>
      </c>
      <c r="AK210" s="557">
        <v>3.39154251155662</v>
      </c>
      <c r="AL210" s="557">
        <v>3.5842418979939374</v>
      </c>
      <c r="AM210" s="557">
        <v>3.9802726460317555</v>
      </c>
      <c r="AN210" s="557">
        <v>4.3904793609538117</v>
      </c>
      <c r="AO210" s="557">
        <v>4.8148620427601063</v>
      </c>
      <c r="AP210" s="557">
        <v>5.2534206914506427</v>
      </c>
      <c r="AQ210" s="1163">
        <v>5.7061553070254174</v>
      </c>
      <c r="AS210" s="1166">
        <f t="shared" si="121"/>
        <v>6.1307518443879605E-2</v>
      </c>
      <c r="AT210" s="557">
        <f t="shared" si="105"/>
        <v>6.4282261216310754E-2</v>
      </c>
      <c r="AU210" s="557">
        <f t="shared" si="106"/>
        <v>6.7257003988742348E-2</v>
      </c>
      <c r="AV210" s="557">
        <f t="shared" si="107"/>
        <v>7.0231746761173053E-2</v>
      </c>
      <c r="AW210" s="557">
        <f t="shared" si="108"/>
        <v>7.3206489533603758E-2</v>
      </c>
      <c r="AX210" s="557">
        <f t="shared" si="109"/>
        <v>7.6181232306034907E-2</v>
      </c>
      <c r="AY210" s="557">
        <f t="shared" si="110"/>
        <v>7.9155975078466501E-2</v>
      </c>
      <c r="AZ210" s="557">
        <f t="shared" si="111"/>
        <v>8.213071785089765E-2</v>
      </c>
      <c r="BA210" s="557">
        <f t="shared" si="112"/>
        <v>8.5105460623328355E-2</v>
      </c>
      <c r="BB210" s="557">
        <f t="shared" si="113"/>
        <v>8.8080203395759504E-2</v>
      </c>
      <c r="BC210" s="557">
        <f t="shared" si="114"/>
        <v>9.1054946168190209E-2</v>
      </c>
      <c r="BD210" s="557">
        <f t="shared" si="115"/>
        <v>0.12080237389250081</v>
      </c>
      <c r="BE210" s="557">
        <f t="shared" si="116"/>
        <v>0.18029722934112336</v>
      </c>
      <c r="BF210" s="557">
        <f t="shared" si="117"/>
        <v>0.23979208478974545</v>
      </c>
      <c r="BG210" s="557">
        <f t="shared" si="118"/>
        <v>0.29928694023836577</v>
      </c>
      <c r="BH210" s="557">
        <f t="shared" si="119"/>
        <v>0.35878179568698876</v>
      </c>
      <c r="BI210" s="1163">
        <f t="shared" si="120"/>
        <v>0.41827665113560997</v>
      </c>
    </row>
    <row r="211" spans="3:61" x14ac:dyDescent="0.45">
      <c r="C211" s="1264"/>
      <c r="D211" s="377"/>
      <c r="E211" s="1261"/>
      <c r="F211" s="72">
        <v>60</v>
      </c>
      <c r="G211" s="56">
        <v>3.147035795426703</v>
      </c>
      <c r="H211" s="56">
        <v>3.1628714460058189</v>
      </c>
      <c r="I211" s="56">
        <v>3.1787426887028771</v>
      </c>
      <c r="J211" s="56">
        <v>3.194649523517878</v>
      </c>
      <c r="K211" s="56">
        <v>3.2105919504508211</v>
      </c>
      <c r="L211" s="56">
        <v>3.2265699695017074</v>
      </c>
      <c r="M211" s="56">
        <v>3.2425835806705354</v>
      </c>
      <c r="N211" s="56">
        <v>3.2586327839573066</v>
      </c>
      <c r="O211" s="56">
        <v>3.27471757936202</v>
      </c>
      <c r="P211" s="56">
        <v>3.2908379668846761</v>
      </c>
      <c r="Q211" s="56">
        <v>3.3069939465252749</v>
      </c>
      <c r="R211" s="56">
        <v>3.4705113094180984</v>
      </c>
      <c r="S211" s="56">
        <v>3.8082236705865053</v>
      </c>
      <c r="T211" s="56">
        <v>4.1601728789319203</v>
      </c>
      <c r="U211" s="56">
        <v>4.5263589344543469</v>
      </c>
      <c r="V211" s="56">
        <v>4.9067818371537832</v>
      </c>
      <c r="W211" s="59">
        <v>5.3014415870302294</v>
      </c>
      <c r="Y211" s="1001"/>
      <c r="Z211" s="25">
        <v>60</v>
      </c>
      <c r="AA211" s="557">
        <v>3.2083433138705821</v>
      </c>
      <c r="AB211" s="557">
        <v>3.2271537072221297</v>
      </c>
      <c r="AC211" s="557">
        <v>3.2459996926916186</v>
      </c>
      <c r="AD211" s="557">
        <v>3.2648812702790511</v>
      </c>
      <c r="AE211" s="557">
        <v>3.2837984399844253</v>
      </c>
      <c r="AF211" s="557">
        <v>3.3027512018077418</v>
      </c>
      <c r="AG211" s="557">
        <v>3.3217395557490015</v>
      </c>
      <c r="AH211" s="557">
        <v>3.3407635018082034</v>
      </c>
      <c r="AI211" s="557">
        <v>3.3598230399853484</v>
      </c>
      <c r="AJ211" s="557">
        <v>3.3789181702804352</v>
      </c>
      <c r="AK211" s="557">
        <v>3.3980488926934651</v>
      </c>
      <c r="AL211" s="557">
        <v>3.5913136833106005</v>
      </c>
      <c r="AM211" s="557">
        <v>3.9885208999276278</v>
      </c>
      <c r="AN211" s="557">
        <v>4.3999649637216649</v>
      </c>
      <c r="AO211" s="557">
        <v>4.8256458746927127</v>
      </c>
      <c r="AP211" s="557">
        <v>5.2655636328407702</v>
      </c>
      <c r="AQ211" s="1163">
        <v>5.7197182381658394</v>
      </c>
      <c r="AS211" s="1166">
        <f t="shared" si="121"/>
        <v>6.1307518443879161E-2</v>
      </c>
      <c r="AT211" s="557">
        <f t="shared" si="105"/>
        <v>6.4282261216310754E-2</v>
      </c>
      <c r="AU211" s="557">
        <f t="shared" si="106"/>
        <v>6.7257003988741459E-2</v>
      </c>
      <c r="AV211" s="557">
        <f t="shared" si="107"/>
        <v>7.0231746761173053E-2</v>
      </c>
      <c r="AW211" s="557">
        <f t="shared" si="108"/>
        <v>7.3206489533604202E-2</v>
      </c>
      <c r="AX211" s="557">
        <f t="shared" si="109"/>
        <v>7.6181232306034463E-2</v>
      </c>
      <c r="AY211" s="557">
        <f t="shared" si="110"/>
        <v>7.9155975078466057E-2</v>
      </c>
      <c r="AZ211" s="557">
        <f t="shared" si="111"/>
        <v>8.2130717850896762E-2</v>
      </c>
      <c r="BA211" s="557">
        <f t="shared" si="112"/>
        <v>8.5105460623328355E-2</v>
      </c>
      <c r="BB211" s="557">
        <f t="shared" si="113"/>
        <v>8.808020339575906E-2</v>
      </c>
      <c r="BC211" s="557">
        <f t="shared" si="114"/>
        <v>9.1054946168190209E-2</v>
      </c>
      <c r="BD211" s="557">
        <f t="shared" si="115"/>
        <v>0.12080237389250215</v>
      </c>
      <c r="BE211" s="557">
        <f t="shared" si="116"/>
        <v>0.18029722934112247</v>
      </c>
      <c r="BF211" s="557">
        <f t="shared" si="117"/>
        <v>0.23979208478974456</v>
      </c>
      <c r="BG211" s="557">
        <f t="shared" si="118"/>
        <v>0.29928694023836577</v>
      </c>
      <c r="BH211" s="557">
        <f t="shared" si="119"/>
        <v>0.35878179568698698</v>
      </c>
      <c r="BI211" s="1163">
        <f t="shared" si="120"/>
        <v>0.41827665113560997</v>
      </c>
    </row>
    <row r="212" spans="3:61" x14ac:dyDescent="0.45">
      <c r="C212" s="1264"/>
      <c r="D212" s="377"/>
      <c r="E212" s="1261"/>
      <c r="F212" s="72">
        <v>70</v>
      </c>
      <c r="G212" s="56">
        <v>3.1529919924569243</v>
      </c>
      <c r="H212" s="56">
        <v>3.1688819765434091</v>
      </c>
      <c r="I212" s="56">
        <v>3.1848077049485677</v>
      </c>
      <c r="J212" s="56">
        <v>3.200769177672401</v>
      </c>
      <c r="K212" s="56">
        <v>3.216766394714909</v>
      </c>
      <c r="L212" s="56">
        <v>3.2327993560760913</v>
      </c>
      <c r="M212" s="56">
        <v>3.2488680617559487</v>
      </c>
      <c r="N212" s="56">
        <v>3.2649725117544794</v>
      </c>
      <c r="O212" s="56">
        <v>3.2811127060716854</v>
      </c>
      <c r="P212" s="56">
        <v>3.2972886447075651</v>
      </c>
      <c r="Q212" s="56">
        <v>3.31350032766212</v>
      </c>
      <c r="R212" s="56">
        <v>3.4775830947347606</v>
      </c>
      <c r="S212" s="56">
        <v>3.8164719244823777</v>
      </c>
      <c r="T212" s="56">
        <v>4.1696584816997753</v>
      </c>
      <c r="U212" s="56">
        <v>4.5371427663869532</v>
      </c>
      <c r="V212" s="56">
        <v>4.9189247785439116</v>
      </c>
      <c r="W212" s="59">
        <v>5.3150045181706504</v>
      </c>
      <c r="Y212" s="1001"/>
      <c r="Z212" s="25">
        <v>70</v>
      </c>
      <c r="AA212" s="557">
        <v>3.2142995109008035</v>
      </c>
      <c r="AB212" s="557">
        <v>3.233164237759719</v>
      </c>
      <c r="AC212" s="557">
        <v>3.2520647089373096</v>
      </c>
      <c r="AD212" s="557">
        <v>3.2710009244335736</v>
      </c>
      <c r="AE212" s="557">
        <v>3.2899728842485132</v>
      </c>
      <c r="AF212" s="557">
        <v>3.3089805883821262</v>
      </c>
      <c r="AG212" s="557">
        <v>3.3280240368344143</v>
      </c>
      <c r="AH212" s="557">
        <v>3.3471032296053762</v>
      </c>
      <c r="AI212" s="557">
        <v>3.3662181666950133</v>
      </c>
      <c r="AJ212" s="557">
        <v>3.3853688481033251</v>
      </c>
      <c r="AK212" s="557">
        <v>3.4045552738303102</v>
      </c>
      <c r="AL212" s="557">
        <v>3.5983854686272618</v>
      </c>
      <c r="AM212" s="557">
        <v>3.9967691538235002</v>
      </c>
      <c r="AN212" s="557">
        <v>4.4094505664895198</v>
      </c>
      <c r="AO212" s="557">
        <v>4.836429706625319</v>
      </c>
      <c r="AP212" s="557">
        <v>5.2777065742309004</v>
      </c>
      <c r="AQ212" s="1163">
        <v>5.7332811693062595</v>
      </c>
      <c r="AS212" s="1166">
        <f t="shared" si="121"/>
        <v>6.1307518443879161E-2</v>
      </c>
      <c r="AT212" s="557">
        <f t="shared" si="105"/>
        <v>6.4282261216309866E-2</v>
      </c>
      <c r="AU212" s="557">
        <f t="shared" si="106"/>
        <v>6.7257003988741904E-2</v>
      </c>
      <c r="AV212" s="557">
        <f t="shared" si="107"/>
        <v>7.0231746761172609E-2</v>
      </c>
      <c r="AW212" s="557">
        <f t="shared" si="108"/>
        <v>7.3206489533604202E-2</v>
      </c>
      <c r="AX212" s="557">
        <f t="shared" si="109"/>
        <v>7.6181232306034907E-2</v>
      </c>
      <c r="AY212" s="557">
        <f t="shared" si="110"/>
        <v>7.9155975078465612E-2</v>
      </c>
      <c r="AZ212" s="557">
        <f t="shared" si="111"/>
        <v>8.2130717850896762E-2</v>
      </c>
      <c r="BA212" s="557">
        <f t="shared" si="112"/>
        <v>8.5105460623327911E-2</v>
      </c>
      <c r="BB212" s="557">
        <f t="shared" si="113"/>
        <v>8.8080203395759948E-2</v>
      </c>
      <c r="BC212" s="557">
        <f t="shared" si="114"/>
        <v>9.1054946168190209E-2</v>
      </c>
      <c r="BD212" s="557">
        <f t="shared" si="115"/>
        <v>0.12080237389250126</v>
      </c>
      <c r="BE212" s="557">
        <f t="shared" si="116"/>
        <v>0.18029722934112247</v>
      </c>
      <c r="BF212" s="557">
        <f t="shared" si="117"/>
        <v>0.23979208478974456</v>
      </c>
      <c r="BG212" s="557">
        <f t="shared" si="118"/>
        <v>0.29928694023836577</v>
      </c>
      <c r="BH212" s="557">
        <f t="shared" si="119"/>
        <v>0.35878179568698876</v>
      </c>
      <c r="BI212" s="1163">
        <f t="shared" si="120"/>
        <v>0.41827665113560908</v>
      </c>
    </row>
    <row r="213" spans="3:61" x14ac:dyDescent="0.45">
      <c r="C213" s="1264"/>
      <c r="D213" s="377"/>
      <c r="E213" s="1261"/>
      <c r="F213" s="72">
        <v>80</v>
      </c>
      <c r="G213" s="56">
        <v>3.1589481894871456</v>
      </c>
      <c r="H213" s="56">
        <v>3.1748925070809992</v>
      </c>
      <c r="I213" s="56">
        <v>3.1908727211942587</v>
      </c>
      <c r="J213" s="56">
        <v>3.2068888318269244</v>
      </c>
      <c r="K213" s="56">
        <v>3.2229408389789969</v>
      </c>
      <c r="L213" s="56">
        <v>3.2390287426504756</v>
      </c>
      <c r="M213" s="56">
        <v>3.255152542841361</v>
      </c>
      <c r="N213" s="56">
        <v>3.2713122395516527</v>
      </c>
      <c r="O213" s="56">
        <v>3.2875078327813507</v>
      </c>
      <c r="P213" s="56">
        <v>3.3037393225304545</v>
      </c>
      <c r="Q213" s="56">
        <v>3.3200067087989651</v>
      </c>
      <c r="R213" s="56">
        <v>3.4846548800514219</v>
      </c>
      <c r="S213" s="56">
        <v>3.8247201783782501</v>
      </c>
      <c r="T213" s="56">
        <v>4.1791440844676293</v>
      </c>
      <c r="U213" s="56">
        <v>4.5479265983195587</v>
      </c>
      <c r="V213" s="56">
        <v>4.9310677199340409</v>
      </c>
      <c r="W213" s="59">
        <v>5.3285674493110724</v>
      </c>
      <c r="Y213" s="1001"/>
      <c r="Z213" s="25">
        <v>80</v>
      </c>
      <c r="AA213" s="557">
        <v>3.2202557079310248</v>
      </c>
      <c r="AB213" s="557">
        <v>3.2391747682973095</v>
      </c>
      <c r="AC213" s="557">
        <v>3.2581297251830001</v>
      </c>
      <c r="AD213" s="557">
        <v>3.2771205785880975</v>
      </c>
      <c r="AE213" s="557">
        <v>3.2961473285126006</v>
      </c>
      <c r="AF213" s="557">
        <v>3.3152099749565109</v>
      </c>
      <c r="AG213" s="557">
        <v>3.3343085179198271</v>
      </c>
      <c r="AH213" s="557">
        <v>3.3534429574025495</v>
      </c>
      <c r="AI213" s="557">
        <v>3.3726132934046786</v>
      </c>
      <c r="AJ213" s="557">
        <v>3.3918195259262141</v>
      </c>
      <c r="AK213" s="557">
        <v>3.4110616549671553</v>
      </c>
      <c r="AL213" s="557">
        <v>3.605457253943924</v>
      </c>
      <c r="AM213" s="557">
        <v>4.0050174077193725</v>
      </c>
      <c r="AN213" s="557">
        <v>4.4189361692573739</v>
      </c>
      <c r="AO213" s="557">
        <v>4.8472135385579254</v>
      </c>
      <c r="AP213" s="557">
        <v>5.2898495156210288</v>
      </c>
      <c r="AQ213" s="1163">
        <v>5.7468441004466824</v>
      </c>
      <c r="AS213" s="1166">
        <f t="shared" si="121"/>
        <v>6.1307518443879161E-2</v>
      </c>
      <c r="AT213" s="557">
        <f t="shared" si="105"/>
        <v>6.428226121631031E-2</v>
      </c>
      <c r="AU213" s="557">
        <f t="shared" si="106"/>
        <v>6.7257003988741459E-2</v>
      </c>
      <c r="AV213" s="557">
        <f t="shared" si="107"/>
        <v>7.0231746761173053E-2</v>
      </c>
      <c r="AW213" s="557">
        <f t="shared" si="108"/>
        <v>7.3206489533603758E-2</v>
      </c>
      <c r="AX213" s="557">
        <f t="shared" si="109"/>
        <v>7.6181232306035351E-2</v>
      </c>
      <c r="AY213" s="557">
        <f t="shared" si="110"/>
        <v>7.9155975078466057E-2</v>
      </c>
      <c r="AZ213" s="557">
        <f t="shared" si="111"/>
        <v>8.2130717850896762E-2</v>
      </c>
      <c r="BA213" s="557">
        <f t="shared" si="112"/>
        <v>8.5105460623327911E-2</v>
      </c>
      <c r="BB213" s="557">
        <f t="shared" si="113"/>
        <v>8.8080203395759504E-2</v>
      </c>
      <c r="BC213" s="557">
        <f t="shared" si="114"/>
        <v>9.1054946168190209E-2</v>
      </c>
      <c r="BD213" s="557">
        <f t="shared" si="115"/>
        <v>0.12080237389250215</v>
      </c>
      <c r="BE213" s="557">
        <f t="shared" si="116"/>
        <v>0.18029722934112247</v>
      </c>
      <c r="BF213" s="557">
        <f t="shared" si="117"/>
        <v>0.23979208478974456</v>
      </c>
      <c r="BG213" s="557">
        <f t="shared" si="118"/>
        <v>0.29928694023836666</v>
      </c>
      <c r="BH213" s="557">
        <f t="shared" si="119"/>
        <v>0.35878179568698787</v>
      </c>
      <c r="BI213" s="1163">
        <f t="shared" si="120"/>
        <v>0.41827665113560997</v>
      </c>
    </row>
    <row r="214" spans="3:61" x14ac:dyDescent="0.45">
      <c r="C214" s="1264"/>
      <c r="D214" s="377"/>
      <c r="E214" s="1261"/>
      <c r="F214" s="72">
        <v>90</v>
      </c>
      <c r="G214" s="56">
        <v>3.1649043865173674</v>
      </c>
      <c r="H214" s="56">
        <v>3.1809030376185898</v>
      </c>
      <c r="I214" s="56">
        <v>3.1969377374399497</v>
      </c>
      <c r="J214" s="56">
        <v>3.2130084859814478</v>
      </c>
      <c r="K214" s="56">
        <v>3.2291152832430843</v>
      </c>
      <c r="L214" s="56">
        <v>3.2452581292248603</v>
      </c>
      <c r="M214" s="56">
        <v>3.2614370239267734</v>
      </c>
      <c r="N214" s="56">
        <v>3.2776519673488251</v>
      </c>
      <c r="O214" s="56">
        <v>3.2939029594910152</v>
      </c>
      <c r="P214" s="56">
        <v>3.310190000353344</v>
      </c>
      <c r="Q214" s="56">
        <v>3.3265130899358106</v>
      </c>
      <c r="R214" s="56">
        <v>3.4917266653680836</v>
      </c>
      <c r="S214" s="56">
        <v>3.8329684322741229</v>
      </c>
      <c r="T214" s="56">
        <v>4.1886296872354833</v>
      </c>
      <c r="U214" s="56">
        <v>4.5587104302521659</v>
      </c>
      <c r="V214" s="56">
        <v>4.9432106613241693</v>
      </c>
      <c r="W214" s="59">
        <v>5.3421303804514944</v>
      </c>
      <c r="Y214" s="1001"/>
      <c r="Z214" s="25">
        <v>90</v>
      </c>
      <c r="AA214" s="557">
        <v>3.226211904961247</v>
      </c>
      <c r="AB214" s="557">
        <v>3.2451852988349001</v>
      </c>
      <c r="AC214" s="557">
        <v>3.2641947414286916</v>
      </c>
      <c r="AD214" s="557">
        <v>3.2832402327426209</v>
      </c>
      <c r="AE214" s="557">
        <v>3.3023217727766894</v>
      </c>
      <c r="AF214" s="557">
        <v>3.3214393615308957</v>
      </c>
      <c r="AG214" s="557">
        <v>3.3405929990052394</v>
      </c>
      <c r="AH214" s="557">
        <v>3.3597826851997219</v>
      </c>
      <c r="AI214" s="557">
        <v>3.3790084201143435</v>
      </c>
      <c r="AJ214" s="557">
        <v>3.398270203749103</v>
      </c>
      <c r="AK214" s="557">
        <v>3.4175680361040008</v>
      </c>
      <c r="AL214" s="557">
        <v>3.6125290392605858</v>
      </c>
      <c r="AM214" s="557">
        <v>4.0132656616152458</v>
      </c>
      <c r="AN214" s="557">
        <v>4.4284217720252279</v>
      </c>
      <c r="AO214" s="557">
        <v>4.8579973704905317</v>
      </c>
      <c r="AP214" s="557">
        <v>5.3019924570111572</v>
      </c>
      <c r="AQ214" s="1163">
        <v>5.7604070315871043</v>
      </c>
      <c r="AS214" s="1166">
        <f t="shared" si="121"/>
        <v>6.1307518443879605E-2</v>
      </c>
      <c r="AT214" s="557">
        <f t="shared" si="105"/>
        <v>6.428226121631031E-2</v>
      </c>
      <c r="AU214" s="557">
        <f t="shared" si="106"/>
        <v>6.7257003988741904E-2</v>
      </c>
      <c r="AV214" s="557">
        <f t="shared" si="107"/>
        <v>7.0231746761173053E-2</v>
      </c>
      <c r="AW214" s="557">
        <f t="shared" si="108"/>
        <v>7.320648953360509E-2</v>
      </c>
      <c r="AX214" s="557">
        <f t="shared" si="109"/>
        <v>7.6181232306035351E-2</v>
      </c>
      <c r="AY214" s="557">
        <f t="shared" si="110"/>
        <v>7.9155975078466057E-2</v>
      </c>
      <c r="AZ214" s="557">
        <f t="shared" si="111"/>
        <v>8.2130717850896762E-2</v>
      </c>
      <c r="BA214" s="557">
        <f t="shared" si="112"/>
        <v>8.5105460623328355E-2</v>
      </c>
      <c r="BB214" s="557">
        <f t="shared" si="113"/>
        <v>8.808020339575906E-2</v>
      </c>
      <c r="BC214" s="557">
        <f t="shared" si="114"/>
        <v>9.1054946168190209E-2</v>
      </c>
      <c r="BD214" s="557">
        <f t="shared" si="115"/>
        <v>0.12080237389250215</v>
      </c>
      <c r="BE214" s="557">
        <f t="shared" si="116"/>
        <v>0.18029722934112291</v>
      </c>
      <c r="BF214" s="557">
        <f t="shared" si="117"/>
        <v>0.23979208478974456</v>
      </c>
      <c r="BG214" s="557">
        <f t="shared" si="118"/>
        <v>0.29928694023836577</v>
      </c>
      <c r="BH214" s="557">
        <f t="shared" si="119"/>
        <v>0.35878179568698787</v>
      </c>
      <c r="BI214" s="1163">
        <f t="shared" si="120"/>
        <v>0.41827665113560997</v>
      </c>
    </row>
    <row r="215" spans="3:61" ht="15" customHeight="1" x14ac:dyDescent="0.45">
      <c r="C215" s="1264"/>
      <c r="D215" s="378"/>
      <c r="E215" s="1261"/>
      <c r="F215" s="72">
        <v>100</v>
      </c>
      <c r="G215" s="56">
        <v>3.1708605835475892</v>
      </c>
      <c r="H215" s="56">
        <v>3.1869135681561795</v>
      </c>
      <c r="I215" s="56">
        <v>3.2030027536856398</v>
      </c>
      <c r="J215" s="56">
        <v>3.2191281401359717</v>
      </c>
      <c r="K215" s="56">
        <v>3.2352897275071726</v>
      </c>
      <c r="L215" s="56">
        <v>3.2514875157992442</v>
      </c>
      <c r="M215" s="56">
        <v>3.2677215050121862</v>
      </c>
      <c r="N215" s="56">
        <v>3.283991695145998</v>
      </c>
      <c r="O215" s="56">
        <v>3.300298086200681</v>
      </c>
      <c r="P215" s="56">
        <v>3.3166406781762325</v>
      </c>
      <c r="Q215" s="56">
        <v>3.3330194710726553</v>
      </c>
      <c r="R215" s="56">
        <v>3.4987984506847458</v>
      </c>
      <c r="S215" s="56">
        <v>3.8412166861699957</v>
      </c>
      <c r="T215" s="56">
        <v>4.1981152900033374</v>
      </c>
      <c r="U215" s="56">
        <v>4.5694942621847714</v>
      </c>
      <c r="V215" s="56">
        <v>4.9553536027142977</v>
      </c>
      <c r="W215" s="59">
        <v>5.3556933115919154</v>
      </c>
      <c r="Y215" s="1001"/>
      <c r="Z215" s="25">
        <v>100</v>
      </c>
      <c r="AA215" s="557">
        <v>3.2321681019914683</v>
      </c>
      <c r="AB215" s="557">
        <v>3.2511958293724899</v>
      </c>
      <c r="AC215" s="557">
        <v>3.2702597576743817</v>
      </c>
      <c r="AD215" s="557">
        <v>3.2893598868971439</v>
      </c>
      <c r="AE215" s="557">
        <v>3.3084962170407768</v>
      </c>
      <c r="AF215" s="557">
        <v>3.3276687481052791</v>
      </c>
      <c r="AG215" s="557">
        <v>3.3468774800906527</v>
      </c>
      <c r="AH215" s="557">
        <v>3.3661224129968952</v>
      </c>
      <c r="AI215" s="557">
        <v>3.3854035468240085</v>
      </c>
      <c r="AJ215" s="557">
        <v>3.4047208815719925</v>
      </c>
      <c r="AK215" s="557">
        <v>3.4240744172408464</v>
      </c>
      <c r="AL215" s="557">
        <v>3.6196008245772471</v>
      </c>
      <c r="AM215" s="557">
        <v>4.0215139155111181</v>
      </c>
      <c r="AN215" s="557">
        <v>4.4379073747930819</v>
      </c>
      <c r="AO215" s="557">
        <v>4.8687812024231381</v>
      </c>
      <c r="AP215" s="557">
        <v>5.3141353984012856</v>
      </c>
      <c r="AQ215" s="1163">
        <v>5.7739699627275263</v>
      </c>
      <c r="AS215" s="1166">
        <f t="shared" si="121"/>
        <v>6.1307518443879161E-2</v>
      </c>
      <c r="AT215" s="557">
        <f t="shared" si="105"/>
        <v>6.428226121631031E-2</v>
      </c>
      <c r="AU215" s="557">
        <f t="shared" si="106"/>
        <v>6.7257003988741904E-2</v>
      </c>
      <c r="AV215" s="557">
        <f t="shared" si="107"/>
        <v>7.0231746761172165E-2</v>
      </c>
      <c r="AW215" s="557">
        <f t="shared" si="108"/>
        <v>7.3206489533604202E-2</v>
      </c>
      <c r="AX215" s="557">
        <f t="shared" si="109"/>
        <v>7.6181232306034907E-2</v>
      </c>
      <c r="AY215" s="557">
        <f t="shared" si="110"/>
        <v>7.9155975078466501E-2</v>
      </c>
      <c r="AZ215" s="557">
        <f t="shared" si="111"/>
        <v>8.2130717850897206E-2</v>
      </c>
      <c r="BA215" s="557">
        <f t="shared" si="112"/>
        <v>8.5105460623327467E-2</v>
      </c>
      <c r="BB215" s="557">
        <f t="shared" si="113"/>
        <v>8.8080203395759948E-2</v>
      </c>
      <c r="BC215" s="557">
        <f t="shared" si="114"/>
        <v>9.1054946168191098E-2</v>
      </c>
      <c r="BD215" s="557">
        <f t="shared" si="115"/>
        <v>0.12080237389250126</v>
      </c>
      <c r="BE215" s="557">
        <f t="shared" si="116"/>
        <v>0.18029722934112247</v>
      </c>
      <c r="BF215" s="557">
        <f t="shared" si="117"/>
        <v>0.23979208478974456</v>
      </c>
      <c r="BG215" s="557">
        <f t="shared" si="118"/>
        <v>0.29928694023836666</v>
      </c>
      <c r="BH215" s="557">
        <f t="shared" si="119"/>
        <v>0.35878179568698787</v>
      </c>
      <c r="BI215" s="1163">
        <f t="shared" si="120"/>
        <v>0.41827665113561086</v>
      </c>
    </row>
    <row r="216" spans="3:61" x14ac:dyDescent="0.45">
      <c r="C216" s="1264"/>
      <c r="D216" s="5"/>
      <c r="E216" s="1261"/>
      <c r="F216" s="72">
        <v>200</v>
      </c>
      <c r="G216" s="56">
        <v>3.2304225538498033</v>
      </c>
      <c r="H216" s="56">
        <v>3.2470188735320811</v>
      </c>
      <c r="I216" s="56">
        <v>3.263652916142548</v>
      </c>
      <c r="J216" s="56">
        <v>3.2803246816812051</v>
      </c>
      <c r="K216" s="56">
        <v>3.2970341701480512</v>
      </c>
      <c r="L216" s="56">
        <v>3.3137813815430874</v>
      </c>
      <c r="M216" s="56">
        <v>3.3305663158663128</v>
      </c>
      <c r="N216" s="56">
        <v>3.3473889731177278</v>
      </c>
      <c r="O216" s="56">
        <v>3.3642493532973319</v>
      </c>
      <c r="P216" s="56">
        <v>3.3811474564051256</v>
      </c>
      <c r="Q216" s="56">
        <v>3.3980832824411089</v>
      </c>
      <c r="R216" s="56">
        <v>3.5695163038513642</v>
      </c>
      <c r="S216" s="56">
        <v>3.9236992251287228</v>
      </c>
      <c r="T216" s="56">
        <v>4.2929713176818787</v>
      </c>
      <c r="U216" s="56">
        <v>4.6773325815108331</v>
      </c>
      <c r="V216" s="56">
        <v>5.0767830166155843</v>
      </c>
      <c r="W216" s="59">
        <v>5.4913226229961332</v>
      </c>
      <c r="Y216" s="1001"/>
      <c r="Z216" s="25">
        <v>200</v>
      </c>
      <c r="AA216" s="557">
        <v>3.2917300722936824</v>
      </c>
      <c r="AB216" s="557">
        <v>3.3113011347483918</v>
      </c>
      <c r="AC216" s="557">
        <v>3.3309099201312904</v>
      </c>
      <c r="AD216" s="557">
        <v>3.3505564284423781</v>
      </c>
      <c r="AE216" s="557">
        <v>3.3702406596816554</v>
      </c>
      <c r="AF216" s="557">
        <v>3.3899626138491228</v>
      </c>
      <c r="AG216" s="557">
        <v>3.4097222909447789</v>
      </c>
      <c r="AH216" s="557">
        <v>3.429519690968625</v>
      </c>
      <c r="AI216" s="557">
        <v>3.4493548139206602</v>
      </c>
      <c r="AJ216" s="557">
        <v>3.4692276598008855</v>
      </c>
      <c r="AK216" s="557">
        <v>3.4891382286093</v>
      </c>
      <c r="AL216" s="557">
        <v>3.6903186777438659</v>
      </c>
      <c r="AM216" s="557">
        <v>4.1039964544698453</v>
      </c>
      <c r="AN216" s="557">
        <v>4.5327634024716232</v>
      </c>
      <c r="AO216" s="557">
        <v>4.9766195217491997</v>
      </c>
      <c r="AP216" s="557">
        <v>5.435564812302573</v>
      </c>
      <c r="AQ216" s="1163">
        <v>5.9095992741317431</v>
      </c>
      <c r="AS216" s="1166">
        <f t="shared" si="121"/>
        <v>6.1307518443879161E-2</v>
      </c>
      <c r="AT216" s="557">
        <f t="shared" si="105"/>
        <v>6.4282261216310754E-2</v>
      </c>
      <c r="AU216" s="557">
        <f t="shared" si="106"/>
        <v>6.7257003988742348E-2</v>
      </c>
      <c r="AV216" s="557">
        <f t="shared" si="107"/>
        <v>7.0231746761173053E-2</v>
      </c>
      <c r="AW216" s="557">
        <f t="shared" si="108"/>
        <v>7.3206489533604202E-2</v>
      </c>
      <c r="AX216" s="557">
        <f t="shared" si="109"/>
        <v>7.6181232306035351E-2</v>
      </c>
      <c r="AY216" s="557">
        <f t="shared" si="110"/>
        <v>7.9155975078466057E-2</v>
      </c>
      <c r="AZ216" s="557">
        <f t="shared" si="111"/>
        <v>8.2130717850897206E-2</v>
      </c>
      <c r="BA216" s="557">
        <f t="shared" si="112"/>
        <v>8.5105460623328355E-2</v>
      </c>
      <c r="BB216" s="557">
        <f t="shared" si="113"/>
        <v>8.8080203395759948E-2</v>
      </c>
      <c r="BC216" s="557">
        <f t="shared" si="114"/>
        <v>9.1054946168191098E-2</v>
      </c>
      <c r="BD216" s="557">
        <f t="shared" si="115"/>
        <v>0.1208023738925017</v>
      </c>
      <c r="BE216" s="557">
        <f t="shared" si="116"/>
        <v>0.18029722934112247</v>
      </c>
      <c r="BF216" s="557">
        <f t="shared" si="117"/>
        <v>0.23979208478974456</v>
      </c>
      <c r="BG216" s="557">
        <f t="shared" si="118"/>
        <v>0.29928694023836666</v>
      </c>
      <c r="BH216" s="557">
        <f t="shared" si="119"/>
        <v>0.35878179568698876</v>
      </c>
      <c r="BI216" s="1163">
        <f t="shared" si="120"/>
        <v>0.41827665113560997</v>
      </c>
    </row>
    <row r="217" spans="3:61" x14ac:dyDescent="0.45">
      <c r="C217" s="1264"/>
      <c r="D217" s="5"/>
      <c r="E217" s="1261"/>
      <c r="F217" s="72">
        <v>300</v>
      </c>
      <c r="G217" s="56">
        <v>3.2899845241520174</v>
      </c>
      <c r="H217" s="56">
        <v>3.3071241789079826</v>
      </c>
      <c r="I217" s="56">
        <v>3.3243030785994567</v>
      </c>
      <c r="J217" s="56">
        <v>3.3415212232264393</v>
      </c>
      <c r="K217" s="56">
        <v>3.3587786127889299</v>
      </c>
      <c r="L217" s="56">
        <v>3.3760752472869302</v>
      </c>
      <c r="M217" s="56">
        <v>3.393411126720439</v>
      </c>
      <c r="N217" s="56">
        <v>3.4107862510894571</v>
      </c>
      <c r="O217" s="56">
        <v>3.4282006203939832</v>
      </c>
      <c r="P217" s="56">
        <v>3.4456542346340182</v>
      </c>
      <c r="Q217" s="56">
        <v>3.4631470938095621</v>
      </c>
      <c r="R217" s="56">
        <v>3.6402341570179821</v>
      </c>
      <c r="S217" s="56">
        <v>4.00618176408745</v>
      </c>
      <c r="T217" s="56">
        <v>4.3878273453604208</v>
      </c>
      <c r="U217" s="56">
        <v>4.7851709008368939</v>
      </c>
      <c r="V217" s="56">
        <v>5.19821243051687</v>
      </c>
      <c r="W217" s="59">
        <v>5.6269519344003491</v>
      </c>
      <c r="Y217" s="1001"/>
      <c r="Z217" s="25">
        <v>300</v>
      </c>
      <c r="AA217" s="557">
        <v>3.3512920425958974</v>
      </c>
      <c r="AB217" s="557">
        <v>3.3714064401242938</v>
      </c>
      <c r="AC217" s="557">
        <v>3.3915600825881986</v>
      </c>
      <c r="AD217" s="557">
        <v>3.4117529699876119</v>
      </c>
      <c r="AE217" s="557">
        <v>3.4319851023225341</v>
      </c>
      <c r="AF217" s="557">
        <v>3.4522564795929651</v>
      </c>
      <c r="AG217" s="557">
        <v>3.472567101798905</v>
      </c>
      <c r="AH217" s="557">
        <v>3.4929169689403539</v>
      </c>
      <c r="AI217" s="557">
        <v>3.5133060810173111</v>
      </c>
      <c r="AJ217" s="557">
        <v>3.5337344380297777</v>
      </c>
      <c r="AK217" s="557">
        <v>3.5542020399777527</v>
      </c>
      <c r="AL217" s="557">
        <v>3.7610365309104834</v>
      </c>
      <c r="AM217" s="557">
        <v>4.1864789934285733</v>
      </c>
      <c r="AN217" s="557">
        <v>4.6276194301501654</v>
      </c>
      <c r="AO217" s="557">
        <v>5.0844578410752597</v>
      </c>
      <c r="AP217" s="557">
        <v>5.5569942262038587</v>
      </c>
      <c r="AQ217" s="1163">
        <v>6.0452285855359609</v>
      </c>
      <c r="AS217" s="1166">
        <f t="shared" si="121"/>
        <v>6.1307518443880049E-2</v>
      </c>
      <c r="AT217" s="557">
        <f t="shared" si="105"/>
        <v>6.4282261216311198E-2</v>
      </c>
      <c r="AU217" s="557">
        <f t="shared" si="106"/>
        <v>6.7257003988741904E-2</v>
      </c>
      <c r="AV217" s="557">
        <f t="shared" si="107"/>
        <v>7.0231746761172609E-2</v>
      </c>
      <c r="AW217" s="557">
        <f t="shared" si="108"/>
        <v>7.3206489533604202E-2</v>
      </c>
      <c r="AX217" s="557">
        <f t="shared" si="109"/>
        <v>7.6181232306034907E-2</v>
      </c>
      <c r="AY217" s="557">
        <f t="shared" si="110"/>
        <v>7.9155975078466057E-2</v>
      </c>
      <c r="AZ217" s="557">
        <f t="shared" si="111"/>
        <v>8.2130717850896762E-2</v>
      </c>
      <c r="BA217" s="557">
        <f t="shared" si="112"/>
        <v>8.5105460623327911E-2</v>
      </c>
      <c r="BB217" s="557">
        <f t="shared" si="113"/>
        <v>8.8080203395759504E-2</v>
      </c>
      <c r="BC217" s="557">
        <f t="shared" si="114"/>
        <v>9.1054946168190654E-2</v>
      </c>
      <c r="BD217" s="557">
        <f t="shared" si="115"/>
        <v>0.12080237389250126</v>
      </c>
      <c r="BE217" s="557">
        <f t="shared" si="116"/>
        <v>0.18029722934112336</v>
      </c>
      <c r="BF217" s="557">
        <f t="shared" si="117"/>
        <v>0.23979208478974456</v>
      </c>
      <c r="BG217" s="557">
        <f t="shared" si="118"/>
        <v>0.29928694023836577</v>
      </c>
      <c r="BH217" s="557">
        <f t="shared" si="119"/>
        <v>0.35878179568698876</v>
      </c>
      <c r="BI217" s="1163">
        <f t="shared" si="120"/>
        <v>0.41827665113561174</v>
      </c>
    </row>
    <row r="218" spans="3:61" x14ac:dyDescent="0.45">
      <c r="C218" s="1264"/>
      <c r="D218" s="5"/>
      <c r="E218" s="1261"/>
      <c r="F218" s="72">
        <v>400</v>
      </c>
      <c r="G218" s="56">
        <v>3.3495464944542324</v>
      </c>
      <c r="H218" s="56">
        <v>3.3672294842838841</v>
      </c>
      <c r="I218" s="56">
        <v>3.3849532410563645</v>
      </c>
      <c r="J218" s="56">
        <v>3.4027177647716735</v>
      </c>
      <c r="K218" s="56">
        <v>3.4205230554298094</v>
      </c>
      <c r="L218" s="56">
        <v>3.4383691130307739</v>
      </c>
      <c r="M218" s="56">
        <v>3.4562559375745656</v>
      </c>
      <c r="N218" s="56">
        <v>3.4741835290611864</v>
      </c>
      <c r="O218" s="56">
        <v>3.4921518874906345</v>
      </c>
      <c r="P218" s="56">
        <v>3.5101610128629108</v>
      </c>
      <c r="Q218" s="56">
        <v>3.5282109051780153</v>
      </c>
      <c r="R218" s="56">
        <v>3.7109520101846001</v>
      </c>
      <c r="S218" s="56">
        <v>4.0886643030461771</v>
      </c>
      <c r="T218" s="56">
        <v>4.4826833730389612</v>
      </c>
      <c r="U218" s="56">
        <v>4.8930092201629547</v>
      </c>
      <c r="V218" s="56">
        <v>5.3196418444181575</v>
      </c>
      <c r="W218" s="59">
        <v>5.7625812458045669</v>
      </c>
      <c r="Y218" s="1001"/>
      <c r="Z218" s="25">
        <v>400</v>
      </c>
      <c r="AA218" s="557">
        <v>3.4108540128981124</v>
      </c>
      <c r="AB218" s="557">
        <v>3.4315117455001949</v>
      </c>
      <c r="AC218" s="557">
        <v>3.4522102450451069</v>
      </c>
      <c r="AD218" s="557">
        <v>3.4729495115328457</v>
      </c>
      <c r="AE218" s="557">
        <v>3.4937295449634131</v>
      </c>
      <c r="AF218" s="557">
        <v>3.5145503453368083</v>
      </c>
      <c r="AG218" s="557">
        <v>3.5354119126530321</v>
      </c>
      <c r="AH218" s="557">
        <v>3.5563142469120836</v>
      </c>
      <c r="AI218" s="557">
        <v>3.5772573481139629</v>
      </c>
      <c r="AJ218" s="557">
        <v>3.5982412162586703</v>
      </c>
      <c r="AK218" s="557">
        <v>3.6192658513462059</v>
      </c>
      <c r="AL218" s="557">
        <v>3.8317543840771013</v>
      </c>
      <c r="AM218" s="557">
        <v>4.2689615323872996</v>
      </c>
      <c r="AN218" s="557">
        <v>4.7224754578287058</v>
      </c>
      <c r="AO218" s="557">
        <v>5.1922961604013214</v>
      </c>
      <c r="AP218" s="557">
        <v>5.6784236401051462</v>
      </c>
      <c r="AQ218" s="1163">
        <v>6.1808578969401768</v>
      </c>
      <c r="AS218" s="1166">
        <f t="shared" si="121"/>
        <v>6.1307518443880049E-2</v>
      </c>
      <c r="AT218" s="557">
        <f t="shared" si="105"/>
        <v>6.4282261216310754E-2</v>
      </c>
      <c r="AU218" s="557">
        <f t="shared" si="106"/>
        <v>6.7257003988742348E-2</v>
      </c>
      <c r="AV218" s="557">
        <f t="shared" si="107"/>
        <v>7.0231746761172165E-2</v>
      </c>
      <c r="AW218" s="557">
        <f t="shared" si="108"/>
        <v>7.3206489533603758E-2</v>
      </c>
      <c r="AX218" s="557">
        <f t="shared" si="109"/>
        <v>7.6181232306034463E-2</v>
      </c>
      <c r="AY218" s="557">
        <f t="shared" si="110"/>
        <v>7.9155975078466501E-2</v>
      </c>
      <c r="AZ218" s="557">
        <f t="shared" si="111"/>
        <v>8.2130717850897206E-2</v>
      </c>
      <c r="BA218" s="557">
        <f t="shared" si="112"/>
        <v>8.5105460623328355E-2</v>
      </c>
      <c r="BB218" s="557">
        <f t="shared" si="113"/>
        <v>8.8080203395759504E-2</v>
      </c>
      <c r="BC218" s="557">
        <f t="shared" si="114"/>
        <v>9.1054946168190654E-2</v>
      </c>
      <c r="BD218" s="557">
        <f t="shared" si="115"/>
        <v>0.12080237389250126</v>
      </c>
      <c r="BE218" s="557">
        <f t="shared" si="116"/>
        <v>0.18029722934112247</v>
      </c>
      <c r="BF218" s="557">
        <f t="shared" si="117"/>
        <v>0.23979208478974456</v>
      </c>
      <c r="BG218" s="557">
        <f t="shared" si="118"/>
        <v>0.29928694023836666</v>
      </c>
      <c r="BH218" s="557">
        <f t="shared" si="119"/>
        <v>0.35878179568698876</v>
      </c>
      <c r="BI218" s="1163">
        <f t="shared" si="120"/>
        <v>0.41827665113560997</v>
      </c>
    </row>
    <row r="219" spans="3:61" x14ac:dyDescent="0.45">
      <c r="C219" s="1264"/>
      <c r="D219" s="5"/>
      <c r="E219" s="1261"/>
      <c r="F219" s="72">
        <v>500</v>
      </c>
      <c r="G219" s="56">
        <v>3.4091084647564469</v>
      </c>
      <c r="H219" s="56">
        <v>3.4273347896597861</v>
      </c>
      <c r="I219" s="56">
        <v>3.4456034035132732</v>
      </c>
      <c r="J219" s="56">
        <v>3.4639143063169069</v>
      </c>
      <c r="K219" s="56">
        <v>3.482267498070688</v>
      </c>
      <c r="L219" s="56">
        <v>3.5006629787746166</v>
      </c>
      <c r="M219" s="56">
        <v>3.5191007484286922</v>
      </c>
      <c r="N219" s="56">
        <v>3.5375808070329153</v>
      </c>
      <c r="O219" s="56">
        <v>3.5561031545872854</v>
      </c>
      <c r="P219" s="56">
        <v>3.5746677910918034</v>
      </c>
      <c r="Q219" s="56">
        <v>3.5932747165464685</v>
      </c>
      <c r="R219" s="56">
        <v>3.7816698633512189</v>
      </c>
      <c r="S219" s="56">
        <v>4.1711468420049043</v>
      </c>
      <c r="T219" s="56">
        <v>4.5775394007175025</v>
      </c>
      <c r="U219" s="56">
        <v>5.0008475394890173</v>
      </c>
      <c r="V219" s="56">
        <v>5.4410712583194432</v>
      </c>
      <c r="W219" s="59">
        <v>5.8982105572087828</v>
      </c>
      <c r="Y219" s="1001"/>
      <c r="Z219" s="25">
        <v>500</v>
      </c>
      <c r="AA219" s="557">
        <v>3.4704159832003265</v>
      </c>
      <c r="AB219" s="557">
        <v>3.4916170508760969</v>
      </c>
      <c r="AC219" s="557">
        <v>3.5128604075020142</v>
      </c>
      <c r="AD219" s="557">
        <v>3.5341460530780791</v>
      </c>
      <c r="AE219" s="557">
        <v>3.5554739876042918</v>
      </c>
      <c r="AF219" s="557">
        <v>3.5768442110806515</v>
      </c>
      <c r="AG219" s="557">
        <v>3.5982567235071583</v>
      </c>
      <c r="AH219" s="557">
        <v>3.6197115248838125</v>
      </c>
      <c r="AI219" s="557">
        <v>3.6412086152106138</v>
      </c>
      <c r="AJ219" s="557">
        <v>3.6627479944875634</v>
      </c>
      <c r="AK219" s="557">
        <v>3.6843296627146591</v>
      </c>
      <c r="AL219" s="557">
        <v>3.9024722372437197</v>
      </c>
      <c r="AM219" s="557">
        <v>4.3514440713460267</v>
      </c>
      <c r="AN219" s="557">
        <v>4.817331485507248</v>
      </c>
      <c r="AO219" s="557">
        <v>5.3001344797273831</v>
      </c>
      <c r="AP219" s="557">
        <v>5.799853054006431</v>
      </c>
      <c r="AQ219" s="1163">
        <v>6.3164872083443937</v>
      </c>
      <c r="AS219" s="1166">
        <f t="shared" si="121"/>
        <v>6.1307518443879605E-2</v>
      </c>
      <c r="AT219" s="557">
        <f t="shared" si="105"/>
        <v>6.4282261216310754E-2</v>
      </c>
      <c r="AU219" s="557">
        <f t="shared" si="106"/>
        <v>6.7257003988741015E-2</v>
      </c>
      <c r="AV219" s="557">
        <f t="shared" si="107"/>
        <v>7.0231746761172165E-2</v>
      </c>
      <c r="AW219" s="557">
        <f t="shared" si="108"/>
        <v>7.3206489533603758E-2</v>
      </c>
      <c r="AX219" s="557">
        <f t="shared" si="109"/>
        <v>7.6181232306034907E-2</v>
      </c>
      <c r="AY219" s="557">
        <f t="shared" si="110"/>
        <v>7.9155975078466057E-2</v>
      </c>
      <c r="AZ219" s="557">
        <f t="shared" si="111"/>
        <v>8.2130717850897206E-2</v>
      </c>
      <c r="BA219" s="557">
        <f t="shared" si="112"/>
        <v>8.5105460623328355E-2</v>
      </c>
      <c r="BB219" s="557">
        <f t="shared" si="113"/>
        <v>8.8080203395759948E-2</v>
      </c>
      <c r="BC219" s="557">
        <f t="shared" si="114"/>
        <v>9.1054946168190654E-2</v>
      </c>
      <c r="BD219" s="557">
        <f t="shared" si="115"/>
        <v>0.12080237389250081</v>
      </c>
      <c r="BE219" s="557">
        <f t="shared" si="116"/>
        <v>0.18029722934112247</v>
      </c>
      <c r="BF219" s="557">
        <f t="shared" si="117"/>
        <v>0.23979208478974545</v>
      </c>
      <c r="BG219" s="557">
        <f t="shared" si="118"/>
        <v>0.29928694023836577</v>
      </c>
      <c r="BH219" s="557">
        <f t="shared" si="119"/>
        <v>0.35878179568698787</v>
      </c>
      <c r="BI219" s="1163">
        <f t="shared" si="120"/>
        <v>0.41827665113561086</v>
      </c>
    </row>
    <row r="220" spans="3:61" x14ac:dyDescent="0.45">
      <c r="C220" s="1264"/>
      <c r="D220" s="5"/>
      <c r="E220" s="1261"/>
      <c r="F220" s="72">
        <v>600</v>
      </c>
      <c r="G220" s="56">
        <v>3.4686704350586619</v>
      </c>
      <c r="H220" s="56">
        <v>3.4874400950356881</v>
      </c>
      <c r="I220" s="56">
        <v>3.5062535659701815</v>
      </c>
      <c r="J220" s="56">
        <v>3.5251108478621411</v>
      </c>
      <c r="K220" s="56">
        <v>3.5440119407115667</v>
      </c>
      <c r="L220" s="56">
        <v>3.5629568445184598</v>
      </c>
      <c r="M220" s="56">
        <v>3.5819455592828193</v>
      </c>
      <c r="N220" s="56">
        <v>3.6009780850046447</v>
      </c>
      <c r="O220" s="56">
        <v>3.6200544216839377</v>
      </c>
      <c r="P220" s="56">
        <v>3.6391745693206961</v>
      </c>
      <c r="Q220" s="56">
        <v>3.6583385279149221</v>
      </c>
      <c r="R220" s="56">
        <v>3.8523877165178368</v>
      </c>
      <c r="S220" s="56">
        <v>4.2536293809636314</v>
      </c>
      <c r="T220" s="56">
        <v>4.6723954283960447</v>
      </c>
      <c r="U220" s="56">
        <v>5.1086858588150772</v>
      </c>
      <c r="V220" s="56">
        <v>5.5625006722207297</v>
      </c>
      <c r="W220" s="59">
        <v>6.0338398686130006</v>
      </c>
      <c r="Y220" s="1001"/>
      <c r="Z220" s="25">
        <v>600</v>
      </c>
      <c r="AA220" s="557">
        <v>3.5299779535025411</v>
      </c>
      <c r="AB220" s="557">
        <v>3.5517223562519988</v>
      </c>
      <c r="AC220" s="557">
        <v>3.5735105699589225</v>
      </c>
      <c r="AD220" s="557">
        <v>3.5953425946233137</v>
      </c>
      <c r="AE220" s="557">
        <v>3.6172184302451704</v>
      </c>
      <c r="AF220" s="557">
        <v>3.6391380768244939</v>
      </c>
      <c r="AG220" s="557">
        <v>3.6611015343612854</v>
      </c>
      <c r="AH220" s="557">
        <v>3.6831088028555419</v>
      </c>
      <c r="AI220" s="557">
        <v>3.7051598823072656</v>
      </c>
      <c r="AJ220" s="557">
        <v>3.7272547727164551</v>
      </c>
      <c r="AK220" s="557">
        <v>3.7493934740831119</v>
      </c>
      <c r="AL220" s="557">
        <v>3.9731900904103377</v>
      </c>
      <c r="AM220" s="557">
        <v>4.4339266103047539</v>
      </c>
      <c r="AN220" s="557">
        <v>4.9121875131857884</v>
      </c>
      <c r="AO220" s="557">
        <v>5.407972799053443</v>
      </c>
      <c r="AP220" s="557">
        <v>5.9212824679077176</v>
      </c>
      <c r="AQ220" s="1163">
        <v>6.4521165197486114</v>
      </c>
      <c r="AS220" s="1166">
        <f t="shared" si="121"/>
        <v>6.1307518443879161E-2</v>
      </c>
      <c r="AT220" s="557">
        <f t="shared" si="105"/>
        <v>6.4282261216310754E-2</v>
      </c>
      <c r="AU220" s="557">
        <f t="shared" si="106"/>
        <v>6.7257003988741015E-2</v>
      </c>
      <c r="AV220" s="557">
        <f t="shared" si="107"/>
        <v>7.0231746761172609E-2</v>
      </c>
      <c r="AW220" s="557">
        <f t="shared" si="108"/>
        <v>7.3206489533603758E-2</v>
      </c>
      <c r="AX220" s="557">
        <f t="shared" si="109"/>
        <v>7.6181232306034019E-2</v>
      </c>
      <c r="AY220" s="557">
        <f t="shared" si="110"/>
        <v>7.9155975078466057E-2</v>
      </c>
      <c r="AZ220" s="557">
        <f t="shared" si="111"/>
        <v>8.2130717850897206E-2</v>
      </c>
      <c r="BA220" s="557">
        <f t="shared" si="112"/>
        <v>8.5105460623327911E-2</v>
      </c>
      <c r="BB220" s="557">
        <f t="shared" si="113"/>
        <v>8.808020339575906E-2</v>
      </c>
      <c r="BC220" s="557">
        <f t="shared" si="114"/>
        <v>9.1054946168189765E-2</v>
      </c>
      <c r="BD220" s="557">
        <f t="shared" si="115"/>
        <v>0.12080237389250081</v>
      </c>
      <c r="BE220" s="557">
        <f t="shared" si="116"/>
        <v>0.18029722934112247</v>
      </c>
      <c r="BF220" s="557">
        <f t="shared" si="117"/>
        <v>0.23979208478974368</v>
      </c>
      <c r="BG220" s="557">
        <f t="shared" si="118"/>
        <v>0.29928694023836577</v>
      </c>
      <c r="BH220" s="557">
        <f t="shared" si="119"/>
        <v>0.35878179568698787</v>
      </c>
      <c r="BI220" s="1163">
        <f t="shared" si="120"/>
        <v>0.41827665113561086</v>
      </c>
    </row>
    <row r="221" spans="3:61" x14ac:dyDescent="0.45">
      <c r="C221" s="1264"/>
      <c r="D221" s="5"/>
      <c r="E221" s="1261"/>
      <c r="F221" s="72">
        <v>700</v>
      </c>
      <c r="G221" s="56">
        <v>3.528232405360876</v>
      </c>
      <c r="H221" s="56">
        <v>3.5475454004115901</v>
      </c>
      <c r="I221" s="56">
        <v>3.5669037284270888</v>
      </c>
      <c r="J221" s="56">
        <v>3.5863073894073749</v>
      </c>
      <c r="K221" s="56">
        <v>3.6057563833524462</v>
      </c>
      <c r="L221" s="56">
        <v>3.6252507102623035</v>
      </c>
      <c r="M221" s="56">
        <v>3.6447903701369455</v>
      </c>
      <c r="N221" s="56">
        <v>3.664375362976374</v>
      </c>
      <c r="O221" s="56">
        <v>3.684005688780589</v>
      </c>
      <c r="P221" s="56">
        <v>3.7036813475495887</v>
      </c>
      <c r="Q221" s="56">
        <v>3.7234023392833753</v>
      </c>
      <c r="R221" s="56">
        <v>3.9231055696844548</v>
      </c>
      <c r="S221" s="56">
        <v>4.3361119199223586</v>
      </c>
      <c r="T221" s="56">
        <v>4.767251456074586</v>
      </c>
      <c r="U221" s="56">
        <v>5.2165241781411389</v>
      </c>
      <c r="V221" s="56">
        <v>5.6839300861220163</v>
      </c>
      <c r="W221" s="59">
        <v>6.1694691800172183</v>
      </c>
      <c r="Y221" s="1001"/>
      <c r="Z221" s="25">
        <v>700</v>
      </c>
      <c r="AA221" s="557">
        <v>3.5895399238047552</v>
      </c>
      <c r="AB221" s="557">
        <v>3.6118276616278999</v>
      </c>
      <c r="AC221" s="557">
        <v>3.6341607324158307</v>
      </c>
      <c r="AD221" s="557">
        <v>3.6565391361685471</v>
      </c>
      <c r="AE221" s="557">
        <v>3.6789628728860504</v>
      </c>
      <c r="AF221" s="557">
        <v>3.7014319425683384</v>
      </c>
      <c r="AG221" s="557">
        <v>3.723946345215412</v>
      </c>
      <c r="AH221" s="557">
        <v>3.7465060808272717</v>
      </c>
      <c r="AI221" s="557">
        <v>3.7691111494039173</v>
      </c>
      <c r="AJ221" s="557">
        <v>3.7917615509453482</v>
      </c>
      <c r="AK221" s="557">
        <v>3.8144572854515655</v>
      </c>
      <c r="AL221" s="557">
        <v>4.043907943576956</v>
      </c>
      <c r="AM221" s="557">
        <v>4.516409149263481</v>
      </c>
      <c r="AN221" s="557">
        <v>5.0070435408643306</v>
      </c>
      <c r="AO221" s="557">
        <v>5.5158111183795047</v>
      </c>
      <c r="AP221" s="557">
        <v>6.0427118818090051</v>
      </c>
      <c r="AQ221" s="1163">
        <v>6.5877458311528283</v>
      </c>
      <c r="AS221" s="1166">
        <f t="shared" si="121"/>
        <v>6.1307518443879161E-2</v>
      </c>
      <c r="AT221" s="557">
        <f t="shared" si="105"/>
        <v>6.4282261216309866E-2</v>
      </c>
      <c r="AU221" s="557">
        <f t="shared" si="106"/>
        <v>6.7257003988741904E-2</v>
      </c>
      <c r="AV221" s="557">
        <f t="shared" si="107"/>
        <v>7.0231746761172165E-2</v>
      </c>
      <c r="AW221" s="557">
        <f t="shared" si="108"/>
        <v>7.3206489533604202E-2</v>
      </c>
      <c r="AX221" s="557">
        <f t="shared" si="109"/>
        <v>7.6181232306034907E-2</v>
      </c>
      <c r="AY221" s="557">
        <f t="shared" si="110"/>
        <v>7.9155975078466501E-2</v>
      </c>
      <c r="AZ221" s="557">
        <f t="shared" si="111"/>
        <v>8.213071785089765E-2</v>
      </c>
      <c r="BA221" s="557">
        <f t="shared" si="112"/>
        <v>8.5105460623328355E-2</v>
      </c>
      <c r="BB221" s="557">
        <f t="shared" si="113"/>
        <v>8.8080203395759504E-2</v>
      </c>
      <c r="BC221" s="557">
        <f t="shared" si="114"/>
        <v>9.1054946168190209E-2</v>
      </c>
      <c r="BD221" s="557">
        <f t="shared" si="115"/>
        <v>0.12080237389250126</v>
      </c>
      <c r="BE221" s="557">
        <f t="shared" si="116"/>
        <v>0.18029722934112247</v>
      </c>
      <c r="BF221" s="557">
        <f t="shared" si="117"/>
        <v>0.23979208478974456</v>
      </c>
      <c r="BG221" s="557">
        <f t="shared" si="118"/>
        <v>0.29928694023836577</v>
      </c>
      <c r="BH221" s="557">
        <f t="shared" si="119"/>
        <v>0.35878179568698876</v>
      </c>
      <c r="BI221" s="1163">
        <f t="shared" si="120"/>
        <v>0.41827665113560997</v>
      </c>
    </row>
    <row r="222" spans="3:61" x14ac:dyDescent="0.45">
      <c r="C222" s="1264"/>
      <c r="D222" s="5"/>
      <c r="E222" s="1261"/>
      <c r="F222" s="72">
        <v>800</v>
      </c>
      <c r="G222" s="56">
        <v>3.587794375663091</v>
      </c>
      <c r="H222" s="56">
        <v>3.6076507057874911</v>
      </c>
      <c r="I222" s="56">
        <v>3.6275538908839975</v>
      </c>
      <c r="J222" s="56">
        <v>3.6475039309526087</v>
      </c>
      <c r="K222" s="56">
        <v>3.6675008259933248</v>
      </c>
      <c r="L222" s="56">
        <v>3.6875445760061458</v>
      </c>
      <c r="M222" s="56">
        <v>3.7076351809910721</v>
      </c>
      <c r="N222" s="56">
        <v>3.7277726409481033</v>
      </c>
      <c r="O222" s="56">
        <v>3.7479569558772399</v>
      </c>
      <c r="P222" s="56">
        <v>3.7681881257784813</v>
      </c>
      <c r="Q222" s="56">
        <v>3.7884661506518285</v>
      </c>
      <c r="R222" s="56">
        <v>3.9938234228510727</v>
      </c>
      <c r="S222" s="56">
        <v>4.4185944588810848</v>
      </c>
      <c r="T222" s="56">
        <v>4.8621074837531273</v>
      </c>
      <c r="U222" s="56">
        <v>5.3243624974671997</v>
      </c>
      <c r="V222" s="56">
        <v>5.8053595000233029</v>
      </c>
      <c r="W222" s="59">
        <v>6.3050984914214343</v>
      </c>
      <c r="Y222" s="1001"/>
      <c r="Z222" s="25">
        <v>800</v>
      </c>
      <c r="AA222" s="557">
        <v>3.6491018941069697</v>
      </c>
      <c r="AB222" s="557">
        <v>3.6719329670038019</v>
      </c>
      <c r="AC222" s="557">
        <v>3.6948108948727389</v>
      </c>
      <c r="AD222" s="557">
        <v>3.7177356777137813</v>
      </c>
      <c r="AE222" s="557">
        <v>3.7407073155269286</v>
      </c>
      <c r="AF222" s="557">
        <v>3.7637258083121812</v>
      </c>
      <c r="AG222" s="557">
        <v>3.7867911560695378</v>
      </c>
      <c r="AH222" s="557">
        <v>3.8099033587990001</v>
      </c>
      <c r="AI222" s="557">
        <v>3.8330624165005678</v>
      </c>
      <c r="AJ222" s="557">
        <v>3.8562683291742408</v>
      </c>
      <c r="AK222" s="557">
        <v>3.8795210968200182</v>
      </c>
      <c r="AL222" s="557">
        <v>4.1146257967435735</v>
      </c>
      <c r="AM222" s="557">
        <v>4.5988916882222073</v>
      </c>
      <c r="AN222" s="557">
        <v>5.101899568542871</v>
      </c>
      <c r="AO222" s="557">
        <v>5.6236494377055664</v>
      </c>
      <c r="AP222" s="557">
        <v>6.1641412957102908</v>
      </c>
      <c r="AQ222" s="1163">
        <v>6.7233751425570443</v>
      </c>
      <c r="AS222" s="1166">
        <f t="shared" si="121"/>
        <v>6.1307518443878717E-2</v>
      </c>
      <c r="AT222" s="557">
        <f t="shared" si="105"/>
        <v>6.4282261216310754E-2</v>
      </c>
      <c r="AU222" s="557">
        <f t="shared" si="106"/>
        <v>6.7257003988741459E-2</v>
      </c>
      <c r="AV222" s="557">
        <f t="shared" si="107"/>
        <v>7.0231746761172609E-2</v>
      </c>
      <c r="AW222" s="557">
        <f t="shared" si="108"/>
        <v>7.3206489533603758E-2</v>
      </c>
      <c r="AX222" s="557">
        <f t="shared" si="109"/>
        <v>7.6181232306035351E-2</v>
      </c>
      <c r="AY222" s="557">
        <f t="shared" si="110"/>
        <v>7.9155975078465612E-2</v>
      </c>
      <c r="AZ222" s="557">
        <f t="shared" si="111"/>
        <v>8.2130717850896762E-2</v>
      </c>
      <c r="BA222" s="557">
        <f t="shared" si="112"/>
        <v>8.5105460623327911E-2</v>
      </c>
      <c r="BB222" s="557">
        <f t="shared" si="113"/>
        <v>8.8080203395759504E-2</v>
      </c>
      <c r="BC222" s="557">
        <f t="shared" si="114"/>
        <v>9.1054946168189765E-2</v>
      </c>
      <c r="BD222" s="557">
        <f t="shared" si="115"/>
        <v>0.12080237389250081</v>
      </c>
      <c r="BE222" s="557">
        <f t="shared" si="116"/>
        <v>0.18029722934112247</v>
      </c>
      <c r="BF222" s="557">
        <f t="shared" si="117"/>
        <v>0.23979208478974368</v>
      </c>
      <c r="BG222" s="557">
        <f t="shared" si="118"/>
        <v>0.29928694023836666</v>
      </c>
      <c r="BH222" s="557">
        <f t="shared" si="119"/>
        <v>0.35878179568698787</v>
      </c>
      <c r="BI222" s="1163">
        <f t="shared" si="120"/>
        <v>0.41827665113560997</v>
      </c>
    </row>
    <row r="223" spans="3:61" ht="14.65" thickBot="1" x14ac:dyDescent="0.5">
      <c r="C223" s="1264"/>
      <c r="D223" s="5"/>
      <c r="E223" s="1262"/>
      <c r="F223" s="374">
        <v>900</v>
      </c>
      <c r="G223" s="57">
        <v>3.6473563459653056</v>
      </c>
      <c r="H223" s="57">
        <v>3.6677560111633936</v>
      </c>
      <c r="I223" s="57">
        <v>3.6882040533409057</v>
      </c>
      <c r="J223" s="57">
        <v>3.7087004724978425</v>
      </c>
      <c r="K223" s="57">
        <v>3.7292452686342035</v>
      </c>
      <c r="L223" s="57">
        <v>3.7498384417499886</v>
      </c>
      <c r="M223" s="57">
        <v>3.7704799918451988</v>
      </c>
      <c r="N223" s="57">
        <v>3.7911699189198327</v>
      </c>
      <c r="O223" s="57">
        <v>3.8119082229738912</v>
      </c>
      <c r="P223" s="57">
        <v>3.8326949040073739</v>
      </c>
      <c r="Q223" s="57">
        <v>3.8535299620202812</v>
      </c>
      <c r="R223" s="57">
        <v>4.0645412760176907</v>
      </c>
      <c r="S223" s="57">
        <v>4.501076997839812</v>
      </c>
      <c r="T223" s="57">
        <v>4.9569635114316686</v>
      </c>
      <c r="U223" s="57">
        <v>5.4322008167932605</v>
      </c>
      <c r="V223" s="57">
        <v>5.9267889139245895</v>
      </c>
      <c r="W223" s="60">
        <v>6.4407278028256512</v>
      </c>
      <c r="Y223" s="1001"/>
      <c r="Z223" s="25">
        <v>900</v>
      </c>
      <c r="AA223" s="557">
        <v>3.7086638644091847</v>
      </c>
      <c r="AB223" s="557">
        <v>3.7320382723797039</v>
      </c>
      <c r="AC223" s="557">
        <v>3.7554610573296472</v>
      </c>
      <c r="AD223" s="557">
        <v>3.7789322192590151</v>
      </c>
      <c r="AE223" s="557">
        <v>3.8024517581678072</v>
      </c>
      <c r="AF223" s="557">
        <v>3.8260196740560244</v>
      </c>
      <c r="AG223" s="557">
        <v>3.8496359669236648</v>
      </c>
      <c r="AH223" s="557">
        <v>3.8733006367707303</v>
      </c>
      <c r="AI223" s="557">
        <v>3.8970136835972191</v>
      </c>
      <c r="AJ223" s="557">
        <v>3.9207751074031334</v>
      </c>
      <c r="AK223" s="557">
        <v>3.944584908188471</v>
      </c>
      <c r="AL223" s="557">
        <v>4.1853436499101928</v>
      </c>
      <c r="AM223" s="557">
        <v>4.6813742271809353</v>
      </c>
      <c r="AN223" s="557">
        <v>5.1967555962214131</v>
      </c>
      <c r="AO223" s="557">
        <v>5.7314877570316272</v>
      </c>
      <c r="AP223" s="557">
        <v>6.2855707096115765</v>
      </c>
      <c r="AQ223" s="1163">
        <v>6.859004453961262</v>
      </c>
      <c r="AS223" s="1166">
        <f t="shared" si="121"/>
        <v>6.1307518443879161E-2</v>
      </c>
      <c r="AT223" s="557">
        <f t="shared" si="105"/>
        <v>6.428226121631031E-2</v>
      </c>
      <c r="AU223" s="557">
        <f t="shared" si="106"/>
        <v>6.7257003988741459E-2</v>
      </c>
      <c r="AV223" s="557">
        <f t="shared" si="107"/>
        <v>7.0231746761172609E-2</v>
      </c>
      <c r="AW223" s="557">
        <f t="shared" si="108"/>
        <v>7.3206489533603758E-2</v>
      </c>
      <c r="AX223" s="557">
        <f t="shared" si="109"/>
        <v>7.6181232306035795E-2</v>
      </c>
      <c r="AY223" s="557">
        <f t="shared" si="110"/>
        <v>7.9155975078466057E-2</v>
      </c>
      <c r="AZ223" s="557">
        <f t="shared" si="111"/>
        <v>8.213071785089765E-2</v>
      </c>
      <c r="BA223" s="557">
        <f t="shared" si="112"/>
        <v>8.5105460623327911E-2</v>
      </c>
      <c r="BB223" s="557">
        <f t="shared" si="113"/>
        <v>8.8080203395759504E-2</v>
      </c>
      <c r="BC223" s="557">
        <f t="shared" si="114"/>
        <v>9.1054946168189765E-2</v>
      </c>
      <c r="BD223" s="557">
        <f t="shared" si="115"/>
        <v>0.12080237389250215</v>
      </c>
      <c r="BE223" s="557">
        <f t="shared" si="116"/>
        <v>0.18029722934112336</v>
      </c>
      <c r="BF223" s="557">
        <f t="shared" si="117"/>
        <v>0.23979208478974456</v>
      </c>
      <c r="BG223" s="557">
        <f t="shared" si="118"/>
        <v>0.29928694023836666</v>
      </c>
      <c r="BH223" s="557">
        <f t="shared" si="119"/>
        <v>0.35878179568698698</v>
      </c>
      <c r="BI223" s="1163">
        <f t="shared" si="120"/>
        <v>0.41827665113561086</v>
      </c>
    </row>
    <row r="224" spans="3:61" ht="14.65" thickBot="1" x14ac:dyDescent="0.5">
      <c r="C224" s="1264"/>
      <c r="D224" s="5"/>
      <c r="G224" s="341"/>
      <c r="H224" s="341"/>
      <c r="I224" s="341"/>
      <c r="J224" s="341"/>
      <c r="K224" s="341"/>
      <c r="L224" s="341"/>
      <c r="M224" s="341"/>
      <c r="N224" s="341"/>
      <c r="O224" s="341"/>
      <c r="P224" s="341"/>
      <c r="Q224" s="341"/>
      <c r="R224" s="341"/>
      <c r="S224" s="341"/>
      <c r="T224" s="341"/>
      <c r="U224" s="341"/>
      <c r="V224" s="341"/>
      <c r="W224" s="341"/>
      <c r="Y224" s="1001"/>
      <c r="Z224" s="25"/>
      <c r="AA224" s="557"/>
      <c r="AB224" s="557"/>
      <c r="AC224" s="557"/>
      <c r="AD224" s="557"/>
      <c r="AE224" s="557"/>
      <c r="AF224" s="557"/>
      <c r="AG224" s="557"/>
      <c r="AH224" s="557"/>
      <c r="AI224" s="557"/>
      <c r="AJ224" s="557"/>
      <c r="AK224" s="557"/>
      <c r="AL224" s="557"/>
      <c r="AM224" s="557"/>
      <c r="AN224" s="557"/>
      <c r="AO224" s="557"/>
      <c r="AP224" s="557"/>
      <c r="AQ224" s="1163"/>
      <c r="AS224" s="1001"/>
      <c r="AT224" s="25"/>
      <c r="AU224" s="25"/>
      <c r="AV224" s="25"/>
      <c r="AW224" s="25"/>
      <c r="AX224" s="25"/>
      <c r="AY224" s="25"/>
      <c r="AZ224" s="25"/>
      <c r="BA224" s="25"/>
      <c r="BB224" s="25"/>
      <c r="BC224" s="25"/>
      <c r="BD224" s="25"/>
      <c r="BE224" s="25"/>
      <c r="BF224" s="25"/>
      <c r="BG224" s="25"/>
      <c r="BH224" s="25"/>
      <c r="BI224" s="1002"/>
    </row>
    <row r="225" spans="3:61" ht="14.65" thickBot="1" x14ac:dyDescent="0.5">
      <c r="C225" s="1264"/>
      <c r="D225" s="376" t="s">
        <v>148</v>
      </c>
      <c r="E225" s="29"/>
      <c r="F225" s="29" t="s">
        <v>206</v>
      </c>
      <c r="G225" s="381">
        <v>0</v>
      </c>
      <c r="H225" s="382">
        <v>10</v>
      </c>
      <c r="I225" s="382">
        <v>20</v>
      </c>
      <c r="J225" s="382">
        <v>30</v>
      </c>
      <c r="K225" s="382">
        <v>40</v>
      </c>
      <c r="L225" s="382">
        <v>50</v>
      </c>
      <c r="M225" s="382">
        <v>60</v>
      </c>
      <c r="N225" s="382">
        <v>70</v>
      </c>
      <c r="O225" s="382">
        <v>80</v>
      </c>
      <c r="P225" s="382">
        <v>90</v>
      </c>
      <c r="Q225" s="382">
        <v>100</v>
      </c>
      <c r="R225" s="382">
        <v>200</v>
      </c>
      <c r="S225" s="382">
        <v>400</v>
      </c>
      <c r="T225" s="382">
        <v>600</v>
      </c>
      <c r="U225" s="382">
        <v>800</v>
      </c>
      <c r="V225" s="382">
        <v>1000</v>
      </c>
      <c r="W225" s="383">
        <v>1200</v>
      </c>
      <c r="Y225" s="1001"/>
      <c r="Z225" s="25" t="s">
        <v>206</v>
      </c>
      <c r="AA225" s="1164">
        <v>0</v>
      </c>
      <c r="AB225" s="1164">
        <v>10</v>
      </c>
      <c r="AC225" s="1164">
        <v>20</v>
      </c>
      <c r="AD225" s="1164">
        <v>30</v>
      </c>
      <c r="AE225" s="1164">
        <v>40</v>
      </c>
      <c r="AF225" s="1164">
        <v>50</v>
      </c>
      <c r="AG225" s="1164">
        <v>60</v>
      </c>
      <c r="AH225" s="1164">
        <v>70</v>
      </c>
      <c r="AI225" s="1164">
        <v>80</v>
      </c>
      <c r="AJ225" s="1164">
        <v>90</v>
      </c>
      <c r="AK225" s="1164">
        <v>100</v>
      </c>
      <c r="AL225" s="1164">
        <v>200</v>
      </c>
      <c r="AM225" s="1164">
        <v>400</v>
      </c>
      <c r="AN225" s="1164">
        <v>600</v>
      </c>
      <c r="AO225" s="1164">
        <v>800</v>
      </c>
      <c r="AP225" s="1164">
        <v>1000</v>
      </c>
      <c r="AQ225" s="933">
        <v>1200</v>
      </c>
      <c r="AS225" s="797">
        <v>0</v>
      </c>
      <c r="AT225" s="1164">
        <v>10</v>
      </c>
      <c r="AU225" s="1164">
        <v>20</v>
      </c>
      <c r="AV225" s="1164">
        <v>30</v>
      </c>
      <c r="AW225" s="1164">
        <v>40</v>
      </c>
      <c r="AX225" s="1164">
        <v>50</v>
      </c>
      <c r="AY225" s="1164">
        <v>60</v>
      </c>
      <c r="AZ225" s="1164">
        <v>70</v>
      </c>
      <c r="BA225" s="1164">
        <v>80</v>
      </c>
      <c r="BB225" s="1164">
        <v>90</v>
      </c>
      <c r="BC225" s="1164">
        <v>100</v>
      </c>
      <c r="BD225" s="1164">
        <v>200</v>
      </c>
      <c r="BE225" s="1164">
        <v>400</v>
      </c>
      <c r="BF225" s="1164">
        <v>600</v>
      </c>
      <c r="BG225" s="1164">
        <v>800</v>
      </c>
      <c r="BH225" s="1164">
        <v>1000</v>
      </c>
      <c r="BI225" s="933">
        <v>1200</v>
      </c>
    </row>
    <row r="226" spans="3:61" x14ac:dyDescent="0.45">
      <c r="C226" s="1264"/>
      <c r="D226" s="377"/>
      <c r="E226" s="1260" t="s">
        <v>205</v>
      </c>
      <c r="F226" s="375">
        <v>0</v>
      </c>
      <c r="G226" s="379">
        <v>3.8321315311029664</v>
      </c>
      <c r="H226" s="379">
        <v>3.8899926620657057</v>
      </c>
      <c r="I226" s="379">
        <v>3.9479074739995461</v>
      </c>
      <c r="J226" s="379">
        <v>4.0058759669044885</v>
      </c>
      <c r="K226" s="379">
        <v>4.0638981407805312</v>
      </c>
      <c r="L226" s="379">
        <v>4.121973995627676</v>
      </c>
      <c r="M226" s="379">
        <v>4.1801035314459218</v>
      </c>
      <c r="N226" s="379">
        <v>4.238286748235268</v>
      </c>
      <c r="O226" s="379">
        <v>4.296523645995717</v>
      </c>
      <c r="P226" s="379">
        <v>4.3548142247272672</v>
      </c>
      <c r="Q226" s="379">
        <v>4.4131584844299176</v>
      </c>
      <c r="R226" s="55">
        <v>4.999553534867001</v>
      </c>
      <c r="S226" s="55">
        <v>6.1884479270715662</v>
      </c>
      <c r="T226" s="55">
        <v>7.3988147077166584</v>
      </c>
      <c r="U226" s="55">
        <v>8.6306538768022811</v>
      </c>
      <c r="V226" s="55">
        <v>9.8839654343284327</v>
      </c>
      <c r="W226" s="58">
        <v>11.158749380295113</v>
      </c>
      <c r="Y226" s="1001" t="s">
        <v>205</v>
      </c>
      <c r="Z226" s="25">
        <v>0</v>
      </c>
      <c r="AA226" s="557">
        <v>3.9026825577392614</v>
      </c>
      <c r="AB226" s="557">
        <v>3.962783056880987</v>
      </c>
      <c r="AC226" s="557">
        <v>4.0229081618077069</v>
      </c>
      <c r="AD226" s="557">
        <v>4.0830578725194222</v>
      </c>
      <c r="AE226" s="557">
        <v>4.1432321890161319</v>
      </c>
      <c r="AF226" s="557">
        <v>4.2034311112978351</v>
      </c>
      <c r="AG226" s="557">
        <v>4.2636546393645336</v>
      </c>
      <c r="AH226" s="557">
        <v>4.3239027732162274</v>
      </c>
      <c r="AI226" s="557">
        <v>4.3841755128529165</v>
      </c>
      <c r="AJ226" s="557">
        <v>4.4444728582745991</v>
      </c>
      <c r="AK226" s="557">
        <v>4.504794809481278</v>
      </c>
      <c r="AL226" s="557">
        <v>5.1093676397227679</v>
      </c>
      <c r="AM226" s="557">
        <v>6.3258950357041801</v>
      </c>
      <c r="AN226" s="557">
        <v>7.5522647456834937</v>
      </c>
      <c r="AO226" s="557">
        <v>8.7884767696607113</v>
      </c>
      <c r="AP226" s="557">
        <v>10.034531107635837</v>
      </c>
      <c r="AQ226" s="1163">
        <v>11.290427759608864</v>
      </c>
      <c r="AS226" s="1166">
        <f>AA226-G226</f>
        <v>7.0551026636294978E-2</v>
      </c>
      <c r="AT226" s="557">
        <f t="shared" ref="AT226:AT244" si="122">AB226-H226</f>
        <v>7.2790394815281267E-2</v>
      </c>
      <c r="AU226" s="557">
        <f t="shared" ref="AU226:AU244" si="123">AC226-I226</f>
        <v>7.5000687808160826E-2</v>
      </c>
      <c r="AV226" s="557">
        <f t="shared" ref="AV226:AV244" si="124">AD226-J226</f>
        <v>7.7181905614933655E-2</v>
      </c>
      <c r="AW226" s="557">
        <f t="shared" ref="AW226:AW244" si="125">AE226-K226</f>
        <v>7.933404823560064E-2</v>
      </c>
      <c r="AX226" s="557">
        <f t="shared" ref="AX226:AX244" si="126">AF226-L226</f>
        <v>8.1457115670159119E-2</v>
      </c>
      <c r="AY226" s="557">
        <f t="shared" ref="AY226:AY244" si="127">AG226-M226</f>
        <v>8.3551107918611756E-2</v>
      </c>
      <c r="AZ226" s="557">
        <f t="shared" ref="AZ226:AZ244" si="128">AH226-N226</f>
        <v>8.5616024980959438E-2</v>
      </c>
      <c r="BA226" s="557">
        <f t="shared" ref="BA226:BA244" si="129">AI226-O226</f>
        <v>8.7651866857199501E-2</v>
      </c>
      <c r="BB226" s="557">
        <f t="shared" ref="BB226:BB244" si="130">AJ226-P226</f>
        <v>8.9658633547331945E-2</v>
      </c>
      <c r="BC226" s="557">
        <f t="shared" ref="BC226:BC244" si="131">AK226-Q226</f>
        <v>9.1636325051360323E-2</v>
      </c>
      <c r="BD226" s="557">
        <f t="shared" ref="BD226:BD244" si="132">AL226-R226</f>
        <v>0.10981410485576681</v>
      </c>
      <c r="BE226" s="557">
        <f t="shared" ref="BE226:BE244" si="133">AM226-S226</f>
        <v>0.13744710863261389</v>
      </c>
      <c r="BF226" s="557">
        <f t="shared" ref="BF226:BF244" si="134">AN226-T226</f>
        <v>0.15345003796683532</v>
      </c>
      <c r="BG226" s="557">
        <f t="shared" ref="BG226:BG244" si="135">AO226-U226</f>
        <v>0.15782289285843021</v>
      </c>
      <c r="BH226" s="557">
        <f t="shared" ref="BH226:BH244" si="136">AP226-V226</f>
        <v>0.15056567330740478</v>
      </c>
      <c r="BI226" s="1163">
        <f t="shared" ref="BI226:BI244" si="137">AQ226-W226</f>
        <v>0.13167837931375104</v>
      </c>
    </row>
    <row r="227" spans="3:61" x14ac:dyDescent="0.45">
      <c r="C227" s="1264"/>
      <c r="D227" s="377"/>
      <c r="E227" s="1261"/>
      <c r="F227" s="72">
        <v>10</v>
      </c>
      <c r="G227" s="56">
        <v>3.8393626678426522</v>
      </c>
      <c r="H227" s="56">
        <v>3.8972768731716911</v>
      </c>
      <c r="I227" s="56">
        <v>3.9552449116725623</v>
      </c>
      <c r="J227" s="56">
        <v>4.0132667833452675</v>
      </c>
      <c r="K227" s="56">
        <v>4.0713424881898055</v>
      </c>
      <c r="L227" s="56">
        <v>4.1294720262061766</v>
      </c>
      <c r="M227" s="56">
        <v>4.1876553973943818</v>
      </c>
      <c r="N227" s="56">
        <v>4.2458926017544192</v>
      </c>
      <c r="O227" s="56">
        <v>4.3041836392862898</v>
      </c>
      <c r="P227" s="56">
        <v>4.3625285099899944</v>
      </c>
      <c r="Q227" s="56">
        <v>4.4209272138655322</v>
      </c>
      <c r="R227" s="56">
        <v>5.0078750770717377</v>
      </c>
      <c r="S227" s="56">
        <v>6.1979207550341222</v>
      </c>
      <c r="T227" s="56">
        <v>7.4094997017298052</v>
      </c>
      <c r="U227" s="56">
        <v>8.6426119171587903</v>
      </c>
      <c r="V227" s="56">
        <v>9.8972574013210739</v>
      </c>
      <c r="W227" s="59">
        <v>11.173436154216656</v>
      </c>
      <c r="Y227" s="1001"/>
      <c r="Z227" s="25">
        <v>10</v>
      </c>
      <c r="AA227" s="557">
        <v>3.9099136944789477</v>
      </c>
      <c r="AB227" s="557">
        <v>3.9700672679869715</v>
      </c>
      <c r="AC227" s="557">
        <v>4.0302455994807236</v>
      </c>
      <c r="AD227" s="557">
        <v>4.0904486889602012</v>
      </c>
      <c r="AE227" s="557">
        <v>4.1506765364254052</v>
      </c>
      <c r="AF227" s="557">
        <v>4.2109291418763357</v>
      </c>
      <c r="AG227" s="557">
        <v>4.2712065053129944</v>
      </c>
      <c r="AH227" s="557">
        <v>4.3315086267353777</v>
      </c>
      <c r="AI227" s="557">
        <v>4.3918355061434893</v>
      </c>
      <c r="AJ227" s="557">
        <v>4.4521871435373273</v>
      </c>
      <c r="AK227" s="557">
        <v>4.5125635389168917</v>
      </c>
      <c r="AL227" s="557">
        <v>5.1176891819275045</v>
      </c>
      <c r="AM227" s="557">
        <v>6.3353678636667361</v>
      </c>
      <c r="AN227" s="557">
        <v>7.5629497396966414</v>
      </c>
      <c r="AO227" s="557">
        <v>8.8004348100172205</v>
      </c>
      <c r="AP227" s="557">
        <v>10.047823074628479</v>
      </c>
      <c r="AQ227" s="1163">
        <v>11.305114533530407</v>
      </c>
      <c r="AS227" s="1166">
        <f t="shared" ref="AS227:AS244" si="138">AA227-G227</f>
        <v>7.0551026636295422E-2</v>
      </c>
      <c r="AT227" s="557">
        <f t="shared" si="122"/>
        <v>7.2790394815280379E-2</v>
      </c>
      <c r="AU227" s="557">
        <f t="shared" si="123"/>
        <v>7.500068780816127E-2</v>
      </c>
      <c r="AV227" s="557">
        <f t="shared" si="124"/>
        <v>7.7181905614933655E-2</v>
      </c>
      <c r="AW227" s="557">
        <f t="shared" si="125"/>
        <v>7.9334048235599752E-2</v>
      </c>
      <c r="AX227" s="557">
        <f t="shared" si="126"/>
        <v>8.1457115670159119E-2</v>
      </c>
      <c r="AY227" s="557">
        <f t="shared" si="127"/>
        <v>8.3551107918612644E-2</v>
      </c>
      <c r="AZ227" s="557">
        <f t="shared" si="128"/>
        <v>8.5616024980958549E-2</v>
      </c>
      <c r="BA227" s="557">
        <f t="shared" si="129"/>
        <v>8.7651866857199501E-2</v>
      </c>
      <c r="BB227" s="557">
        <f t="shared" si="130"/>
        <v>8.9658633547332833E-2</v>
      </c>
      <c r="BC227" s="557">
        <f t="shared" si="131"/>
        <v>9.1636325051359435E-2</v>
      </c>
      <c r="BD227" s="557">
        <f t="shared" si="132"/>
        <v>0.10981410485576681</v>
      </c>
      <c r="BE227" s="557">
        <f t="shared" si="133"/>
        <v>0.13744710863261389</v>
      </c>
      <c r="BF227" s="557">
        <f t="shared" si="134"/>
        <v>0.15345003796683621</v>
      </c>
      <c r="BG227" s="557">
        <f t="shared" si="135"/>
        <v>0.15782289285843021</v>
      </c>
      <c r="BH227" s="557">
        <f t="shared" si="136"/>
        <v>0.15056567330740478</v>
      </c>
      <c r="BI227" s="1163">
        <f t="shared" si="137"/>
        <v>0.13167837931375104</v>
      </c>
    </row>
    <row r="228" spans="3:61" x14ac:dyDescent="0.45">
      <c r="C228" s="1264"/>
      <c r="D228" s="377"/>
      <c r="E228" s="1261"/>
      <c r="F228" s="72">
        <v>20</v>
      </c>
      <c r="G228" s="56">
        <v>3.846593804582338</v>
      </c>
      <c r="H228" s="380">
        <v>3.9045610842776752</v>
      </c>
      <c r="I228" s="56">
        <v>3.9625823493455785</v>
      </c>
      <c r="J228" s="56">
        <v>4.0206575997860465</v>
      </c>
      <c r="K228" s="56">
        <v>4.0787868355990797</v>
      </c>
      <c r="L228" s="56">
        <v>4.1369700567846781</v>
      </c>
      <c r="M228" s="56">
        <v>4.1952072633428417</v>
      </c>
      <c r="N228" s="56">
        <v>4.2534984552735704</v>
      </c>
      <c r="O228" s="56">
        <v>4.3118436325768634</v>
      </c>
      <c r="P228" s="56">
        <v>4.3702427952527225</v>
      </c>
      <c r="Q228" s="56">
        <v>4.4286959433011468</v>
      </c>
      <c r="R228" s="56">
        <v>5.0161966192764726</v>
      </c>
      <c r="S228" s="56">
        <v>6.2073935829966782</v>
      </c>
      <c r="T228" s="56">
        <v>7.420184695742952</v>
      </c>
      <c r="U228" s="56">
        <v>8.6545699575152977</v>
      </c>
      <c r="V228" s="56">
        <v>9.9105493683137134</v>
      </c>
      <c r="W228" s="59">
        <v>11.188122928138199</v>
      </c>
      <c r="Y228" s="1001"/>
      <c r="Z228" s="25">
        <v>20</v>
      </c>
      <c r="AA228" s="557">
        <v>3.9171448312186334</v>
      </c>
      <c r="AB228" s="557">
        <v>3.9773514790929569</v>
      </c>
      <c r="AC228" s="557">
        <v>4.0375830371537393</v>
      </c>
      <c r="AD228" s="557">
        <v>4.0978395054009802</v>
      </c>
      <c r="AE228" s="557">
        <v>4.1581208838346795</v>
      </c>
      <c r="AF228" s="557">
        <v>4.2184271724548372</v>
      </c>
      <c r="AG228" s="557">
        <v>4.2787583712614534</v>
      </c>
      <c r="AH228" s="557">
        <v>4.3391144802545289</v>
      </c>
      <c r="AI228" s="557">
        <v>4.3994954994340629</v>
      </c>
      <c r="AJ228" s="557">
        <v>4.4599014288000554</v>
      </c>
      <c r="AK228" s="557">
        <v>4.5203322683525062</v>
      </c>
      <c r="AL228" s="557">
        <v>5.1260107241322395</v>
      </c>
      <c r="AM228" s="557">
        <v>6.3448406916292921</v>
      </c>
      <c r="AN228" s="557">
        <v>7.5736347337097873</v>
      </c>
      <c r="AO228" s="557">
        <v>8.8123928503737297</v>
      </c>
      <c r="AP228" s="557">
        <v>10.061115041621118</v>
      </c>
      <c r="AQ228" s="1163">
        <v>11.31980130745195</v>
      </c>
      <c r="AS228" s="1166">
        <f t="shared" si="138"/>
        <v>7.0551026636295422E-2</v>
      </c>
      <c r="AT228" s="557">
        <f t="shared" si="122"/>
        <v>7.2790394815281712E-2</v>
      </c>
      <c r="AU228" s="557">
        <f t="shared" si="123"/>
        <v>7.5000687808160826E-2</v>
      </c>
      <c r="AV228" s="557">
        <f t="shared" si="124"/>
        <v>7.7181905614933655E-2</v>
      </c>
      <c r="AW228" s="557">
        <f t="shared" si="125"/>
        <v>7.9334048235599752E-2</v>
      </c>
      <c r="AX228" s="557">
        <f t="shared" si="126"/>
        <v>8.1457115670159119E-2</v>
      </c>
      <c r="AY228" s="557">
        <f t="shared" si="127"/>
        <v>8.3551107918611756E-2</v>
      </c>
      <c r="AZ228" s="557">
        <f t="shared" si="128"/>
        <v>8.5616024980958549E-2</v>
      </c>
      <c r="BA228" s="557">
        <f t="shared" si="129"/>
        <v>8.7651866857199501E-2</v>
      </c>
      <c r="BB228" s="557">
        <f t="shared" si="130"/>
        <v>8.9658633547332833E-2</v>
      </c>
      <c r="BC228" s="557">
        <f t="shared" si="131"/>
        <v>9.1636325051359435E-2</v>
      </c>
      <c r="BD228" s="557">
        <f t="shared" si="132"/>
        <v>0.10981410485576681</v>
      </c>
      <c r="BE228" s="557">
        <f t="shared" si="133"/>
        <v>0.13744710863261389</v>
      </c>
      <c r="BF228" s="557">
        <f t="shared" si="134"/>
        <v>0.15345003796683532</v>
      </c>
      <c r="BG228" s="557">
        <f t="shared" si="135"/>
        <v>0.15782289285843198</v>
      </c>
      <c r="BH228" s="557">
        <f t="shared" si="136"/>
        <v>0.15056567330740478</v>
      </c>
      <c r="BI228" s="1163">
        <f t="shared" si="137"/>
        <v>0.13167837931375104</v>
      </c>
    </row>
    <row r="229" spans="3:61" x14ac:dyDescent="0.45">
      <c r="C229" s="1264"/>
      <c r="D229" s="377"/>
      <c r="E229" s="1261"/>
      <c r="F229" s="72">
        <v>30</v>
      </c>
      <c r="G229" s="56">
        <v>3.8538249413220242</v>
      </c>
      <c r="H229" s="56">
        <v>3.9118452953836607</v>
      </c>
      <c r="I229" s="56">
        <v>3.9699197870185943</v>
      </c>
      <c r="J229" s="56">
        <v>4.0280484162268255</v>
      </c>
      <c r="K229" s="56">
        <v>4.086231183008354</v>
      </c>
      <c r="L229" s="56">
        <v>4.1444680873631796</v>
      </c>
      <c r="M229" s="56">
        <v>4.2027591292913016</v>
      </c>
      <c r="N229" s="56">
        <v>4.2611043087927207</v>
      </c>
      <c r="O229" s="56">
        <v>4.3195036258674371</v>
      </c>
      <c r="P229" s="56">
        <v>4.3779570805154506</v>
      </c>
      <c r="Q229" s="56">
        <v>4.4364646727367614</v>
      </c>
      <c r="R229" s="56">
        <v>5.0245181614812084</v>
      </c>
      <c r="S229" s="56">
        <v>6.2168664109592342</v>
      </c>
      <c r="T229" s="56">
        <v>7.4308696897560989</v>
      </c>
      <c r="U229" s="56">
        <v>8.6665279978718068</v>
      </c>
      <c r="V229" s="56">
        <v>9.9238413353063528</v>
      </c>
      <c r="W229" s="59">
        <v>11.202809702059746</v>
      </c>
      <c r="Y229" s="1001"/>
      <c r="Z229" s="25">
        <v>30</v>
      </c>
      <c r="AA229" s="557">
        <v>3.9243759679583192</v>
      </c>
      <c r="AB229" s="557">
        <v>3.9846356901989424</v>
      </c>
      <c r="AC229" s="557">
        <v>4.0449204748267551</v>
      </c>
      <c r="AD229" s="557">
        <v>4.1052303218417592</v>
      </c>
      <c r="AE229" s="557">
        <v>4.1655652312439546</v>
      </c>
      <c r="AF229" s="557">
        <v>4.2259252030333379</v>
      </c>
      <c r="AG229" s="557">
        <v>4.2863102372099142</v>
      </c>
      <c r="AH229" s="557">
        <v>4.3467203337736793</v>
      </c>
      <c r="AI229" s="557">
        <v>4.4071554927246357</v>
      </c>
      <c r="AJ229" s="557">
        <v>4.4676157140627835</v>
      </c>
      <c r="AK229" s="557">
        <v>4.5281009977881208</v>
      </c>
      <c r="AL229" s="557">
        <v>5.1343322663369753</v>
      </c>
      <c r="AM229" s="557">
        <v>6.354313519591849</v>
      </c>
      <c r="AN229" s="557">
        <v>7.5843197277229351</v>
      </c>
      <c r="AO229" s="557">
        <v>8.824350890730237</v>
      </c>
      <c r="AP229" s="557">
        <v>10.074407008613759</v>
      </c>
      <c r="AQ229" s="1163">
        <v>11.334488081373493</v>
      </c>
      <c r="AS229" s="1166">
        <f t="shared" si="138"/>
        <v>7.0551026636294978E-2</v>
      </c>
      <c r="AT229" s="557">
        <f t="shared" si="122"/>
        <v>7.2790394815281712E-2</v>
      </c>
      <c r="AU229" s="557">
        <f t="shared" si="123"/>
        <v>7.5000687808160826E-2</v>
      </c>
      <c r="AV229" s="557">
        <f t="shared" si="124"/>
        <v>7.7181905614933655E-2</v>
      </c>
      <c r="AW229" s="557">
        <f t="shared" si="125"/>
        <v>7.933404823560064E-2</v>
      </c>
      <c r="AX229" s="557">
        <f t="shared" si="126"/>
        <v>8.1457115670158231E-2</v>
      </c>
      <c r="AY229" s="557">
        <f t="shared" si="127"/>
        <v>8.3551107918612644E-2</v>
      </c>
      <c r="AZ229" s="557">
        <f t="shared" si="128"/>
        <v>8.5616024980958549E-2</v>
      </c>
      <c r="BA229" s="557">
        <f t="shared" si="129"/>
        <v>8.7651866857198613E-2</v>
      </c>
      <c r="BB229" s="557">
        <f t="shared" si="130"/>
        <v>8.9658633547332833E-2</v>
      </c>
      <c r="BC229" s="557">
        <f t="shared" si="131"/>
        <v>9.1636325051359435E-2</v>
      </c>
      <c r="BD229" s="557">
        <f t="shared" si="132"/>
        <v>0.10981410485576681</v>
      </c>
      <c r="BE229" s="557">
        <f t="shared" si="133"/>
        <v>0.13744710863261478</v>
      </c>
      <c r="BF229" s="557">
        <f t="shared" si="134"/>
        <v>0.15345003796683621</v>
      </c>
      <c r="BG229" s="557">
        <f t="shared" si="135"/>
        <v>0.15782289285843021</v>
      </c>
      <c r="BH229" s="557">
        <f t="shared" si="136"/>
        <v>0.15056567330740656</v>
      </c>
      <c r="BI229" s="1163">
        <f t="shared" si="137"/>
        <v>0.13167837931374748</v>
      </c>
    </row>
    <row r="230" spans="3:61" x14ac:dyDescent="0.45">
      <c r="C230" s="1264"/>
      <c r="D230" s="377"/>
      <c r="E230" s="1261"/>
      <c r="F230" s="72">
        <v>40</v>
      </c>
      <c r="G230" s="56">
        <v>3.8610560780617096</v>
      </c>
      <c r="H230" s="56">
        <v>3.9191295064896461</v>
      </c>
      <c r="I230" s="56">
        <v>3.9772572246916105</v>
      </c>
      <c r="J230" s="56">
        <v>4.0354392326676045</v>
      </c>
      <c r="K230" s="56">
        <v>4.0936755304176273</v>
      </c>
      <c r="L230" s="56">
        <v>4.1519661179416802</v>
      </c>
      <c r="M230" s="56">
        <v>4.2103109952397606</v>
      </c>
      <c r="N230" s="56">
        <v>4.2687101623118711</v>
      </c>
      <c r="O230" s="56">
        <v>4.3271636191580098</v>
      </c>
      <c r="P230" s="56">
        <v>4.3856713657781778</v>
      </c>
      <c r="Q230" s="56">
        <v>4.4442334021723751</v>
      </c>
      <c r="R230" s="56">
        <v>5.0328397036859442</v>
      </c>
      <c r="S230" s="56">
        <v>6.2263392389217902</v>
      </c>
      <c r="T230" s="56">
        <v>7.4415546837692466</v>
      </c>
      <c r="U230" s="56">
        <v>8.678486038228316</v>
      </c>
      <c r="V230" s="56">
        <v>9.9371333022989941</v>
      </c>
      <c r="W230" s="59">
        <v>11.217496475981289</v>
      </c>
      <c r="Y230" s="1001"/>
      <c r="Z230" s="25">
        <v>40</v>
      </c>
      <c r="AA230" s="557">
        <v>3.931607104698005</v>
      </c>
      <c r="AB230" s="557">
        <v>3.9919199013049269</v>
      </c>
      <c r="AC230" s="557">
        <v>4.0522579124997717</v>
      </c>
      <c r="AD230" s="557">
        <v>4.1126211382825382</v>
      </c>
      <c r="AE230" s="557">
        <v>4.1730095786532271</v>
      </c>
      <c r="AF230" s="557">
        <v>4.2334232336118394</v>
      </c>
      <c r="AG230" s="557">
        <v>4.2938621031583732</v>
      </c>
      <c r="AH230" s="557">
        <v>4.3543261872928305</v>
      </c>
      <c r="AI230" s="557">
        <v>4.4148154860152093</v>
      </c>
      <c r="AJ230" s="557">
        <v>4.4753299993255107</v>
      </c>
      <c r="AK230" s="557">
        <v>4.5358697272237354</v>
      </c>
      <c r="AL230" s="557">
        <v>5.1426538085417111</v>
      </c>
      <c r="AM230" s="557">
        <v>6.3637863475544041</v>
      </c>
      <c r="AN230" s="557">
        <v>7.5950047217360801</v>
      </c>
      <c r="AO230" s="557">
        <v>8.8363089310867462</v>
      </c>
      <c r="AP230" s="557">
        <v>10.087698975606397</v>
      </c>
      <c r="AQ230" s="1163">
        <v>11.34917485529504</v>
      </c>
      <c r="AS230" s="1166">
        <f t="shared" si="138"/>
        <v>7.0551026636295422E-2</v>
      </c>
      <c r="AT230" s="557">
        <f t="shared" si="122"/>
        <v>7.2790394815280823E-2</v>
      </c>
      <c r="AU230" s="557">
        <f t="shared" si="123"/>
        <v>7.500068780816127E-2</v>
      </c>
      <c r="AV230" s="557">
        <f t="shared" si="124"/>
        <v>7.7181905614933655E-2</v>
      </c>
      <c r="AW230" s="557">
        <f t="shared" si="125"/>
        <v>7.9334048235599752E-2</v>
      </c>
      <c r="AX230" s="557">
        <f t="shared" si="126"/>
        <v>8.1457115670159119E-2</v>
      </c>
      <c r="AY230" s="557">
        <f t="shared" si="127"/>
        <v>8.3551107918612644E-2</v>
      </c>
      <c r="AZ230" s="557">
        <f t="shared" si="128"/>
        <v>8.5616024980959438E-2</v>
      </c>
      <c r="BA230" s="557">
        <f t="shared" si="129"/>
        <v>8.7651866857199501E-2</v>
      </c>
      <c r="BB230" s="557">
        <f t="shared" si="130"/>
        <v>8.9658633547332833E-2</v>
      </c>
      <c r="BC230" s="557">
        <f t="shared" si="131"/>
        <v>9.1636325051360323E-2</v>
      </c>
      <c r="BD230" s="557">
        <f t="shared" si="132"/>
        <v>0.10981410485576681</v>
      </c>
      <c r="BE230" s="557">
        <f t="shared" si="133"/>
        <v>0.13744710863261389</v>
      </c>
      <c r="BF230" s="557">
        <f t="shared" si="134"/>
        <v>0.15345003796683354</v>
      </c>
      <c r="BG230" s="557">
        <f t="shared" si="135"/>
        <v>0.15782289285843021</v>
      </c>
      <c r="BH230" s="557">
        <f t="shared" si="136"/>
        <v>0.150565673307403</v>
      </c>
      <c r="BI230" s="1163">
        <f t="shared" si="137"/>
        <v>0.13167837931375104</v>
      </c>
    </row>
    <row r="231" spans="3:61" x14ac:dyDescent="0.45">
      <c r="C231" s="1264"/>
      <c r="D231" s="377"/>
      <c r="E231" s="1261"/>
      <c r="F231" s="72">
        <v>50</v>
      </c>
      <c r="G231" s="56">
        <v>3.8682872148013958</v>
      </c>
      <c r="H231" s="56">
        <v>3.9264137175956302</v>
      </c>
      <c r="I231" s="56">
        <v>3.9845946623646267</v>
      </c>
      <c r="J231" s="56">
        <v>4.0428300491083835</v>
      </c>
      <c r="K231" s="56">
        <v>4.1011198778269016</v>
      </c>
      <c r="L231" s="56">
        <v>4.1594641485201809</v>
      </c>
      <c r="M231" s="56">
        <v>4.2178628611882214</v>
      </c>
      <c r="N231" s="56">
        <v>4.2763160158310214</v>
      </c>
      <c r="O231" s="56">
        <v>4.3348236124485835</v>
      </c>
      <c r="P231" s="56">
        <v>4.3933856510409068</v>
      </c>
      <c r="Q231" s="56">
        <v>4.4520021316079905</v>
      </c>
      <c r="R231" s="56">
        <v>5.04116124589068</v>
      </c>
      <c r="S231" s="56">
        <v>6.2358120668843453</v>
      </c>
      <c r="T231" s="56">
        <v>7.4522396777823934</v>
      </c>
      <c r="U231" s="56">
        <v>8.6904440785848216</v>
      </c>
      <c r="V231" s="56">
        <v>9.9504252692916353</v>
      </c>
      <c r="W231" s="59">
        <v>11.232183249902828</v>
      </c>
      <c r="Y231" s="1001"/>
      <c r="Z231" s="25">
        <v>50</v>
      </c>
      <c r="AA231" s="557">
        <v>3.9388382414376908</v>
      </c>
      <c r="AB231" s="557">
        <v>3.9992041124109119</v>
      </c>
      <c r="AC231" s="557">
        <v>4.0595953501727884</v>
      </c>
      <c r="AD231" s="557">
        <v>4.1200119547233172</v>
      </c>
      <c r="AE231" s="557">
        <v>4.1804539260625022</v>
      </c>
      <c r="AF231" s="557">
        <v>4.2409212641903409</v>
      </c>
      <c r="AG231" s="557">
        <v>4.3014139691068332</v>
      </c>
      <c r="AH231" s="557">
        <v>4.3619320408119808</v>
      </c>
      <c r="AI231" s="557">
        <v>4.422475479305783</v>
      </c>
      <c r="AJ231" s="557">
        <v>4.4830442845882388</v>
      </c>
      <c r="AK231" s="557">
        <v>4.5436384566593491</v>
      </c>
      <c r="AL231" s="557">
        <v>5.1509753507464469</v>
      </c>
      <c r="AM231" s="557">
        <v>6.3732591755169601</v>
      </c>
      <c r="AN231" s="557">
        <v>7.6056897157492287</v>
      </c>
      <c r="AO231" s="557">
        <v>8.8482669714432554</v>
      </c>
      <c r="AP231" s="557">
        <v>10.10099094259904</v>
      </c>
      <c r="AQ231" s="1163">
        <v>11.363861629216581</v>
      </c>
      <c r="AS231" s="1166">
        <f t="shared" si="138"/>
        <v>7.0551026636294978E-2</v>
      </c>
      <c r="AT231" s="557">
        <f t="shared" si="122"/>
        <v>7.2790394815281712E-2</v>
      </c>
      <c r="AU231" s="557">
        <f t="shared" si="123"/>
        <v>7.5000687808161715E-2</v>
      </c>
      <c r="AV231" s="557">
        <f t="shared" si="124"/>
        <v>7.7181905614933655E-2</v>
      </c>
      <c r="AW231" s="557">
        <f t="shared" si="125"/>
        <v>7.933404823560064E-2</v>
      </c>
      <c r="AX231" s="557">
        <f t="shared" si="126"/>
        <v>8.1457115670160007E-2</v>
      </c>
      <c r="AY231" s="557">
        <f t="shared" si="127"/>
        <v>8.3551107918611756E-2</v>
      </c>
      <c r="AZ231" s="557">
        <f t="shared" si="128"/>
        <v>8.5616024980959438E-2</v>
      </c>
      <c r="BA231" s="557">
        <f t="shared" si="129"/>
        <v>8.7651866857199501E-2</v>
      </c>
      <c r="BB231" s="557">
        <f t="shared" si="130"/>
        <v>8.9658633547331945E-2</v>
      </c>
      <c r="BC231" s="557">
        <f t="shared" si="131"/>
        <v>9.1636325051358547E-2</v>
      </c>
      <c r="BD231" s="557">
        <f t="shared" si="132"/>
        <v>0.10981410485576681</v>
      </c>
      <c r="BE231" s="557">
        <f t="shared" si="133"/>
        <v>0.13744710863261478</v>
      </c>
      <c r="BF231" s="557">
        <f t="shared" si="134"/>
        <v>0.15345003796683532</v>
      </c>
      <c r="BG231" s="557">
        <f t="shared" si="135"/>
        <v>0.15782289285843376</v>
      </c>
      <c r="BH231" s="557">
        <f t="shared" si="136"/>
        <v>0.15056567330740478</v>
      </c>
      <c r="BI231" s="1163">
        <f t="shared" si="137"/>
        <v>0.13167837931375281</v>
      </c>
    </row>
    <row r="232" spans="3:61" x14ac:dyDescent="0.45">
      <c r="C232" s="1264"/>
      <c r="D232" s="377"/>
      <c r="E232" s="1261"/>
      <c r="F232" s="72">
        <v>60</v>
      </c>
      <c r="G232" s="56">
        <v>3.8755183515410812</v>
      </c>
      <c r="H232" s="56">
        <v>3.9336979287016156</v>
      </c>
      <c r="I232" s="56">
        <v>3.9919321000376429</v>
      </c>
      <c r="J232" s="56">
        <v>4.0502208655491625</v>
      </c>
      <c r="K232" s="56">
        <v>4.1085642252361767</v>
      </c>
      <c r="L232" s="56">
        <v>4.1669621790986824</v>
      </c>
      <c r="M232" s="56">
        <v>4.2254147271366804</v>
      </c>
      <c r="N232" s="56">
        <v>4.2839218693501717</v>
      </c>
      <c r="O232" s="56">
        <v>4.3424836057391563</v>
      </c>
      <c r="P232" s="56">
        <v>4.4010999363036341</v>
      </c>
      <c r="Q232" s="56">
        <v>4.4597708610436042</v>
      </c>
      <c r="R232" s="56">
        <v>5.049482788095415</v>
      </c>
      <c r="S232" s="56">
        <v>6.2452848948469022</v>
      </c>
      <c r="T232" s="56">
        <v>7.4629246717955393</v>
      </c>
      <c r="U232" s="56">
        <v>8.7024021189413308</v>
      </c>
      <c r="V232" s="56">
        <v>9.9637172362842747</v>
      </c>
      <c r="W232" s="59">
        <v>11.246870023824373</v>
      </c>
      <c r="Y232" s="1001"/>
      <c r="Z232" s="25">
        <v>60</v>
      </c>
      <c r="AA232" s="557">
        <v>3.9460693781773766</v>
      </c>
      <c r="AB232" s="557">
        <v>4.0064883235168969</v>
      </c>
      <c r="AC232" s="557">
        <v>4.0669327878458041</v>
      </c>
      <c r="AD232" s="557">
        <v>4.1274027711640962</v>
      </c>
      <c r="AE232" s="557">
        <v>4.1878982734717765</v>
      </c>
      <c r="AF232" s="557">
        <v>4.2484192947688406</v>
      </c>
      <c r="AG232" s="557">
        <v>4.3089658350552931</v>
      </c>
      <c r="AH232" s="557">
        <v>4.3695378943311312</v>
      </c>
      <c r="AI232" s="557">
        <v>4.4301354725963558</v>
      </c>
      <c r="AJ232" s="557">
        <v>4.4907585698509669</v>
      </c>
      <c r="AK232" s="557">
        <v>4.5514071860949636</v>
      </c>
      <c r="AL232" s="557">
        <v>5.1592968929511827</v>
      </c>
      <c r="AM232" s="557">
        <v>6.3827320034795161</v>
      </c>
      <c r="AN232" s="557">
        <v>7.6163747097623755</v>
      </c>
      <c r="AO232" s="557">
        <v>8.8602250117997645</v>
      </c>
      <c r="AP232" s="557">
        <v>10.11428290959168</v>
      </c>
      <c r="AQ232" s="1163">
        <v>11.378548403138124</v>
      </c>
      <c r="AS232" s="1166">
        <f t="shared" si="138"/>
        <v>7.0551026636295422E-2</v>
      </c>
      <c r="AT232" s="557">
        <f t="shared" si="122"/>
        <v>7.2790394815281267E-2</v>
      </c>
      <c r="AU232" s="557">
        <f t="shared" si="123"/>
        <v>7.500068780816127E-2</v>
      </c>
      <c r="AV232" s="557">
        <f t="shared" si="124"/>
        <v>7.7181905614933655E-2</v>
      </c>
      <c r="AW232" s="557">
        <f t="shared" si="125"/>
        <v>7.9334048235599752E-2</v>
      </c>
      <c r="AX232" s="557">
        <f t="shared" si="126"/>
        <v>8.1457115670158231E-2</v>
      </c>
      <c r="AY232" s="557">
        <f t="shared" si="127"/>
        <v>8.3551107918612644E-2</v>
      </c>
      <c r="AZ232" s="557">
        <f t="shared" si="128"/>
        <v>8.5616024980959438E-2</v>
      </c>
      <c r="BA232" s="557">
        <f t="shared" si="129"/>
        <v>8.7651866857199501E-2</v>
      </c>
      <c r="BB232" s="557">
        <f t="shared" si="130"/>
        <v>8.9658633547332833E-2</v>
      </c>
      <c r="BC232" s="557">
        <f t="shared" si="131"/>
        <v>9.1636325051359435E-2</v>
      </c>
      <c r="BD232" s="557">
        <f t="shared" si="132"/>
        <v>0.1098141048557677</v>
      </c>
      <c r="BE232" s="557">
        <f t="shared" si="133"/>
        <v>0.13744710863261389</v>
      </c>
      <c r="BF232" s="557">
        <f t="shared" si="134"/>
        <v>0.15345003796683621</v>
      </c>
      <c r="BG232" s="557">
        <f t="shared" si="135"/>
        <v>0.15782289285843376</v>
      </c>
      <c r="BH232" s="557">
        <f t="shared" si="136"/>
        <v>0.15056567330740478</v>
      </c>
      <c r="BI232" s="1163">
        <f t="shared" si="137"/>
        <v>0.13167837931375104</v>
      </c>
    </row>
    <row r="233" spans="3:61" x14ac:dyDescent="0.45">
      <c r="C233" s="1264"/>
      <c r="D233" s="377"/>
      <c r="E233" s="1261"/>
      <c r="F233" s="72">
        <v>70</v>
      </c>
      <c r="G233" s="56">
        <v>3.8827494882807674</v>
      </c>
      <c r="H233" s="56">
        <v>3.9409821398076006</v>
      </c>
      <c r="I233" s="56">
        <v>3.9992695377106591</v>
      </c>
      <c r="J233" s="56">
        <v>4.0576116819899424</v>
      </c>
      <c r="K233" s="56">
        <v>4.1160085726454501</v>
      </c>
      <c r="L233" s="56">
        <v>4.174460209677183</v>
      </c>
      <c r="M233" s="56">
        <v>4.2329665930851403</v>
      </c>
      <c r="N233" s="56">
        <v>4.2915277228693229</v>
      </c>
      <c r="O233" s="56">
        <v>4.3501435990297299</v>
      </c>
      <c r="P233" s="56">
        <v>4.4088142215663622</v>
      </c>
      <c r="Q233" s="56">
        <v>4.4675395904792188</v>
      </c>
      <c r="R233" s="56">
        <v>5.0578043303001508</v>
      </c>
      <c r="S233" s="56">
        <v>6.2547577228094582</v>
      </c>
      <c r="T233" s="56">
        <v>7.473609665808687</v>
      </c>
      <c r="U233" s="56">
        <v>8.7143601592978399</v>
      </c>
      <c r="V233" s="56">
        <v>9.977009203276916</v>
      </c>
      <c r="W233" s="59">
        <v>11.261556797745916</v>
      </c>
      <c r="Y233" s="1001"/>
      <c r="Z233" s="25">
        <v>70</v>
      </c>
      <c r="AA233" s="557">
        <v>3.9533005149170624</v>
      </c>
      <c r="AB233" s="557">
        <v>4.0137725346228823</v>
      </c>
      <c r="AC233" s="557">
        <v>4.0742702255188199</v>
      </c>
      <c r="AD233" s="557">
        <v>4.1347935876048751</v>
      </c>
      <c r="AE233" s="557">
        <v>4.1953426208810507</v>
      </c>
      <c r="AF233" s="557">
        <v>4.2559173253473421</v>
      </c>
      <c r="AG233" s="557">
        <v>4.3165177010037521</v>
      </c>
      <c r="AH233" s="557">
        <v>4.3771437478502815</v>
      </c>
      <c r="AI233" s="557">
        <v>4.4377954658869294</v>
      </c>
      <c r="AJ233" s="557">
        <v>4.498472855113695</v>
      </c>
      <c r="AK233" s="557">
        <v>4.5591759155305782</v>
      </c>
      <c r="AL233" s="557">
        <v>5.1676184351559176</v>
      </c>
      <c r="AM233" s="557">
        <v>6.3922048314420721</v>
      </c>
      <c r="AN233" s="557">
        <v>7.6270597037755214</v>
      </c>
      <c r="AO233" s="557">
        <v>8.8721830521562719</v>
      </c>
      <c r="AP233" s="557">
        <v>10.127574876584319</v>
      </c>
      <c r="AQ233" s="1163">
        <v>11.393235177059665</v>
      </c>
      <c r="AS233" s="1166">
        <f t="shared" si="138"/>
        <v>7.0551026636294978E-2</v>
      </c>
      <c r="AT233" s="557">
        <f t="shared" si="122"/>
        <v>7.2790394815281712E-2</v>
      </c>
      <c r="AU233" s="557">
        <f t="shared" si="123"/>
        <v>7.5000687808160826E-2</v>
      </c>
      <c r="AV233" s="557">
        <f t="shared" si="124"/>
        <v>7.7181905614932766E-2</v>
      </c>
      <c r="AW233" s="557">
        <f t="shared" si="125"/>
        <v>7.933404823560064E-2</v>
      </c>
      <c r="AX233" s="557">
        <f t="shared" si="126"/>
        <v>8.1457115670159119E-2</v>
      </c>
      <c r="AY233" s="557">
        <f t="shared" si="127"/>
        <v>8.3551107918611756E-2</v>
      </c>
      <c r="AZ233" s="557">
        <f t="shared" si="128"/>
        <v>8.5616024980958549E-2</v>
      </c>
      <c r="BA233" s="557">
        <f t="shared" si="129"/>
        <v>8.7651866857199501E-2</v>
      </c>
      <c r="BB233" s="557">
        <f t="shared" si="130"/>
        <v>8.9658633547332833E-2</v>
      </c>
      <c r="BC233" s="557">
        <f t="shared" si="131"/>
        <v>9.1636325051359435E-2</v>
      </c>
      <c r="BD233" s="557">
        <f t="shared" si="132"/>
        <v>0.10981410485576681</v>
      </c>
      <c r="BE233" s="557">
        <f t="shared" si="133"/>
        <v>0.13744710863261389</v>
      </c>
      <c r="BF233" s="557">
        <f t="shared" si="134"/>
        <v>0.15345003796683443</v>
      </c>
      <c r="BG233" s="557">
        <f t="shared" si="135"/>
        <v>0.15782289285843198</v>
      </c>
      <c r="BH233" s="557">
        <f t="shared" si="136"/>
        <v>0.150565673307403</v>
      </c>
      <c r="BI233" s="1163">
        <f t="shared" si="137"/>
        <v>0.13167837931374926</v>
      </c>
    </row>
    <row r="234" spans="3:61" x14ac:dyDescent="0.45">
      <c r="C234" s="1264"/>
      <c r="D234" s="377"/>
      <c r="E234" s="1261"/>
      <c r="F234" s="72">
        <v>80</v>
      </c>
      <c r="G234" s="56">
        <v>3.8899806250204527</v>
      </c>
      <c r="H234" s="56">
        <v>3.948266350913586</v>
      </c>
      <c r="I234" s="56">
        <v>4.0066069753836757</v>
      </c>
      <c r="J234" s="56">
        <v>4.0650024984307214</v>
      </c>
      <c r="K234" s="56">
        <v>4.1234529200547243</v>
      </c>
      <c r="L234" s="56">
        <v>4.1819582402556836</v>
      </c>
      <c r="M234" s="56">
        <v>4.2405184590336003</v>
      </c>
      <c r="N234" s="56">
        <v>4.2991335763884733</v>
      </c>
      <c r="O234" s="56">
        <v>4.3578035923203036</v>
      </c>
      <c r="P234" s="56">
        <v>4.4165285068290903</v>
      </c>
      <c r="Q234" s="56">
        <v>4.4753083199148325</v>
      </c>
      <c r="R234" s="56">
        <v>5.0661258725048866</v>
      </c>
      <c r="S234" s="56">
        <v>6.2642305507720133</v>
      </c>
      <c r="T234" s="56">
        <v>7.4842946598218347</v>
      </c>
      <c r="U234" s="56">
        <v>8.7263181996543473</v>
      </c>
      <c r="V234" s="56">
        <v>9.9903011702695572</v>
      </c>
      <c r="W234" s="59">
        <v>11.276243571667457</v>
      </c>
      <c r="Y234" s="1001"/>
      <c r="Z234" s="25">
        <v>80</v>
      </c>
      <c r="AA234" s="557">
        <v>3.9605316516567477</v>
      </c>
      <c r="AB234" s="557">
        <v>4.0210567457288668</v>
      </c>
      <c r="AC234" s="557">
        <v>4.0816076631918357</v>
      </c>
      <c r="AD234" s="557">
        <v>4.142184404045655</v>
      </c>
      <c r="AE234" s="557">
        <v>4.2027869682903241</v>
      </c>
      <c r="AF234" s="557">
        <v>4.2634153559258436</v>
      </c>
      <c r="AG234" s="557">
        <v>4.3240695669522129</v>
      </c>
      <c r="AH234" s="557">
        <v>4.3847496013694318</v>
      </c>
      <c r="AI234" s="557">
        <v>4.4454554591775022</v>
      </c>
      <c r="AJ234" s="557">
        <v>4.5061871403764231</v>
      </c>
      <c r="AK234" s="557">
        <v>4.5669446449661919</v>
      </c>
      <c r="AL234" s="557">
        <v>5.1759399773606543</v>
      </c>
      <c r="AM234" s="557">
        <v>6.4016776594046281</v>
      </c>
      <c r="AN234" s="557">
        <v>7.6377446977886692</v>
      </c>
      <c r="AO234" s="557">
        <v>8.8841410925127793</v>
      </c>
      <c r="AP234" s="557">
        <v>10.140866843576962</v>
      </c>
      <c r="AQ234" s="1163">
        <v>11.40792195098121</v>
      </c>
      <c r="AS234" s="1166">
        <f t="shared" si="138"/>
        <v>7.0551026636294978E-2</v>
      </c>
      <c r="AT234" s="557">
        <f t="shared" si="122"/>
        <v>7.2790394815280823E-2</v>
      </c>
      <c r="AU234" s="557">
        <f t="shared" si="123"/>
        <v>7.5000687808159938E-2</v>
      </c>
      <c r="AV234" s="557">
        <f t="shared" si="124"/>
        <v>7.7181905614933655E-2</v>
      </c>
      <c r="AW234" s="557">
        <f t="shared" si="125"/>
        <v>7.9334048235599752E-2</v>
      </c>
      <c r="AX234" s="557">
        <f t="shared" si="126"/>
        <v>8.1457115670160007E-2</v>
      </c>
      <c r="AY234" s="557">
        <f t="shared" si="127"/>
        <v>8.3551107918612644E-2</v>
      </c>
      <c r="AZ234" s="557">
        <f t="shared" si="128"/>
        <v>8.5616024980958549E-2</v>
      </c>
      <c r="BA234" s="557">
        <f t="shared" si="129"/>
        <v>8.7651866857198613E-2</v>
      </c>
      <c r="BB234" s="557">
        <f t="shared" si="130"/>
        <v>8.9658633547332833E-2</v>
      </c>
      <c r="BC234" s="557">
        <f t="shared" si="131"/>
        <v>9.1636325051359435E-2</v>
      </c>
      <c r="BD234" s="557">
        <f t="shared" si="132"/>
        <v>0.1098141048557677</v>
      </c>
      <c r="BE234" s="557">
        <f t="shared" si="133"/>
        <v>0.13744710863261478</v>
      </c>
      <c r="BF234" s="557">
        <f t="shared" si="134"/>
        <v>0.15345003796683443</v>
      </c>
      <c r="BG234" s="557">
        <f t="shared" si="135"/>
        <v>0.15782289285843198</v>
      </c>
      <c r="BH234" s="557">
        <f t="shared" si="136"/>
        <v>0.15056567330740478</v>
      </c>
      <c r="BI234" s="1163">
        <f t="shared" si="137"/>
        <v>0.13167837931375281</v>
      </c>
    </row>
    <row r="235" spans="3:61" x14ac:dyDescent="0.45">
      <c r="C235" s="1264"/>
      <c r="D235" s="377"/>
      <c r="E235" s="1261"/>
      <c r="F235" s="72">
        <v>90</v>
      </c>
      <c r="G235" s="56">
        <v>3.8972117617601389</v>
      </c>
      <c r="H235" s="56">
        <v>3.9555505620195701</v>
      </c>
      <c r="I235" s="56">
        <v>4.0139444130566915</v>
      </c>
      <c r="J235" s="56">
        <v>4.0723933148714995</v>
      </c>
      <c r="K235" s="56">
        <v>4.1308972674639985</v>
      </c>
      <c r="L235" s="56">
        <v>4.1894562708341851</v>
      </c>
      <c r="M235" s="56">
        <v>4.2480703249820593</v>
      </c>
      <c r="N235" s="56">
        <v>4.3067394299076236</v>
      </c>
      <c r="O235" s="56">
        <v>4.3654635856108754</v>
      </c>
      <c r="P235" s="56">
        <v>4.4242427920918175</v>
      </c>
      <c r="Q235" s="56">
        <v>4.4830770493504479</v>
      </c>
      <c r="R235" s="56">
        <v>5.0744474147096224</v>
      </c>
      <c r="S235" s="56">
        <v>6.2737033787345702</v>
      </c>
      <c r="T235" s="56">
        <v>7.4949796538349815</v>
      </c>
      <c r="U235" s="56">
        <v>8.7382762400108565</v>
      </c>
      <c r="V235" s="56">
        <v>10.003593137262197</v>
      </c>
      <c r="W235" s="59">
        <v>11.290930345588999</v>
      </c>
      <c r="Y235" s="1001"/>
      <c r="Z235" s="25">
        <v>90</v>
      </c>
      <c r="AA235" s="557">
        <v>3.9677627883964339</v>
      </c>
      <c r="AB235" s="557">
        <v>4.0283409568348523</v>
      </c>
      <c r="AC235" s="557">
        <v>4.0889451008648523</v>
      </c>
      <c r="AD235" s="557">
        <v>4.1495752204864331</v>
      </c>
      <c r="AE235" s="557">
        <v>4.2102313156995983</v>
      </c>
      <c r="AF235" s="557">
        <v>4.2709133865043443</v>
      </c>
      <c r="AG235" s="557">
        <v>4.3316214329006719</v>
      </c>
      <c r="AH235" s="557">
        <v>4.3923554548885821</v>
      </c>
      <c r="AI235" s="557">
        <v>4.4531154524680749</v>
      </c>
      <c r="AJ235" s="557">
        <v>4.5139014256391503</v>
      </c>
      <c r="AK235" s="557">
        <v>4.5747133744018074</v>
      </c>
      <c r="AL235" s="557">
        <v>5.1842615195653892</v>
      </c>
      <c r="AM235" s="557">
        <v>6.4111504873671841</v>
      </c>
      <c r="AN235" s="557">
        <v>7.6484296918018151</v>
      </c>
      <c r="AO235" s="557">
        <v>8.8960991328692884</v>
      </c>
      <c r="AP235" s="557">
        <v>10.154158810569601</v>
      </c>
      <c r="AQ235" s="1163">
        <v>11.422608724902751</v>
      </c>
      <c r="AS235" s="1166">
        <f t="shared" si="138"/>
        <v>7.0551026636294978E-2</v>
      </c>
      <c r="AT235" s="557">
        <f t="shared" si="122"/>
        <v>7.2790394815282156E-2</v>
      </c>
      <c r="AU235" s="557">
        <f t="shared" si="123"/>
        <v>7.5000687808160826E-2</v>
      </c>
      <c r="AV235" s="557">
        <f t="shared" si="124"/>
        <v>7.7181905614933655E-2</v>
      </c>
      <c r="AW235" s="557">
        <f t="shared" si="125"/>
        <v>7.9334048235599752E-2</v>
      </c>
      <c r="AX235" s="557">
        <f t="shared" si="126"/>
        <v>8.1457115670159119E-2</v>
      </c>
      <c r="AY235" s="557">
        <f t="shared" si="127"/>
        <v>8.3551107918612644E-2</v>
      </c>
      <c r="AZ235" s="557">
        <f t="shared" si="128"/>
        <v>8.5616024980958549E-2</v>
      </c>
      <c r="BA235" s="557">
        <f t="shared" si="129"/>
        <v>8.7651866857199501E-2</v>
      </c>
      <c r="BB235" s="557">
        <f t="shared" si="130"/>
        <v>8.9658633547332833E-2</v>
      </c>
      <c r="BC235" s="557">
        <f t="shared" si="131"/>
        <v>9.1636325051359435E-2</v>
      </c>
      <c r="BD235" s="557">
        <f t="shared" si="132"/>
        <v>0.10981410485576681</v>
      </c>
      <c r="BE235" s="557">
        <f t="shared" si="133"/>
        <v>0.13744710863261389</v>
      </c>
      <c r="BF235" s="557">
        <f t="shared" si="134"/>
        <v>0.15345003796683354</v>
      </c>
      <c r="BG235" s="557">
        <f t="shared" si="135"/>
        <v>0.15782289285843198</v>
      </c>
      <c r="BH235" s="557">
        <f t="shared" si="136"/>
        <v>0.15056567330740478</v>
      </c>
      <c r="BI235" s="1163">
        <f t="shared" si="137"/>
        <v>0.13167837931375281</v>
      </c>
    </row>
    <row r="236" spans="3:61" ht="15" customHeight="1" x14ac:dyDescent="0.45">
      <c r="C236" s="1264"/>
      <c r="D236" s="5"/>
      <c r="E236" s="1261"/>
      <c r="F236" s="72">
        <v>100</v>
      </c>
      <c r="G236" s="56">
        <v>3.9044428984998243</v>
      </c>
      <c r="H236" s="56">
        <v>3.9628347731255555</v>
      </c>
      <c r="I236" s="56">
        <v>4.0212818507297072</v>
      </c>
      <c r="J236" s="56">
        <v>4.0797841313122793</v>
      </c>
      <c r="K236" s="56">
        <v>4.1383416148732728</v>
      </c>
      <c r="L236" s="56">
        <v>4.1969543014126858</v>
      </c>
      <c r="M236" s="56">
        <v>4.2556221909305201</v>
      </c>
      <c r="N236" s="56">
        <v>4.3143452834267739</v>
      </c>
      <c r="O236" s="56">
        <v>4.37312357890145</v>
      </c>
      <c r="P236" s="56">
        <v>4.4319570773545456</v>
      </c>
      <c r="Q236" s="56">
        <v>4.4908457787860616</v>
      </c>
      <c r="R236" s="56">
        <v>5.0827689569143581</v>
      </c>
      <c r="S236" s="56">
        <v>6.2831762066971271</v>
      </c>
      <c r="T236" s="56">
        <v>7.5056646478481284</v>
      </c>
      <c r="U236" s="56">
        <v>8.7502342803673638</v>
      </c>
      <c r="V236" s="56">
        <v>10.016885104254836</v>
      </c>
      <c r="W236" s="59">
        <v>11.305617119510542</v>
      </c>
      <c r="Y236" s="1001"/>
      <c r="Z236" s="25">
        <v>100</v>
      </c>
      <c r="AA236" s="557">
        <v>3.9749939251361193</v>
      </c>
      <c r="AB236" s="557">
        <v>4.0356251679408368</v>
      </c>
      <c r="AC236" s="557">
        <v>4.0962825385378681</v>
      </c>
      <c r="AD236" s="557">
        <v>4.156966036927213</v>
      </c>
      <c r="AE236" s="557">
        <v>4.2176756631088725</v>
      </c>
      <c r="AF236" s="557">
        <v>4.2784114170828449</v>
      </c>
      <c r="AG236" s="557">
        <v>4.3391732988491327</v>
      </c>
      <c r="AH236" s="557">
        <v>4.3999613084077343</v>
      </c>
      <c r="AI236" s="557">
        <v>4.4607754457586486</v>
      </c>
      <c r="AJ236" s="557">
        <v>4.5216157109018775</v>
      </c>
      <c r="AK236" s="557">
        <v>4.5824821038374219</v>
      </c>
      <c r="AL236" s="557">
        <v>5.1925830617701241</v>
      </c>
      <c r="AM236" s="557">
        <v>6.4206233153297401</v>
      </c>
      <c r="AN236" s="557">
        <v>7.6591146858149628</v>
      </c>
      <c r="AO236" s="557">
        <v>8.9080571732257976</v>
      </c>
      <c r="AP236" s="557">
        <v>10.167450777562241</v>
      </c>
      <c r="AQ236" s="1163">
        <v>11.437295498824293</v>
      </c>
      <c r="AS236" s="1166">
        <f t="shared" si="138"/>
        <v>7.0551026636294978E-2</v>
      </c>
      <c r="AT236" s="557">
        <f t="shared" si="122"/>
        <v>7.2790394815281267E-2</v>
      </c>
      <c r="AU236" s="557">
        <f t="shared" si="123"/>
        <v>7.5000687808160826E-2</v>
      </c>
      <c r="AV236" s="557">
        <f t="shared" si="124"/>
        <v>7.7181905614933655E-2</v>
      </c>
      <c r="AW236" s="557">
        <f t="shared" si="125"/>
        <v>7.9334048235599752E-2</v>
      </c>
      <c r="AX236" s="557">
        <f t="shared" si="126"/>
        <v>8.1457115670159119E-2</v>
      </c>
      <c r="AY236" s="557">
        <f t="shared" si="127"/>
        <v>8.3551107918612644E-2</v>
      </c>
      <c r="AZ236" s="557">
        <f t="shared" si="128"/>
        <v>8.5616024980960326E-2</v>
      </c>
      <c r="BA236" s="557">
        <f t="shared" si="129"/>
        <v>8.7651866857198613E-2</v>
      </c>
      <c r="BB236" s="557">
        <f t="shared" si="130"/>
        <v>8.9658633547331945E-2</v>
      </c>
      <c r="BC236" s="557">
        <f t="shared" si="131"/>
        <v>9.1636325051360323E-2</v>
      </c>
      <c r="BD236" s="557">
        <f t="shared" si="132"/>
        <v>0.10981410485576593</v>
      </c>
      <c r="BE236" s="557">
        <f t="shared" si="133"/>
        <v>0.137447108632613</v>
      </c>
      <c r="BF236" s="557">
        <f t="shared" si="134"/>
        <v>0.15345003796683443</v>
      </c>
      <c r="BG236" s="557">
        <f t="shared" si="135"/>
        <v>0.15782289285843376</v>
      </c>
      <c r="BH236" s="557">
        <f t="shared" si="136"/>
        <v>0.15056567330740478</v>
      </c>
      <c r="BI236" s="1163">
        <f t="shared" si="137"/>
        <v>0.13167837931375104</v>
      </c>
    </row>
    <row r="237" spans="3:61" x14ac:dyDescent="0.45">
      <c r="C237" s="1264"/>
      <c r="D237" s="5"/>
      <c r="E237" s="1261"/>
      <c r="F237" s="72">
        <v>200</v>
      </c>
      <c r="G237" s="56">
        <v>3.9767542658966821</v>
      </c>
      <c r="H237" s="56">
        <v>4.0356768841854054</v>
      </c>
      <c r="I237" s="56">
        <v>4.0946562274598683</v>
      </c>
      <c r="J237" s="56">
        <v>4.153692295720071</v>
      </c>
      <c r="K237" s="56">
        <v>4.2127850889660134</v>
      </c>
      <c r="L237" s="56">
        <v>4.2719346071976965</v>
      </c>
      <c r="M237" s="56">
        <v>4.3311408504151183</v>
      </c>
      <c r="N237" s="56">
        <v>4.3904038186182799</v>
      </c>
      <c r="O237" s="56">
        <v>4.4497235118071821</v>
      </c>
      <c r="P237" s="56">
        <v>4.509099929981824</v>
      </c>
      <c r="Q237" s="56">
        <v>4.5685330731422056</v>
      </c>
      <c r="R237" s="56">
        <v>5.1659843789617135</v>
      </c>
      <c r="S237" s="56">
        <v>6.3779044863226853</v>
      </c>
      <c r="T237" s="56">
        <v>7.6125145879795975</v>
      </c>
      <c r="U237" s="56">
        <v>8.8698146839324501</v>
      </c>
      <c r="V237" s="56">
        <v>10.149804774181241</v>
      </c>
      <c r="W237" s="59">
        <v>11.452484858725974</v>
      </c>
      <c r="Y237" s="1001"/>
      <c r="Z237" s="25">
        <v>200</v>
      </c>
      <c r="AA237" s="557">
        <v>4.047305292532978</v>
      </c>
      <c r="AB237" s="557">
        <v>4.1084672790006875</v>
      </c>
      <c r="AC237" s="557">
        <v>4.1696569152680292</v>
      </c>
      <c r="AD237" s="557">
        <v>4.2308742013350047</v>
      </c>
      <c r="AE237" s="557">
        <v>4.2921191372016132</v>
      </c>
      <c r="AF237" s="557">
        <v>4.3533917228678547</v>
      </c>
      <c r="AG237" s="557">
        <v>4.414691958333731</v>
      </c>
      <c r="AH237" s="557">
        <v>4.4760198435992393</v>
      </c>
      <c r="AI237" s="557">
        <v>4.5373753786643807</v>
      </c>
      <c r="AJ237" s="557">
        <v>4.5987585635291568</v>
      </c>
      <c r="AK237" s="557">
        <v>4.6601693981935659</v>
      </c>
      <c r="AL237" s="557">
        <v>5.2757984838174812</v>
      </c>
      <c r="AM237" s="557">
        <v>6.5153515949553</v>
      </c>
      <c r="AN237" s="557">
        <v>7.7659646259464319</v>
      </c>
      <c r="AO237" s="557">
        <v>9.0276375767908803</v>
      </c>
      <c r="AP237" s="557">
        <v>10.300370447488646</v>
      </c>
      <c r="AQ237" s="1163">
        <v>11.584163238039725</v>
      </c>
      <c r="AS237" s="1166">
        <f t="shared" si="138"/>
        <v>7.0551026636295866E-2</v>
      </c>
      <c r="AT237" s="557">
        <f t="shared" si="122"/>
        <v>7.2790394815282156E-2</v>
      </c>
      <c r="AU237" s="557">
        <f t="shared" si="123"/>
        <v>7.5000687808160826E-2</v>
      </c>
      <c r="AV237" s="557">
        <f t="shared" si="124"/>
        <v>7.7181905614933655E-2</v>
      </c>
      <c r="AW237" s="557">
        <f t="shared" si="125"/>
        <v>7.9334048235599752E-2</v>
      </c>
      <c r="AX237" s="557">
        <f t="shared" si="126"/>
        <v>8.1457115670158231E-2</v>
      </c>
      <c r="AY237" s="557">
        <f t="shared" si="127"/>
        <v>8.3551107918612644E-2</v>
      </c>
      <c r="AZ237" s="557">
        <f t="shared" si="128"/>
        <v>8.5616024980959438E-2</v>
      </c>
      <c r="BA237" s="557">
        <f t="shared" si="129"/>
        <v>8.7651866857198613E-2</v>
      </c>
      <c r="BB237" s="557">
        <f t="shared" si="130"/>
        <v>8.9658633547332833E-2</v>
      </c>
      <c r="BC237" s="557">
        <f t="shared" si="131"/>
        <v>9.1636325051360323E-2</v>
      </c>
      <c r="BD237" s="557">
        <f t="shared" si="132"/>
        <v>0.1098141048557677</v>
      </c>
      <c r="BE237" s="557">
        <f t="shared" si="133"/>
        <v>0.13744710863261478</v>
      </c>
      <c r="BF237" s="557">
        <f t="shared" si="134"/>
        <v>0.15345003796683443</v>
      </c>
      <c r="BG237" s="557">
        <f t="shared" si="135"/>
        <v>0.15782289285843021</v>
      </c>
      <c r="BH237" s="557">
        <f t="shared" si="136"/>
        <v>0.15056567330740478</v>
      </c>
      <c r="BI237" s="1163">
        <f t="shared" si="137"/>
        <v>0.13167837931375104</v>
      </c>
    </row>
    <row r="238" spans="3:61" x14ac:dyDescent="0.45">
      <c r="C238" s="1264"/>
      <c r="D238" s="5"/>
      <c r="E238" s="1261"/>
      <c r="F238" s="72">
        <v>300</v>
      </c>
      <c r="G238" s="56">
        <v>4.04906563329354</v>
      </c>
      <c r="H238" s="56">
        <v>4.1085189952452552</v>
      </c>
      <c r="I238" s="56">
        <v>4.1680306041900295</v>
      </c>
      <c r="J238" s="56">
        <v>4.2276004601278618</v>
      </c>
      <c r="K238" s="56">
        <v>4.2872285630587541</v>
      </c>
      <c r="L238" s="56">
        <v>4.3469149129827063</v>
      </c>
      <c r="M238" s="56">
        <v>4.4066595098997166</v>
      </c>
      <c r="N238" s="56">
        <v>4.4664623538097858</v>
      </c>
      <c r="O238" s="56">
        <v>4.526323444712915</v>
      </c>
      <c r="P238" s="56">
        <v>4.5862427826091032</v>
      </c>
      <c r="Q238" s="56">
        <v>4.6462203674983495</v>
      </c>
      <c r="R238" s="56">
        <v>5.2491998010090697</v>
      </c>
      <c r="S238" s="56">
        <v>6.4726327659482461</v>
      </c>
      <c r="T238" s="56">
        <v>7.7193645281110665</v>
      </c>
      <c r="U238" s="56">
        <v>8.989395087497531</v>
      </c>
      <c r="V238" s="56">
        <v>10.282724444107645</v>
      </c>
      <c r="W238" s="59">
        <v>11.599352597941401</v>
      </c>
      <c r="Y238" s="1001"/>
      <c r="Z238" s="25">
        <v>300</v>
      </c>
      <c r="AA238" s="557">
        <v>4.1196166599298349</v>
      </c>
      <c r="AB238" s="557">
        <v>4.1813093900605365</v>
      </c>
      <c r="AC238" s="557">
        <v>4.2430312919981912</v>
      </c>
      <c r="AD238" s="557">
        <v>4.3047823657427964</v>
      </c>
      <c r="AE238" s="557">
        <v>4.3665626112943547</v>
      </c>
      <c r="AF238" s="557">
        <v>4.4283720286528654</v>
      </c>
      <c r="AG238" s="557">
        <v>4.4902106178183292</v>
      </c>
      <c r="AH238" s="557">
        <v>4.5520783787907444</v>
      </c>
      <c r="AI238" s="557">
        <v>4.6139753115701136</v>
      </c>
      <c r="AJ238" s="557">
        <v>4.6759014161564352</v>
      </c>
      <c r="AK238" s="557">
        <v>4.737856692549709</v>
      </c>
      <c r="AL238" s="557">
        <v>5.3590139058648365</v>
      </c>
      <c r="AM238" s="557">
        <v>6.61007987458086</v>
      </c>
      <c r="AN238" s="557">
        <v>7.8728145660779019</v>
      </c>
      <c r="AO238" s="557">
        <v>9.1472179803559648</v>
      </c>
      <c r="AP238" s="557">
        <v>10.433290117415048</v>
      </c>
      <c r="AQ238" s="1163">
        <v>11.731030977255156</v>
      </c>
      <c r="AS238" s="1166">
        <f t="shared" si="138"/>
        <v>7.0551026636294978E-2</v>
      </c>
      <c r="AT238" s="557">
        <f t="shared" si="122"/>
        <v>7.2790394815281267E-2</v>
      </c>
      <c r="AU238" s="557">
        <f t="shared" si="123"/>
        <v>7.5000687808161715E-2</v>
      </c>
      <c r="AV238" s="557">
        <f t="shared" si="124"/>
        <v>7.7181905614934543E-2</v>
      </c>
      <c r="AW238" s="557">
        <f t="shared" si="125"/>
        <v>7.933404823560064E-2</v>
      </c>
      <c r="AX238" s="557">
        <f t="shared" si="126"/>
        <v>8.1457115670159119E-2</v>
      </c>
      <c r="AY238" s="557">
        <f t="shared" si="127"/>
        <v>8.3551107918612644E-2</v>
      </c>
      <c r="AZ238" s="557">
        <f t="shared" si="128"/>
        <v>8.5616024980958549E-2</v>
      </c>
      <c r="BA238" s="557">
        <f t="shared" si="129"/>
        <v>8.7651866857198613E-2</v>
      </c>
      <c r="BB238" s="557">
        <f t="shared" si="130"/>
        <v>8.9658633547331945E-2</v>
      </c>
      <c r="BC238" s="557">
        <f t="shared" si="131"/>
        <v>9.1636325051359435E-2</v>
      </c>
      <c r="BD238" s="557">
        <f t="shared" si="132"/>
        <v>0.10981410485576681</v>
      </c>
      <c r="BE238" s="557">
        <f t="shared" si="133"/>
        <v>0.13744710863261389</v>
      </c>
      <c r="BF238" s="557">
        <f t="shared" si="134"/>
        <v>0.15345003796683532</v>
      </c>
      <c r="BG238" s="557">
        <f t="shared" si="135"/>
        <v>0.15782289285843376</v>
      </c>
      <c r="BH238" s="557">
        <f t="shared" si="136"/>
        <v>0.150565673307403</v>
      </c>
      <c r="BI238" s="1163">
        <f t="shared" si="137"/>
        <v>0.13167837931375459</v>
      </c>
    </row>
    <row r="239" spans="3:61" x14ac:dyDescent="0.45">
      <c r="C239" s="1264"/>
      <c r="D239" s="5"/>
      <c r="E239" s="1261"/>
      <c r="F239" s="72">
        <v>400</v>
      </c>
      <c r="G239" s="56">
        <v>4.1213770006903987</v>
      </c>
      <c r="H239" s="56">
        <v>4.1813611063051042</v>
      </c>
      <c r="I239" s="56">
        <v>4.2414049809201906</v>
      </c>
      <c r="J239" s="56">
        <v>4.3015086245356544</v>
      </c>
      <c r="K239" s="56">
        <v>4.3616720371514957</v>
      </c>
      <c r="L239" s="56">
        <v>4.4218952187677161</v>
      </c>
      <c r="M239" s="56">
        <v>4.4821781693843139</v>
      </c>
      <c r="N239" s="56">
        <v>4.5425208890012918</v>
      </c>
      <c r="O239" s="56">
        <v>4.6029233776186471</v>
      </c>
      <c r="P239" s="56">
        <v>4.6633856352363807</v>
      </c>
      <c r="Q239" s="56">
        <v>4.7239076618544935</v>
      </c>
      <c r="R239" s="56">
        <v>5.3324152230564268</v>
      </c>
      <c r="S239" s="56">
        <v>6.5673610455738061</v>
      </c>
      <c r="T239" s="56">
        <v>7.8262144682425356</v>
      </c>
      <c r="U239" s="56">
        <v>9.1089754910626155</v>
      </c>
      <c r="V239" s="56">
        <v>10.415644114034048</v>
      </c>
      <c r="W239" s="59">
        <v>11.746220337156831</v>
      </c>
      <c r="Y239" s="1001"/>
      <c r="Z239" s="25">
        <v>400</v>
      </c>
      <c r="AA239" s="557">
        <v>4.1919280273266946</v>
      </c>
      <c r="AB239" s="557">
        <v>4.2541515011203863</v>
      </c>
      <c r="AC239" s="557">
        <v>4.3164056687283514</v>
      </c>
      <c r="AD239" s="557">
        <v>4.3786905301505872</v>
      </c>
      <c r="AE239" s="557">
        <v>4.4410060853870963</v>
      </c>
      <c r="AF239" s="557">
        <v>4.5033523344378761</v>
      </c>
      <c r="AG239" s="557">
        <v>4.5657292773029265</v>
      </c>
      <c r="AH239" s="557">
        <v>4.6281369139822521</v>
      </c>
      <c r="AI239" s="557">
        <v>4.6905752444758466</v>
      </c>
      <c r="AJ239" s="557">
        <v>4.7530442687837136</v>
      </c>
      <c r="AK239" s="557">
        <v>4.8155439869058529</v>
      </c>
      <c r="AL239" s="557">
        <v>5.4422293279121936</v>
      </c>
      <c r="AM239" s="557">
        <v>6.70480815420642</v>
      </c>
      <c r="AN239" s="557">
        <v>7.979664506209371</v>
      </c>
      <c r="AO239" s="557">
        <v>9.2667983839210475</v>
      </c>
      <c r="AP239" s="557">
        <v>10.566209787341453</v>
      </c>
      <c r="AQ239" s="1163">
        <v>11.877898716470582</v>
      </c>
      <c r="AS239" s="1166">
        <f t="shared" si="138"/>
        <v>7.0551026636295866E-2</v>
      </c>
      <c r="AT239" s="557">
        <f t="shared" si="122"/>
        <v>7.2790394815282156E-2</v>
      </c>
      <c r="AU239" s="557">
        <f t="shared" si="123"/>
        <v>7.5000687808160826E-2</v>
      </c>
      <c r="AV239" s="557">
        <f t="shared" si="124"/>
        <v>7.7181905614932766E-2</v>
      </c>
      <c r="AW239" s="557">
        <f t="shared" si="125"/>
        <v>7.933404823560064E-2</v>
      </c>
      <c r="AX239" s="557">
        <f t="shared" si="126"/>
        <v>8.1457115670160007E-2</v>
      </c>
      <c r="AY239" s="557">
        <f t="shared" si="127"/>
        <v>8.3551107918612644E-2</v>
      </c>
      <c r="AZ239" s="557">
        <f t="shared" si="128"/>
        <v>8.5616024980960326E-2</v>
      </c>
      <c r="BA239" s="557">
        <f t="shared" si="129"/>
        <v>8.7651866857199501E-2</v>
      </c>
      <c r="BB239" s="557">
        <f t="shared" si="130"/>
        <v>8.9658633547332833E-2</v>
      </c>
      <c r="BC239" s="557">
        <f t="shared" si="131"/>
        <v>9.1636325051359435E-2</v>
      </c>
      <c r="BD239" s="557">
        <f t="shared" si="132"/>
        <v>0.10981410485576681</v>
      </c>
      <c r="BE239" s="557">
        <f t="shared" si="133"/>
        <v>0.13744710863261389</v>
      </c>
      <c r="BF239" s="557">
        <f t="shared" si="134"/>
        <v>0.15345003796683532</v>
      </c>
      <c r="BG239" s="557">
        <f t="shared" si="135"/>
        <v>0.15782289285843198</v>
      </c>
      <c r="BH239" s="557">
        <f t="shared" si="136"/>
        <v>0.15056567330740478</v>
      </c>
      <c r="BI239" s="1163">
        <f t="shared" si="137"/>
        <v>0.13167837931375104</v>
      </c>
    </row>
    <row r="240" spans="3:61" x14ac:dyDescent="0.45">
      <c r="C240" s="1264"/>
      <c r="D240" s="5"/>
      <c r="E240" s="1261"/>
      <c r="F240" s="72">
        <v>500</v>
      </c>
      <c r="G240" s="56">
        <v>4.1936883680872556</v>
      </c>
      <c r="H240" s="56">
        <v>4.2542032173649549</v>
      </c>
      <c r="I240" s="56">
        <v>4.3147793576503517</v>
      </c>
      <c r="J240" s="56">
        <v>4.3754167889434452</v>
      </c>
      <c r="K240" s="56">
        <v>4.4361155112442372</v>
      </c>
      <c r="L240" s="56">
        <v>4.4968755245527259</v>
      </c>
      <c r="M240" s="56">
        <v>4.557696828868913</v>
      </c>
      <c r="N240" s="56">
        <v>4.6185794241927978</v>
      </c>
      <c r="O240" s="56">
        <v>4.6795233105243801</v>
      </c>
      <c r="P240" s="56">
        <v>4.74052848786366</v>
      </c>
      <c r="Q240" s="56">
        <v>4.8015949562106375</v>
      </c>
      <c r="R240" s="56">
        <v>5.4156306451037821</v>
      </c>
      <c r="S240" s="56">
        <v>6.662089325199366</v>
      </c>
      <c r="T240" s="56">
        <v>7.9330644083740047</v>
      </c>
      <c r="U240" s="56">
        <v>9.2285558946277</v>
      </c>
      <c r="V240" s="56">
        <v>10.548563783960452</v>
      </c>
      <c r="W240" s="59">
        <v>11.893088076372262</v>
      </c>
      <c r="Y240" s="1001"/>
      <c r="Z240" s="25">
        <v>500</v>
      </c>
      <c r="AA240" s="557">
        <v>4.2642393947235515</v>
      </c>
      <c r="AB240" s="557">
        <v>4.3269936121802361</v>
      </c>
      <c r="AC240" s="557">
        <v>4.3897800454585116</v>
      </c>
      <c r="AD240" s="557">
        <v>4.452598694558378</v>
      </c>
      <c r="AE240" s="557">
        <v>4.5154495594798369</v>
      </c>
      <c r="AF240" s="557">
        <v>4.5783326402228859</v>
      </c>
      <c r="AG240" s="557">
        <v>4.6412479367875257</v>
      </c>
      <c r="AH240" s="557">
        <v>4.7041954491737572</v>
      </c>
      <c r="AI240" s="557">
        <v>4.7671751773815796</v>
      </c>
      <c r="AJ240" s="557">
        <v>4.8301871214109928</v>
      </c>
      <c r="AK240" s="557">
        <v>4.8932312812619969</v>
      </c>
      <c r="AL240" s="557">
        <v>5.5254447499595498</v>
      </c>
      <c r="AM240" s="557">
        <v>6.7995364338319799</v>
      </c>
      <c r="AN240" s="557">
        <v>8.0865144463408392</v>
      </c>
      <c r="AO240" s="557">
        <v>9.3863787874861302</v>
      </c>
      <c r="AP240" s="557">
        <v>10.699129457267857</v>
      </c>
      <c r="AQ240" s="1163">
        <v>12.024766455686011</v>
      </c>
      <c r="AS240" s="1166">
        <f t="shared" si="138"/>
        <v>7.0551026636295866E-2</v>
      </c>
      <c r="AT240" s="557">
        <f t="shared" si="122"/>
        <v>7.2790394815281267E-2</v>
      </c>
      <c r="AU240" s="557">
        <f t="shared" si="123"/>
        <v>7.5000687808159938E-2</v>
      </c>
      <c r="AV240" s="557">
        <f t="shared" si="124"/>
        <v>7.7181905614932766E-2</v>
      </c>
      <c r="AW240" s="557">
        <f t="shared" si="125"/>
        <v>7.9334048235599752E-2</v>
      </c>
      <c r="AX240" s="557">
        <f t="shared" si="126"/>
        <v>8.1457115670160007E-2</v>
      </c>
      <c r="AY240" s="557">
        <f t="shared" si="127"/>
        <v>8.3551107918612644E-2</v>
      </c>
      <c r="AZ240" s="557">
        <f t="shared" si="128"/>
        <v>8.5616024980959438E-2</v>
      </c>
      <c r="BA240" s="557">
        <f t="shared" si="129"/>
        <v>8.7651866857199501E-2</v>
      </c>
      <c r="BB240" s="557">
        <f t="shared" si="130"/>
        <v>8.9658633547332833E-2</v>
      </c>
      <c r="BC240" s="557">
        <f t="shared" si="131"/>
        <v>9.1636325051359435E-2</v>
      </c>
      <c r="BD240" s="557">
        <f t="shared" si="132"/>
        <v>0.1098141048557677</v>
      </c>
      <c r="BE240" s="557">
        <f t="shared" si="133"/>
        <v>0.13744710863261389</v>
      </c>
      <c r="BF240" s="557">
        <f t="shared" si="134"/>
        <v>0.15345003796683443</v>
      </c>
      <c r="BG240" s="557">
        <f t="shared" si="135"/>
        <v>0.15782289285843021</v>
      </c>
      <c r="BH240" s="557">
        <f t="shared" si="136"/>
        <v>0.15056567330740478</v>
      </c>
      <c r="BI240" s="1163">
        <f t="shared" si="137"/>
        <v>0.13167837931374926</v>
      </c>
    </row>
    <row r="241" spans="3:61" x14ac:dyDescent="0.45">
      <c r="C241" s="1264"/>
      <c r="D241" s="5"/>
      <c r="E241" s="1261"/>
      <c r="F241" s="72">
        <v>600</v>
      </c>
      <c r="G241" s="56">
        <v>4.2659997354841144</v>
      </c>
      <c r="H241" s="56">
        <v>4.3270453284248047</v>
      </c>
      <c r="I241" s="56">
        <v>4.3881537343805128</v>
      </c>
      <c r="J241" s="56">
        <v>4.4493249533512369</v>
      </c>
      <c r="K241" s="56">
        <v>4.5105589853369779</v>
      </c>
      <c r="L241" s="56">
        <v>4.5718558303377357</v>
      </c>
      <c r="M241" s="56">
        <v>4.6332154883535122</v>
      </c>
      <c r="N241" s="56">
        <v>4.6946379593843037</v>
      </c>
      <c r="O241" s="56">
        <v>4.7561232434301122</v>
      </c>
      <c r="P241" s="56">
        <v>4.8176713404909393</v>
      </c>
      <c r="Q241" s="56">
        <v>4.8792822505667814</v>
      </c>
      <c r="R241" s="56">
        <v>5.4988460671511383</v>
      </c>
      <c r="S241" s="56">
        <v>6.7568176048249269</v>
      </c>
      <c r="T241" s="56">
        <v>8.0399143485054747</v>
      </c>
      <c r="U241" s="56">
        <v>9.3481362981927845</v>
      </c>
      <c r="V241" s="56">
        <v>10.681483453886855</v>
      </c>
      <c r="W241" s="59">
        <v>12.039955815587691</v>
      </c>
      <c r="Y241" s="1001"/>
      <c r="Z241" s="25">
        <v>600</v>
      </c>
      <c r="AA241" s="557">
        <v>4.3365507621204094</v>
      </c>
      <c r="AB241" s="557">
        <v>4.399835723240086</v>
      </c>
      <c r="AC241" s="557">
        <v>4.4631544221886728</v>
      </c>
      <c r="AD241" s="557">
        <v>4.5265068589661697</v>
      </c>
      <c r="AE241" s="557">
        <v>4.5898930335725776</v>
      </c>
      <c r="AF241" s="557">
        <v>4.6533129460078957</v>
      </c>
      <c r="AG241" s="557">
        <v>4.7167665962721239</v>
      </c>
      <c r="AH241" s="557">
        <v>4.7802539843652623</v>
      </c>
      <c r="AI241" s="557">
        <v>4.8437751102873117</v>
      </c>
      <c r="AJ241" s="557">
        <v>4.9073299740382712</v>
      </c>
      <c r="AK241" s="557">
        <v>4.9709185756181409</v>
      </c>
      <c r="AL241" s="557">
        <v>5.6086601720069069</v>
      </c>
      <c r="AM241" s="557">
        <v>6.8942647134575399</v>
      </c>
      <c r="AN241" s="557">
        <v>8.1933643864723091</v>
      </c>
      <c r="AO241" s="557">
        <v>9.5059591910512147</v>
      </c>
      <c r="AP241" s="557">
        <v>10.83204912719426</v>
      </c>
      <c r="AQ241" s="1163">
        <v>12.171634194901442</v>
      </c>
      <c r="AS241" s="1166">
        <f t="shared" si="138"/>
        <v>7.0551026636294978E-2</v>
      </c>
      <c r="AT241" s="557">
        <f t="shared" si="122"/>
        <v>7.2790394815281267E-2</v>
      </c>
      <c r="AU241" s="557">
        <f t="shared" si="123"/>
        <v>7.5000687808159938E-2</v>
      </c>
      <c r="AV241" s="557">
        <f t="shared" si="124"/>
        <v>7.7181905614932766E-2</v>
      </c>
      <c r="AW241" s="557">
        <f t="shared" si="125"/>
        <v>7.9334048235599752E-2</v>
      </c>
      <c r="AX241" s="557">
        <f t="shared" si="126"/>
        <v>8.1457115670160007E-2</v>
      </c>
      <c r="AY241" s="557">
        <f t="shared" si="127"/>
        <v>8.3551107918611756E-2</v>
      </c>
      <c r="AZ241" s="557">
        <f t="shared" si="128"/>
        <v>8.5616024980958549E-2</v>
      </c>
      <c r="BA241" s="557">
        <f t="shared" si="129"/>
        <v>8.7651866857199501E-2</v>
      </c>
      <c r="BB241" s="557">
        <f t="shared" si="130"/>
        <v>8.9658633547331945E-2</v>
      </c>
      <c r="BC241" s="557">
        <f t="shared" si="131"/>
        <v>9.1636325051359435E-2</v>
      </c>
      <c r="BD241" s="557">
        <f t="shared" si="132"/>
        <v>0.10981410485576859</v>
      </c>
      <c r="BE241" s="557">
        <f t="shared" si="133"/>
        <v>0.137447108632613</v>
      </c>
      <c r="BF241" s="557">
        <f t="shared" si="134"/>
        <v>0.15345003796683443</v>
      </c>
      <c r="BG241" s="557">
        <f t="shared" si="135"/>
        <v>0.15782289285843021</v>
      </c>
      <c r="BH241" s="557">
        <f t="shared" si="136"/>
        <v>0.15056567330740478</v>
      </c>
      <c r="BI241" s="1163">
        <f t="shared" si="137"/>
        <v>0.13167837931375104</v>
      </c>
    </row>
    <row r="242" spans="3:61" x14ac:dyDescent="0.45">
      <c r="C242" s="1264"/>
      <c r="D242" s="5"/>
      <c r="E242" s="1261"/>
      <c r="F242" s="72">
        <v>700</v>
      </c>
      <c r="G242" s="56">
        <v>4.3383111028809722</v>
      </c>
      <c r="H242" s="56">
        <v>4.3998874394846545</v>
      </c>
      <c r="I242" s="56">
        <v>4.461528111110673</v>
      </c>
      <c r="J242" s="56">
        <v>4.5232331177590286</v>
      </c>
      <c r="K242" s="56">
        <v>4.5850024594297194</v>
      </c>
      <c r="L242" s="56">
        <v>4.6468361361227464</v>
      </c>
      <c r="M242" s="56">
        <v>4.7087341478381095</v>
      </c>
      <c r="N242" s="56">
        <v>4.7706964945758088</v>
      </c>
      <c r="O242" s="56">
        <v>4.8327231763358451</v>
      </c>
      <c r="P242" s="56">
        <v>4.8948141931182176</v>
      </c>
      <c r="Q242" s="56">
        <v>4.9569695449229254</v>
      </c>
      <c r="R242" s="56">
        <v>5.5820614891984945</v>
      </c>
      <c r="S242" s="56">
        <v>6.8515458844504868</v>
      </c>
      <c r="T242" s="56">
        <v>8.1467642886369429</v>
      </c>
      <c r="U242" s="56">
        <v>9.4677167017578672</v>
      </c>
      <c r="V242" s="56">
        <v>10.814403123813259</v>
      </c>
      <c r="W242" s="59">
        <v>12.186823554803121</v>
      </c>
      <c r="Y242" s="1001"/>
      <c r="Z242" s="25">
        <v>700</v>
      </c>
      <c r="AA242" s="557">
        <v>4.4088621295172672</v>
      </c>
      <c r="AB242" s="557">
        <v>4.4726778342999358</v>
      </c>
      <c r="AC242" s="557">
        <v>4.5365287989188339</v>
      </c>
      <c r="AD242" s="557">
        <v>4.6004150233739622</v>
      </c>
      <c r="AE242" s="557">
        <v>4.6643365076653192</v>
      </c>
      <c r="AF242" s="557">
        <v>4.7282932517929055</v>
      </c>
      <c r="AG242" s="557">
        <v>4.7922852557567222</v>
      </c>
      <c r="AH242" s="557">
        <v>4.8563125195567691</v>
      </c>
      <c r="AI242" s="557">
        <v>4.9203750431930438</v>
      </c>
      <c r="AJ242" s="557">
        <v>4.9844728266655505</v>
      </c>
      <c r="AK242" s="557">
        <v>5.0486058699742848</v>
      </c>
      <c r="AL242" s="557">
        <v>5.6918755940542622</v>
      </c>
      <c r="AM242" s="557">
        <v>6.9889929930831007</v>
      </c>
      <c r="AN242" s="557">
        <v>8.3002143266037791</v>
      </c>
      <c r="AO242" s="557">
        <v>9.6255395946163009</v>
      </c>
      <c r="AP242" s="557">
        <v>10.964968797120664</v>
      </c>
      <c r="AQ242" s="1163">
        <v>12.318501934116872</v>
      </c>
      <c r="AS242" s="1166">
        <f t="shared" si="138"/>
        <v>7.0551026636294978E-2</v>
      </c>
      <c r="AT242" s="557">
        <f t="shared" si="122"/>
        <v>7.2790394815281267E-2</v>
      </c>
      <c r="AU242" s="557">
        <f t="shared" si="123"/>
        <v>7.5000687808160826E-2</v>
      </c>
      <c r="AV242" s="557">
        <f t="shared" si="124"/>
        <v>7.7181905614933655E-2</v>
      </c>
      <c r="AW242" s="557">
        <f t="shared" si="125"/>
        <v>7.9334048235599752E-2</v>
      </c>
      <c r="AX242" s="557">
        <f t="shared" si="126"/>
        <v>8.1457115670159119E-2</v>
      </c>
      <c r="AY242" s="557">
        <f t="shared" si="127"/>
        <v>8.3551107918612644E-2</v>
      </c>
      <c r="AZ242" s="557">
        <f t="shared" si="128"/>
        <v>8.5616024980960326E-2</v>
      </c>
      <c r="BA242" s="557">
        <f t="shared" si="129"/>
        <v>8.7651866857198613E-2</v>
      </c>
      <c r="BB242" s="557">
        <f t="shared" si="130"/>
        <v>8.9658633547332833E-2</v>
      </c>
      <c r="BC242" s="557">
        <f t="shared" si="131"/>
        <v>9.1636325051359435E-2</v>
      </c>
      <c r="BD242" s="557">
        <f t="shared" si="132"/>
        <v>0.1098141048557677</v>
      </c>
      <c r="BE242" s="557">
        <f t="shared" si="133"/>
        <v>0.13744710863261389</v>
      </c>
      <c r="BF242" s="557">
        <f t="shared" si="134"/>
        <v>0.15345003796683621</v>
      </c>
      <c r="BG242" s="557">
        <f t="shared" si="135"/>
        <v>0.15782289285843376</v>
      </c>
      <c r="BH242" s="557">
        <f t="shared" si="136"/>
        <v>0.15056567330740478</v>
      </c>
      <c r="BI242" s="1163">
        <f t="shared" si="137"/>
        <v>0.13167837931375104</v>
      </c>
    </row>
    <row r="243" spans="3:61" x14ac:dyDescent="0.45">
      <c r="C243" s="1264"/>
      <c r="D243" s="5"/>
      <c r="E243" s="1261"/>
      <c r="F243" s="72">
        <v>800</v>
      </c>
      <c r="G243" s="56">
        <v>4.4106224702778301</v>
      </c>
      <c r="H243" s="56">
        <v>4.4727295505445035</v>
      </c>
      <c r="I243" s="56">
        <v>4.5349024878408342</v>
      </c>
      <c r="J243" s="56">
        <v>4.5971412821668194</v>
      </c>
      <c r="K243" s="56">
        <v>4.6594459335224609</v>
      </c>
      <c r="L243" s="56">
        <v>4.7218164419077571</v>
      </c>
      <c r="M243" s="56">
        <v>4.7842528073227077</v>
      </c>
      <c r="N243" s="56">
        <v>4.8467550297673156</v>
      </c>
      <c r="O243" s="56">
        <v>4.9093231092415772</v>
      </c>
      <c r="P243" s="56">
        <v>4.971957045745496</v>
      </c>
      <c r="Q243" s="56">
        <v>5.0346568392790694</v>
      </c>
      <c r="R243" s="56">
        <v>5.6652769112458516</v>
      </c>
      <c r="S243" s="56">
        <v>6.9462741640760459</v>
      </c>
      <c r="T243" s="56">
        <v>8.2536142287684129</v>
      </c>
      <c r="U243" s="56">
        <v>9.5872971053229517</v>
      </c>
      <c r="V243" s="56">
        <v>10.947322793739666</v>
      </c>
      <c r="W243" s="59">
        <v>12.33369129401855</v>
      </c>
      <c r="Y243" s="1001"/>
      <c r="Z243" s="25">
        <v>800</v>
      </c>
      <c r="AA243" s="557">
        <v>4.481173496914125</v>
      </c>
      <c r="AB243" s="557">
        <v>4.5455199453597857</v>
      </c>
      <c r="AC243" s="557">
        <v>4.609903175648995</v>
      </c>
      <c r="AD243" s="557">
        <v>4.6743231877817522</v>
      </c>
      <c r="AE243" s="557">
        <v>4.7387799817580607</v>
      </c>
      <c r="AF243" s="557">
        <v>4.8032735575779162</v>
      </c>
      <c r="AG243" s="557">
        <v>4.8678039152413204</v>
      </c>
      <c r="AH243" s="557">
        <v>4.9323710547482742</v>
      </c>
      <c r="AI243" s="557">
        <v>4.9969749760987767</v>
      </c>
      <c r="AJ243" s="557">
        <v>5.061615679292828</v>
      </c>
      <c r="AK243" s="557">
        <v>5.1262931643304288</v>
      </c>
      <c r="AL243" s="557">
        <v>5.7750910161016193</v>
      </c>
      <c r="AM243" s="557">
        <v>7.0837212727086598</v>
      </c>
      <c r="AN243" s="557">
        <v>8.4070642667352473</v>
      </c>
      <c r="AO243" s="557">
        <v>9.7451199981813836</v>
      </c>
      <c r="AP243" s="557">
        <v>11.097888467047067</v>
      </c>
      <c r="AQ243" s="1163">
        <v>12.465369673332301</v>
      </c>
      <c r="AS243" s="1166">
        <f t="shared" si="138"/>
        <v>7.0551026636294978E-2</v>
      </c>
      <c r="AT243" s="557">
        <f t="shared" si="122"/>
        <v>7.2790394815282156E-2</v>
      </c>
      <c r="AU243" s="557">
        <f t="shared" si="123"/>
        <v>7.5000687808160826E-2</v>
      </c>
      <c r="AV243" s="557">
        <f t="shared" si="124"/>
        <v>7.7181905614932766E-2</v>
      </c>
      <c r="AW243" s="557">
        <f t="shared" si="125"/>
        <v>7.9334048235599752E-2</v>
      </c>
      <c r="AX243" s="557">
        <f t="shared" si="126"/>
        <v>8.1457115670159119E-2</v>
      </c>
      <c r="AY243" s="557">
        <f t="shared" si="127"/>
        <v>8.3551107918612644E-2</v>
      </c>
      <c r="AZ243" s="557">
        <f t="shared" si="128"/>
        <v>8.5616024980958549E-2</v>
      </c>
      <c r="BA243" s="557">
        <f t="shared" si="129"/>
        <v>8.7651866857199501E-2</v>
      </c>
      <c r="BB243" s="557">
        <f t="shared" si="130"/>
        <v>8.9658633547331945E-2</v>
      </c>
      <c r="BC243" s="557">
        <f t="shared" si="131"/>
        <v>9.1636325051359435E-2</v>
      </c>
      <c r="BD243" s="557">
        <f t="shared" si="132"/>
        <v>0.1098141048557677</v>
      </c>
      <c r="BE243" s="557">
        <f t="shared" si="133"/>
        <v>0.13744710863261389</v>
      </c>
      <c r="BF243" s="557">
        <f t="shared" si="134"/>
        <v>0.15345003796683443</v>
      </c>
      <c r="BG243" s="557">
        <f t="shared" si="135"/>
        <v>0.15782289285843198</v>
      </c>
      <c r="BH243" s="557">
        <f t="shared" si="136"/>
        <v>0.15056567330740123</v>
      </c>
      <c r="BI243" s="1163">
        <f t="shared" si="137"/>
        <v>0.13167837931375104</v>
      </c>
    </row>
    <row r="244" spans="3:61" ht="14.65" thickBot="1" x14ac:dyDescent="0.5">
      <c r="C244" s="1264"/>
      <c r="D244" s="5"/>
      <c r="E244" s="1262"/>
      <c r="F244" s="374">
        <v>900</v>
      </c>
      <c r="G244" s="57">
        <v>4.4829338376746879</v>
      </c>
      <c r="H244" s="57">
        <v>4.5455716616043542</v>
      </c>
      <c r="I244" s="57">
        <v>4.6082768645709953</v>
      </c>
      <c r="J244" s="57">
        <v>4.6710494465746102</v>
      </c>
      <c r="K244" s="57">
        <v>4.7338894076152016</v>
      </c>
      <c r="L244" s="57">
        <v>4.7967967476927669</v>
      </c>
      <c r="M244" s="57">
        <v>4.859771466807306</v>
      </c>
      <c r="N244" s="57">
        <v>4.9228135649588207</v>
      </c>
      <c r="O244" s="57">
        <v>4.9859230421473102</v>
      </c>
      <c r="P244" s="57">
        <v>5.0490998983727744</v>
      </c>
      <c r="Q244" s="57">
        <v>5.1123441336352133</v>
      </c>
      <c r="R244" s="57">
        <v>5.748492333293207</v>
      </c>
      <c r="S244" s="57">
        <v>7.0410024437016068</v>
      </c>
      <c r="T244" s="57">
        <v>8.3604641688998829</v>
      </c>
      <c r="U244" s="57">
        <v>9.7068775088880361</v>
      </c>
      <c r="V244" s="57">
        <v>11.080242463666067</v>
      </c>
      <c r="W244" s="60">
        <v>12.480559033233979</v>
      </c>
      <c r="Y244" s="997"/>
      <c r="Z244" s="50">
        <v>900</v>
      </c>
      <c r="AA244" s="313">
        <v>4.5534848643109829</v>
      </c>
      <c r="AB244" s="313">
        <v>4.6183620564196346</v>
      </c>
      <c r="AC244" s="313">
        <v>4.6832775523791552</v>
      </c>
      <c r="AD244" s="313">
        <v>4.7482313521895438</v>
      </c>
      <c r="AE244" s="313">
        <v>4.8132234558508014</v>
      </c>
      <c r="AF244" s="313">
        <v>4.878253863362926</v>
      </c>
      <c r="AG244" s="313">
        <v>4.9433225747259186</v>
      </c>
      <c r="AH244" s="313">
        <v>5.0084295899397802</v>
      </c>
      <c r="AI244" s="313">
        <v>5.0735749090045097</v>
      </c>
      <c r="AJ244" s="313">
        <v>5.1387585319201063</v>
      </c>
      <c r="AK244" s="313">
        <v>5.2039804586865728</v>
      </c>
      <c r="AL244" s="313">
        <v>5.8583064381489747</v>
      </c>
      <c r="AM244" s="313">
        <v>7.1784495523342207</v>
      </c>
      <c r="AN244" s="313">
        <v>8.5139142068667173</v>
      </c>
      <c r="AO244" s="313">
        <v>9.8647004017464681</v>
      </c>
      <c r="AP244" s="313">
        <v>11.23080813697347</v>
      </c>
      <c r="AQ244" s="1165">
        <v>12.61223741254773</v>
      </c>
      <c r="AS244" s="1167">
        <f t="shared" si="138"/>
        <v>7.0551026636294978E-2</v>
      </c>
      <c r="AT244" s="313">
        <f t="shared" si="122"/>
        <v>7.2790394815280379E-2</v>
      </c>
      <c r="AU244" s="313">
        <f t="shared" si="123"/>
        <v>7.5000687808159938E-2</v>
      </c>
      <c r="AV244" s="313">
        <f t="shared" si="124"/>
        <v>7.7181905614933655E-2</v>
      </c>
      <c r="AW244" s="313">
        <f t="shared" si="125"/>
        <v>7.9334048235599752E-2</v>
      </c>
      <c r="AX244" s="313">
        <f t="shared" si="126"/>
        <v>8.1457115670159119E-2</v>
      </c>
      <c r="AY244" s="313">
        <f t="shared" si="127"/>
        <v>8.3551107918612644E-2</v>
      </c>
      <c r="AZ244" s="313">
        <f t="shared" si="128"/>
        <v>8.5616024980959438E-2</v>
      </c>
      <c r="BA244" s="313">
        <f t="shared" si="129"/>
        <v>8.7651866857199501E-2</v>
      </c>
      <c r="BB244" s="313">
        <f t="shared" si="130"/>
        <v>8.9658633547331945E-2</v>
      </c>
      <c r="BC244" s="313">
        <f t="shared" si="131"/>
        <v>9.1636325051359435E-2</v>
      </c>
      <c r="BD244" s="313">
        <f t="shared" si="132"/>
        <v>0.1098141048557677</v>
      </c>
      <c r="BE244" s="313">
        <f t="shared" si="133"/>
        <v>0.13744710863261389</v>
      </c>
      <c r="BF244" s="313">
        <f t="shared" si="134"/>
        <v>0.15345003796683443</v>
      </c>
      <c r="BG244" s="313">
        <f t="shared" si="135"/>
        <v>0.15782289285843198</v>
      </c>
      <c r="BH244" s="313">
        <f t="shared" si="136"/>
        <v>0.150565673307403</v>
      </c>
      <c r="BI244" s="1165">
        <f t="shared" si="137"/>
        <v>0.13167837931375104</v>
      </c>
    </row>
    <row r="245" spans="3:61" ht="14.65" thickBot="1" x14ac:dyDescent="0.5">
      <c r="C245" s="1264"/>
      <c r="Y245" s="992"/>
      <c r="Z245" s="992"/>
      <c r="AA245" s="992"/>
      <c r="AB245" s="992"/>
      <c r="AC245" s="992"/>
      <c r="AD245" s="992"/>
      <c r="AE245" s="992"/>
      <c r="AF245" s="992"/>
      <c r="AG245" s="992"/>
      <c r="AH245" s="992"/>
      <c r="AI245" s="992"/>
      <c r="AJ245" s="992"/>
      <c r="AK245" s="992"/>
      <c r="AL245" s="992"/>
      <c r="AM245" s="992"/>
      <c r="AN245" s="992"/>
      <c r="AO245" s="992"/>
      <c r="AP245" s="992"/>
      <c r="AQ245" s="992"/>
    </row>
    <row r="246" spans="3:61" s="992" customFormat="1" ht="14.65" thickBot="1" x14ac:dyDescent="0.5">
      <c r="C246" s="1264"/>
      <c r="D246" s="376" t="s">
        <v>89</v>
      </c>
      <c r="E246" s="29"/>
      <c r="F246" s="29" t="s">
        <v>206</v>
      </c>
      <c r="G246" s="381">
        <v>0</v>
      </c>
      <c r="H246" s="382">
        <v>10</v>
      </c>
      <c r="I246" s="382">
        <v>20</v>
      </c>
      <c r="J246" s="382">
        <v>30</v>
      </c>
      <c r="K246" s="382">
        <v>40</v>
      </c>
      <c r="L246" s="382">
        <v>50</v>
      </c>
      <c r="M246" s="382">
        <v>60</v>
      </c>
      <c r="N246" s="382">
        <v>70</v>
      </c>
      <c r="O246" s="382">
        <v>80</v>
      </c>
      <c r="P246" s="382">
        <v>90</v>
      </c>
      <c r="Q246" s="382">
        <v>100</v>
      </c>
      <c r="R246" s="382">
        <v>200</v>
      </c>
      <c r="S246" s="382">
        <v>400</v>
      </c>
      <c r="T246" s="382">
        <v>600</v>
      </c>
      <c r="U246" s="382">
        <v>800</v>
      </c>
      <c r="V246" s="382">
        <v>1000</v>
      </c>
      <c r="W246" s="383">
        <v>1200</v>
      </c>
    </row>
    <row r="247" spans="3:61" s="992" customFormat="1" x14ac:dyDescent="0.45">
      <c r="C247" s="1264"/>
      <c r="D247" s="377"/>
      <c r="E247" s="1260" t="s">
        <v>205</v>
      </c>
      <c r="F247" s="375">
        <v>0</v>
      </c>
      <c r="G247" s="379">
        <v>2.9358020767295141</v>
      </c>
      <c r="H247" s="379">
        <v>2.9481342588311517</v>
      </c>
      <c r="I247" s="379">
        <v>2.9604910467177836</v>
      </c>
      <c r="J247" s="379">
        <v>2.97287244038941</v>
      </c>
      <c r="K247" s="379">
        <v>2.9852784398460317</v>
      </c>
      <c r="L247" s="379">
        <v>2.9977090450876487</v>
      </c>
      <c r="M247" s="379">
        <v>3.0101642561142596</v>
      </c>
      <c r="N247" s="379">
        <v>3.0226440729258655</v>
      </c>
      <c r="O247" s="379">
        <v>3.0351484955224661</v>
      </c>
      <c r="P247" s="379">
        <v>3.0476775239040612</v>
      </c>
      <c r="Q247" s="379">
        <v>3.0602311580706516</v>
      </c>
      <c r="R247" s="55">
        <v>3.1871208179112638</v>
      </c>
      <c r="S247" s="55">
        <v>3.4482818730909179</v>
      </c>
      <c r="T247" s="55">
        <v>3.7192852422684761</v>
      </c>
      <c r="U247" s="55">
        <v>4.0001309254439388</v>
      </c>
      <c r="V247" s="55">
        <v>4.290818922617305</v>
      </c>
      <c r="W247" s="58">
        <v>4.5913492337885753</v>
      </c>
    </row>
    <row r="248" spans="3:61" s="992" customFormat="1" x14ac:dyDescent="0.45">
      <c r="C248" s="1264"/>
      <c r="D248" s="377"/>
      <c r="E248" s="1261"/>
      <c r="F248" s="72">
        <v>10</v>
      </c>
      <c r="G248" s="56">
        <v>2.9410312130931642</v>
      </c>
      <c r="H248" s="56">
        <v>2.9534164695611</v>
      </c>
      <c r="I248" s="56">
        <v>2.9658264840147632</v>
      </c>
      <c r="J248" s="56">
        <v>2.9782612564541528</v>
      </c>
      <c r="K248" s="56">
        <v>2.9907207868792698</v>
      </c>
      <c r="L248" s="56">
        <v>3.0032050752901132</v>
      </c>
      <c r="M248" s="56">
        <v>3.015714121686683</v>
      </c>
      <c r="N248" s="56">
        <v>3.0282479260689796</v>
      </c>
      <c r="O248" s="56">
        <v>3.0408064884370032</v>
      </c>
      <c r="P248" s="56">
        <v>3.0533898087907527</v>
      </c>
      <c r="Q248" s="56">
        <v>3.0659978871302296</v>
      </c>
      <c r="R248" s="56">
        <v>3.1934403597399639</v>
      </c>
      <c r="S248" s="56">
        <v>3.4557527006774382</v>
      </c>
      <c r="T248" s="56">
        <v>3.7279682359055863</v>
      </c>
      <c r="U248" s="56">
        <v>4.0100869654244109</v>
      </c>
      <c r="V248" s="56">
        <v>4.3021088892339092</v>
      </c>
      <c r="W248" s="59">
        <v>4.6040340073340822</v>
      </c>
    </row>
    <row r="249" spans="3:61" s="992" customFormat="1" x14ac:dyDescent="0.45">
      <c r="C249" s="1264"/>
      <c r="D249" s="377"/>
      <c r="E249" s="1261"/>
      <c r="F249" s="72">
        <v>20</v>
      </c>
      <c r="G249" s="56">
        <v>2.9462603494568134</v>
      </c>
      <c r="H249" s="380">
        <v>2.9586986802910489</v>
      </c>
      <c r="I249" s="56">
        <v>2.9711619213117437</v>
      </c>
      <c r="J249" s="56">
        <v>2.9836500725188966</v>
      </c>
      <c r="K249" s="56">
        <v>2.9961631339125079</v>
      </c>
      <c r="L249" s="56">
        <v>3.0087011054925776</v>
      </c>
      <c r="M249" s="56">
        <v>3.0212639872591067</v>
      </c>
      <c r="N249" s="56">
        <v>3.0338517792120938</v>
      </c>
      <c r="O249" s="56">
        <v>3.0464644813515402</v>
      </c>
      <c r="P249" s="56">
        <v>3.0591020936774447</v>
      </c>
      <c r="Q249" s="56">
        <v>3.071764616189808</v>
      </c>
      <c r="R249" s="56">
        <v>3.1997599015686635</v>
      </c>
      <c r="S249" s="56">
        <v>3.4632235282639581</v>
      </c>
      <c r="T249" s="56">
        <v>3.7366512295426979</v>
      </c>
      <c r="U249" s="56">
        <v>4.020043005404883</v>
      </c>
      <c r="V249" s="56">
        <v>4.3133988558505134</v>
      </c>
      <c r="W249" s="59">
        <v>4.6167187808795891</v>
      </c>
    </row>
    <row r="250" spans="3:61" s="992" customFormat="1" x14ac:dyDescent="0.45">
      <c r="C250" s="1264"/>
      <c r="D250" s="377"/>
      <c r="E250" s="1261"/>
      <c r="F250" s="72">
        <v>30</v>
      </c>
      <c r="G250" s="56">
        <v>2.9514894858204634</v>
      </c>
      <c r="H250" s="56">
        <v>2.9639808910209982</v>
      </c>
      <c r="I250" s="56">
        <v>2.9764973586087233</v>
      </c>
      <c r="J250" s="56">
        <v>2.9890388885836394</v>
      </c>
      <c r="K250" s="56">
        <v>3.001605480945746</v>
      </c>
      <c r="L250" s="56">
        <v>3.0141971356950426</v>
      </c>
      <c r="M250" s="56">
        <v>3.0268138528315305</v>
      </c>
      <c r="N250" s="56">
        <v>3.0394556323552084</v>
      </c>
      <c r="O250" s="56">
        <v>3.0521224742660773</v>
      </c>
      <c r="P250" s="56">
        <v>3.0648143785641362</v>
      </c>
      <c r="Q250" s="56">
        <v>3.0775313452493864</v>
      </c>
      <c r="R250" s="56">
        <v>3.2060794433973627</v>
      </c>
      <c r="S250" s="56">
        <v>3.4706943558504779</v>
      </c>
      <c r="T250" s="56">
        <v>3.745334223179809</v>
      </c>
      <c r="U250" s="56">
        <v>4.0299990453853551</v>
      </c>
      <c r="V250" s="56">
        <v>4.3246888224671176</v>
      </c>
      <c r="W250" s="59">
        <v>4.629403554425096</v>
      </c>
    </row>
    <row r="251" spans="3:61" s="992" customFormat="1" x14ac:dyDescent="0.45">
      <c r="C251" s="1264"/>
      <c r="D251" s="377"/>
      <c r="E251" s="1261"/>
      <c r="F251" s="72">
        <v>40</v>
      </c>
      <c r="G251" s="56">
        <v>2.9567186221841126</v>
      </c>
      <c r="H251" s="56">
        <v>2.969263101750947</v>
      </c>
      <c r="I251" s="56">
        <v>2.9818327959057029</v>
      </c>
      <c r="J251" s="56">
        <v>2.9944277046483823</v>
      </c>
      <c r="K251" s="56">
        <v>3.0070478279789836</v>
      </c>
      <c r="L251" s="56">
        <v>3.0196931658975079</v>
      </c>
      <c r="M251" s="56">
        <v>3.0323637184039538</v>
      </c>
      <c r="N251" s="56">
        <v>3.0450594854983226</v>
      </c>
      <c r="O251" s="56">
        <v>3.0577804671806144</v>
      </c>
      <c r="P251" s="56">
        <v>3.0705266634508277</v>
      </c>
      <c r="Q251" s="56">
        <v>3.083298074308964</v>
      </c>
      <c r="R251" s="56">
        <v>3.2123989852260619</v>
      </c>
      <c r="S251" s="56">
        <v>3.4781651834369978</v>
      </c>
      <c r="T251" s="56">
        <v>3.7540172168169192</v>
      </c>
      <c r="U251" s="56">
        <v>4.0399550853658281</v>
      </c>
      <c r="V251" s="56">
        <v>4.3359787890837218</v>
      </c>
      <c r="W251" s="59">
        <v>4.6420883279706029</v>
      </c>
    </row>
    <row r="252" spans="3:61" s="992" customFormat="1" x14ac:dyDescent="0.45">
      <c r="C252" s="1264"/>
      <c r="D252" s="377"/>
      <c r="E252" s="1261"/>
      <c r="F252" s="72">
        <v>50</v>
      </c>
      <c r="G252" s="56">
        <v>2.9619477585477623</v>
      </c>
      <c r="H252" s="56">
        <v>2.9745453124808954</v>
      </c>
      <c r="I252" s="56">
        <v>2.987168233202683</v>
      </c>
      <c r="J252" s="56">
        <v>2.9998165207131251</v>
      </c>
      <c r="K252" s="56">
        <v>3.0124901750122217</v>
      </c>
      <c r="L252" s="56">
        <v>3.0251891960999724</v>
      </c>
      <c r="M252" s="56">
        <v>3.0379135839763776</v>
      </c>
      <c r="N252" s="56">
        <v>3.0506633386414372</v>
      </c>
      <c r="O252" s="56">
        <v>3.0634384600951514</v>
      </c>
      <c r="P252" s="56">
        <v>3.0762389483375197</v>
      </c>
      <c r="Q252" s="56">
        <v>3.0890648033685428</v>
      </c>
      <c r="R252" s="56">
        <v>3.2187185270547616</v>
      </c>
      <c r="S252" s="56">
        <v>3.4856360110235176</v>
      </c>
      <c r="T252" s="56">
        <v>3.7627002104540304</v>
      </c>
      <c r="U252" s="56">
        <v>4.0499111253463003</v>
      </c>
      <c r="V252" s="56">
        <v>4.347268755700326</v>
      </c>
      <c r="W252" s="59">
        <v>4.6547731015161098</v>
      </c>
    </row>
    <row r="253" spans="3:61" s="992" customFormat="1" x14ac:dyDescent="0.45">
      <c r="C253" s="1264"/>
      <c r="D253" s="377"/>
      <c r="E253" s="1261"/>
      <c r="F253" s="72">
        <v>60</v>
      </c>
      <c r="G253" s="56">
        <v>2.9671768949114119</v>
      </c>
      <c r="H253" s="56">
        <v>2.9798275232108447</v>
      </c>
      <c r="I253" s="56">
        <v>2.992503670499663</v>
      </c>
      <c r="J253" s="56">
        <v>3.0052053367778684</v>
      </c>
      <c r="K253" s="56">
        <v>3.0179325220454598</v>
      </c>
      <c r="L253" s="56">
        <v>3.0306852263024373</v>
      </c>
      <c r="M253" s="73">
        <v>3.0434634495488013</v>
      </c>
      <c r="N253" s="56">
        <v>3.0562671917845519</v>
      </c>
      <c r="O253" s="56">
        <v>3.0690964530096885</v>
      </c>
      <c r="P253" s="56">
        <v>3.0819512332242112</v>
      </c>
      <c r="Q253" s="56">
        <v>3.0948315324281208</v>
      </c>
      <c r="R253" s="56">
        <v>3.2250380688834608</v>
      </c>
      <c r="S253" s="56">
        <v>3.4931068386100375</v>
      </c>
      <c r="T253" s="56">
        <v>3.7713832040911415</v>
      </c>
      <c r="U253" s="56">
        <v>4.0598671653267724</v>
      </c>
      <c r="V253" s="56">
        <v>4.3585587223169302</v>
      </c>
      <c r="W253" s="59">
        <v>4.6674578750616167</v>
      </c>
    </row>
    <row r="254" spans="3:61" s="992" customFormat="1" x14ac:dyDescent="0.45">
      <c r="C254" s="1264"/>
      <c r="D254" s="377"/>
      <c r="E254" s="1261"/>
      <c r="F254" s="72">
        <v>70</v>
      </c>
      <c r="G254" s="56">
        <v>2.9724060312750615</v>
      </c>
      <c r="H254" s="56">
        <v>2.9851097339407935</v>
      </c>
      <c r="I254" s="56">
        <v>2.9978391077966431</v>
      </c>
      <c r="J254" s="56">
        <v>3.0105941528426112</v>
      </c>
      <c r="K254" s="56">
        <v>3.0233748690786975</v>
      </c>
      <c r="L254" s="56">
        <v>3.0361812565049022</v>
      </c>
      <c r="M254" s="56">
        <v>3.0490133151212251</v>
      </c>
      <c r="N254" s="56">
        <v>3.061871044927666</v>
      </c>
      <c r="O254" s="56">
        <v>3.074754445924226</v>
      </c>
      <c r="P254" s="56">
        <v>3.0876635181109027</v>
      </c>
      <c r="Q254" s="56">
        <v>3.1005982614876988</v>
      </c>
      <c r="R254" s="56">
        <v>3.2313576107121604</v>
      </c>
      <c r="S254" s="56">
        <v>3.5005776661965569</v>
      </c>
      <c r="T254" s="56">
        <v>3.7800661977282513</v>
      </c>
      <c r="U254" s="56">
        <v>4.0698232053072445</v>
      </c>
      <c r="V254" s="56">
        <v>4.3698486889335353</v>
      </c>
      <c r="W254" s="59">
        <v>4.6801426486071227</v>
      </c>
    </row>
    <row r="255" spans="3:61" s="992" customFormat="1" x14ac:dyDescent="0.45">
      <c r="C255" s="1264"/>
      <c r="D255" s="377"/>
      <c r="E255" s="1261"/>
      <c r="F255" s="72">
        <v>80</v>
      </c>
      <c r="G255" s="56">
        <v>2.9776351676387116</v>
      </c>
      <c r="H255" s="56">
        <v>2.9903919446707423</v>
      </c>
      <c r="I255" s="56">
        <v>3.0031745450936231</v>
      </c>
      <c r="J255" s="56">
        <v>3.0159829689073541</v>
      </c>
      <c r="K255" s="56">
        <v>3.0288172161119356</v>
      </c>
      <c r="L255" s="56">
        <v>3.0416772867073667</v>
      </c>
      <c r="M255" s="56">
        <v>3.0545631806936488</v>
      </c>
      <c r="N255" s="56">
        <v>3.0674748980707802</v>
      </c>
      <c r="O255" s="56">
        <v>3.080412438838763</v>
      </c>
      <c r="P255" s="56">
        <v>3.0933758029975951</v>
      </c>
      <c r="Q255" s="56">
        <v>3.1063649905472772</v>
      </c>
      <c r="R255" s="56">
        <v>3.2376771525408596</v>
      </c>
      <c r="S255" s="56">
        <v>3.5080484937830771</v>
      </c>
      <c r="T255" s="56">
        <v>3.7887491913653628</v>
      </c>
      <c r="U255" s="56">
        <v>4.0797792452877166</v>
      </c>
      <c r="V255" s="56">
        <v>4.3811386555501395</v>
      </c>
      <c r="W255" s="59">
        <v>4.6928274221526296</v>
      </c>
    </row>
    <row r="256" spans="3:61" s="992" customFormat="1" x14ac:dyDescent="0.45">
      <c r="C256" s="1264"/>
      <c r="D256" s="377"/>
      <c r="E256" s="1261"/>
      <c r="F256" s="72">
        <v>90</v>
      </c>
      <c r="G256" s="56">
        <v>2.9828643040023612</v>
      </c>
      <c r="H256" s="56">
        <v>2.9956741554006912</v>
      </c>
      <c r="I256" s="56">
        <v>3.0085099823906032</v>
      </c>
      <c r="J256" s="56">
        <v>3.0213717849720974</v>
      </c>
      <c r="K256" s="56">
        <v>3.0342595631451736</v>
      </c>
      <c r="L256" s="56">
        <v>3.0471733169098321</v>
      </c>
      <c r="M256" s="56">
        <v>3.0601130462660722</v>
      </c>
      <c r="N256" s="56">
        <v>3.0730787512138948</v>
      </c>
      <c r="O256" s="56">
        <v>3.0860704317532996</v>
      </c>
      <c r="P256" s="56">
        <v>3.0990880878842866</v>
      </c>
      <c r="Q256" s="56">
        <v>3.1121317196068556</v>
      </c>
      <c r="R256" s="56">
        <v>3.2439966943695593</v>
      </c>
      <c r="S256" s="56">
        <v>3.515519321369597</v>
      </c>
      <c r="T256" s="56">
        <v>3.797432185002473</v>
      </c>
      <c r="U256" s="56">
        <v>4.0897352852681887</v>
      </c>
      <c r="V256" s="56">
        <v>4.3924286221667437</v>
      </c>
      <c r="W256" s="59">
        <v>4.7055121956981365</v>
      </c>
    </row>
    <row r="257" spans="3:75" s="992" customFormat="1" x14ac:dyDescent="0.45">
      <c r="C257" s="1264"/>
      <c r="D257" s="377"/>
      <c r="E257" s="1261"/>
      <c r="F257" s="72">
        <v>100</v>
      </c>
      <c r="G257" s="56">
        <v>2.9880934403660104</v>
      </c>
      <c r="H257" s="56">
        <v>3.00095636613064</v>
      </c>
      <c r="I257" s="56">
        <v>3.0138454196875828</v>
      </c>
      <c r="J257" s="56">
        <v>3.0267606010368402</v>
      </c>
      <c r="K257" s="56">
        <v>3.0397019101784117</v>
      </c>
      <c r="L257" s="56">
        <v>3.052669347112297</v>
      </c>
      <c r="M257" s="56">
        <v>3.0656629118384964</v>
      </c>
      <c r="N257" s="56">
        <v>3.0786826043570095</v>
      </c>
      <c r="O257" s="56">
        <v>3.0917284246678371</v>
      </c>
      <c r="P257" s="56">
        <v>3.1048003727709776</v>
      </c>
      <c r="Q257" s="56">
        <v>3.1178984486664336</v>
      </c>
      <c r="R257" s="56">
        <v>3.2503162361982589</v>
      </c>
      <c r="S257" s="56">
        <v>3.5229901489561168</v>
      </c>
      <c r="T257" s="56">
        <v>3.8061151786395842</v>
      </c>
      <c r="U257" s="56">
        <v>4.0996913252486609</v>
      </c>
      <c r="V257" s="56">
        <v>4.4037185887833479</v>
      </c>
      <c r="W257" s="59">
        <v>4.7181969692436425</v>
      </c>
    </row>
    <row r="258" spans="3:75" s="992" customFormat="1" x14ac:dyDescent="0.45">
      <c r="C258" s="1264"/>
      <c r="D258" s="377"/>
      <c r="E258" s="1261"/>
      <c r="F258" s="72">
        <v>200</v>
      </c>
      <c r="G258" s="56">
        <v>3.0403848040025068</v>
      </c>
      <c r="H258" s="56">
        <v>3.0537784734301283</v>
      </c>
      <c r="I258" s="56">
        <v>3.0671997926573824</v>
      </c>
      <c r="J258" s="56">
        <v>3.0806487616842704</v>
      </c>
      <c r="K258" s="56">
        <v>3.0941253805107909</v>
      </c>
      <c r="L258" s="56">
        <v>3.1076296491369453</v>
      </c>
      <c r="M258" s="56">
        <v>3.1211615675627327</v>
      </c>
      <c r="N258" s="56">
        <v>3.1347211357881539</v>
      </c>
      <c r="O258" s="56">
        <v>3.1483083538132073</v>
      </c>
      <c r="P258" s="56">
        <v>3.161923221637895</v>
      </c>
      <c r="Q258" s="56">
        <v>3.1755657392622156</v>
      </c>
      <c r="R258" s="56">
        <v>3.3135116544852536</v>
      </c>
      <c r="S258" s="56">
        <v>3.5976984248213153</v>
      </c>
      <c r="T258" s="56">
        <v>3.8929451150106917</v>
      </c>
      <c r="U258" s="56">
        <v>4.1992517250533838</v>
      </c>
      <c r="V258" s="56">
        <v>4.5166182549493907</v>
      </c>
      <c r="W258" s="59">
        <v>4.8450447046987115</v>
      </c>
    </row>
    <row r="259" spans="3:75" s="992" customFormat="1" x14ac:dyDescent="0.45">
      <c r="C259" s="1264"/>
      <c r="D259" s="377"/>
      <c r="E259" s="1261"/>
      <c r="F259" s="72">
        <v>300</v>
      </c>
      <c r="G259" s="56">
        <v>3.0926761676390031</v>
      </c>
      <c r="H259" s="56">
        <v>3.1066005807296162</v>
      </c>
      <c r="I259" s="56">
        <v>3.1205541656271816</v>
      </c>
      <c r="J259" s="56">
        <v>3.1345369223316997</v>
      </c>
      <c r="K259" s="56">
        <v>3.14854885084317</v>
      </c>
      <c r="L259" s="56">
        <v>3.1625899511615936</v>
      </c>
      <c r="M259" s="56">
        <v>3.1766602232869694</v>
      </c>
      <c r="N259" s="56">
        <v>3.1907596672192979</v>
      </c>
      <c r="O259" s="56">
        <v>3.2048882829585787</v>
      </c>
      <c r="P259" s="56">
        <v>3.2190460705048123</v>
      </c>
      <c r="Q259" s="56">
        <v>3.2332330298579981</v>
      </c>
      <c r="R259" s="56">
        <v>3.3767070727722479</v>
      </c>
      <c r="S259" s="56">
        <v>3.6724067006865138</v>
      </c>
      <c r="T259" s="56">
        <v>3.9797750513817993</v>
      </c>
      <c r="U259" s="56">
        <v>4.298812124858105</v>
      </c>
      <c r="V259" s="56">
        <v>4.6295179211154327</v>
      </c>
      <c r="W259" s="59">
        <v>4.9718924401537787</v>
      </c>
    </row>
    <row r="260" spans="3:75" s="992" customFormat="1" x14ac:dyDescent="0.45">
      <c r="C260" s="1264"/>
      <c r="D260" s="377"/>
      <c r="E260" s="1261"/>
      <c r="F260" s="72">
        <v>400</v>
      </c>
      <c r="G260" s="56">
        <v>3.1449675312754994</v>
      </c>
      <c r="H260" s="56">
        <v>3.1594226880291041</v>
      </c>
      <c r="I260" s="56">
        <v>3.1739085385969812</v>
      </c>
      <c r="J260" s="56">
        <v>3.1884250829791299</v>
      </c>
      <c r="K260" s="56">
        <v>3.2029723211755501</v>
      </c>
      <c r="L260" s="56">
        <v>3.2175502531862423</v>
      </c>
      <c r="M260" s="56">
        <v>3.2321588790112061</v>
      </c>
      <c r="N260" s="56">
        <v>3.2467981986504424</v>
      </c>
      <c r="O260" s="56">
        <v>3.2614682121039498</v>
      </c>
      <c r="P260" s="56">
        <v>3.2761689193717287</v>
      </c>
      <c r="Q260" s="56">
        <v>3.2909003204537806</v>
      </c>
      <c r="R260" s="56">
        <v>3.4399024910592426</v>
      </c>
      <c r="S260" s="56">
        <v>3.7471149765517122</v>
      </c>
      <c r="T260" s="56">
        <v>4.0666049877529069</v>
      </c>
      <c r="U260" s="56">
        <v>4.3983725246628271</v>
      </c>
      <c r="V260" s="56">
        <v>4.7424175872814747</v>
      </c>
      <c r="W260" s="59">
        <v>5.098740175608846</v>
      </c>
    </row>
    <row r="261" spans="3:75" s="992" customFormat="1" x14ac:dyDescent="0.45">
      <c r="C261" s="1264"/>
      <c r="D261" s="377"/>
      <c r="E261" s="1261"/>
      <c r="F261" s="72">
        <v>500</v>
      </c>
      <c r="G261" s="56">
        <v>3.1972588949119958</v>
      </c>
      <c r="H261" s="56">
        <v>3.2122447953285924</v>
      </c>
      <c r="I261" s="56">
        <v>3.2272629115667804</v>
      </c>
      <c r="J261" s="56">
        <v>3.2423132436265591</v>
      </c>
      <c r="K261" s="56">
        <v>3.2573957915079292</v>
      </c>
      <c r="L261" s="56">
        <v>3.2725105552108911</v>
      </c>
      <c r="M261" s="56">
        <v>3.2876575347354433</v>
      </c>
      <c r="N261" s="56">
        <v>3.3028367300815864</v>
      </c>
      <c r="O261" s="56">
        <v>3.3180481412493203</v>
      </c>
      <c r="P261" s="56">
        <v>3.333291768238646</v>
      </c>
      <c r="Q261" s="56">
        <v>3.3485676110495626</v>
      </c>
      <c r="R261" s="56">
        <v>3.5030979093462378</v>
      </c>
      <c r="S261" s="56">
        <v>3.8218232524169107</v>
      </c>
      <c r="T261" s="56">
        <v>4.1534349241240136</v>
      </c>
      <c r="U261" s="56">
        <v>4.4979329244675501</v>
      </c>
      <c r="V261" s="56">
        <v>4.8553172534475166</v>
      </c>
      <c r="W261" s="59">
        <v>5.2255879110639132</v>
      </c>
    </row>
    <row r="262" spans="3:75" s="992" customFormat="1" x14ac:dyDescent="0.45">
      <c r="C262" s="1264"/>
      <c r="D262" s="377"/>
      <c r="E262" s="1261"/>
      <c r="F262" s="72">
        <v>600</v>
      </c>
      <c r="G262" s="56">
        <v>3.2495502585484921</v>
      </c>
      <c r="H262" s="56">
        <v>3.2650669026280807</v>
      </c>
      <c r="I262" s="56">
        <v>3.2806172845365804</v>
      </c>
      <c r="J262" s="56">
        <v>3.2962014042739893</v>
      </c>
      <c r="K262" s="56">
        <v>3.3118192618403088</v>
      </c>
      <c r="L262" s="56">
        <v>3.3274708572355394</v>
      </c>
      <c r="M262" s="56">
        <v>3.34315619045968</v>
      </c>
      <c r="N262" s="56">
        <v>3.3588752615127304</v>
      </c>
      <c r="O262" s="56">
        <v>3.3746280703946918</v>
      </c>
      <c r="P262" s="56">
        <v>3.3904146171055629</v>
      </c>
      <c r="Q262" s="56">
        <v>3.406234901645345</v>
      </c>
      <c r="R262" s="56">
        <v>3.566293327633232</v>
      </c>
      <c r="S262" s="56">
        <v>3.8965315282821091</v>
      </c>
      <c r="T262" s="56">
        <v>4.2402648604951221</v>
      </c>
      <c r="U262" s="56">
        <v>4.5974933242722713</v>
      </c>
      <c r="V262" s="56">
        <v>4.9682169196135586</v>
      </c>
      <c r="W262" s="59">
        <v>5.3524356465189822</v>
      </c>
    </row>
    <row r="263" spans="3:75" s="992" customFormat="1" x14ac:dyDescent="0.45">
      <c r="C263" s="1264"/>
      <c r="D263" s="377"/>
      <c r="E263" s="1261"/>
      <c r="F263" s="72">
        <v>700</v>
      </c>
      <c r="G263" s="56">
        <v>3.301841622184988</v>
      </c>
      <c r="H263" s="56">
        <v>3.3178890099275691</v>
      </c>
      <c r="I263" s="56">
        <v>3.3339716575063791</v>
      </c>
      <c r="J263" s="56">
        <v>3.3500895649214195</v>
      </c>
      <c r="K263" s="56">
        <v>3.3662427321726884</v>
      </c>
      <c r="L263" s="56">
        <v>3.3824311592601881</v>
      </c>
      <c r="M263" s="56">
        <v>3.3986548461839163</v>
      </c>
      <c r="N263" s="56">
        <v>3.4149137929438744</v>
      </c>
      <c r="O263" s="56">
        <v>3.4312079995400628</v>
      </c>
      <c r="P263" s="56">
        <v>3.4475374659724798</v>
      </c>
      <c r="Q263" s="56">
        <v>3.4639021922411279</v>
      </c>
      <c r="R263" s="56">
        <v>3.6294887459202267</v>
      </c>
      <c r="S263" s="56">
        <v>3.9712398041473076</v>
      </c>
      <c r="T263" s="56">
        <v>4.3270947968662297</v>
      </c>
      <c r="U263" s="56">
        <v>4.6970537240769943</v>
      </c>
      <c r="V263" s="56">
        <v>5.0811165857796015</v>
      </c>
      <c r="W263" s="59">
        <v>5.4792833819740494</v>
      </c>
    </row>
    <row r="264" spans="3:75" s="992" customFormat="1" x14ac:dyDescent="0.45">
      <c r="C264" s="1264"/>
      <c r="D264" s="377"/>
      <c r="E264" s="1261"/>
      <c r="F264" s="72">
        <v>800</v>
      </c>
      <c r="G264" s="56">
        <v>3.3541329858214843</v>
      </c>
      <c r="H264" s="56">
        <v>3.3707111172270565</v>
      </c>
      <c r="I264" s="56">
        <v>3.3873260304761788</v>
      </c>
      <c r="J264" s="56">
        <v>3.4039777255688488</v>
      </c>
      <c r="K264" s="56">
        <v>3.4206662025050676</v>
      </c>
      <c r="L264" s="56">
        <v>3.437391461284836</v>
      </c>
      <c r="M264" s="56">
        <v>3.4541535019081531</v>
      </c>
      <c r="N264" s="56">
        <v>3.4709523243750184</v>
      </c>
      <c r="O264" s="56">
        <v>3.487787928685433</v>
      </c>
      <c r="P264" s="56">
        <v>3.5046603148393967</v>
      </c>
      <c r="Q264" s="56">
        <v>3.5215694828369095</v>
      </c>
      <c r="R264" s="56">
        <v>3.692684164207221</v>
      </c>
      <c r="S264" s="56">
        <v>4.0459480800125052</v>
      </c>
      <c r="T264" s="56">
        <v>4.4139247332373373</v>
      </c>
      <c r="U264" s="56">
        <v>4.7966141238817164</v>
      </c>
      <c r="V264" s="56">
        <v>5.1940162519456434</v>
      </c>
      <c r="W264" s="59">
        <v>5.6061311174291166</v>
      </c>
    </row>
    <row r="265" spans="3:75" s="992" customFormat="1" ht="14.65" thickBot="1" x14ac:dyDescent="0.5">
      <c r="C265" s="1265"/>
      <c r="D265" s="377"/>
      <c r="E265" s="1262"/>
      <c r="F265" s="374">
        <v>900</v>
      </c>
      <c r="G265" s="57">
        <v>3.4064243494579811</v>
      </c>
      <c r="H265" s="57">
        <v>3.4235332245265453</v>
      </c>
      <c r="I265" s="57">
        <v>3.4406804034459775</v>
      </c>
      <c r="J265" s="57">
        <v>3.4578658862162781</v>
      </c>
      <c r="K265" s="57">
        <v>3.4750896728374472</v>
      </c>
      <c r="L265" s="57">
        <v>3.4923517633094843</v>
      </c>
      <c r="M265" s="57">
        <v>3.5096521576323898</v>
      </c>
      <c r="N265" s="57">
        <v>3.5269908558061629</v>
      </c>
      <c r="O265" s="57">
        <v>3.5443678578308044</v>
      </c>
      <c r="P265" s="57">
        <v>3.5617831637063144</v>
      </c>
      <c r="Q265" s="57">
        <v>3.5792367734326915</v>
      </c>
      <c r="R265" s="57">
        <v>3.7558795824942162</v>
      </c>
      <c r="S265" s="57">
        <v>4.1206563558777036</v>
      </c>
      <c r="T265" s="57">
        <v>4.5007546696084439</v>
      </c>
      <c r="U265" s="57">
        <v>4.8961745236864385</v>
      </c>
      <c r="V265" s="57">
        <v>5.3069159181116854</v>
      </c>
      <c r="W265" s="60">
        <v>5.7329788528841839</v>
      </c>
    </row>
    <row r="266" spans="3:75" s="992" customFormat="1" ht="14.65" thickBot="1" x14ac:dyDescent="0.5">
      <c r="D266" s="377"/>
      <c r="E266" s="1168"/>
      <c r="F266" s="321"/>
      <c r="G266" s="56"/>
      <c r="H266" s="56"/>
      <c r="I266" s="56"/>
      <c r="J266" s="56"/>
      <c r="K266" s="56"/>
      <c r="L266" s="56"/>
      <c r="M266" s="56"/>
      <c r="N266" s="56"/>
      <c r="O266" s="56"/>
      <c r="P266" s="56"/>
      <c r="Q266" s="56"/>
      <c r="R266" s="56"/>
      <c r="S266" s="56"/>
      <c r="T266" s="56"/>
      <c r="U266" s="56"/>
      <c r="V266" s="56"/>
      <c r="W266" s="56"/>
      <c r="X266" s="25"/>
    </row>
    <row r="267" spans="3:75" ht="14.65" thickBot="1" x14ac:dyDescent="0.5">
      <c r="D267" s="44" t="s">
        <v>553</v>
      </c>
      <c r="G267" s="25"/>
      <c r="H267" s="25"/>
      <c r="I267" s="25"/>
      <c r="J267" s="25"/>
      <c r="K267" s="25"/>
      <c r="L267" s="25"/>
      <c r="M267" s="25"/>
      <c r="N267" s="25"/>
      <c r="O267" s="25"/>
      <c r="P267" s="25"/>
      <c r="Q267" s="25"/>
      <c r="R267" s="25"/>
      <c r="S267" s="25"/>
      <c r="T267" s="25"/>
      <c r="U267" s="25"/>
      <c r="V267" s="25"/>
      <c r="W267" s="25"/>
      <c r="X267" s="25"/>
      <c r="Y267" s="25"/>
      <c r="Z267" s="25"/>
      <c r="AA267" s="1164"/>
      <c r="AB267" s="1164"/>
      <c r="AC267" s="1164"/>
      <c r="AD267" s="1164"/>
      <c r="AE267" s="1164"/>
      <c r="AF267" s="1164"/>
      <c r="AG267" s="1164"/>
      <c r="AH267" s="1164"/>
      <c r="AI267" s="1164"/>
      <c r="AJ267" s="1164"/>
      <c r="AK267" s="1164"/>
      <c r="AL267" s="1164"/>
      <c r="AM267" s="1164"/>
      <c r="AN267" s="1164"/>
      <c r="AO267" s="1164"/>
      <c r="AP267" s="1164"/>
      <c r="AQ267" s="1164"/>
      <c r="AR267" s="25"/>
      <c r="AS267" s="557"/>
      <c r="AT267" s="557"/>
      <c r="AU267" s="557"/>
      <c r="AV267" s="557"/>
      <c r="AW267" s="557"/>
      <c r="AX267" s="557"/>
      <c r="AY267" s="557"/>
      <c r="AZ267" s="557"/>
      <c r="BA267" s="557"/>
      <c r="BB267" s="557"/>
      <c r="BC267" s="557"/>
      <c r="BD267" s="557"/>
      <c r="BE267" s="557"/>
      <c r="BF267" s="557"/>
      <c r="BG267" s="557"/>
      <c r="BH267" s="557"/>
      <c r="BI267" s="557"/>
      <c r="BJ267" s="25"/>
      <c r="BK267" s="25"/>
      <c r="BL267" s="25"/>
      <c r="BM267" s="25"/>
      <c r="BN267" s="25"/>
      <c r="BO267" s="25"/>
      <c r="BP267" s="25"/>
      <c r="BQ267" s="25"/>
      <c r="BR267" s="25"/>
      <c r="BS267" s="25"/>
      <c r="BT267" s="25"/>
      <c r="BU267" s="25"/>
      <c r="BV267" s="25"/>
      <c r="BW267" s="25"/>
    </row>
    <row r="268" spans="3:75" ht="14.65" thickBot="1" x14ac:dyDescent="0.5">
      <c r="D268" s="1169" t="s">
        <v>551</v>
      </c>
      <c r="G268" s="240">
        <v>79.919988991168836</v>
      </c>
      <c r="H268" s="236">
        <v>79.280986865473494</v>
      </c>
      <c r="I268" s="236">
        <v>78.64713848613367</v>
      </c>
      <c r="J268" s="236">
        <v>78.018417837504941</v>
      </c>
      <c r="K268" s="236">
        <v>77.394799078748136</v>
      </c>
      <c r="L268" s="236">
        <v>76.776256542363797</v>
      </c>
      <c r="M268" s="236">
        <v>76.162764732740882</v>
      </c>
      <c r="N268" s="236">
        <v>75.090215517386184</v>
      </c>
      <c r="O268" s="236">
        <v>74.427662275105817</v>
      </c>
      <c r="P268" s="236">
        <v>73.770522072473952</v>
      </c>
      <c r="Q268" s="236">
        <v>73.11876796003385</v>
      </c>
      <c r="R268" s="236">
        <v>66.891658737289006</v>
      </c>
      <c r="S268" s="236">
        <v>53.393910688859926</v>
      </c>
      <c r="T268" s="236">
        <v>41.094947672188347</v>
      </c>
      <c r="U268" s="236">
        <v>29.583757541722225</v>
      </c>
      <c r="V268" s="236">
        <v>0</v>
      </c>
      <c r="W268" s="1170">
        <v>0</v>
      </c>
    </row>
    <row r="269" spans="3:75" ht="14.65" thickBot="1" x14ac:dyDescent="0.5">
      <c r="D269" s="969" t="s">
        <v>552</v>
      </c>
      <c r="G269" s="240">
        <v>80.158210938785075</v>
      </c>
      <c r="H269" s="236">
        <v>79.508978000606007</v>
      </c>
      <c r="I269" s="236">
        <v>78.865030994095221</v>
      </c>
      <c r="J269" s="236">
        <v>78.226342598289108</v>
      </c>
      <c r="K269" s="236">
        <v>77.592885680182135</v>
      </c>
      <c r="L269" s="236">
        <v>76.964633293113806</v>
      </c>
      <c r="M269" s="236">
        <v>76.341558675171186</v>
      </c>
      <c r="N269" s="236">
        <v>75.723635247608485</v>
      </c>
      <c r="O269" s="236">
        <v>74.755679740555308</v>
      </c>
      <c r="P269" s="236">
        <v>74.087133108780549</v>
      </c>
      <c r="Q269" s="236">
        <v>73.424119288541192</v>
      </c>
      <c r="R269" s="236">
        <v>67.092173405056499</v>
      </c>
      <c r="S269" s="236">
        <v>53.733542411900984</v>
      </c>
      <c r="T269" s="236">
        <v>41.403859835506118</v>
      </c>
      <c r="U269" s="236">
        <v>29.87413210855393</v>
      </c>
      <c r="V269" s="236">
        <v>0</v>
      </c>
      <c r="W269" s="1170">
        <v>0</v>
      </c>
    </row>
  </sheetData>
  <sheetProtection algorithmName="SHA-512" hashValue="OOnnYTMXMTSYFz2IHXTPEz6ftmhS+K0LOxmQaw11tbML2HbeRoK9UduZWm2NZSJZ8pOBwBAlSbWUyVu8LNsrnw==" saltValue="dCWvkhlGTx8YniappApXfQ==" spinCount="100000" scenarios="1"/>
  <mergeCells count="14">
    <mergeCell ref="E247:E265"/>
    <mergeCell ref="C162:C265"/>
    <mergeCell ref="C57:C160"/>
    <mergeCell ref="Y56:AQ56"/>
    <mergeCell ref="AS56:BI56"/>
    <mergeCell ref="E163:E181"/>
    <mergeCell ref="E184:E202"/>
    <mergeCell ref="E226:E244"/>
    <mergeCell ref="E205:E223"/>
    <mergeCell ref="E58:E76"/>
    <mergeCell ref="E79:E97"/>
    <mergeCell ref="E100:E118"/>
    <mergeCell ref="E121:E139"/>
    <mergeCell ref="E142:E160"/>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4582" r:id="rId4" name="CommandButton3">
          <controlPr defaultSize="0" autoFill="0" autoLine="0" r:id="rId5">
            <anchor moveWithCells="1">
              <from>
                <xdr:col>13</xdr:col>
                <xdr:colOff>276225</xdr:colOff>
                <xdr:row>52</xdr:row>
                <xdr:rowOff>171450</xdr:rowOff>
              </from>
              <to>
                <xdr:col>14</xdr:col>
                <xdr:colOff>509588</xdr:colOff>
                <xdr:row>55</xdr:row>
                <xdr:rowOff>38100</xdr:rowOff>
              </to>
            </anchor>
          </controlPr>
        </control>
      </mc:Choice>
      <mc:Fallback>
        <control shapeId="24582" r:id="rId4" name="CommandButton3"/>
      </mc:Fallback>
    </mc:AlternateContent>
    <mc:AlternateContent xmlns:mc="http://schemas.openxmlformats.org/markup-compatibility/2006">
      <mc:Choice Requires="x14">
        <control shapeId="24581" r:id="rId6" name="Spinner 5">
          <controlPr defaultSize="0" autoPict="0">
            <anchor moveWithCells="1" sizeWithCells="1">
              <from>
                <xdr:col>5</xdr:col>
                <xdr:colOff>19050</xdr:colOff>
                <xdr:row>2</xdr:row>
                <xdr:rowOff>142875</xdr:rowOff>
              </from>
              <to>
                <xdr:col>5</xdr:col>
                <xdr:colOff>438150</xdr:colOff>
                <xdr:row>4</xdr:row>
                <xdr:rowOff>0</xdr:rowOff>
              </to>
            </anchor>
          </controlPr>
        </control>
      </mc:Choice>
    </mc:AlternateContent>
    <mc:AlternateContent xmlns:mc="http://schemas.openxmlformats.org/markup-compatibility/2006">
      <mc:Choice Requires="x14">
        <control shapeId="24583" r:id="rId7" name="Spinner 7">
          <controlPr defaultSize="0" autoPict="0">
            <anchor moveWithCells="1" sizeWithCells="1">
              <from>
                <xdr:col>5</xdr:col>
                <xdr:colOff>19050</xdr:colOff>
                <xdr:row>2</xdr:row>
                <xdr:rowOff>142875</xdr:rowOff>
              </from>
              <to>
                <xdr:col>5</xdr:col>
                <xdr:colOff>438150</xdr:colOff>
                <xdr:row>4</xdr:row>
                <xdr:rowOff>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A867A-B888-45A2-A6A6-F1BF364B02F5}">
  <sheetPr codeName="Blad5"/>
  <dimension ref="B1:G20"/>
  <sheetViews>
    <sheetView workbookViewId="0">
      <selection activeCell="L18" sqref="L18"/>
    </sheetView>
  </sheetViews>
  <sheetFormatPr defaultRowHeight="14.25" x14ac:dyDescent="0.45"/>
  <cols>
    <col min="2" max="2" width="30.1328125" customWidth="1"/>
  </cols>
  <sheetData>
    <row r="1" spans="2:7" ht="14.65" thickBot="1" x14ac:dyDescent="0.5"/>
    <row r="2" spans="2:7" ht="14.65" thickBot="1" x14ac:dyDescent="0.5">
      <c r="B2" s="1031" t="s">
        <v>411</v>
      </c>
      <c r="C2" s="1032"/>
      <c r="D2" s="1032"/>
    </row>
    <row r="3" spans="2:7" ht="14.65" thickBot="1" x14ac:dyDescent="0.5">
      <c r="B3" s="992"/>
      <c r="C3" s="992"/>
      <c r="D3" s="992"/>
    </row>
    <row r="4" spans="2:7" ht="14.65" thickBot="1" x14ac:dyDescent="0.5">
      <c r="B4" s="999"/>
      <c r="C4" s="1023" t="s">
        <v>410</v>
      </c>
      <c r="D4" s="1024" t="s">
        <v>42</v>
      </c>
    </row>
    <row r="5" spans="2:7" x14ac:dyDescent="0.45">
      <c r="B5" s="1010" t="s">
        <v>409</v>
      </c>
      <c r="C5" s="1017">
        <v>550</v>
      </c>
      <c r="D5" s="1004">
        <v>550</v>
      </c>
    </row>
    <row r="6" spans="2:7" x14ac:dyDescent="0.45">
      <c r="B6" s="1011" t="s">
        <v>408</v>
      </c>
      <c r="C6" s="1018">
        <v>100</v>
      </c>
      <c r="D6" s="1005">
        <v>100</v>
      </c>
    </row>
    <row r="7" spans="2:7" x14ac:dyDescent="0.45">
      <c r="B7" s="1012" t="s">
        <v>407</v>
      </c>
      <c r="C7" s="1019">
        <v>9.1786445236205996</v>
      </c>
      <c r="D7" s="1007">
        <v>9.1786445236205996</v>
      </c>
    </row>
    <row r="8" spans="2:7" x14ac:dyDescent="0.45">
      <c r="B8" s="1012" t="s">
        <v>406</v>
      </c>
      <c r="C8" s="1019">
        <v>12.0735450532125</v>
      </c>
      <c r="D8" s="1007">
        <v>12.0735450532125</v>
      </c>
    </row>
    <row r="9" spans="2:7" x14ac:dyDescent="0.45">
      <c r="B9" s="1012" t="s">
        <v>405</v>
      </c>
      <c r="C9" s="1019">
        <v>-128.16055297851599</v>
      </c>
      <c r="D9" s="1007">
        <v>-128.16055297851599</v>
      </c>
    </row>
    <row r="10" spans="2:7" x14ac:dyDescent="0.45">
      <c r="B10" s="1012" t="s">
        <v>404</v>
      </c>
      <c r="C10" s="1020">
        <v>50</v>
      </c>
      <c r="D10" s="1016">
        <v>50</v>
      </c>
    </row>
    <row r="11" spans="2:7" ht="26.65" x14ac:dyDescent="0.45">
      <c r="B11" s="1012" t="s">
        <v>403</v>
      </c>
      <c r="C11" s="1020">
        <v>888.64518601463499</v>
      </c>
      <c r="D11" s="1016">
        <v>888.64518601463499</v>
      </c>
    </row>
    <row r="12" spans="2:7" x14ac:dyDescent="0.45">
      <c r="B12" s="1012" t="s">
        <v>402</v>
      </c>
      <c r="C12" s="1021">
        <v>0.70861474958764104</v>
      </c>
      <c r="D12" s="1006">
        <v>0.60232253714949502</v>
      </c>
    </row>
    <row r="13" spans="2:7" x14ac:dyDescent="0.45">
      <c r="B13" s="1012" t="s">
        <v>401</v>
      </c>
      <c r="C13" s="1019">
        <v>1000</v>
      </c>
      <c r="D13" s="1007">
        <v>1000</v>
      </c>
    </row>
    <row r="14" spans="2:7" x14ac:dyDescent="0.45">
      <c r="B14" s="1012" t="s">
        <v>400</v>
      </c>
      <c r="C14" s="1019">
        <v>6207.4652063877402</v>
      </c>
      <c r="D14" s="1007">
        <v>5276.3454254295702</v>
      </c>
      <c r="G14" t="s">
        <v>458</v>
      </c>
    </row>
    <row r="15" spans="2:7" ht="26.65" x14ac:dyDescent="0.45">
      <c r="B15" s="1012" t="s">
        <v>399</v>
      </c>
      <c r="C15" s="1019">
        <v>5834.8866840491601</v>
      </c>
      <c r="D15" s="1007">
        <v>5276.3454254295702</v>
      </c>
      <c r="G15" t="s">
        <v>457</v>
      </c>
    </row>
    <row r="16" spans="2:7" ht="14.65" thickBot="1" x14ac:dyDescent="0.5">
      <c r="B16" s="1013" t="s">
        <v>398</v>
      </c>
      <c r="C16" s="1022">
        <v>5808.5211100308697</v>
      </c>
      <c r="D16" s="1008">
        <v>5276.3454254295702</v>
      </c>
    </row>
    <row r="17" spans="2:5" x14ac:dyDescent="0.45">
      <c r="B17" s="1014" t="s">
        <v>397</v>
      </c>
      <c r="C17" s="1025">
        <v>38.819136839140199</v>
      </c>
      <c r="D17" s="1026">
        <v>60.764077933074397</v>
      </c>
      <c r="E17" s="1009" t="s">
        <v>396</v>
      </c>
    </row>
    <row r="18" spans="2:5" x14ac:dyDescent="0.45">
      <c r="B18" s="1014" t="s">
        <v>394</v>
      </c>
      <c r="C18" s="1027">
        <v>93.918743301775706</v>
      </c>
      <c r="D18" s="1028">
        <v>109.895105236625</v>
      </c>
      <c r="E18" s="1009" t="s">
        <v>396</v>
      </c>
    </row>
    <row r="19" spans="2:5" x14ac:dyDescent="0.45">
      <c r="B19" s="1014" t="s">
        <v>395</v>
      </c>
      <c r="C19" s="1027"/>
      <c r="D19" s="1028">
        <v>2.3934362657058701</v>
      </c>
      <c r="E19" s="1009" t="s">
        <v>393</v>
      </c>
    </row>
    <row r="20" spans="2:5" ht="14.65" thickBot="1" x14ac:dyDescent="0.5">
      <c r="B20" s="1015" t="s">
        <v>394</v>
      </c>
      <c r="C20" s="1029"/>
      <c r="D20" s="1030">
        <v>4.3286583001654302</v>
      </c>
      <c r="E20" s="1009" t="s">
        <v>393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CD02543-5A7C-410C-960E-43A89E8CAB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60</vt:i4>
      </vt:variant>
    </vt:vector>
  </HeadingPairs>
  <TitlesOfParts>
    <vt:vector size="67" baseType="lpstr">
      <vt:lpstr>Introduction</vt:lpstr>
      <vt:lpstr>Results</vt:lpstr>
      <vt:lpstr>Calculations</vt:lpstr>
      <vt:lpstr>Hidden</vt:lpstr>
      <vt:lpstr>Learning rates</vt:lpstr>
      <vt:lpstr>Matlab Export</vt:lpstr>
      <vt:lpstr>Matlab Results</vt:lpstr>
      <vt:lpstr>CalcCAPEX</vt:lpstr>
      <vt:lpstr>CalcCAPEXfloating</vt:lpstr>
      <vt:lpstr>CalcCAPEXMonopile</vt:lpstr>
      <vt:lpstr>CalcCAPEXturbineBF</vt:lpstr>
      <vt:lpstr>CalcCAPEXturbineFL</vt:lpstr>
      <vt:lpstr>CalcCapFact20MW2050</vt:lpstr>
      <vt:lpstr>CalcCostBreakdownEBF</vt:lpstr>
      <vt:lpstr>CalcCostBreakdownEFL</vt:lpstr>
      <vt:lpstr>CalcCostBreakdownH2BF</vt:lpstr>
      <vt:lpstr>CalcCostBreakdownH2FL</vt:lpstr>
      <vt:lpstr>CalcCostScen</vt:lpstr>
      <vt:lpstr>CalcDepth</vt:lpstr>
      <vt:lpstr>CalcDepthGraphs</vt:lpstr>
      <vt:lpstr>CalcDistance</vt:lpstr>
      <vt:lpstr>CalcDistanceGraphs</vt:lpstr>
      <vt:lpstr>CalcEpriceBF_onshore</vt:lpstr>
      <vt:lpstr>CalcEpriceBF_turbineBottom</vt:lpstr>
      <vt:lpstr>CalcEpriceFL_onshore</vt:lpstr>
      <vt:lpstr>CalcEpriceFL_turbineBottom</vt:lpstr>
      <vt:lpstr>CalcMainResults</vt:lpstr>
      <vt:lpstr>CalcMatLabResults</vt:lpstr>
      <vt:lpstr>CalcMatLabResultsBF</vt:lpstr>
      <vt:lpstr>CalcMatlabResultsFL</vt:lpstr>
      <vt:lpstr>CalcOp_Man</vt:lpstr>
      <vt:lpstr>CalcParameters</vt:lpstr>
      <vt:lpstr>CalcSensitivityGraphs</vt:lpstr>
      <vt:lpstr>CalcWACC</vt:lpstr>
      <vt:lpstr>Depth_Floating</vt:lpstr>
      <vt:lpstr>Depth_MonopileMass</vt:lpstr>
      <vt:lpstr>Dist_Floating</vt:lpstr>
      <vt:lpstr>Dist_Maintenance</vt:lpstr>
      <vt:lpstr>Dist_Monopile</vt:lpstr>
      <vt:lpstr>HidDefaultCostScen</vt:lpstr>
      <vt:lpstr>HidDefaultParameters</vt:lpstr>
      <vt:lpstr>HidNoneCostScen</vt:lpstr>
      <vt:lpstr>HidProREScostScen</vt:lpstr>
      <vt:lpstr>HidReferenceCostScen</vt:lpstr>
      <vt:lpstr>HidUserDefCostScen</vt:lpstr>
      <vt:lpstr>HidUserDefParameters</vt:lpstr>
      <vt:lpstr>MatlabExport</vt:lpstr>
      <vt:lpstr>MatlabExportWACC</vt:lpstr>
      <vt:lpstr>ResCalcResultsLCOE</vt:lpstr>
      <vt:lpstr>ResCalcResultsLCOH</vt:lpstr>
      <vt:lpstr>ResDepth</vt:lpstr>
      <vt:lpstr>ResDepthDistanceLabel</vt:lpstr>
      <vt:lpstr>ResDepthWACCLabel</vt:lpstr>
      <vt:lpstr>ResDistance</vt:lpstr>
      <vt:lpstr>ResDistanceDepthLabel</vt:lpstr>
      <vt:lpstr>ResDistanceWACCLabel</vt:lpstr>
      <vt:lpstr>ResMaxDepth</vt:lpstr>
      <vt:lpstr>ResMaxDistance</vt:lpstr>
      <vt:lpstr>ResMinDepth</vt:lpstr>
      <vt:lpstr>ResMinDistance</vt:lpstr>
      <vt:lpstr>ResSensDepthBF</vt:lpstr>
      <vt:lpstr>ResSensDepthFL</vt:lpstr>
      <vt:lpstr>ResSensDistanceBF</vt:lpstr>
      <vt:lpstr>ResSensDistanceFL</vt:lpstr>
      <vt:lpstr>ResSensTable</vt:lpstr>
      <vt:lpstr>ResWACC</vt:lpstr>
      <vt:lpstr>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Hellinga</dc:creator>
  <cp:lastModifiedBy>Koen Rodewijk</cp:lastModifiedBy>
  <dcterms:created xsi:type="dcterms:W3CDTF">2021-02-04T20:25:33Z</dcterms:created>
  <dcterms:modified xsi:type="dcterms:W3CDTF">2021-12-07T21:52:39Z</dcterms:modified>
</cp:coreProperties>
</file>