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t 1" sheetId="1" r:id="rId4"/>
    <sheet state="visible" name="Quadrat 2" sheetId="2" r:id="rId5"/>
    <sheet state="visible" name="Quadrat 3" sheetId="3" r:id="rId6"/>
    <sheet state="visible" name="Quadrat 4" sheetId="4" r:id="rId7"/>
    <sheet state="visible" name="Quadrat 5" sheetId="5" r:id="rId8"/>
    <sheet state="visible" name="Quadrat 6" sheetId="6" r:id="rId9"/>
    <sheet state="visible" name="All Quadrats" sheetId="7" r:id="rId10"/>
    <sheet state="visible" name="Characteristics" sheetId="8" r:id="rId11"/>
    <sheet state="visible" name="Master_length" sheetId="9" r:id="rId12"/>
    <sheet state="visible" name="Metadata" sheetId="10" r:id="rId13"/>
  </sheets>
  <definedNames/>
  <calcPr/>
  <extLst>
    <ext uri="GoogleSheetsCustomDataVersion2">
      <go:sheetsCustomData xmlns:go="http://customooxmlschemas.google.com/" r:id="rId14" roundtripDataChecksum="LNiDU4FCTjcax3foxK4eXoQSiM6u/TCPqVz5UsiJrCA="/>
    </ext>
  </extLst>
</workbook>
</file>

<file path=xl/sharedStrings.xml><?xml version="1.0" encoding="utf-8"?>
<sst xmlns="http://schemas.openxmlformats.org/spreadsheetml/2006/main" count="161" uniqueCount="40">
  <si>
    <t>Quadrat</t>
  </si>
  <si>
    <t>% Cover</t>
  </si>
  <si>
    <t>Quadrat 1 Summary</t>
  </si>
  <si>
    <t>Count</t>
  </si>
  <si>
    <t>% total</t>
  </si>
  <si>
    <t>Mean</t>
  </si>
  <si>
    <t>Minimum</t>
  </si>
  <si>
    <t>Maximum</t>
  </si>
  <si>
    <t>Extra (101+)</t>
  </si>
  <si>
    <t>total count</t>
  </si>
  <si>
    <t>live oysters / m2</t>
  </si>
  <si>
    <t>Shell Height (mm)</t>
  </si>
  <si>
    <t>Live</t>
  </si>
  <si>
    <t>Dead (Box)</t>
  </si>
  <si>
    <t xml:space="preserve">Gaper </t>
  </si>
  <si>
    <t>Gaper</t>
  </si>
  <si>
    <t xml:space="preserve">Total </t>
  </si>
  <si>
    <t>All Quadrat Summary</t>
  </si>
  <si>
    <t>Field ID</t>
  </si>
  <si>
    <t>Date</t>
  </si>
  <si>
    <t>Site</t>
  </si>
  <si>
    <t>State</t>
  </si>
  <si>
    <t>Quadrat_size</t>
  </si>
  <si>
    <t>Percent_coverage</t>
  </si>
  <si>
    <t>Live_count</t>
  </si>
  <si>
    <t>Box_count</t>
  </si>
  <si>
    <t>Gaper_count</t>
  </si>
  <si>
    <t>Bed_height</t>
  </si>
  <si>
    <t>Rugosity</t>
  </si>
  <si>
    <t>GOLD</t>
  </si>
  <si>
    <t>CT</t>
  </si>
  <si>
    <t>Date_collected</t>
  </si>
  <si>
    <t>Height_live</t>
  </si>
  <si>
    <t>Height_box</t>
  </si>
  <si>
    <t>Height_gaper</t>
  </si>
  <si>
    <t>NY</t>
  </si>
  <si>
    <t xml:space="preserve">Notes: </t>
  </si>
  <si>
    <t>In the Characteristics sheet, Bed height and rugosity measurments are not associated with specific quadrats</t>
  </si>
  <si>
    <t xml:space="preserve">In Characteristics sheet, only white columns or yellow rows are editable by others. Gray columns are locked and auto-populate. </t>
  </si>
  <si>
    <t>Master_length sheet alternative : =TRANSPOSE(SPLIT(JOIN(",", 'Quadrat 1'!B5:B, 'Quadrat 2'!B5:B, 'Quadrat 3'!B5:B), ","))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</si>
</sst>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17">
    <font>
      <sz val="10.0"/>
      <color rgb="FF000000"/>
      <name val="Arial"/>
      <scheme val="minor"/>
    </font>
    <font>
      <b/>
      <sz val="17.0"/>
      <color theme="1"/>
      <name val="Arial"/>
    </font>
    <font>
      <sz val="15.0"/>
      <color theme="1"/>
      <name val="Arial"/>
    </font>
    <font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5.0"/>
      <color theme="1"/>
      <name val="Arial"/>
    </font>
    <font>
      <b/>
      <color theme="1"/>
      <name val="Arial"/>
    </font>
    <font>
      <sz val="10.0"/>
      <color rgb="FF000000"/>
      <name val="Arial"/>
    </font>
    <font>
      <sz val="9.0"/>
      <color rgb="FF000000"/>
      <name val="Arial"/>
    </font>
    <font>
      <color theme="1"/>
      <name val="Arial"/>
      <scheme val="minor"/>
    </font>
    <font>
      <sz val="11.0"/>
      <color rgb="FF000000"/>
      <name val="&quot;söhne mono&quot;"/>
    </font>
    <font>
      <sz val="11.0"/>
      <color rgb="FF1F1F1F"/>
      <name val="Arial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3" fontId="4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4" fontId="1" numFmtId="0" xfId="0" applyAlignment="1" applyFill="1" applyFont="1">
      <alignment horizontal="center"/>
    </xf>
    <xf borderId="0" fillId="4" fontId="3" numFmtId="0" xfId="0" applyAlignment="1" applyFont="1">
      <alignment horizontal="center"/>
    </xf>
    <xf borderId="0" fillId="3" fontId="7" numFmtId="0" xfId="0" applyAlignment="1" applyFont="1">
      <alignment horizontal="center"/>
    </xf>
    <xf borderId="0" fillId="3" fontId="7" numFmtId="0" xfId="0" applyFont="1"/>
    <xf borderId="0" fillId="2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5" fontId="5" numFmtId="0" xfId="0" applyAlignment="1" applyFill="1" applyFont="1">
      <alignment horizontal="center"/>
    </xf>
    <xf borderId="0" fillId="5" fontId="3" numFmtId="0" xfId="0" applyAlignment="1" applyFont="1">
      <alignment horizontal="center"/>
    </xf>
    <xf borderId="0" fillId="5" fontId="8" numFmtId="0" xfId="0" applyAlignment="1" applyFont="1">
      <alignment horizontal="center"/>
    </xf>
    <xf borderId="0" fillId="5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Font="1"/>
    <xf borderId="1" fillId="2" fontId="7" numFmtId="0" xfId="0" applyAlignment="1" applyBorder="1" applyFont="1">
      <alignment horizontal="center"/>
    </xf>
    <xf borderId="2" fillId="2" fontId="7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4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0" fillId="2" fontId="9" numFmtId="0" xfId="0" applyAlignment="1" applyFont="1">
      <alignment horizontal="center"/>
    </xf>
    <xf borderId="0" fillId="0" fontId="10" numFmtId="0" xfId="0" applyFont="1"/>
    <xf borderId="0" fillId="5" fontId="8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3" fontId="3" numFmtId="0" xfId="0" applyFont="1"/>
    <xf borderId="0" fillId="5" fontId="8" numFmtId="0" xfId="0" applyFont="1"/>
    <xf borderId="0" fillId="5" fontId="11" numFmtId="0" xfId="0" applyAlignment="1" applyFont="1">
      <alignment horizontal="center"/>
    </xf>
    <xf borderId="0" fillId="5" fontId="3" numFmtId="0" xfId="0" applyFont="1"/>
    <xf borderId="0" fillId="5" fontId="8" numFmtId="0" xfId="0" applyAlignment="1" applyFont="1">
      <alignment horizontal="center" vertical="bottom"/>
    </xf>
    <xf borderId="0" fillId="6" fontId="3" numFmtId="0" xfId="0" applyFill="1" applyFont="1"/>
    <xf borderId="0" fillId="6" fontId="8" numFmtId="0" xfId="0" applyAlignment="1" applyFont="1">
      <alignment horizontal="center"/>
    </xf>
    <xf borderId="0" fillId="7" fontId="12" numFmtId="164" xfId="0" applyFill="1" applyFont="1" applyNumberFormat="1"/>
    <xf borderId="0" fillId="8" fontId="3" numFmtId="164" xfId="0" applyAlignment="1" applyFill="1" applyFont="1" applyNumberFormat="1">
      <alignment readingOrder="0"/>
    </xf>
    <xf borderId="0" fillId="8" fontId="3" numFmtId="0" xfId="0" applyAlignment="1" applyFont="1">
      <alignment readingOrder="0"/>
    </xf>
    <xf borderId="0" fillId="8" fontId="3" numFmtId="0" xfId="0" applyFont="1"/>
    <xf borderId="0" fillId="0" fontId="3" numFmtId="0" xfId="0" applyAlignment="1" applyFont="1">
      <alignment horizontal="right" readingOrder="0" vertical="bottom"/>
    </xf>
    <xf borderId="0" fillId="7" fontId="3" numFmtId="0" xfId="0" applyFont="1"/>
    <xf borderId="0" fillId="0" fontId="13" numFmtId="0" xfId="0" applyAlignment="1" applyFont="1">
      <alignment readingOrder="0"/>
    </xf>
    <xf borderId="0" fillId="0" fontId="13" numFmtId="0" xfId="0" applyFont="1"/>
    <xf borderId="0" fillId="7" fontId="3" numFmtId="164" xfId="0" applyFont="1" applyNumberFormat="1"/>
    <xf borderId="0" fillId="7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6" fontId="12" numFmtId="164" xfId="0" applyFont="1" applyNumberFormat="1"/>
    <xf borderId="0" fillId="6" fontId="3" numFmtId="164" xfId="0" applyFont="1" applyNumberFormat="1"/>
    <xf borderId="0" fillId="5" fontId="3" numFmtId="0" xfId="0" applyAlignment="1" applyFont="1">
      <alignment readingOrder="0"/>
    </xf>
    <xf borderId="0" fillId="9" fontId="12" numFmtId="164" xfId="0" applyFill="1" applyFont="1" applyNumberFormat="1"/>
    <xf borderId="0" fillId="8" fontId="3" numFmtId="164" xfId="0" applyAlignment="1" applyFont="1" applyNumberFormat="1">
      <alignment horizontal="right" readingOrder="0" vertical="bottom"/>
    </xf>
    <xf borderId="0" fillId="8" fontId="3" numFmtId="0" xfId="0" applyAlignment="1" applyFont="1">
      <alignment readingOrder="0" vertical="bottom"/>
    </xf>
    <xf borderId="0" fillId="8" fontId="3" numFmtId="0" xfId="0" applyAlignment="1" applyFont="1">
      <alignment vertical="bottom"/>
    </xf>
    <xf borderId="0" fillId="9" fontId="14" numFmtId="0" xfId="0" applyAlignment="1" applyFont="1">
      <alignment horizontal="right"/>
    </xf>
    <xf borderId="0" fillId="9" fontId="3" numFmtId="0" xfId="0" applyFont="1"/>
    <xf borderId="0" fillId="6" fontId="15" numFmtId="0" xfId="0" applyFont="1"/>
    <xf borderId="0" fillId="7" fontId="3" numFmtId="164" xfId="0" applyAlignment="1" applyFont="1" applyNumberFormat="1">
      <alignment horizontal="right" vertical="bottom"/>
    </xf>
    <xf borderId="0" fillId="7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2" numFmtId="164" xfId="0" applyFont="1" applyNumberForma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6" fontId="1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/>
      <c r="C1" s="2"/>
      <c r="D1" s="2" t="s">
        <v>1</v>
      </c>
      <c r="F1" s="3"/>
      <c r="G1" s="4" t="s">
        <v>2</v>
      </c>
      <c r="N1" s="5"/>
      <c r="O1" s="6"/>
      <c r="P1" s="6"/>
      <c r="Q1" s="7"/>
      <c r="R1" s="6"/>
      <c r="S1" s="6"/>
      <c r="T1" s="6"/>
      <c r="U1" s="6"/>
      <c r="V1" s="7"/>
      <c r="W1" s="6"/>
      <c r="X1" s="6"/>
      <c r="Y1" s="6"/>
      <c r="Z1" s="6"/>
      <c r="AA1" s="7"/>
      <c r="AB1" s="6"/>
      <c r="AC1" s="6"/>
      <c r="AD1" s="6"/>
      <c r="AE1" s="6"/>
    </row>
    <row r="2" ht="15.75" customHeight="1">
      <c r="A2" s="8">
        <v>1.0</v>
      </c>
      <c r="B2" s="9"/>
      <c r="C2" s="9"/>
      <c r="D2" s="8"/>
      <c r="F2" s="10"/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1" t="s">
        <v>9</v>
      </c>
      <c r="N2" s="11" t="s">
        <v>10</v>
      </c>
    </row>
    <row r="3" ht="15.75" customHeight="1">
      <c r="A3" s="12" t="s">
        <v>11</v>
      </c>
      <c r="E3" s="13"/>
      <c r="F3" s="14" t="s">
        <v>12</v>
      </c>
      <c r="G3" s="15">
        <f>COUNTA(B5:B1002)</f>
        <v>2</v>
      </c>
      <c r="H3" s="15">
        <f>G3/G6*100</f>
        <v>15.38461538</v>
      </c>
      <c r="I3" s="15">
        <f>average(B5:B1002)</f>
        <v>88.815</v>
      </c>
      <c r="J3" s="15">
        <f>MIN(B5:B1002)</f>
        <v>87.54</v>
      </c>
      <c r="K3" s="15">
        <f>max(B5:B1002)</f>
        <v>90.09</v>
      </c>
      <c r="L3" s="16"/>
      <c r="M3" s="16">
        <f t="shared" ref="M3:M5" si="1">L3+G3</f>
        <v>2</v>
      </c>
      <c r="N3" s="17">
        <f>M3*4</f>
        <v>8</v>
      </c>
      <c r="O3" s="13"/>
      <c r="P3" s="13"/>
      <c r="Q3" s="18"/>
      <c r="R3" s="19"/>
      <c r="S3" s="13"/>
      <c r="T3" s="13"/>
      <c r="U3" s="13"/>
      <c r="V3" s="18"/>
      <c r="W3" s="19"/>
      <c r="X3" s="13"/>
      <c r="Y3" s="13"/>
      <c r="Z3" s="13"/>
      <c r="AA3" s="18"/>
      <c r="AB3" s="19"/>
      <c r="AC3" s="13"/>
      <c r="AD3" s="13"/>
      <c r="AE3" s="13"/>
    </row>
    <row r="4" ht="15.75" customHeight="1">
      <c r="A4" s="12" t="s">
        <v>3</v>
      </c>
      <c r="B4" s="20" t="s">
        <v>12</v>
      </c>
      <c r="C4" s="20" t="s">
        <v>13</v>
      </c>
      <c r="D4" s="21" t="s">
        <v>14</v>
      </c>
      <c r="E4" s="22"/>
      <c r="F4" s="14" t="s">
        <v>13</v>
      </c>
      <c r="G4" s="15">
        <f>counta(C5:C1002)</f>
        <v>11</v>
      </c>
      <c r="H4" s="15">
        <f>G4/G6*100</f>
        <v>84.61538462</v>
      </c>
      <c r="I4" s="15">
        <f>average(C5:C1002)</f>
        <v>55.88454545</v>
      </c>
      <c r="J4" s="15">
        <f>min(C5:C1002)</f>
        <v>28.15</v>
      </c>
      <c r="K4" s="15">
        <f>max(C5:C1002)</f>
        <v>80.46</v>
      </c>
      <c r="L4" s="15"/>
      <c r="M4" s="15">
        <f t="shared" si="1"/>
        <v>11</v>
      </c>
      <c r="N4" s="15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ht="15.75" customHeight="1">
      <c r="A5" s="9">
        <v>1.0</v>
      </c>
      <c r="B5" s="23"/>
      <c r="C5" s="23">
        <v>80.46</v>
      </c>
      <c r="D5" s="24"/>
      <c r="E5" s="22"/>
      <c r="F5" s="14" t="s">
        <v>15</v>
      </c>
      <c r="G5" s="15">
        <f>COUNTA(D5:D1002)</f>
        <v>0</v>
      </c>
      <c r="H5" s="15">
        <f>G5/G6*100</f>
        <v>0</v>
      </c>
      <c r="I5" s="15" t="str">
        <f>average(D5:D1002)</f>
        <v>#DIV/0!</v>
      </c>
      <c r="J5" s="15">
        <f>min(D5:D1002)</f>
        <v>0</v>
      </c>
      <c r="K5" s="15">
        <f>max(D5:D1002)</f>
        <v>0</v>
      </c>
      <c r="L5" s="15"/>
      <c r="M5" s="15">
        <f t="shared" si="1"/>
        <v>0</v>
      </c>
      <c r="N5" s="15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ht="15.75" customHeight="1">
      <c r="A6" s="9">
        <v>2.0</v>
      </c>
      <c r="B6" s="25"/>
      <c r="C6" s="23">
        <v>39.63</v>
      </c>
      <c r="D6" s="24"/>
      <c r="E6" s="22"/>
      <c r="F6" s="14" t="s">
        <v>16</v>
      </c>
      <c r="G6" s="15">
        <f>COUNTA(B5:D1002)</f>
        <v>13</v>
      </c>
      <c r="H6" s="15">
        <f>G6/G6*100</f>
        <v>100</v>
      </c>
      <c r="I6" s="15">
        <f>average(B5:D1002)</f>
        <v>60.95076923</v>
      </c>
      <c r="J6" s="15">
        <f>min(B5:D1002)</f>
        <v>28.15</v>
      </c>
      <c r="K6" s="15">
        <f>max(B5:D1002)</f>
        <v>90.09</v>
      </c>
      <c r="L6" s="15"/>
      <c r="M6" s="15"/>
      <c r="N6" s="1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ht="15.75" customHeight="1">
      <c r="A7" s="9">
        <v>3.0</v>
      </c>
      <c r="B7" s="25"/>
      <c r="C7" s="23">
        <v>45.98</v>
      </c>
      <c r="D7" s="24"/>
      <c r="E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ht="15.75" customHeight="1">
      <c r="A8" s="9">
        <v>4.0</v>
      </c>
      <c r="B8" s="25"/>
      <c r="C8" s="23">
        <v>52.5</v>
      </c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ht="15.75" customHeight="1">
      <c r="A9" s="9">
        <v>5.0</v>
      </c>
      <c r="B9" s="25"/>
      <c r="C9" s="23">
        <v>28.15</v>
      </c>
      <c r="D9" s="24"/>
      <c r="E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ht="15.75" customHeight="1">
      <c r="A10" s="9">
        <v>6.0</v>
      </c>
      <c r="B10" s="25"/>
      <c r="C10" s="23">
        <v>68.97</v>
      </c>
      <c r="D10" s="24"/>
      <c r="E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ht="15.75" customHeight="1">
      <c r="A11" s="9">
        <v>7.0</v>
      </c>
      <c r="B11" s="23">
        <v>90.09</v>
      </c>
      <c r="C11" s="25"/>
      <c r="D11" s="24"/>
      <c r="E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ht="15.75" customHeight="1">
      <c r="A12" s="9">
        <v>8.0</v>
      </c>
      <c r="B12" s="25"/>
      <c r="C12" s="23">
        <v>75.36</v>
      </c>
      <c r="D12" s="2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ht="15.75" customHeight="1">
      <c r="A13" s="9">
        <v>9.0</v>
      </c>
      <c r="B13" s="25"/>
      <c r="C13" s="23">
        <v>61.85</v>
      </c>
      <c r="D13" s="2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ht="15.75" customHeight="1">
      <c r="A14" s="9">
        <v>10.0</v>
      </c>
      <c r="B14" s="25"/>
      <c r="C14" s="23">
        <v>57.67</v>
      </c>
      <c r="D14" s="2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ht="15.75" customHeight="1">
      <c r="A15" s="9">
        <v>11.0</v>
      </c>
      <c r="B15" s="25"/>
      <c r="C15" s="23">
        <v>48.33</v>
      </c>
      <c r="D15" s="2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ht="15.75" customHeight="1">
      <c r="A16" s="9">
        <v>12.0</v>
      </c>
      <c r="B16" s="23">
        <v>87.54</v>
      </c>
      <c r="C16" s="25"/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ht="15.75" customHeight="1">
      <c r="A17" s="9">
        <v>13.0</v>
      </c>
      <c r="B17" s="25"/>
      <c r="C17" s="23">
        <v>55.83</v>
      </c>
      <c r="D17" s="24"/>
      <c r="E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ht="15.75" customHeight="1">
      <c r="A18" s="9">
        <v>14.0</v>
      </c>
      <c r="B18" s="25"/>
      <c r="C18" s="25"/>
      <c r="D18" s="24"/>
      <c r="E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ht="15.75" customHeight="1">
      <c r="A19" s="9">
        <v>15.0</v>
      </c>
      <c r="B19" s="25"/>
      <c r="C19" s="25"/>
      <c r="D19" s="24"/>
      <c r="E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ht="15.75" customHeight="1">
      <c r="A20" s="9">
        <v>16.0</v>
      </c>
      <c r="B20" s="25"/>
      <c r="C20" s="25"/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ht="15.75" customHeight="1">
      <c r="A21" s="9">
        <v>17.0</v>
      </c>
      <c r="B21" s="25"/>
      <c r="C21" s="25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ht="15.75" customHeight="1">
      <c r="A22" s="9">
        <v>18.0</v>
      </c>
      <c r="B22" s="25"/>
      <c r="C22" s="25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ht="15.75" customHeight="1">
      <c r="A23" s="9">
        <v>19.0</v>
      </c>
      <c r="B23" s="25"/>
      <c r="C23" s="25"/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ht="15.75" customHeight="1">
      <c r="A24" s="9">
        <v>20.0</v>
      </c>
      <c r="B24" s="25"/>
      <c r="C24" s="25"/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ht="15.75" customHeight="1">
      <c r="A25" s="9">
        <v>21.0</v>
      </c>
      <c r="B25" s="25"/>
      <c r="C25" s="25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ht="15.75" customHeight="1">
      <c r="A26" s="9">
        <v>22.0</v>
      </c>
      <c r="B26" s="25"/>
      <c r="C26" s="25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ht="15.75" customHeight="1">
      <c r="A27" s="9">
        <v>23.0</v>
      </c>
      <c r="B27" s="25"/>
      <c r="C27" s="25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ht="15.75" customHeight="1">
      <c r="A28" s="9">
        <v>24.0</v>
      </c>
      <c r="B28" s="25"/>
      <c r="C28" s="25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ht="15.75" customHeight="1">
      <c r="A29" s="9">
        <v>25.0</v>
      </c>
      <c r="B29" s="25"/>
      <c r="C29" s="25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ht="15.75" customHeight="1">
      <c r="A30" s="9">
        <v>26.0</v>
      </c>
      <c r="B30" s="25"/>
      <c r="C30" s="25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ht="15.75" customHeight="1">
      <c r="A31" s="9">
        <v>27.0</v>
      </c>
      <c r="B31" s="25"/>
      <c r="C31" s="25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ht="15.75" customHeight="1">
      <c r="A32" s="9">
        <v>28.0</v>
      </c>
      <c r="B32" s="25"/>
      <c r="C32" s="25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ht="15.75" customHeight="1">
      <c r="A33" s="9">
        <v>29.0</v>
      </c>
      <c r="B33" s="25"/>
      <c r="C33" s="25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ht="15.75" customHeight="1">
      <c r="A34" s="9">
        <v>30.0</v>
      </c>
      <c r="B34" s="25"/>
      <c r="C34" s="25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ht="15.75" customHeight="1">
      <c r="A35" s="9">
        <v>31.0</v>
      </c>
      <c r="B35" s="25"/>
      <c r="C35" s="25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ht="15.75" customHeight="1">
      <c r="A36" s="9">
        <v>32.0</v>
      </c>
      <c r="B36" s="25"/>
      <c r="C36" s="25"/>
      <c r="D36" s="24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ht="15.75" customHeight="1">
      <c r="A37" s="9">
        <v>33.0</v>
      </c>
      <c r="B37" s="25"/>
      <c r="C37" s="25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ht="15.75" customHeight="1">
      <c r="A38" s="9">
        <v>34.0</v>
      </c>
      <c r="B38" s="25"/>
      <c r="C38" s="25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ht="15.75" customHeight="1">
      <c r="A39" s="9">
        <v>35.0</v>
      </c>
      <c r="B39" s="25"/>
      <c r="C39" s="25"/>
      <c r="D39" s="2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ht="15.75" customHeight="1">
      <c r="A40" s="9">
        <v>36.0</v>
      </c>
      <c r="B40" s="25"/>
      <c r="C40" s="25"/>
      <c r="D40" s="24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ht="15.75" customHeight="1">
      <c r="A41" s="9">
        <v>37.0</v>
      </c>
      <c r="B41" s="25"/>
      <c r="C41" s="25"/>
      <c r="D41" s="24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ht="15.75" customHeight="1">
      <c r="A42" s="9">
        <v>38.0</v>
      </c>
      <c r="B42" s="25"/>
      <c r="C42" s="25"/>
      <c r="D42" s="2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ht="15.75" customHeight="1">
      <c r="A43" s="9">
        <v>39.0</v>
      </c>
      <c r="B43" s="25"/>
      <c r="C43" s="25"/>
      <c r="D43" s="24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ht="15.75" customHeight="1">
      <c r="A44" s="9">
        <v>40.0</v>
      </c>
      <c r="B44" s="25"/>
      <c r="C44" s="25"/>
      <c r="D44" s="24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ht="15.75" customHeight="1">
      <c r="A45" s="9">
        <v>41.0</v>
      </c>
      <c r="B45" s="25"/>
      <c r="C45" s="25"/>
      <c r="D45" s="24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ht="15.75" customHeight="1">
      <c r="A46" s="9">
        <v>42.0</v>
      </c>
      <c r="B46" s="25"/>
      <c r="C46" s="25"/>
      <c r="D46" s="24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ht="15.75" customHeight="1">
      <c r="A47" s="9">
        <v>43.0</v>
      </c>
      <c r="B47" s="25"/>
      <c r="C47" s="25"/>
      <c r="D47" s="24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ht="15.75" customHeight="1">
      <c r="A48" s="9">
        <v>44.0</v>
      </c>
      <c r="B48" s="25"/>
      <c r="C48" s="25"/>
      <c r="D48" s="24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ht="15.75" customHeight="1">
      <c r="A49" s="9">
        <v>45.0</v>
      </c>
      <c r="B49" s="25"/>
      <c r="C49" s="25"/>
      <c r="D49" s="24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ht="15.75" customHeight="1">
      <c r="A50" s="9">
        <v>46.0</v>
      </c>
      <c r="B50" s="25"/>
      <c r="C50" s="25"/>
      <c r="D50" s="24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ht="15.75" customHeight="1">
      <c r="A51" s="9">
        <v>47.0</v>
      </c>
      <c r="B51" s="25"/>
      <c r="C51" s="25"/>
      <c r="D51" s="2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ht="15.75" customHeight="1">
      <c r="A52" s="9">
        <v>48.0</v>
      </c>
      <c r="B52" s="25"/>
      <c r="C52" s="25"/>
      <c r="D52" s="24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ht="15.75" customHeight="1">
      <c r="A53" s="9">
        <v>49.0</v>
      </c>
      <c r="B53" s="25"/>
      <c r="C53" s="25"/>
      <c r="D53" s="24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ht="15.75" customHeight="1">
      <c r="A54" s="9">
        <v>50.0</v>
      </c>
      <c r="B54" s="25"/>
      <c r="C54" s="25"/>
      <c r="D54" s="2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ht="15.75" customHeight="1">
      <c r="A55" s="9">
        <v>51.0</v>
      </c>
      <c r="B55" s="25"/>
      <c r="C55" s="25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ht="15.75" customHeight="1">
      <c r="A56" s="9">
        <v>52.0</v>
      </c>
      <c r="B56" s="25"/>
      <c r="C56" s="25"/>
      <c r="D56" s="24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ht="15.75" customHeight="1">
      <c r="A57" s="9">
        <v>53.0</v>
      </c>
      <c r="B57" s="25"/>
      <c r="C57" s="25"/>
      <c r="D57" s="2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ht="15.75" customHeight="1">
      <c r="A58" s="9">
        <v>54.0</v>
      </c>
      <c r="B58" s="25"/>
      <c r="C58" s="25"/>
      <c r="D58" s="24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ht="15.75" customHeight="1">
      <c r="A59" s="9">
        <v>55.0</v>
      </c>
      <c r="B59" s="25"/>
      <c r="C59" s="25"/>
      <c r="D59" s="24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ht="15.75" customHeight="1">
      <c r="A60" s="9">
        <v>56.0</v>
      </c>
      <c r="B60" s="25"/>
      <c r="C60" s="25"/>
      <c r="D60" s="2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ht="15.75" customHeight="1">
      <c r="A61" s="9">
        <v>57.0</v>
      </c>
      <c r="B61" s="25"/>
      <c r="C61" s="25"/>
      <c r="D61" s="24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ht="15.75" customHeight="1">
      <c r="A62" s="9">
        <v>58.0</v>
      </c>
      <c r="B62" s="25"/>
      <c r="C62" s="25"/>
      <c r="D62" s="24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ht="15.75" customHeight="1">
      <c r="A63" s="9">
        <v>59.0</v>
      </c>
      <c r="B63" s="25"/>
      <c r="C63" s="25"/>
      <c r="D63" s="24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ht="15.75" customHeight="1">
      <c r="A64" s="9">
        <v>60.0</v>
      </c>
      <c r="B64" s="25"/>
      <c r="C64" s="25"/>
      <c r="D64" s="24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ht="15.75" customHeight="1">
      <c r="A65" s="9">
        <v>61.0</v>
      </c>
      <c r="B65" s="25"/>
      <c r="C65" s="25"/>
      <c r="D65" s="24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ht="15.75" customHeight="1">
      <c r="A66" s="9">
        <v>62.0</v>
      </c>
      <c r="B66" s="25"/>
      <c r="C66" s="25"/>
      <c r="D66" s="24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ht="15.75" customHeight="1">
      <c r="A67" s="9">
        <v>63.0</v>
      </c>
      <c r="B67" s="25"/>
      <c r="C67" s="25"/>
      <c r="D67" s="24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ht="15.75" customHeight="1">
      <c r="A68" s="9">
        <v>64.0</v>
      </c>
      <c r="B68" s="25"/>
      <c r="C68" s="25"/>
      <c r="D68" s="24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ht="15.75" customHeight="1">
      <c r="A69" s="9">
        <v>65.0</v>
      </c>
      <c r="B69" s="25"/>
      <c r="C69" s="25"/>
      <c r="D69" s="24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ht="15.75" customHeight="1">
      <c r="A70" s="9">
        <v>66.0</v>
      </c>
      <c r="B70" s="25"/>
      <c r="C70" s="25"/>
      <c r="D70" s="24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ht="15.75" customHeight="1">
      <c r="A71" s="9">
        <v>67.0</v>
      </c>
      <c r="B71" s="25"/>
      <c r="C71" s="25"/>
      <c r="D71" s="24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ht="15.75" customHeight="1">
      <c r="A72" s="9">
        <v>68.0</v>
      </c>
      <c r="B72" s="25"/>
      <c r="C72" s="25"/>
      <c r="D72" s="24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ht="15.75" customHeight="1">
      <c r="A73" s="9">
        <v>69.0</v>
      </c>
      <c r="B73" s="25"/>
      <c r="C73" s="25"/>
      <c r="D73" s="24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ht="15.75" customHeight="1">
      <c r="A74" s="9">
        <v>70.0</v>
      </c>
      <c r="B74" s="25"/>
      <c r="C74" s="25"/>
      <c r="D74" s="24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ht="15.75" customHeight="1">
      <c r="A75" s="9">
        <v>71.0</v>
      </c>
      <c r="B75" s="25"/>
      <c r="C75" s="25"/>
      <c r="D75" s="24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ht="15.75" customHeight="1">
      <c r="A76" s="9">
        <v>72.0</v>
      </c>
      <c r="B76" s="25"/>
      <c r="C76" s="25"/>
      <c r="D76" s="24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ht="15.75" customHeight="1">
      <c r="A77" s="9">
        <v>73.0</v>
      </c>
      <c r="B77" s="25"/>
      <c r="C77" s="25"/>
      <c r="D77" s="24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ht="15.75" customHeight="1">
      <c r="A78" s="9">
        <v>74.0</v>
      </c>
      <c r="B78" s="25"/>
      <c r="C78" s="25"/>
      <c r="D78" s="24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ht="15.75" customHeight="1">
      <c r="A79" s="9">
        <v>75.0</v>
      </c>
      <c r="B79" s="25"/>
      <c r="C79" s="25"/>
      <c r="D79" s="24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ht="15.75" customHeight="1">
      <c r="A80" s="9">
        <v>76.0</v>
      </c>
      <c r="B80" s="25"/>
      <c r="C80" s="25"/>
      <c r="D80" s="24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ht="15.75" customHeight="1">
      <c r="A81" s="9">
        <v>77.0</v>
      </c>
      <c r="B81" s="25"/>
      <c r="C81" s="25"/>
      <c r="D81" s="24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ht="15.75" customHeight="1">
      <c r="A82" s="9">
        <v>78.0</v>
      </c>
      <c r="B82" s="25"/>
      <c r="C82" s="25"/>
      <c r="D82" s="24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ht="15.75" customHeight="1">
      <c r="A83" s="9">
        <v>79.0</v>
      </c>
      <c r="B83" s="25"/>
      <c r="C83" s="25"/>
      <c r="D83" s="24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ht="15.75" customHeight="1">
      <c r="A84" s="9">
        <v>80.0</v>
      </c>
      <c r="B84" s="25"/>
      <c r="C84" s="25"/>
      <c r="D84" s="24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ht="15.75" customHeight="1">
      <c r="A85" s="9">
        <v>81.0</v>
      </c>
      <c r="B85" s="25"/>
      <c r="C85" s="25"/>
      <c r="D85" s="24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ht="15.75" customHeight="1">
      <c r="A86" s="9">
        <v>82.0</v>
      </c>
      <c r="B86" s="25"/>
      <c r="C86" s="25"/>
      <c r="D86" s="24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ht="15.75" customHeight="1">
      <c r="A87" s="9">
        <v>83.0</v>
      </c>
      <c r="B87" s="25"/>
      <c r="C87" s="25"/>
      <c r="D87" s="24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ht="15.75" customHeight="1">
      <c r="A88" s="9">
        <v>84.0</v>
      </c>
      <c r="B88" s="25"/>
      <c r="C88" s="25"/>
      <c r="D88" s="24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ht="15.75" customHeight="1">
      <c r="A89" s="9">
        <v>85.0</v>
      </c>
      <c r="B89" s="25"/>
      <c r="C89" s="25"/>
      <c r="D89" s="24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ht="15.75" customHeight="1">
      <c r="A90" s="9">
        <v>86.0</v>
      </c>
      <c r="B90" s="25"/>
      <c r="C90" s="25"/>
      <c r="D90" s="24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ht="15.75" customHeight="1">
      <c r="A91" s="9">
        <v>87.0</v>
      </c>
      <c r="B91" s="25"/>
      <c r="C91" s="25"/>
      <c r="D91" s="24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ht="15.75" customHeight="1">
      <c r="A92" s="9">
        <v>88.0</v>
      </c>
      <c r="B92" s="25"/>
      <c r="C92" s="25"/>
      <c r="D92" s="24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ht="15.75" customHeight="1">
      <c r="A93" s="9">
        <v>89.0</v>
      </c>
      <c r="B93" s="25"/>
      <c r="C93" s="25"/>
      <c r="D93" s="24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ht="15.75" customHeight="1">
      <c r="A94" s="9">
        <v>90.0</v>
      </c>
      <c r="B94" s="25"/>
      <c r="C94" s="25"/>
      <c r="D94" s="24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ht="15.75" customHeight="1">
      <c r="A95" s="9">
        <v>91.0</v>
      </c>
      <c r="B95" s="25"/>
      <c r="C95" s="25"/>
      <c r="D95" s="24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ht="15.75" customHeight="1">
      <c r="A96" s="9">
        <v>92.0</v>
      </c>
      <c r="B96" s="25"/>
      <c r="C96" s="25"/>
      <c r="D96" s="24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ht="15.75" customHeight="1">
      <c r="A97" s="9">
        <v>93.0</v>
      </c>
      <c r="B97" s="25"/>
      <c r="C97" s="25"/>
      <c r="D97" s="24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ht="15.75" customHeight="1">
      <c r="A98" s="9">
        <v>94.0</v>
      </c>
      <c r="B98" s="25"/>
      <c r="C98" s="25"/>
      <c r="D98" s="24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ht="15.75" customHeight="1">
      <c r="A99" s="9">
        <v>95.0</v>
      </c>
      <c r="B99" s="25"/>
      <c r="C99" s="25"/>
      <c r="D99" s="24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ht="15.75" customHeight="1">
      <c r="A100" s="9">
        <v>96.0</v>
      </c>
      <c r="B100" s="25"/>
      <c r="C100" s="25"/>
      <c r="D100" s="24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ht="15.75" customHeight="1">
      <c r="A101" s="9">
        <v>97.0</v>
      </c>
      <c r="B101" s="25"/>
      <c r="C101" s="25"/>
      <c r="D101" s="24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ht="15.75" customHeight="1">
      <c r="A102" s="9">
        <v>98.0</v>
      </c>
      <c r="B102" s="25"/>
      <c r="C102" s="25"/>
      <c r="D102" s="24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ht="15.75" customHeight="1">
      <c r="A103" s="9">
        <v>99.0</v>
      </c>
      <c r="B103" s="25"/>
      <c r="C103" s="25"/>
      <c r="D103" s="24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ht="15.75" customHeight="1">
      <c r="A104" s="9">
        <v>100.0</v>
      </c>
      <c r="B104" s="25"/>
      <c r="C104" s="25"/>
      <c r="D104" s="24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ht="15.75" customHeight="1">
      <c r="A105" s="22"/>
      <c r="B105" s="26"/>
      <c r="C105" s="26"/>
      <c r="D105" s="27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ht="15.75" customHeight="1">
      <c r="A106" s="22"/>
      <c r="B106" s="26"/>
      <c r="C106" s="26"/>
      <c r="D106" s="27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ht="15.75" customHeight="1">
      <c r="A107" s="22"/>
      <c r="B107" s="26"/>
      <c r="C107" s="26"/>
      <c r="D107" s="27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ht="15.75" customHeight="1">
      <c r="A108" s="22"/>
      <c r="B108" s="26"/>
      <c r="C108" s="26"/>
      <c r="D108" s="27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ht="15.75" customHeight="1">
      <c r="A109" s="22"/>
      <c r="B109" s="26"/>
      <c r="C109" s="26"/>
      <c r="D109" s="27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ht="15.75" customHeight="1">
      <c r="A110" s="22"/>
      <c r="B110" s="26"/>
      <c r="C110" s="26"/>
      <c r="D110" s="27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ht="15.75" customHeight="1">
      <c r="A111" s="22"/>
      <c r="B111" s="26"/>
      <c r="C111" s="26"/>
      <c r="D111" s="27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ht="15.75" customHeight="1">
      <c r="A112" s="22"/>
      <c r="B112" s="26"/>
      <c r="C112" s="26"/>
      <c r="D112" s="27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ht="15.75" customHeight="1">
      <c r="A113" s="22"/>
      <c r="B113" s="26"/>
      <c r="C113" s="26"/>
      <c r="D113" s="27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ht="15.75" customHeight="1">
      <c r="A114" s="22"/>
      <c r="B114" s="26"/>
      <c r="C114" s="26"/>
      <c r="D114" s="27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ht="15.75" customHeight="1">
      <c r="A115" s="22"/>
      <c r="B115" s="26"/>
      <c r="C115" s="26"/>
      <c r="D115" s="27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ht="15.75" customHeight="1">
      <c r="A116" s="22"/>
      <c r="B116" s="26"/>
      <c r="C116" s="26"/>
      <c r="D116" s="2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ht="15.75" customHeight="1">
      <c r="A117" s="22"/>
      <c r="B117" s="26"/>
      <c r="C117" s="26"/>
      <c r="D117" s="27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ht="15.75" customHeight="1">
      <c r="A118" s="22"/>
      <c r="B118" s="26"/>
      <c r="C118" s="26"/>
      <c r="D118" s="27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ht="15.75" customHeight="1">
      <c r="A119" s="22"/>
      <c r="B119" s="26"/>
      <c r="C119" s="26"/>
      <c r="D119" s="27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ht="15.75" customHeight="1">
      <c r="A120" s="22"/>
      <c r="B120" s="26"/>
      <c r="C120" s="26"/>
      <c r="D120" s="27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ht="15.75" customHeight="1">
      <c r="A121" s="22"/>
      <c r="B121" s="26"/>
      <c r="C121" s="26"/>
      <c r="D121" s="27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ht="15.75" customHeight="1">
      <c r="A122" s="22"/>
      <c r="B122" s="26"/>
      <c r="C122" s="26"/>
      <c r="D122" s="27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ht="15.75" customHeight="1">
      <c r="A123" s="22"/>
      <c r="B123" s="26"/>
      <c r="C123" s="26"/>
      <c r="D123" s="27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ht="15.75" customHeight="1">
      <c r="A124" s="22"/>
      <c r="B124" s="26"/>
      <c r="C124" s="26"/>
      <c r="D124" s="27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ht="15.75" customHeight="1">
      <c r="A125" s="22"/>
      <c r="B125" s="26"/>
      <c r="C125" s="26"/>
      <c r="D125" s="27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ht="15.75" customHeight="1">
      <c r="A126" s="22"/>
      <c r="B126" s="26"/>
      <c r="C126" s="26"/>
      <c r="D126" s="27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ht="15.75" customHeight="1">
      <c r="A127" s="22"/>
      <c r="B127" s="26"/>
      <c r="C127" s="26"/>
      <c r="D127" s="27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ht="15.75" customHeight="1">
      <c r="A128" s="22"/>
      <c r="B128" s="26"/>
      <c r="C128" s="26"/>
      <c r="D128" s="27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ht="15.75" customHeight="1">
      <c r="A129" s="22"/>
      <c r="B129" s="26"/>
      <c r="C129" s="26"/>
      <c r="D129" s="27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ht="15.75" customHeight="1">
      <c r="A130" s="22"/>
      <c r="B130" s="26"/>
      <c r="C130" s="26"/>
      <c r="D130" s="27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ht="15.75" customHeight="1">
      <c r="A131" s="22"/>
      <c r="B131" s="26"/>
      <c r="C131" s="26"/>
      <c r="D131" s="27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ht="15.75" customHeight="1">
      <c r="A132" s="22"/>
      <c r="B132" s="26"/>
      <c r="C132" s="26"/>
      <c r="D132" s="27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ht="15.75" customHeight="1">
      <c r="A133" s="22"/>
      <c r="B133" s="26"/>
      <c r="C133" s="26"/>
      <c r="D133" s="27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ht="15.75" customHeight="1">
      <c r="A134" s="22"/>
      <c r="B134" s="26"/>
      <c r="C134" s="26"/>
      <c r="D134" s="27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ht="15.75" customHeight="1">
      <c r="A135" s="22"/>
      <c r="B135" s="26"/>
      <c r="C135" s="26"/>
      <c r="D135" s="27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ht="15.75" customHeight="1">
      <c r="A136" s="22"/>
      <c r="B136" s="26"/>
      <c r="C136" s="26"/>
      <c r="D136" s="27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ht="15.75" customHeight="1">
      <c r="A137" s="22"/>
      <c r="B137" s="26"/>
      <c r="C137" s="26"/>
      <c r="D137" s="27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ht="15.75" customHeight="1">
      <c r="A138" s="22"/>
      <c r="B138" s="26"/>
      <c r="C138" s="26"/>
      <c r="D138" s="27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ht="15.75" customHeight="1">
      <c r="A139" s="22"/>
      <c r="B139" s="26"/>
      <c r="C139" s="26"/>
      <c r="D139" s="27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ht="15.75" customHeight="1">
      <c r="A140" s="22"/>
      <c r="B140" s="26"/>
      <c r="C140" s="26"/>
      <c r="D140" s="27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ht="15.75" customHeight="1">
      <c r="A141" s="22"/>
      <c r="B141" s="26"/>
      <c r="C141" s="26"/>
      <c r="D141" s="27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ht="15.75" customHeight="1">
      <c r="A142" s="22"/>
      <c r="B142" s="26"/>
      <c r="C142" s="26"/>
      <c r="D142" s="27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ht="15.75" customHeight="1">
      <c r="A143" s="22"/>
      <c r="B143" s="26"/>
      <c r="C143" s="26"/>
      <c r="D143" s="27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ht="15.75" customHeight="1">
      <c r="A144" s="22"/>
      <c r="B144" s="26"/>
      <c r="C144" s="26"/>
      <c r="D144" s="27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ht="15.75" customHeight="1">
      <c r="A145" s="22"/>
      <c r="B145" s="26"/>
      <c r="C145" s="26"/>
      <c r="D145" s="27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ht="15.75" customHeight="1">
      <c r="A146" s="22"/>
      <c r="B146" s="26"/>
      <c r="C146" s="26"/>
      <c r="D146" s="27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ht="15.75" customHeight="1">
      <c r="A147" s="22"/>
      <c r="B147" s="26"/>
      <c r="C147" s="26"/>
      <c r="D147" s="27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ht="15.75" customHeight="1">
      <c r="A148" s="22"/>
      <c r="B148" s="26"/>
      <c r="C148" s="26"/>
      <c r="D148" s="27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ht="15.75" customHeight="1">
      <c r="A149" s="22"/>
      <c r="B149" s="26"/>
      <c r="C149" s="26"/>
      <c r="D149" s="27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ht="15.75" customHeight="1">
      <c r="A150" s="22"/>
      <c r="B150" s="26"/>
      <c r="C150" s="26"/>
      <c r="D150" s="27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ht="15.75" customHeight="1">
      <c r="A151" s="22"/>
      <c r="B151" s="26"/>
      <c r="C151" s="26"/>
      <c r="D151" s="27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ht="15.75" customHeight="1">
      <c r="A152" s="22"/>
      <c r="B152" s="26"/>
      <c r="C152" s="26"/>
      <c r="D152" s="27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ht="15.75" customHeight="1">
      <c r="A153" s="22"/>
      <c r="B153" s="26"/>
      <c r="C153" s="26"/>
      <c r="D153" s="27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ht="15.75" customHeight="1">
      <c r="A154" s="22"/>
      <c r="B154" s="26"/>
      <c r="C154" s="26"/>
      <c r="D154" s="27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ht="15.75" customHeight="1">
      <c r="A155" s="22"/>
      <c r="B155" s="26"/>
      <c r="C155" s="26"/>
      <c r="D155" s="27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ht="15.75" customHeight="1">
      <c r="A156" s="22"/>
      <c r="B156" s="26"/>
      <c r="C156" s="26"/>
      <c r="D156" s="27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ht="15.75" customHeight="1">
      <c r="A157" s="22"/>
      <c r="B157" s="26"/>
      <c r="C157" s="26"/>
      <c r="D157" s="27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ht="15.75" customHeight="1">
      <c r="A158" s="22"/>
      <c r="B158" s="26"/>
      <c r="C158" s="26"/>
      <c r="D158" s="27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ht="15.75" customHeight="1">
      <c r="A159" s="22"/>
      <c r="B159" s="26"/>
      <c r="C159" s="26"/>
      <c r="D159" s="27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ht="15.75" customHeight="1">
      <c r="A160" s="22"/>
      <c r="B160" s="26"/>
      <c r="C160" s="26"/>
      <c r="D160" s="27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ht="15.75" customHeight="1">
      <c r="A161" s="22"/>
      <c r="B161" s="26"/>
      <c r="C161" s="26"/>
      <c r="D161" s="27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ht="15.75" customHeight="1">
      <c r="A162" s="22"/>
      <c r="B162" s="26"/>
      <c r="C162" s="26"/>
      <c r="D162" s="27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ht="15.75" customHeight="1">
      <c r="A163" s="22"/>
      <c r="B163" s="26"/>
      <c r="C163" s="26"/>
      <c r="D163" s="27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ht="15.75" customHeight="1">
      <c r="A164" s="22"/>
      <c r="B164" s="26"/>
      <c r="C164" s="26"/>
      <c r="D164" s="27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ht="15.75" customHeight="1">
      <c r="A165" s="22"/>
      <c r="B165" s="26"/>
      <c r="C165" s="26"/>
      <c r="D165" s="27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ht="15.75" customHeight="1">
      <c r="A166" s="22"/>
      <c r="B166" s="26"/>
      <c r="C166" s="26"/>
      <c r="D166" s="27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ht="15.75" customHeight="1">
      <c r="A167" s="22"/>
      <c r="B167" s="26"/>
      <c r="C167" s="26"/>
      <c r="D167" s="27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ht="15.75" customHeight="1">
      <c r="A168" s="22"/>
      <c r="B168" s="26"/>
      <c r="C168" s="26"/>
      <c r="D168" s="27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ht="15.75" customHeight="1">
      <c r="A169" s="22"/>
      <c r="B169" s="26"/>
      <c r="C169" s="26"/>
      <c r="D169" s="27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ht="15.75" customHeight="1">
      <c r="A170" s="22"/>
      <c r="B170" s="26"/>
      <c r="C170" s="26"/>
      <c r="D170" s="27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ht="15.75" customHeight="1">
      <c r="A171" s="22"/>
      <c r="B171" s="26"/>
      <c r="C171" s="26"/>
      <c r="D171" s="27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ht="15.75" customHeight="1">
      <c r="A172" s="22"/>
      <c r="B172" s="26"/>
      <c r="C172" s="26"/>
      <c r="D172" s="27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ht="15.75" customHeight="1">
      <c r="A173" s="22"/>
      <c r="B173" s="26"/>
      <c r="C173" s="26"/>
      <c r="D173" s="27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ht="15.75" customHeight="1">
      <c r="A174" s="22"/>
      <c r="B174" s="26"/>
      <c r="C174" s="26"/>
      <c r="D174" s="27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ht="15.75" customHeight="1">
      <c r="A175" s="22"/>
      <c r="B175" s="26"/>
      <c r="C175" s="26"/>
      <c r="D175" s="27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ht="15.75" customHeight="1">
      <c r="A176" s="22"/>
      <c r="B176" s="26"/>
      <c r="C176" s="26"/>
      <c r="D176" s="27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ht="15.75" customHeight="1">
      <c r="A177" s="22"/>
      <c r="B177" s="26"/>
      <c r="C177" s="26"/>
      <c r="D177" s="27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ht="15.75" customHeight="1">
      <c r="A178" s="22"/>
      <c r="B178" s="26"/>
      <c r="C178" s="26"/>
      <c r="D178" s="27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ht="15.75" customHeight="1">
      <c r="A179" s="22"/>
      <c r="B179" s="26"/>
      <c r="C179" s="26"/>
      <c r="D179" s="27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ht="15.75" customHeight="1">
      <c r="A180" s="22"/>
      <c r="B180" s="26"/>
      <c r="C180" s="26"/>
      <c r="D180" s="27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ht="15.75" customHeight="1">
      <c r="A181" s="22"/>
      <c r="B181" s="26"/>
      <c r="C181" s="26"/>
      <c r="D181" s="27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ht="15.75" customHeight="1">
      <c r="A182" s="22"/>
      <c r="B182" s="26"/>
      <c r="C182" s="26"/>
      <c r="D182" s="27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ht="15.75" customHeight="1">
      <c r="A183" s="22"/>
      <c r="B183" s="26"/>
      <c r="C183" s="26"/>
      <c r="D183" s="27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ht="15.75" customHeight="1">
      <c r="A184" s="22"/>
      <c r="B184" s="26"/>
      <c r="C184" s="26"/>
      <c r="D184" s="27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ht="15.75" customHeight="1">
      <c r="A185" s="22"/>
      <c r="B185" s="26"/>
      <c r="C185" s="26"/>
      <c r="D185" s="27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ht="15.75" customHeight="1">
      <c r="A186" s="22"/>
      <c r="B186" s="26"/>
      <c r="C186" s="26"/>
      <c r="D186" s="27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ht="15.75" customHeight="1">
      <c r="A187" s="22"/>
      <c r="B187" s="26"/>
      <c r="C187" s="26"/>
      <c r="D187" s="27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ht="15.75" customHeight="1">
      <c r="A188" s="22"/>
      <c r="B188" s="26"/>
      <c r="C188" s="26"/>
      <c r="D188" s="27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ht="15.75" customHeight="1">
      <c r="A189" s="22"/>
      <c r="B189" s="26"/>
      <c r="C189" s="26"/>
      <c r="D189" s="27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ht="15.75" customHeight="1">
      <c r="A190" s="22"/>
      <c r="B190" s="26"/>
      <c r="C190" s="26"/>
      <c r="D190" s="27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ht="15.75" customHeight="1">
      <c r="A191" s="22"/>
      <c r="B191" s="26"/>
      <c r="C191" s="26"/>
      <c r="D191" s="27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ht="15.75" customHeight="1">
      <c r="A192" s="22"/>
      <c r="B192" s="26"/>
      <c r="C192" s="26"/>
      <c r="D192" s="27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ht="15.75" customHeight="1">
      <c r="A193" s="22"/>
      <c r="B193" s="26"/>
      <c r="C193" s="26"/>
      <c r="D193" s="27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ht="15.75" customHeight="1">
      <c r="A194" s="22"/>
      <c r="B194" s="26"/>
      <c r="C194" s="26"/>
      <c r="D194" s="27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ht="15.75" customHeight="1">
      <c r="A195" s="22"/>
      <c r="B195" s="26"/>
      <c r="C195" s="26"/>
      <c r="D195" s="27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ht="15.75" customHeight="1">
      <c r="A196" s="22"/>
      <c r="B196" s="26"/>
      <c r="C196" s="26"/>
      <c r="D196" s="27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ht="15.75" customHeight="1">
      <c r="A197" s="22"/>
      <c r="B197" s="26"/>
      <c r="C197" s="26"/>
      <c r="D197" s="27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ht="15.75" customHeight="1">
      <c r="A198" s="22"/>
      <c r="B198" s="26"/>
      <c r="C198" s="26"/>
      <c r="D198" s="27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ht="15.75" customHeight="1">
      <c r="A199" s="22"/>
      <c r="B199" s="26"/>
      <c r="C199" s="26"/>
      <c r="D199" s="27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ht="15.75" customHeight="1">
      <c r="A200" s="22"/>
      <c r="B200" s="26"/>
      <c r="C200" s="26"/>
      <c r="D200" s="27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ht="15.75" customHeight="1">
      <c r="A201" s="22"/>
      <c r="B201" s="26"/>
      <c r="C201" s="26"/>
      <c r="D201" s="27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ht="15.75" customHeight="1">
      <c r="A202" s="22"/>
      <c r="B202" s="26"/>
      <c r="C202" s="26"/>
      <c r="D202" s="27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ht="15.75" customHeight="1">
      <c r="A203" s="22"/>
      <c r="B203" s="26"/>
      <c r="C203" s="26"/>
      <c r="D203" s="27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ht="15.75" customHeight="1">
      <c r="A204" s="22"/>
      <c r="B204" s="26"/>
      <c r="C204" s="26"/>
      <c r="D204" s="27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ht="15.75" customHeight="1">
      <c r="A205" s="22"/>
      <c r="B205" s="26"/>
      <c r="C205" s="26"/>
      <c r="D205" s="27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ht="15.75" customHeight="1">
      <c r="A206" s="22"/>
      <c r="B206" s="26"/>
      <c r="C206" s="26"/>
      <c r="D206" s="27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ht="15.75" customHeight="1">
      <c r="A207" s="22"/>
      <c r="B207" s="26"/>
      <c r="C207" s="26"/>
      <c r="D207" s="27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ht="15.75" customHeight="1">
      <c r="A208" s="22"/>
      <c r="B208" s="26"/>
      <c r="C208" s="26"/>
      <c r="D208" s="27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ht="15.75" customHeight="1">
      <c r="A209" s="22"/>
      <c r="B209" s="26"/>
      <c r="C209" s="26"/>
      <c r="D209" s="27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ht="15.75" customHeight="1">
      <c r="A210" s="22"/>
      <c r="B210" s="26"/>
      <c r="C210" s="26"/>
      <c r="D210" s="27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ht="15.75" customHeight="1">
      <c r="A211" s="22"/>
      <c r="B211" s="26"/>
      <c r="C211" s="26"/>
      <c r="D211" s="27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ht="15.75" customHeight="1">
      <c r="A212" s="22"/>
      <c r="B212" s="26"/>
      <c r="C212" s="26"/>
      <c r="D212" s="27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ht="15.75" customHeight="1">
      <c r="A213" s="22"/>
      <c r="B213" s="26"/>
      <c r="C213" s="26"/>
      <c r="D213" s="27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ht="15.75" customHeight="1">
      <c r="A214" s="22"/>
      <c r="B214" s="26"/>
      <c r="C214" s="26"/>
      <c r="D214" s="27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ht="15.75" customHeight="1">
      <c r="A215" s="22"/>
      <c r="B215" s="26"/>
      <c r="C215" s="26"/>
      <c r="D215" s="27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ht="15.75" customHeight="1">
      <c r="A216" s="22"/>
      <c r="B216" s="26"/>
      <c r="C216" s="26"/>
      <c r="D216" s="27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ht="15.75" customHeight="1">
      <c r="A217" s="22"/>
      <c r="B217" s="26"/>
      <c r="C217" s="26"/>
      <c r="D217" s="27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ht="15.75" customHeight="1">
      <c r="A218" s="22"/>
      <c r="B218" s="26"/>
      <c r="C218" s="26"/>
      <c r="D218" s="27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ht="15.75" customHeight="1">
      <c r="A219" s="22"/>
      <c r="B219" s="26"/>
      <c r="C219" s="26"/>
      <c r="D219" s="27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ht="15.75" customHeight="1">
      <c r="A220" s="22"/>
      <c r="B220" s="26"/>
      <c r="C220" s="26"/>
      <c r="D220" s="27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ht="15.75" customHeight="1">
      <c r="A221" s="22"/>
      <c r="B221" s="26"/>
      <c r="C221" s="26"/>
      <c r="D221" s="27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ht="15.75" customHeight="1">
      <c r="A222" s="22"/>
      <c r="B222" s="26"/>
      <c r="C222" s="26"/>
      <c r="D222" s="27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ht="15.75" customHeight="1">
      <c r="A223" s="22"/>
      <c r="B223" s="26"/>
      <c r="C223" s="26"/>
      <c r="D223" s="27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ht="15.75" customHeight="1">
      <c r="A224" s="22"/>
      <c r="B224" s="26"/>
      <c r="C224" s="26"/>
      <c r="D224" s="27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ht="15.75" customHeight="1">
      <c r="A225" s="22"/>
      <c r="B225" s="26"/>
      <c r="C225" s="26"/>
      <c r="D225" s="27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ht="15.75" customHeight="1">
      <c r="A226" s="22"/>
      <c r="B226" s="26"/>
      <c r="C226" s="26"/>
      <c r="D226" s="27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ht="15.75" customHeight="1">
      <c r="A227" s="22"/>
      <c r="B227" s="26"/>
      <c r="C227" s="26"/>
      <c r="D227" s="27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ht="15.75" customHeight="1">
      <c r="A228" s="22"/>
      <c r="B228" s="26"/>
      <c r="C228" s="26"/>
      <c r="D228" s="27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ht="15.75" customHeight="1">
      <c r="A229" s="22"/>
      <c r="B229" s="26"/>
      <c r="C229" s="26"/>
      <c r="D229" s="27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ht="15.75" customHeight="1">
      <c r="A230" s="22"/>
      <c r="B230" s="26"/>
      <c r="C230" s="26"/>
      <c r="D230" s="27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ht="15.75" customHeight="1">
      <c r="A231" s="22"/>
      <c r="B231" s="26"/>
      <c r="C231" s="26"/>
      <c r="D231" s="27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ht="15.75" customHeight="1">
      <c r="A232" s="22"/>
      <c r="B232" s="26"/>
      <c r="C232" s="26"/>
      <c r="D232" s="27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ht="15.75" customHeight="1">
      <c r="A233" s="22"/>
      <c r="B233" s="26"/>
      <c r="C233" s="26"/>
      <c r="D233" s="27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ht="15.75" customHeight="1">
      <c r="A234" s="22"/>
      <c r="B234" s="26"/>
      <c r="C234" s="26"/>
      <c r="D234" s="27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ht="15.75" customHeight="1">
      <c r="A235" s="22"/>
      <c r="B235" s="26"/>
      <c r="C235" s="26"/>
      <c r="D235" s="27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ht="15.75" customHeight="1">
      <c r="A236" s="22"/>
      <c r="B236" s="26"/>
      <c r="C236" s="26"/>
      <c r="D236" s="27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ht="15.75" customHeight="1">
      <c r="A237" s="22"/>
      <c r="B237" s="26"/>
      <c r="C237" s="26"/>
      <c r="D237" s="27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ht="15.75" customHeight="1">
      <c r="A238" s="22"/>
      <c r="B238" s="26"/>
      <c r="C238" s="26"/>
      <c r="D238" s="27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ht="15.75" customHeight="1">
      <c r="A239" s="22"/>
      <c r="B239" s="26"/>
      <c r="C239" s="26"/>
      <c r="D239" s="27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ht="15.75" customHeight="1">
      <c r="A240" s="22"/>
      <c r="B240" s="26"/>
      <c r="C240" s="26"/>
      <c r="D240" s="27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ht="15.75" customHeight="1">
      <c r="A241" s="22"/>
      <c r="B241" s="26"/>
      <c r="C241" s="26"/>
      <c r="D241" s="27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ht="15.75" customHeight="1">
      <c r="A242" s="22"/>
      <c r="B242" s="26"/>
      <c r="C242" s="26"/>
      <c r="D242" s="27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ht="15.75" customHeight="1">
      <c r="A243" s="22"/>
      <c r="B243" s="26"/>
      <c r="C243" s="26"/>
      <c r="D243" s="27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ht="15.75" customHeight="1">
      <c r="A244" s="22"/>
      <c r="B244" s="26"/>
      <c r="C244" s="26"/>
      <c r="D244" s="27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ht="15.75" customHeight="1">
      <c r="A245" s="22"/>
      <c r="B245" s="26"/>
      <c r="C245" s="26"/>
      <c r="D245" s="27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ht="15.75" customHeight="1">
      <c r="A246" s="22"/>
      <c r="B246" s="26"/>
      <c r="C246" s="26"/>
      <c r="D246" s="27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ht="15.75" customHeight="1">
      <c r="A247" s="22"/>
      <c r="B247" s="26"/>
      <c r="C247" s="26"/>
      <c r="D247" s="27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ht="15.75" customHeight="1">
      <c r="A248" s="22"/>
      <c r="B248" s="26"/>
      <c r="C248" s="26"/>
      <c r="D248" s="27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ht="15.75" customHeight="1">
      <c r="A249" s="22"/>
      <c r="B249" s="26"/>
      <c r="C249" s="26"/>
      <c r="D249" s="27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ht="15.75" customHeight="1">
      <c r="A250" s="22"/>
      <c r="B250" s="26"/>
      <c r="C250" s="26"/>
      <c r="D250" s="27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ht="15.75" customHeight="1">
      <c r="A251" s="22"/>
      <c r="B251" s="26"/>
      <c r="C251" s="26"/>
      <c r="D251" s="27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ht="15.75" customHeight="1">
      <c r="A252" s="22"/>
      <c r="B252" s="26"/>
      <c r="C252" s="26"/>
      <c r="D252" s="27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ht="15.75" customHeight="1">
      <c r="A253" s="22"/>
      <c r="B253" s="26"/>
      <c r="C253" s="26"/>
      <c r="D253" s="27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ht="15.75" customHeight="1">
      <c r="A254" s="22"/>
      <c r="B254" s="26"/>
      <c r="C254" s="26"/>
      <c r="D254" s="27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ht="15.75" customHeight="1">
      <c r="A255" s="22"/>
      <c r="B255" s="26"/>
      <c r="C255" s="26"/>
      <c r="D255" s="27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ht="15.75" customHeight="1">
      <c r="A256" s="22"/>
      <c r="B256" s="26"/>
      <c r="C256" s="26"/>
      <c r="D256" s="27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ht="15.75" customHeight="1">
      <c r="A257" s="22"/>
      <c r="B257" s="26"/>
      <c r="C257" s="26"/>
      <c r="D257" s="27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ht="15.75" customHeight="1">
      <c r="A258" s="22"/>
      <c r="B258" s="26"/>
      <c r="C258" s="26"/>
      <c r="D258" s="27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ht="15.75" customHeight="1">
      <c r="A259" s="22"/>
      <c r="B259" s="26"/>
      <c r="C259" s="26"/>
      <c r="D259" s="27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ht="15.75" customHeight="1">
      <c r="A260" s="22"/>
      <c r="B260" s="26"/>
      <c r="C260" s="26"/>
      <c r="D260" s="27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ht="15.75" customHeight="1">
      <c r="A261" s="22"/>
      <c r="B261" s="26"/>
      <c r="C261" s="26"/>
      <c r="D261" s="27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ht="15.75" customHeight="1">
      <c r="A262" s="22"/>
      <c r="B262" s="26"/>
      <c r="C262" s="26"/>
      <c r="D262" s="27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ht="15.75" customHeight="1">
      <c r="A263" s="22"/>
      <c r="B263" s="26"/>
      <c r="C263" s="26"/>
      <c r="D263" s="27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ht="15.75" customHeight="1">
      <c r="A264" s="22"/>
      <c r="B264" s="26"/>
      <c r="C264" s="26"/>
      <c r="D264" s="27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ht="15.75" customHeight="1">
      <c r="A265" s="22"/>
      <c r="B265" s="26"/>
      <c r="C265" s="26"/>
      <c r="D265" s="27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ht="15.75" customHeight="1">
      <c r="A266" s="22"/>
      <c r="B266" s="26"/>
      <c r="C266" s="26"/>
      <c r="D266" s="27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ht="15.75" customHeight="1">
      <c r="A267" s="22"/>
      <c r="B267" s="26"/>
      <c r="C267" s="26"/>
      <c r="D267" s="27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ht="15.75" customHeight="1">
      <c r="A268" s="22"/>
      <c r="B268" s="26"/>
      <c r="C268" s="26"/>
      <c r="D268" s="27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ht="15.75" customHeight="1">
      <c r="A269" s="22"/>
      <c r="B269" s="26"/>
      <c r="C269" s="26"/>
      <c r="D269" s="27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ht="15.75" customHeight="1">
      <c r="A270" s="22"/>
      <c r="B270" s="26"/>
      <c r="C270" s="26"/>
      <c r="D270" s="27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ht="15.75" customHeight="1">
      <c r="A271" s="22"/>
      <c r="B271" s="26"/>
      <c r="C271" s="26"/>
      <c r="D271" s="27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ht="15.75" customHeight="1">
      <c r="A272" s="22"/>
      <c r="B272" s="26"/>
      <c r="C272" s="26"/>
      <c r="D272" s="27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ht="15.75" customHeight="1">
      <c r="A273" s="22"/>
      <c r="B273" s="26"/>
      <c r="C273" s="26"/>
      <c r="D273" s="27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ht="15.75" customHeight="1">
      <c r="A274" s="22"/>
      <c r="B274" s="26"/>
      <c r="C274" s="26"/>
      <c r="D274" s="27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ht="15.75" customHeight="1">
      <c r="A275" s="22"/>
      <c r="B275" s="26"/>
      <c r="C275" s="26"/>
      <c r="D275" s="27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ht="15.75" customHeight="1">
      <c r="A276" s="22"/>
      <c r="B276" s="26"/>
      <c r="C276" s="26"/>
      <c r="D276" s="27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ht="15.75" customHeight="1">
      <c r="A277" s="22"/>
      <c r="B277" s="26"/>
      <c r="C277" s="26"/>
      <c r="D277" s="27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ht="15.75" customHeight="1">
      <c r="A278" s="22"/>
      <c r="B278" s="26"/>
      <c r="C278" s="26"/>
      <c r="D278" s="27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ht="15.75" customHeight="1">
      <c r="A279" s="22"/>
      <c r="B279" s="26"/>
      <c r="C279" s="26"/>
      <c r="D279" s="27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ht="15.75" customHeight="1">
      <c r="A280" s="22"/>
      <c r="B280" s="26"/>
      <c r="C280" s="26"/>
      <c r="D280" s="27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ht="15.75" customHeight="1">
      <c r="A281" s="22"/>
      <c r="B281" s="26"/>
      <c r="C281" s="26"/>
      <c r="D281" s="27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ht="15.75" customHeight="1">
      <c r="A282" s="22"/>
      <c r="B282" s="26"/>
      <c r="C282" s="26"/>
      <c r="D282" s="27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ht="15.75" customHeight="1">
      <c r="A283" s="22"/>
      <c r="B283" s="26"/>
      <c r="C283" s="26"/>
      <c r="D283" s="27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ht="15.75" customHeight="1">
      <c r="A284" s="22"/>
      <c r="B284" s="26"/>
      <c r="C284" s="26"/>
      <c r="D284" s="27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ht="15.75" customHeight="1">
      <c r="A285" s="22"/>
      <c r="B285" s="26"/>
      <c r="C285" s="26"/>
      <c r="D285" s="27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ht="15.75" customHeight="1">
      <c r="A286" s="22"/>
      <c r="B286" s="26"/>
      <c r="C286" s="26"/>
      <c r="D286" s="27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ht="15.75" customHeight="1">
      <c r="A287" s="22"/>
      <c r="B287" s="26"/>
      <c r="C287" s="26"/>
      <c r="D287" s="27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ht="15.75" customHeight="1">
      <c r="A288" s="22"/>
      <c r="B288" s="26"/>
      <c r="C288" s="26"/>
      <c r="D288" s="27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ht="15.75" customHeight="1">
      <c r="A289" s="22"/>
      <c r="B289" s="26"/>
      <c r="C289" s="26"/>
      <c r="D289" s="27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ht="15.75" customHeight="1">
      <c r="A290" s="22"/>
      <c r="B290" s="26"/>
      <c r="C290" s="26"/>
      <c r="D290" s="27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ht="15.75" customHeight="1">
      <c r="A291" s="22"/>
      <c r="B291" s="26"/>
      <c r="C291" s="26"/>
      <c r="D291" s="27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ht="15.75" customHeight="1">
      <c r="A292" s="22"/>
      <c r="B292" s="26"/>
      <c r="C292" s="26"/>
      <c r="D292" s="27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ht="15.75" customHeight="1">
      <c r="A293" s="22"/>
      <c r="B293" s="26"/>
      <c r="C293" s="26"/>
      <c r="D293" s="27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ht="15.75" customHeight="1">
      <c r="A294" s="22"/>
      <c r="B294" s="26"/>
      <c r="C294" s="26"/>
      <c r="D294" s="27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ht="15.75" customHeight="1">
      <c r="A295" s="22"/>
      <c r="B295" s="26"/>
      <c r="C295" s="26"/>
      <c r="D295" s="27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ht="15.75" customHeight="1">
      <c r="A296" s="22"/>
      <c r="B296" s="26"/>
      <c r="C296" s="26"/>
      <c r="D296" s="27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ht="15.75" customHeight="1">
      <c r="A297" s="22"/>
      <c r="B297" s="26"/>
      <c r="C297" s="26"/>
      <c r="D297" s="27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ht="15.75" customHeight="1">
      <c r="A298" s="22"/>
      <c r="B298" s="26"/>
      <c r="C298" s="26"/>
      <c r="D298" s="27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ht="15.75" customHeight="1">
      <c r="A299" s="22"/>
      <c r="B299" s="26"/>
      <c r="C299" s="26"/>
      <c r="D299" s="27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ht="15.75" customHeight="1">
      <c r="A300" s="22"/>
      <c r="B300" s="26"/>
      <c r="C300" s="26"/>
      <c r="D300" s="27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ht="15.75" customHeight="1">
      <c r="A301" s="22"/>
      <c r="B301" s="26"/>
      <c r="C301" s="26"/>
      <c r="D301" s="27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ht="15.75" customHeight="1">
      <c r="A302" s="22"/>
      <c r="B302" s="26"/>
      <c r="C302" s="26"/>
      <c r="D302" s="27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ht="15.75" customHeight="1">
      <c r="A303" s="22"/>
      <c r="B303" s="26"/>
      <c r="C303" s="26"/>
      <c r="D303" s="27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ht="15.75" customHeight="1">
      <c r="A304" s="22"/>
      <c r="B304" s="26"/>
      <c r="C304" s="26"/>
      <c r="D304" s="27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:M1"/>
    <mergeCell ref="A3:D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51" t="s">
        <v>36</v>
      </c>
      <c r="B1" s="51"/>
      <c r="C1" s="51"/>
      <c r="D1" s="51"/>
      <c r="E1" s="51"/>
      <c r="F1" s="51"/>
    </row>
    <row r="2" ht="15.75" customHeight="1">
      <c r="A2" s="68" t="s">
        <v>37</v>
      </c>
      <c r="B2" s="51"/>
      <c r="C2" s="51"/>
      <c r="D2" s="51"/>
      <c r="E2" s="51"/>
      <c r="F2" s="51"/>
    </row>
    <row r="3" ht="15.75" customHeight="1">
      <c r="A3" s="51" t="s">
        <v>38</v>
      </c>
      <c r="B3" s="51"/>
      <c r="C3" s="51"/>
      <c r="D3" s="51"/>
      <c r="E3" s="51"/>
      <c r="F3" s="51"/>
    </row>
    <row r="4" ht="15.75" customHeight="1">
      <c r="A4" s="51" t="s">
        <v>39</v>
      </c>
      <c r="B4" s="51"/>
      <c r="C4" s="51"/>
      <c r="D4" s="51"/>
      <c r="E4" s="51"/>
      <c r="F4" s="51"/>
    </row>
    <row r="5" ht="15.75" customHeight="1">
      <c r="A5" s="51"/>
      <c r="B5" s="51"/>
      <c r="C5" s="51"/>
      <c r="D5" s="51"/>
      <c r="E5" s="51"/>
      <c r="F5" s="51"/>
    </row>
    <row r="6" ht="15.75" customHeight="1">
      <c r="A6" s="51"/>
      <c r="B6" s="51"/>
      <c r="C6" s="51"/>
      <c r="D6" s="51"/>
      <c r="E6" s="51"/>
      <c r="F6" s="51"/>
    </row>
    <row r="7" ht="15.75" customHeight="1">
      <c r="A7" s="51"/>
      <c r="B7" s="51"/>
      <c r="C7" s="51"/>
      <c r="D7" s="51"/>
      <c r="E7" s="51"/>
      <c r="F7" s="51"/>
    </row>
    <row r="8" ht="15.75" customHeight="1">
      <c r="A8" s="51"/>
      <c r="B8" s="51"/>
      <c r="C8" s="51"/>
      <c r="D8" s="51"/>
      <c r="E8" s="51"/>
      <c r="F8" s="51"/>
    </row>
    <row r="9" ht="15.75" customHeight="1">
      <c r="A9" s="51"/>
      <c r="B9" s="51"/>
      <c r="C9" s="51"/>
      <c r="D9" s="51"/>
      <c r="E9" s="51"/>
      <c r="F9" s="51"/>
    </row>
    <row r="10" ht="15.75" customHeight="1">
      <c r="A10" s="51"/>
      <c r="B10" s="51"/>
      <c r="C10" s="51"/>
      <c r="D10" s="51"/>
      <c r="E10" s="51"/>
      <c r="F10" s="51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8"/>
      <c r="C1" s="28"/>
      <c r="D1" s="28" t="s">
        <v>1</v>
      </c>
      <c r="F1" s="3"/>
      <c r="G1" s="4" t="s">
        <v>2</v>
      </c>
      <c r="N1" s="5"/>
      <c r="O1" s="6"/>
      <c r="P1" s="6"/>
      <c r="Q1" s="7"/>
      <c r="R1" s="6"/>
      <c r="S1" s="6"/>
      <c r="T1" s="6"/>
      <c r="U1" s="6"/>
      <c r="V1" s="7"/>
      <c r="W1" s="6"/>
      <c r="X1" s="6"/>
      <c r="Y1" s="6"/>
      <c r="Z1" s="6"/>
      <c r="AA1" s="7"/>
      <c r="AB1" s="6"/>
      <c r="AC1" s="6"/>
      <c r="AD1" s="6"/>
      <c r="AE1" s="6"/>
    </row>
    <row r="2" ht="15.75" customHeight="1">
      <c r="A2" s="8">
        <v>2.0</v>
      </c>
      <c r="B2" s="9"/>
      <c r="C2" s="9"/>
      <c r="D2" s="8"/>
      <c r="F2" s="10"/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1" t="s">
        <v>9</v>
      </c>
      <c r="N2" s="11" t="s">
        <v>10</v>
      </c>
    </row>
    <row r="3" ht="15.75" customHeight="1">
      <c r="A3" s="12" t="s">
        <v>11</v>
      </c>
      <c r="E3" s="13"/>
      <c r="F3" s="14" t="s">
        <v>12</v>
      </c>
      <c r="G3" s="15">
        <f>COUNTA(B5:B1002)</f>
        <v>5</v>
      </c>
      <c r="H3" s="15">
        <f>G3/G6*100</f>
        <v>21.73913043</v>
      </c>
      <c r="I3" s="15">
        <f>average(B5:B1002)</f>
        <v>98.784</v>
      </c>
      <c r="J3" s="15">
        <f>MIN(B5:B1002)</f>
        <v>60.1</v>
      </c>
      <c r="K3" s="15">
        <f>max(B5:B1002)</f>
        <v>123.18</v>
      </c>
      <c r="L3" s="16"/>
      <c r="M3" s="16">
        <f t="shared" ref="M3:M5" si="1">L3+G3</f>
        <v>5</v>
      </c>
      <c r="N3" s="17">
        <f>M3*4</f>
        <v>20</v>
      </c>
      <c r="O3" s="13"/>
      <c r="P3" s="13"/>
      <c r="Q3" s="18"/>
      <c r="R3" s="19"/>
      <c r="S3" s="13"/>
      <c r="T3" s="13"/>
      <c r="U3" s="13"/>
      <c r="V3" s="18"/>
      <c r="W3" s="19"/>
      <c r="X3" s="13"/>
      <c r="Y3" s="13"/>
      <c r="Z3" s="13"/>
      <c r="AA3" s="18"/>
      <c r="AB3" s="19"/>
      <c r="AC3" s="13"/>
      <c r="AD3" s="13"/>
      <c r="AE3" s="13"/>
    </row>
    <row r="4" ht="15.75" customHeight="1">
      <c r="A4" s="12" t="s">
        <v>3</v>
      </c>
      <c r="B4" s="20" t="s">
        <v>12</v>
      </c>
      <c r="C4" s="20" t="s">
        <v>13</v>
      </c>
      <c r="D4" s="21" t="s">
        <v>14</v>
      </c>
      <c r="E4" s="22"/>
      <c r="F4" s="14" t="s">
        <v>13</v>
      </c>
      <c r="G4" s="15">
        <f>counta(C5:C1002)</f>
        <v>18</v>
      </c>
      <c r="H4" s="15">
        <f>G4/G6*100</f>
        <v>78.26086957</v>
      </c>
      <c r="I4" s="15">
        <f>average(C5:C1002)</f>
        <v>57.15388889</v>
      </c>
      <c r="J4" s="15">
        <f>min(C5:C1002)</f>
        <v>41.2</v>
      </c>
      <c r="K4" s="15">
        <f>max(C5:C1002)</f>
        <v>95.26</v>
      </c>
      <c r="L4" s="15"/>
      <c r="M4" s="15">
        <f t="shared" si="1"/>
        <v>18</v>
      </c>
      <c r="N4" s="15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ht="15.75" customHeight="1">
      <c r="A5" s="9">
        <v>1.0</v>
      </c>
      <c r="B5" s="25"/>
      <c r="C5" s="23">
        <v>95.26</v>
      </c>
      <c r="D5" s="24"/>
      <c r="E5" s="22"/>
      <c r="F5" s="14" t="s">
        <v>15</v>
      </c>
      <c r="G5" s="15">
        <f>COUNTA(D5:D1002)</f>
        <v>0</v>
      </c>
      <c r="H5" s="15">
        <f>G5/G6*100</f>
        <v>0</v>
      </c>
      <c r="I5" s="15" t="str">
        <f>average(D5:D1002)</f>
        <v>#DIV/0!</v>
      </c>
      <c r="J5" s="15">
        <f>min(D5:D1002)</f>
        <v>0</v>
      </c>
      <c r="K5" s="15">
        <f>max(D5:D1002)</f>
        <v>0</v>
      </c>
      <c r="L5" s="15"/>
      <c r="M5" s="15">
        <f t="shared" si="1"/>
        <v>0</v>
      </c>
      <c r="N5" s="15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ht="15.75" customHeight="1">
      <c r="A6" s="9">
        <v>2.0</v>
      </c>
      <c r="B6" s="25"/>
      <c r="C6" s="23">
        <v>57.96</v>
      </c>
      <c r="D6" s="24"/>
      <c r="E6" s="22"/>
      <c r="F6" s="14" t="s">
        <v>16</v>
      </c>
      <c r="G6" s="15">
        <f>COUNTA(B5:D1002)</f>
        <v>23</v>
      </c>
      <c r="H6" s="15">
        <f>G6/G6*100</f>
        <v>100</v>
      </c>
      <c r="I6" s="15">
        <f>average(B5:D1002)</f>
        <v>66.20391304</v>
      </c>
      <c r="J6" s="15">
        <f>min(B5:D1002)</f>
        <v>41.2</v>
      </c>
      <c r="K6" s="15">
        <f>max(B5:D1002)</f>
        <v>123.18</v>
      </c>
      <c r="L6" s="15"/>
      <c r="M6" s="15"/>
      <c r="N6" s="1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ht="15.75" customHeight="1">
      <c r="A7" s="9">
        <v>3.0</v>
      </c>
      <c r="B7" s="25"/>
      <c r="C7" s="23">
        <v>56.32</v>
      </c>
      <c r="D7" s="24"/>
      <c r="E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ht="15.75" customHeight="1">
      <c r="A8" s="9">
        <v>4.0</v>
      </c>
      <c r="B8" s="25"/>
      <c r="C8" s="23">
        <v>57.43</v>
      </c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ht="15.75" customHeight="1">
      <c r="A9" s="9">
        <v>5.0</v>
      </c>
      <c r="B9" s="25"/>
      <c r="C9" s="23">
        <v>42.2</v>
      </c>
      <c r="D9" s="24"/>
      <c r="E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ht="15.75" customHeight="1">
      <c r="A10" s="9">
        <v>6.0</v>
      </c>
      <c r="B10" s="25"/>
      <c r="C10" s="23">
        <v>52.6</v>
      </c>
      <c r="D10" s="24"/>
      <c r="E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ht="15.75" customHeight="1">
      <c r="A11" s="9">
        <v>7.0</v>
      </c>
      <c r="B11" s="25"/>
      <c r="C11" s="23">
        <v>61.03</v>
      </c>
      <c r="D11" s="24"/>
      <c r="E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ht="15.75" customHeight="1">
      <c r="A12" s="9">
        <v>8.0</v>
      </c>
      <c r="B12" s="25"/>
      <c r="C12" s="23">
        <v>51.55</v>
      </c>
      <c r="D12" s="2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ht="15.75" customHeight="1">
      <c r="A13" s="9">
        <v>9.0</v>
      </c>
      <c r="B13" s="25"/>
      <c r="C13" s="23">
        <v>43.38</v>
      </c>
      <c r="D13" s="2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ht="15.75" customHeight="1">
      <c r="A14" s="9">
        <v>10.0</v>
      </c>
      <c r="B14" s="25"/>
      <c r="C14" s="23">
        <v>62.6</v>
      </c>
      <c r="D14" s="2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ht="15.75" customHeight="1">
      <c r="A15" s="9">
        <v>11.0</v>
      </c>
      <c r="B15" s="25"/>
      <c r="C15" s="23">
        <v>67.77</v>
      </c>
      <c r="D15" s="2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ht="15.75" customHeight="1">
      <c r="A16" s="9">
        <v>12.0</v>
      </c>
      <c r="B16" s="25"/>
      <c r="C16" s="23">
        <v>69.93</v>
      </c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ht="15.75" customHeight="1">
      <c r="A17" s="9">
        <v>13.0</v>
      </c>
      <c r="B17" s="25"/>
      <c r="C17" s="23">
        <v>41.22</v>
      </c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ht="15.75" customHeight="1">
      <c r="A18" s="9">
        <v>14.0</v>
      </c>
      <c r="B18" s="25"/>
      <c r="C18" s="23">
        <v>63.1</v>
      </c>
      <c r="D18" s="2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ht="15.75" customHeight="1">
      <c r="A19" s="9">
        <v>15.0</v>
      </c>
      <c r="B19" s="25"/>
      <c r="C19" s="23">
        <v>41.2</v>
      </c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ht="15.75" customHeight="1">
      <c r="A20" s="9">
        <v>16.0</v>
      </c>
      <c r="B20" s="25"/>
      <c r="C20" s="23">
        <v>54.65</v>
      </c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ht="15.75" customHeight="1">
      <c r="A21" s="9">
        <v>17.0</v>
      </c>
      <c r="B21" s="25"/>
      <c r="C21" s="23">
        <v>67.73</v>
      </c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ht="15.75" customHeight="1">
      <c r="A22" s="9">
        <v>18.0</v>
      </c>
      <c r="B22" s="23">
        <v>95.79</v>
      </c>
      <c r="C22" s="25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ht="15.75" customHeight="1">
      <c r="A23" s="9">
        <v>19.0</v>
      </c>
      <c r="B23" s="23">
        <v>122.51</v>
      </c>
      <c r="C23" s="25"/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ht="15.75" customHeight="1">
      <c r="A24" s="9">
        <v>20.0</v>
      </c>
      <c r="B24" s="23">
        <v>123.18</v>
      </c>
      <c r="C24" s="25"/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ht="15.75" customHeight="1">
      <c r="A25" s="9">
        <v>21.0</v>
      </c>
      <c r="B25" s="23">
        <v>92.34</v>
      </c>
      <c r="C25" s="25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ht="15.75" customHeight="1">
      <c r="A26" s="9">
        <v>22.0</v>
      </c>
      <c r="B26" s="23">
        <v>60.1</v>
      </c>
      <c r="C26" s="25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ht="15.75" customHeight="1">
      <c r="A27" s="9">
        <v>23.0</v>
      </c>
      <c r="B27" s="25"/>
      <c r="C27" s="23">
        <v>42.84</v>
      </c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ht="15.75" customHeight="1">
      <c r="A28" s="9">
        <v>24.0</v>
      </c>
      <c r="B28" s="25"/>
      <c r="C28" s="25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ht="15.75" customHeight="1">
      <c r="A29" s="9">
        <v>25.0</v>
      </c>
      <c r="B29" s="25"/>
      <c r="C29" s="25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ht="15.75" customHeight="1">
      <c r="A30" s="9">
        <v>26.0</v>
      </c>
      <c r="B30" s="25"/>
      <c r="C30" s="25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ht="15.75" customHeight="1">
      <c r="A31" s="9">
        <v>27.0</v>
      </c>
      <c r="B31" s="25"/>
      <c r="C31" s="25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ht="15.75" customHeight="1">
      <c r="A32" s="9">
        <v>28.0</v>
      </c>
      <c r="B32" s="25"/>
      <c r="C32" s="25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ht="15.75" customHeight="1">
      <c r="A33" s="9">
        <v>29.0</v>
      </c>
      <c r="B33" s="25"/>
      <c r="C33" s="25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ht="15.75" customHeight="1">
      <c r="A34" s="9">
        <v>30.0</v>
      </c>
      <c r="B34" s="25"/>
      <c r="C34" s="25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ht="15.75" customHeight="1">
      <c r="A35" s="9">
        <v>31.0</v>
      </c>
      <c r="B35" s="25"/>
      <c r="C35" s="25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ht="15.75" customHeight="1">
      <c r="A36" s="9">
        <v>32.0</v>
      </c>
      <c r="B36" s="25"/>
      <c r="C36" s="25"/>
      <c r="D36" s="24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ht="15.75" customHeight="1">
      <c r="A37" s="9">
        <v>33.0</v>
      </c>
      <c r="B37" s="25"/>
      <c r="C37" s="25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ht="15.75" customHeight="1">
      <c r="A38" s="9">
        <v>34.0</v>
      </c>
      <c r="B38" s="25"/>
      <c r="C38" s="25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ht="15.75" customHeight="1">
      <c r="A39" s="9">
        <v>35.0</v>
      </c>
      <c r="B39" s="25"/>
      <c r="C39" s="25"/>
      <c r="D39" s="2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ht="15.75" customHeight="1">
      <c r="A40" s="9">
        <v>36.0</v>
      </c>
      <c r="B40" s="25"/>
      <c r="C40" s="25"/>
      <c r="D40" s="24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ht="15.75" customHeight="1">
      <c r="A41" s="9">
        <v>37.0</v>
      </c>
      <c r="B41" s="25"/>
      <c r="C41" s="25"/>
      <c r="D41" s="24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ht="15.75" customHeight="1">
      <c r="A42" s="9">
        <v>38.0</v>
      </c>
      <c r="B42" s="25"/>
      <c r="C42" s="25"/>
      <c r="D42" s="2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ht="15.75" customHeight="1">
      <c r="A43" s="9">
        <v>39.0</v>
      </c>
      <c r="B43" s="25"/>
      <c r="C43" s="25"/>
      <c r="D43" s="24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ht="15.75" customHeight="1">
      <c r="A44" s="9">
        <v>40.0</v>
      </c>
      <c r="B44" s="25"/>
      <c r="C44" s="25"/>
      <c r="D44" s="24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ht="15.75" customHeight="1">
      <c r="A45" s="9">
        <v>41.0</v>
      </c>
      <c r="B45" s="25"/>
      <c r="C45" s="25"/>
      <c r="D45" s="24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ht="15.75" customHeight="1">
      <c r="A46" s="9">
        <v>42.0</v>
      </c>
      <c r="B46" s="25"/>
      <c r="C46" s="25"/>
      <c r="D46" s="24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ht="15.75" customHeight="1">
      <c r="A47" s="9">
        <v>43.0</v>
      </c>
      <c r="B47" s="25"/>
      <c r="C47" s="25"/>
      <c r="D47" s="24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ht="15.75" customHeight="1">
      <c r="A48" s="9">
        <v>44.0</v>
      </c>
      <c r="B48" s="25"/>
      <c r="C48" s="25"/>
      <c r="D48" s="24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ht="15.75" customHeight="1">
      <c r="A49" s="9">
        <v>45.0</v>
      </c>
      <c r="B49" s="25"/>
      <c r="C49" s="25"/>
      <c r="D49" s="24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ht="15.75" customHeight="1">
      <c r="A50" s="9">
        <v>46.0</v>
      </c>
      <c r="B50" s="25"/>
      <c r="C50" s="25"/>
      <c r="D50" s="24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ht="15.75" customHeight="1">
      <c r="A51" s="9">
        <v>47.0</v>
      </c>
      <c r="B51" s="25"/>
      <c r="C51" s="25"/>
      <c r="D51" s="2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ht="15.75" customHeight="1">
      <c r="A52" s="9">
        <v>48.0</v>
      </c>
      <c r="B52" s="25"/>
      <c r="C52" s="25"/>
      <c r="D52" s="24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ht="15.75" customHeight="1">
      <c r="A53" s="9">
        <v>49.0</v>
      </c>
      <c r="B53" s="25"/>
      <c r="C53" s="25"/>
      <c r="D53" s="24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ht="15.75" customHeight="1">
      <c r="A54" s="9">
        <v>50.0</v>
      </c>
      <c r="B54" s="25"/>
      <c r="C54" s="25"/>
      <c r="D54" s="2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ht="15.75" customHeight="1">
      <c r="A55" s="9">
        <v>51.0</v>
      </c>
      <c r="B55" s="25"/>
      <c r="C55" s="25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ht="15.75" customHeight="1">
      <c r="A56" s="9">
        <v>52.0</v>
      </c>
      <c r="B56" s="25"/>
      <c r="C56" s="25"/>
      <c r="D56" s="24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ht="15.75" customHeight="1">
      <c r="A57" s="9">
        <v>53.0</v>
      </c>
      <c r="B57" s="25"/>
      <c r="C57" s="25"/>
      <c r="D57" s="2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ht="15.75" customHeight="1">
      <c r="A58" s="9">
        <v>54.0</v>
      </c>
      <c r="B58" s="25"/>
      <c r="C58" s="25"/>
      <c r="D58" s="24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ht="15.75" customHeight="1">
      <c r="A59" s="9">
        <v>55.0</v>
      </c>
      <c r="B59" s="25"/>
      <c r="C59" s="25"/>
      <c r="D59" s="24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ht="15.75" customHeight="1">
      <c r="A60" s="9">
        <v>56.0</v>
      </c>
      <c r="B60" s="25"/>
      <c r="C60" s="25"/>
      <c r="D60" s="2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ht="15.75" customHeight="1">
      <c r="A61" s="9">
        <v>57.0</v>
      </c>
      <c r="B61" s="25"/>
      <c r="C61" s="25"/>
      <c r="D61" s="24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ht="15.75" customHeight="1">
      <c r="A62" s="9">
        <v>58.0</v>
      </c>
      <c r="B62" s="25"/>
      <c r="C62" s="25"/>
      <c r="D62" s="24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ht="15.75" customHeight="1">
      <c r="A63" s="9">
        <v>59.0</v>
      </c>
      <c r="B63" s="25"/>
      <c r="C63" s="25"/>
      <c r="D63" s="24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ht="15.75" customHeight="1">
      <c r="A64" s="9">
        <v>60.0</v>
      </c>
      <c r="B64" s="25"/>
      <c r="C64" s="25"/>
      <c r="D64" s="24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ht="15.75" customHeight="1">
      <c r="A65" s="9">
        <v>61.0</v>
      </c>
      <c r="B65" s="25"/>
      <c r="C65" s="25"/>
      <c r="D65" s="24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ht="15.75" customHeight="1">
      <c r="A66" s="9">
        <v>62.0</v>
      </c>
      <c r="B66" s="25"/>
      <c r="C66" s="25"/>
      <c r="D66" s="24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ht="15.75" customHeight="1">
      <c r="A67" s="9">
        <v>63.0</v>
      </c>
      <c r="B67" s="25"/>
      <c r="C67" s="25"/>
      <c r="D67" s="24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ht="15.75" customHeight="1">
      <c r="A68" s="9">
        <v>64.0</v>
      </c>
      <c r="B68" s="25"/>
      <c r="C68" s="25"/>
      <c r="D68" s="24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ht="15.75" customHeight="1">
      <c r="A69" s="9">
        <v>65.0</v>
      </c>
      <c r="B69" s="25"/>
      <c r="C69" s="25"/>
      <c r="D69" s="24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ht="15.75" customHeight="1">
      <c r="A70" s="9">
        <v>66.0</v>
      </c>
      <c r="B70" s="25"/>
      <c r="C70" s="25"/>
      <c r="D70" s="24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ht="15.75" customHeight="1">
      <c r="A71" s="9">
        <v>67.0</v>
      </c>
      <c r="B71" s="25"/>
      <c r="C71" s="25"/>
      <c r="D71" s="24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ht="15.75" customHeight="1">
      <c r="A72" s="9">
        <v>68.0</v>
      </c>
      <c r="B72" s="25"/>
      <c r="C72" s="25"/>
      <c r="D72" s="24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ht="15.75" customHeight="1">
      <c r="A73" s="9">
        <v>69.0</v>
      </c>
      <c r="B73" s="25"/>
      <c r="C73" s="25"/>
      <c r="D73" s="24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ht="15.75" customHeight="1">
      <c r="A74" s="9">
        <v>70.0</v>
      </c>
      <c r="B74" s="25"/>
      <c r="C74" s="25"/>
      <c r="D74" s="24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ht="15.75" customHeight="1">
      <c r="A75" s="9">
        <v>71.0</v>
      </c>
      <c r="B75" s="25"/>
      <c r="C75" s="25"/>
      <c r="D75" s="24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ht="15.75" customHeight="1">
      <c r="A76" s="9">
        <v>72.0</v>
      </c>
      <c r="B76" s="25"/>
      <c r="C76" s="25"/>
      <c r="D76" s="24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ht="15.75" customHeight="1">
      <c r="A77" s="9">
        <v>73.0</v>
      </c>
      <c r="B77" s="25"/>
      <c r="C77" s="25"/>
      <c r="D77" s="24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ht="15.75" customHeight="1">
      <c r="A78" s="9">
        <v>74.0</v>
      </c>
      <c r="B78" s="25"/>
      <c r="C78" s="25"/>
      <c r="D78" s="24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ht="15.75" customHeight="1">
      <c r="A79" s="9">
        <v>75.0</v>
      </c>
      <c r="B79" s="25"/>
      <c r="C79" s="25"/>
      <c r="D79" s="24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ht="15.75" customHeight="1">
      <c r="A80" s="9">
        <v>76.0</v>
      </c>
      <c r="B80" s="25"/>
      <c r="C80" s="25"/>
      <c r="D80" s="24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ht="15.75" customHeight="1">
      <c r="A81" s="9">
        <v>77.0</v>
      </c>
      <c r="B81" s="25"/>
      <c r="C81" s="25"/>
      <c r="D81" s="24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ht="15.75" customHeight="1">
      <c r="A82" s="9">
        <v>78.0</v>
      </c>
      <c r="B82" s="25"/>
      <c r="C82" s="25"/>
      <c r="D82" s="24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ht="15.75" customHeight="1">
      <c r="A83" s="9">
        <v>79.0</v>
      </c>
      <c r="B83" s="25"/>
      <c r="C83" s="25"/>
      <c r="D83" s="24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ht="15.75" customHeight="1">
      <c r="A84" s="9">
        <v>80.0</v>
      </c>
      <c r="B84" s="25"/>
      <c r="C84" s="25"/>
      <c r="D84" s="24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ht="15.75" customHeight="1">
      <c r="A85" s="9">
        <v>81.0</v>
      </c>
      <c r="B85" s="25"/>
      <c r="C85" s="25"/>
      <c r="D85" s="24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ht="15.75" customHeight="1">
      <c r="A86" s="9">
        <v>82.0</v>
      </c>
      <c r="B86" s="25"/>
      <c r="C86" s="25"/>
      <c r="D86" s="24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ht="15.75" customHeight="1">
      <c r="A87" s="9">
        <v>83.0</v>
      </c>
      <c r="B87" s="25"/>
      <c r="C87" s="25"/>
      <c r="D87" s="24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ht="15.75" customHeight="1">
      <c r="A88" s="9">
        <v>84.0</v>
      </c>
      <c r="B88" s="25"/>
      <c r="C88" s="25"/>
      <c r="D88" s="24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ht="15.75" customHeight="1">
      <c r="A89" s="9">
        <v>85.0</v>
      </c>
      <c r="B89" s="25"/>
      <c r="C89" s="25"/>
      <c r="D89" s="24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ht="15.75" customHeight="1">
      <c r="A90" s="9">
        <v>86.0</v>
      </c>
      <c r="B90" s="25"/>
      <c r="C90" s="25"/>
      <c r="D90" s="24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ht="15.75" customHeight="1">
      <c r="A91" s="9">
        <v>87.0</v>
      </c>
      <c r="B91" s="25"/>
      <c r="C91" s="25"/>
      <c r="D91" s="24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ht="15.75" customHeight="1">
      <c r="A92" s="9">
        <v>88.0</v>
      </c>
      <c r="B92" s="25"/>
      <c r="C92" s="25"/>
      <c r="D92" s="24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ht="15.75" customHeight="1">
      <c r="A93" s="9">
        <v>89.0</v>
      </c>
      <c r="B93" s="25"/>
      <c r="C93" s="25"/>
      <c r="D93" s="24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ht="15.75" customHeight="1">
      <c r="A94" s="9">
        <v>90.0</v>
      </c>
      <c r="B94" s="25"/>
      <c r="C94" s="25"/>
      <c r="D94" s="24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ht="15.75" customHeight="1">
      <c r="A95" s="9">
        <v>91.0</v>
      </c>
      <c r="B95" s="25"/>
      <c r="C95" s="25"/>
      <c r="D95" s="24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ht="15.75" customHeight="1">
      <c r="A96" s="9">
        <v>92.0</v>
      </c>
      <c r="B96" s="25"/>
      <c r="C96" s="25"/>
      <c r="D96" s="24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ht="15.75" customHeight="1">
      <c r="A97" s="9">
        <v>93.0</v>
      </c>
      <c r="B97" s="25"/>
      <c r="C97" s="25"/>
      <c r="D97" s="24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ht="15.75" customHeight="1">
      <c r="A98" s="9">
        <v>94.0</v>
      </c>
      <c r="B98" s="25"/>
      <c r="C98" s="25"/>
      <c r="D98" s="24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ht="15.75" customHeight="1">
      <c r="A99" s="9">
        <v>95.0</v>
      </c>
      <c r="B99" s="25"/>
      <c r="C99" s="25"/>
      <c r="D99" s="24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ht="15.75" customHeight="1">
      <c r="A100" s="9">
        <v>96.0</v>
      </c>
      <c r="B100" s="25"/>
      <c r="C100" s="25"/>
      <c r="D100" s="24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ht="15.75" customHeight="1">
      <c r="A101" s="9">
        <v>97.0</v>
      </c>
      <c r="B101" s="25"/>
      <c r="C101" s="25"/>
      <c r="D101" s="24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ht="15.75" customHeight="1">
      <c r="A102" s="9">
        <v>98.0</v>
      </c>
      <c r="B102" s="25"/>
      <c r="C102" s="25"/>
      <c r="D102" s="24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ht="15.75" customHeight="1">
      <c r="A103" s="9">
        <v>99.0</v>
      </c>
      <c r="B103" s="25"/>
      <c r="C103" s="25"/>
      <c r="D103" s="24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ht="15.75" customHeight="1">
      <c r="A104" s="9">
        <v>100.0</v>
      </c>
      <c r="B104" s="25"/>
      <c r="C104" s="25"/>
      <c r="D104" s="24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ht="15.75" customHeight="1">
      <c r="A105" s="22"/>
      <c r="B105" s="26"/>
      <c r="C105" s="26"/>
      <c r="D105" s="27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ht="15.75" customHeight="1">
      <c r="A106" s="22"/>
      <c r="B106" s="26"/>
      <c r="C106" s="26"/>
      <c r="D106" s="27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ht="15.75" customHeight="1">
      <c r="A107" s="22"/>
      <c r="B107" s="26"/>
      <c r="C107" s="26"/>
      <c r="D107" s="27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ht="15.75" customHeight="1">
      <c r="A108" s="22"/>
      <c r="B108" s="26"/>
      <c r="C108" s="26"/>
      <c r="D108" s="27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ht="15.75" customHeight="1">
      <c r="A109" s="22"/>
      <c r="B109" s="26"/>
      <c r="C109" s="26"/>
      <c r="D109" s="27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ht="15.75" customHeight="1">
      <c r="A110" s="22"/>
      <c r="B110" s="26"/>
      <c r="C110" s="26"/>
      <c r="D110" s="27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ht="15.75" customHeight="1">
      <c r="A111" s="22"/>
      <c r="B111" s="26"/>
      <c r="C111" s="26"/>
      <c r="D111" s="27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ht="15.75" customHeight="1">
      <c r="A112" s="22"/>
      <c r="B112" s="26"/>
      <c r="C112" s="26"/>
      <c r="D112" s="27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ht="15.75" customHeight="1">
      <c r="A113" s="22"/>
      <c r="B113" s="26"/>
      <c r="C113" s="26"/>
      <c r="D113" s="27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ht="15.75" customHeight="1">
      <c r="A114" s="22"/>
      <c r="B114" s="26"/>
      <c r="C114" s="26"/>
      <c r="D114" s="27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ht="15.75" customHeight="1">
      <c r="A115" s="22"/>
      <c r="B115" s="26"/>
      <c r="C115" s="26"/>
      <c r="D115" s="27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ht="15.75" customHeight="1">
      <c r="A116" s="22"/>
      <c r="B116" s="26"/>
      <c r="C116" s="26"/>
      <c r="D116" s="2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ht="15.75" customHeight="1">
      <c r="A117" s="22"/>
      <c r="B117" s="26"/>
      <c r="C117" s="26"/>
      <c r="D117" s="27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ht="15.75" customHeight="1">
      <c r="A118" s="22"/>
      <c r="B118" s="26"/>
      <c r="C118" s="26"/>
      <c r="D118" s="27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ht="15.75" customHeight="1">
      <c r="A119" s="22"/>
      <c r="B119" s="26"/>
      <c r="C119" s="26"/>
      <c r="D119" s="27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ht="15.75" customHeight="1">
      <c r="A120" s="22"/>
      <c r="B120" s="26"/>
      <c r="C120" s="26"/>
      <c r="D120" s="27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ht="15.75" customHeight="1">
      <c r="A121" s="22"/>
      <c r="B121" s="26"/>
      <c r="C121" s="26"/>
      <c r="D121" s="27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ht="15.75" customHeight="1">
      <c r="A122" s="22"/>
      <c r="B122" s="26"/>
      <c r="C122" s="26"/>
      <c r="D122" s="27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ht="15.75" customHeight="1">
      <c r="A123" s="22"/>
      <c r="B123" s="26"/>
      <c r="C123" s="26"/>
      <c r="D123" s="27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ht="15.75" customHeight="1">
      <c r="A124" s="22"/>
      <c r="B124" s="26"/>
      <c r="C124" s="26"/>
      <c r="D124" s="27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ht="15.75" customHeight="1">
      <c r="A125" s="22"/>
      <c r="B125" s="26"/>
      <c r="C125" s="26"/>
      <c r="D125" s="27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ht="15.75" customHeight="1">
      <c r="A126" s="22"/>
      <c r="B126" s="26"/>
      <c r="C126" s="26"/>
      <c r="D126" s="27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ht="15.75" customHeight="1">
      <c r="A127" s="22"/>
      <c r="B127" s="26"/>
      <c r="C127" s="26"/>
      <c r="D127" s="27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ht="15.75" customHeight="1">
      <c r="A128" s="22"/>
      <c r="B128" s="26"/>
      <c r="C128" s="26"/>
      <c r="D128" s="27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ht="15.75" customHeight="1">
      <c r="A129" s="22"/>
      <c r="B129" s="26"/>
      <c r="C129" s="26"/>
      <c r="D129" s="27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ht="15.75" customHeight="1">
      <c r="A130" s="22"/>
      <c r="B130" s="26"/>
      <c r="C130" s="26"/>
      <c r="D130" s="27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ht="15.75" customHeight="1">
      <c r="A131" s="22"/>
      <c r="B131" s="26"/>
      <c r="C131" s="26"/>
      <c r="D131" s="27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ht="15.75" customHeight="1">
      <c r="A132" s="22"/>
      <c r="B132" s="26"/>
      <c r="C132" s="26"/>
      <c r="D132" s="27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ht="15.75" customHeight="1">
      <c r="A133" s="22"/>
      <c r="B133" s="26"/>
      <c r="C133" s="26"/>
      <c r="D133" s="27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ht="15.75" customHeight="1">
      <c r="A134" s="22"/>
      <c r="B134" s="26"/>
      <c r="C134" s="26"/>
      <c r="D134" s="27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ht="15.75" customHeight="1">
      <c r="A135" s="22"/>
      <c r="B135" s="26"/>
      <c r="C135" s="26"/>
      <c r="D135" s="27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ht="15.75" customHeight="1">
      <c r="A136" s="22"/>
      <c r="B136" s="26"/>
      <c r="C136" s="26"/>
      <c r="D136" s="27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ht="15.75" customHeight="1">
      <c r="A137" s="22"/>
      <c r="B137" s="26"/>
      <c r="C137" s="26"/>
      <c r="D137" s="27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ht="15.75" customHeight="1">
      <c r="A138" s="22"/>
      <c r="B138" s="26"/>
      <c r="C138" s="26"/>
      <c r="D138" s="27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ht="15.75" customHeight="1">
      <c r="A139" s="22"/>
      <c r="B139" s="26"/>
      <c r="C139" s="26"/>
      <c r="D139" s="27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ht="15.75" customHeight="1">
      <c r="A140" s="22"/>
      <c r="B140" s="26"/>
      <c r="C140" s="26"/>
      <c r="D140" s="27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ht="15.75" customHeight="1">
      <c r="A141" s="22"/>
      <c r="B141" s="26"/>
      <c r="C141" s="26"/>
      <c r="D141" s="27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ht="15.75" customHeight="1">
      <c r="A142" s="22"/>
      <c r="B142" s="26"/>
      <c r="C142" s="26"/>
      <c r="D142" s="27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ht="15.75" customHeight="1">
      <c r="A143" s="22"/>
      <c r="B143" s="26"/>
      <c r="C143" s="26"/>
      <c r="D143" s="27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ht="15.75" customHeight="1">
      <c r="A144" s="22"/>
      <c r="B144" s="26"/>
      <c r="C144" s="26"/>
      <c r="D144" s="27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ht="15.75" customHeight="1">
      <c r="A145" s="22"/>
      <c r="B145" s="26"/>
      <c r="C145" s="26"/>
      <c r="D145" s="27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ht="15.75" customHeight="1">
      <c r="A146" s="22"/>
      <c r="B146" s="26"/>
      <c r="C146" s="26"/>
      <c r="D146" s="27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ht="15.75" customHeight="1">
      <c r="A147" s="22"/>
      <c r="B147" s="26"/>
      <c r="C147" s="26"/>
      <c r="D147" s="27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ht="15.75" customHeight="1">
      <c r="A148" s="22"/>
      <c r="B148" s="26"/>
      <c r="C148" s="26"/>
      <c r="D148" s="27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ht="15.75" customHeight="1">
      <c r="A149" s="22"/>
      <c r="B149" s="26"/>
      <c r="C149" s="26"/>
      <c r="D149" s="27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ht="15.75" customHeight="1">
      <c r="A150" s="22"/>
      <c r="B150" s="26"/>
      <c r="C150" s="26"/>
      <c r="D150" s="27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ht="15.75" customHeight="1">
      <c r="A151" s="22"/>
      <c r="B151" s="26"/>
      <c r="C151" s="26"/>
      <c r="D151" s="27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ht="15.75" customHeight="1">
      <c r="A152" s="22"/>
      <c r="B152" s="26"/>
      <c r="C152" s="26"/>
      <c r="D152" s="27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ht="15.75" customHeight="1">
      <c r="A153" s="22"/>
      <c r="B153" s="26"/>
      <c r="C153" s="26"/>
      <c r="D153" s="27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ht="15.75" customHeight="1">
      <c r="A154" s="22"/>
      <c r="B154" s="26"/>
      <c r="C154" s="26"/>
      <c r="D154" s="27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ht="15.75" customHeight="1">
      <c r="A155" s="22"/>
      <c r="B155" s="26"/>
      <c r="C155" s="26"/>
      <c r="D155" s="27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ht="15.75" customHeight="1">
      <c r="A156" s="22"/>
      <c r="B156" s="26"/>
      <c r="C156" s="26"/>
      <c r="D156" s="27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ht="15.75" customHeight="1">
      <c r="A157" s="22"/>
      <c r="B157" s="26"/>
      <c r="C157" s="26"/>
      <c r="D157" s="27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ht="15.75" customHeight="1">
      <c r="A158" s="22"/>
      <c r="B158" s="26"/>
      <c r="C158" s="26"/>
      <c r="D158" s="27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ht="15.75" customHeight="1">
      <c r="A159" s="22"/>
      <c r="B159" s="26"/>
      <c r="C159" s="26"/>
      <c r="D159" s="27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ht="15.75" customHeight="1">
      <c r="A160" s="22"/>
      <c r="B160" s="26"/>
      <c r="C160" s="26"/>
      <c r="D160" s="27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ht="15.75" customHeight="1">
      <c r="A161" s="22"/>
      <c r="B161" s="26"/>
      <c r="C161" s="26"/>
      <c r="D161" s="27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ht="15.75" customHeight="1">
      <c r="A162" s="22"/>
      <c r="B162" s="26"/>
      <c r="C162" s="26"/>
      <c r="D162" s="27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ht="15.75" customHeight="1">
      <c r="A163" s="22"/>
      <c r="B163" s="26"/>
      <c r="C163" s="26"/>
      <c r="D163" s="27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ht="15.75" customHeight="1">
      <c r="A164" s="22"/>
      <c r="B164" s="26"/>
      <c r="C164" s="26"/>
      <c r="D164" s="27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ht="15.75" customHeight="1">
      <c r="A165" s="22"/>
      <c r="B165" s="26"/>
      <c r="C165" s="26"/>
      <c r="D165" s="27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ht="15.75" customHeight="1">
      <c r="A166" s="22"/>
      <c r="B166" s="26"/>
      <c r="C166" s="26"/>
      <c r="D166" s="27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ht="15.75" customHeight="1">
      <c r="A167" s="22"/>
      <c r="B167" s="26"/>
      <c r="C167" s="26"/>
      <c r="D167" s="27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ht="15.75" customHeight="1">
      <c r="A168" s="22"/>
      <c r="B168" s="26"/>
      <c r="C168" s="26"/>
      <c r="D168" s="27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ht="15.75" customHeight="1">
      <c r="A169" s="22"/>
      <c r="B169" s="26"/>
      <c r="C169" s="26"/>
      <c r="D169" s="27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ht="15.75" customHeight="1">
      <c r="A170" s="22"/>
      <c r="B170" s="26"/>
      <c r="C170" s="26"/>
      <c r="D170" s="27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ht="15.75" customHeight="1">
      <c r="A171" s="22"/>
      <c r="B171" s="26"/>
      <c r="C171" s="26"/>
      <c r="D171" s="27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ht="15.75" customHeight="1">
      <c r="A172" s="22"/>
      <c r="B172" s="26"/>
      <c r="C172" s="26"/>
      <c r="D172" s="27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ht="15.75" customHeight="1">
      <c r="A173" s="22"/>
      <c r="B173" s="26"/>
      <c r="C173" s="26"/>
      <c r="D173" s="27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ht="15.75" customHeight="1">
      <c r="A174" s="22"/>
      <c r="B174" s="26"/>
      <c r="C174" s="26"/>
      <c r="D174" s="27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ht="15.75" customHeight="1">
      <c r="A175" s="22"/>
      <c r="B175" s="26"/>
      <c r="C175" s="26"/>
      <c r="D175" s="27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ht="15.75" customHeight="1">
      <c r="A176" s="22"/>
      <c r="B176" s="26"/>
      <c r="C176" s="26"/>
      <c r="D176" s="27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ht="15.75" customHeight="1">
      <c r="A177" s="22"/>
      <c r="B177" s="26"/>
      <c r="C177" s="26"/>
      <c r="D177" s="27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ht="15.75" customHeight="1">
      <c r="A178" s="22"/>
      <c r="B178" s="26"/>
      <c r="C178" s="26"/>
      <c r="D178" s="27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ht="15.75" customHeight="1">
      <c r="A179" s="22"/>
      <c r="B179" s="26"/>
      <c r="C179" s="26"/>
      <c r="D179" s="27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ht="15.75" customHeight="1">
      <c r="A180" s="22"/>
      <c r="B180" s="26"/>
      <c r="C180" s="26"/>
      <c r="D180" s="27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ht="15.75" customHeight="1">
      <c r="A181" s="22"/>
      <c r="B181" s="26"/>
      <c r="C181" s="26"/>
      <c r="D181" s="27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ht="15.75" customHeight="1">
      <c r="A182" s="22"/>
      <c r="B182" s="26"/>
      <c r="C182" s="26"/>
      <c r="D182" s="27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ht="15.75" customHeight="1">
      <c r="A183" s="22"/>
      <c r="B183" s="26"/>
      <c r="C183" s="26"/>
      <c r="D183" s="27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ht="15.75" customHeight="1">
      <c r="A184" s="22"/>
      <c r="B184" s="26"/>
      <c r="C184" s="26"/>
      <c r="D184" s="27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ht="15.75" customHeight="1">
      <c r="A185" s="22"/>
      <c r="B185" s="26"/>
      <c r="C185" s="26"/>
      <c r="D185" s="27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ht="15.75" customHeight="1">
      <c r="A186" s="22"/>
      <c r="B186" s="26"/>
      <c r="C186" s="26"/>
      <c r="D186" s="27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ht="15.75" customHeight="1">
      <c r="A187" s="22"/>
      <c r="B187" s="26"/>
      <c r="C187" s="26"/>
      <c r="D187" s="27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ht="15.75" customHeight="1">
      <c r="A188" s="22"/>
      <c r="B188" s="26"/>
      <c r="C188" s="26"/>
      <c r="D188" s="27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ht="15.75" customHeight="1">
      <c r="A189" s="22"/>
      <c r="B189" s="26"/>
      <c r="C189" s="26"/>
      <c r="D189" s="27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ht="15.75" customHeight="1">
      <c r="A190" s="22"/>
      <c r="B190" s="26"/>
      <c r="C190" s="26"/>
      <c r="D190" s="27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ht="15.75" customHeight="1">
      <c r="A191" s="22"/>
      <c r="B191" s="26"/>
      <c r="C191" s="26"/>
      <c r="D191" s="27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ht="15.75" customHeight="1">
      <c r="A192" s="22"/>
      <c r="B192" s="26"/>
      <c r="C192" s="26"/>
      <c r="D192" s="27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ht="15.75" customHeight="1">
      <c r="A193" s="22"/>
      <c r="B193" s="26"/>
      <c r="C193" s="26"/>
      <c r="D193" s="27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ht="15.75" customHeight="1">
      <c r="A194" s="22"/>
      <c r="B194" s="26"/>
      <c r="C194" s="26"/>
      <c r="D194" s="27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ht="15.75" customHeight="1">
      <c r="A195" s="22"/>
      <c r="B195" s="26"/>
      <c r="C195" s="26"/>
      <c r="D195" s="27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ht="15.75" customHeight="1">
      <c r="A196" s="22"/>
      <c r="B196" s="26"/>
      <c r="C196" s="26"/>
      <c r="D196" s="27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ht="15.75" customHeight="1">
      <c r="A197" s="22"/>
      <c r="B197" s="26"/>
      <c r="C197" s="26"/>
      <c r="D197" s="27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ht="15.75" customHeight="1">
      <c r="A198" s="22"/>
      <c r="B198" s="26"/>
      <c r="C198" s="26"/>
      <c r="D198" s="27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ht="15.75" customHeight="1">
      <c r="A199" s="22"/>
      <c r="B199" s="26"/>
      <c r="C199" s="26"/>
      <c r="D199" s="27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ht="15.75" customHeight="1">
      <c r="A200" s="22"/>
      <c r="B200" s="26"/>
      <c r="C200" s="26"/>
      <c r="D200" s="27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ht="15.75" customHeight="1">
      <c r="A201" s="22"/>
      <c r="B201" s="26"/>
      <c r="C201" s="26"/>
      <c r="D201" s="27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ht="15.75" customHeight="1">
      <c r="A202" s="22"/>
      <c r="B202" s="26"/>
      <c r="C202" s="26"/>
      <c r="D202" s="27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ht="15.75" customHeight="1">
      <c r="A203" s="22"/>
      <c r="B203" s="26"/>
      <c r="C203" s="26"/>
      <c r="D203" s="27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ht="15.75" customHeight="1">
      <c r="A204" s="22"/>
      <c r="B204" s="26"/>
      <c r="C204" s="26"/>
      <c r="D204" s="27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ht="15.75" customHeight="1">
      <c r="A205" s="22"/>
      <c r="B205" s="26"/>
      <c r="C205" s="26"/>
      <c r="D205" s="27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ht="15.75" customHeight="1">
      <c r="A206" s="22"/>
      <c r="B206" s="26"/>
      <c r="C206" s="26"/>
      <c r="D206" s="27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ht="15.75" customHeight="1">
      <c r="A207" s="22"/>
      <c r="B207" s="26"/>
      <c r="C207" s="26"/>
      <c r="D207" s="27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ht="15.75" customHeight="1">
      <c r="A208" s="22"/>
      <c r="B208" s="26"/>
      <c r="C208" s="26"/>
      <c r="D208" s="27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ht="15.75" customHeight="1">
      <c r="A209" s="22"/>
      <c r="B209" s="26"/>
      <c r="C209" s="26"/>
      <c r="D209" s="27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ht="15.75" customHeight="1">
      <c r="A210" s="22"/>
      <c r="B210" s="26"/>
      <c r="C210" s="26"/>
      <c r="D210" s="27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ht="15.75" customHeight="1">
      <c r="A211" s="22"/>
      <c r="B211" s="26"/>
      <c r="C211" s="26"/>
      <c r="D211" s="27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ht="15.75" customHeight="1">
      <c r="A212" s="22"/>
      <c r="B212" s="26"/>
      <c r="C212" s="26"/>
      <c r="D212" s="27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ht="15.75" customHeight="1">
      <c r="A213" s="22"/>
      <c r="B213" s="26"/>
      <c r="C213" s="26"/>
      <c r="D213" s="27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ht="15.75" customHeight="1">
      <c r="A214" s="22"/>
      <c r="B214" s="26"/>
      <c r="C214" s="26"/>
      <c r="D214" s="27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ht="15.75" customHeight="1">
      <c r="A215" s="22"/>
      <c r="B215" s="26"/>
      <c r="C215" s="26"/>
      <c r="D215" s="27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ht="15.75" customHeight="1">
      <c r="A216" s="22"/>
      <c r="B216" s="26"/>
      <c r="C216" s="26"/>
      <c r="D216" s="27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ht="15.75" customHeight="1">
      <c r="A217" s="22"/>
      <c r="B217" s="26"/>
      <c r="C217" s="26"/>
      <c r="D217" s="27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ht="15.75" customHeight="1">
      <c r="A218" s="22"/>
      <c r="B218" s="26"/>
      <c r="C218" s="26"/>
      <c r="D218" s="27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ht="15.75" customHeight="1">
      <c r="A219" s="22"/>
      <c r="B219" s="26"/>
      <c r="C219" s="26"/>
      <c r="D219" s="27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ht="15.75" customHeight="1">
      <c r="A220" s="22"/>
      <c r="B220" s="26"/>
      <c r="C220" s="26"/>
      <c r="D220" s="27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ht="15.75" customHeight="1">
      <c r="A221" s="22"/>
      <c r="B221" s="26"/>
      <c r="C221" s="26"/>
      <c r="D221" s="27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ht="15.75" customHeight="1">
      <c r="A222" s="22"/>
      <c r="B222" s="26"/>
      <c r="C222" s="26"/>
      <c r="D222" s="27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ht="15.75" customHeight="1">
      <c r="A223" s="22"/>
      <c r="B223" s="26"/>
      <c r="C223" s="26"/>
      <c r="D223" s="27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ht="15.75" customHeight="1">
      <c r="A224" s="22"/>
      <c r="B224" s="26"/>
      <c r="C224" s="26"/>
      <c r="D224" s="27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ht="15.75" customHeight="1">
      <c r="A225" s="22"/>
      <c r="B225" s="26"/>
      <c r="C225" s="26"/>
      <c r="D225" s="27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ht="15.75" customHeight="1">
      <c r="A226" s="22"/>
      <c r="B226" s="26"/>
      <c r="C226" s="26"/>
      <c r="D226" s="27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ht="15.75" customHeight="1">
      <c r="A227" s="22"/>
      <c r="B227" s="26"/>
      <c r="C227" s="26"/>
      <c r="D227" s="27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ht="15.75" customHeight="1">
      <c r="A228" s="22"/>
      <c r="B228" s="26"/>
      <c r="C228" s="26"/>
      <c r="D228" s="27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ht="15.75" customHeight="1">
      <c r="A229" s="22"/>
      <c r="B229" s="26"/>
      <c r="C229" s="26"/>
      <c r="D229" s="27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ht="15.75" customHeight="1">
      <c r="A230" s="22"/>
      <c r="B230" s="26"/>
      <c r="C230" s="26"/>
      <c r="D230" s="27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ht="15.75" customHeight="1">
      <c r="A231" s="22"/>
      <c r="B231" s="26"/>
      <c r="C231" s="26"/>
      <c r="D231" s="27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ht="15.75" customHeight="1">
      <c r="A232" s="22"/>
      <c r="B232" s="26"/>
      <c r="C232" s="26"/>
      <c r="D232" s="27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ht="15.75" customHeight="1">
      <c r="A233" s="22"/>
      <c r="B233" s="26"/>
      <c r="C233" s="26"/>
      <c r="D233" s="27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ht="15.75" customHeight="1">
      <c r="A234" s="22"/>
      <c r="B234" s="26"/>
      <c r="C234" s="26"/>
      <c r="D234" s="27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ht="15.75" customHeight="1">
      <c r="A235" s="22"/>
      <c r="B235" s="26"/>
      <c r="C235" s="26"/>
      <c r="D235" s="27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ht="15.75" customHeight="1">
      <c r="A236" s="22"/>
      <c r="B236" s="26"/>
      <c r="C236" s="26"/>
      <c r="D236" s="27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ht="15.75" customHeight="1">
      <c r="A237" s="22"/>
      <c r="B237" s="26"/>
      <c r="C237" s="26"/>
      <c r="D237" s="27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ht="15.75" customHeight="1">
      <c r="A238" s="22"/>
      <c r="B238" s="26"/>
      <c r="C238" s="26"/>
      <c r="D238" s="27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ht="15.75" customHeight="1">
      <c r="A239" s="22"/>
      <c r="B239" s="26"/>
      <c r="C239" s="26"/>
      <c r="D239" s="27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ht="15.75" customHeight="1">
      <c r="A240" s="22"/>
      <c r="B240" s="26"/>
      <c r="C240" s="26"/>
      <c r="D240" s="27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ht="15.75" customHeight="1">
      <c r="A241" s="22"/>
      <c r="B241" s="26"/>
      <c r="C241" s="26"/>
      <c r="D241" s="27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ht="15.75" customHeight="1">
      <c r="A242" s="22"/>
      <c r="B242" s="26"/>
      <c r="C242" s="26"/>
      <c r="D242" s="27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ht="15.75" customHeight="1">
      <c r="A243" s="22"/>
      <c r="B243" s="26"/>
      <c r="C243" s="26"/>
      <c r="D243" s="27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ht="15.75" customHeight="1">
      <c r="A244" s="22"/>
      <c r="B244" s="26"/>
      <c r="C244" s="26"/>
      <c r="D244" s="27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ht="15.75" customHeight="1">
      <c r="A245" s="22"/>
      <c r="B245" s="26"/>
      <c r="C245" s="26"/>
      <c r="D245" s="27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ht="15.75" customHeight="1">
      <c r="A246" s="22"/>
      <c r="B246" s="26"/>
      <c r="C246" s="26"/>
      <c r="D246" s="27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ht="15.75" customHeight="1">
      <c r="A247" s="22"/>
      <c r="B247" s="26"/>
      <c r="C247" s="26"/>
      <c r="D247" s="27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ht="15.75" customHeight="1">
      <c r="A248" s="22"/>
      <c r="B248" s="26"/>
      <c r="C248" s="26"/>
      <c r="D248" s="27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ht="15.75" customHeight="1">
      <c r="A249" s="22"/>
      <c r="B249" s="26"/>
      <c r="C249" s="26"/>
      <c r="D249" s="27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ht="15.75" customHeight="1">
      <c r="A250" s="22"/>
      <c r="B250" s="26"/>
      <c r="C250" s="26"/>
      <c r="D250" s="27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ht="15.75" customHeight="1">
      <c r="A251" s="22"/>
      <c r="B251" s="26"/>
      <c r="C251" s="26"/>
      <c r="D251" s="27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ht="15.75" customHeight="1">
      <c r="A252" s="22"/>
      <c r="B252" s="26"/>
      <c r="C252" s="26"/>
      <c r="D252" s="27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ht="15.75" customHeight="1">
      <c r="A253" s="22"/>
      <c r="B253" s="26"/>
      <c r="C253" s="26"/>
      <c r="D253" s="27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ht="15.75" customHeight="1">
      <c r="A254" s="22"/>
      <c r="B254" s="26"/>
      <c r="C254" s="26"/>
      <c r="D254" s="27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ht="15.75" customHeight="1">
      <c r="A255" s="22"/>
      <c r="B255" s="26"/>
      <c r="C255" s="26"/>
      <c r="D255" s="27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ht="15.75" customHeight="1">
      <c r="A256" s="22"/>
      <c r="B256" s="26"/>
      <c r="C256" s="26"/>
      <c r="D256" s="27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ht="15.75" customHeight="1">
      <c r="A257" s="22"/>
      <c r="B257" s="26"/>
      <c r="C257" s="26"/>
      <c r="D257" s="27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ht="15.75" customHeight="1">
      <c r="A258" s="22"/>
      <c r="B258" s="26"/>
      <c r="C258" s="26"/>
      <c r="D258" s="27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ht="15.75" customHeight="1">
      <c r="A259" s="22"/>
      <c r="B259" s="26"/>
      <c r="C259" s="26"/>
      <c r="D259" s="27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ht="15.75" customHeight="1">
      <c r="A260" s="22"/>
      <c r="B260" s="26"/>
      <c r="C260" s="26"/>
      <c r="D260" s="27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ht="15.75" customHeight="1">
      <c r="A261" s="22"/>
      <c r="B261" s="26"/>
      <c r="C261" s="26"/>
      <c r="D261" s="27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ht="15.75" customHeight="1">
      <c r="A262" s="22"/>
      <c r="B262" s="26"/>
      <c r="C262" s="26"/>
      <c r="D262" s="27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ht="15.75" customHeight="1">
      <c r="A263" s="22"/>
      <c r="B263" s="26"/>
      <c r="C263" s="26"/>
      <c r="D263" s="27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ht="15.75" customHeight="1">
      <c r="A264" s="22"/>
      <c r="B264" s="26"/>
      <c r="C264" s="26"/>
      <c r="D264" s="27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ht="15.75" customHeight="1">
      <c r="A265" s="22"/>
      <c r="B265" s="26"/>
      <c r="C265" s="26"/>
      <c r="D265" s="27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ht="15.75" customHeight="1">
      <c r="A266" s="22"/>
      <c r="B266" s="26"/>
      <c r="C266" s="26"/>
      <c r="D266" s="27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ht="15.75" customHeight="1">
      <c r="A267" s="22"/>
      <c r="B267" s="26"/>
      <c r="C267" s="26"/>
      <c r="D267" s="27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ht="15.75" customHeight="1">
      <c r="A268" s="22"/>
      <c r="B268" s="26"/>
      <c r="C268" s="26"/>
      <c r="D268" s="27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ht="15.75" customHeight="1">
      <c r="A269" s="22"/>
      <c r="B269" s="26"/>
      <c r="C269" s="26"/>
      <c r="D269" s="27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ht="15.75" customHeight="1">
      <c r="A270" s="22"/>
      <c r="B270" s="26"/>
      <c r="C270" s="26"/>
      <c r="D270" s="27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ht="15.75" customHeight="1">
      <c r="A271" s="22"/>
      <c r="B271" s="26"/>
      <c r="C271" s="26"/>
      <c r="D271" s="27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ht="15.75" customHeight="1">
      <c r="A272" s="22"/>
      <c r="B272" s="26"/>
      <c r="C272" s="26"/>
      <c r="D272" s="27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ht="15.75" customHeight="1">
      <c r="A273" s="22"/>
      <c r="B273" s="26"/>
      <c r="C273" s="26"/>
      <c r="D273" s="27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ht="15.75" customHeight="1">
      <c r="A274" s="22"/>
      <c r="B274" s="26"/>
      <c r="C274" s="26"/>
      <c r="D274" s="27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ht="15.75" customHeight="1">
      <c r="A275" s="22"/>
      <c r="B275" s="26"/>
      <c r="C275" s="26"/>
      <c r="D275" s="27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ht="15.75" customHeight="1">
      <c r="A276" s="22"/>
      <c r="B276" s="26"/>
      <c r="C276" s="26"/>
      <c r="D276" s="27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ht="15.75" customHeight="1">
      <c r="A277" s="22"/>
      <c r="B277" s="26"/>
      <c r="C277" s="26"/>
      <c r="D277" s="27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ht="15.75" customHeight="1">
      <c r="A278" s="22"/>
      <c r="B278" s="26"/>
      <c r="C278" s="26"/>
      <c r="D278" s="27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ht="15.75" customHeight="1">
      <c r="A279" s="22"/>
      <c r="B279" s="26"/>
      <c r="C279" s="26"/>
      <c r="D279" s="27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ht="15.75" customHeight="1">
      <c r="A280" s="22"/>
      <c r="B280" s="26"/>
      <c r="C280" s="26"/>
      <c r="D280" s="27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ht="15.75" customHeight="1">
      <c r="A281" s="22"/>
      <c r="B281" s="26"/>
      <c r="C281" s="26"/>
      <c r="D281" s="27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ht="15.75" customHeight="1">
      <c r="A282" s="22"/>
      <c r="B282" s="26"/>
      <c r="C282" s="26"/>
      <c r="D282" s="27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ht="15.75" customHeight="1">
      <c r="A283" s="22"/>
      <c r="B283" s="26"/>
      <c r="C283" s="26"/>
      <c r="D283" s="27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ht="15.75" customHeight="1">
      <c r="A284" s="22"/>
      <c r="B284" s="26"/>
      <c r="C284" s="26"/>
      <c r="D284" s="27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ht="15.75" customHeight="1">
      <c r="A285" s="22"/>
      <c r="B285" s="26"/>
      <c r="C285" s="26"/>
      <c r="D285" s="27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ht="15.75" customHeight="1">
      <c r="A286" s="22"/>
      <c r="B286" s="26"/>
      <c r="C286" s="26"/>
      <c r="D286" s="27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ht="15.75" customHeight="1">
      <c r="A287" s="22"/>
      <c r="B287" s="26"/>
      <c r="C287" s="26"/>
      <c r="D287" s="27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ht="15.75" customHeight="1">
      <c r="A288" s="22"/>
      <c r="B288" s="26"/>
      <c r="C288" s="26"/>
      <c r="D288" s="27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ht="15.75" customHeight="1">
      <c r="A289" s="22"/>
      <c r="B289" s="26"/>
      <c r="C289" s="26"/>
      <c r="D289" s="27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ht="15.75" customHeight="1">
      <c r="A290" s="22"/>
      <c r="B290" s="26"/>
      <c r="C290" s="26"/>
      <c r="D290" s="27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ht="15.75" customHeight="1">
      <c r="A291" s="22"/>
      <c r="B291" s="26"/>
      <c r="C291" s="26"/>
      <c r="D291" s="27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ht="15.75" customHeight="1">
      <c r="A292" s="22"/>
      <c r="B292" s="26"/>
      <c r="C292" s="26"/>
      <c r="D292" s="27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ht="15.75" customHeight="1">
      <c r="A293" s="22"/>
      <c r="B293" s="26"/>
      <c r="C293" s="26"/>
      <c r="D293" s="27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ht="15.75" customHeight="1">
      <c r="A294" s="22"/>
      <c r="B294" s="26"/>
      <c r="C294" s="26"/>
      <c r="D294" s="27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ht="15.75" customHeight="1">
      <c r="A295" s="22"/>
      <c r="B295" s="26"/>
      <c r="C295" s="26"/>
      <c r="D295" s="27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ht="15.75" customHeight="1">
      <c r="A296" s="22"/>
      <c r="B296" s="26"/>
      <c r="C296" s="26"/>
      <c r="D296" s="27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ht="15.75" customHeight="1">
      <c r="A297" s="22"/>
      <c r="B297" s="26"/>
      <c r="C297" s="26"/>
      <c r="D297" s="27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ht="15.75" customHeight="1">
      <c r="A298" s="22"/>
      <c r="B298" s="26"/>
      <c r="C298" s="26"/>
      <c r="D298" s="27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ht="15.75" customHeight="1">
      <c r="A299" s="22"/>
      <c r="B299" s="26"/>
      <c r="C299" s="26"/>
      <c r="D299" s="27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ht="15.75" customHeight="1">
      <c r="A300" s="22"/>
      <c r="B300" s="26"/>
      <c r="C300" s="26"/>
      <c r="D300" s="27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ht="15.75" customHeight="1">
      <c r="A301" s="22"/>
      <c r="B301" s="26"/>
      <c r="C301" s="26"/>
      <c r="D301" s="27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ht="15.75" customHeight="1">
      <c r="A302" s="22"/>
      <c r="B302" s="26"/>
      <c r="C302" s="26"/>
      <c r="D302" s="27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ht="15.75" customHeight="1">
      <c r="A303" s="22"/>
      <c r="B303" s="26"/>
      <c r="C303" s="26"/>
      <c r="D303" s="27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ht="15.75" customHeight="1">
      <c r="A304" s="22"/>
      <c r="B304" s="26"/>
      <c r="C304" s="26"/>
      <c r="D304" s="27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:M1"/>
    <mergeCell ref="A3:D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8"/>
      <c r="C1" s="28"/>
      <c r="D1" s="28" t="s">
        <v>1</v>
      </c>
      <c r="E1" s="29"/>
      <c r="F1" s="3"/>
      <c r="G1" s="4" t="s">
        <v>2</v>
      </c>
      <c r="N1" s="5"/>
      <c r="O1" s="6"/>
      <c r="P1" s="6"/>
      <c r="Q1" s="7"/>
      <c r="R1" s="6"/>
      <c r="S1" s="6"/>
      <c r="T1" s="6"/>
      <c r="U1" s="6"/>
      <c r="V1" s="7"/>
      <c r="W1" s="6"/>
      <c r="X1" s="6"/>
      <c r="Y1" s="6"/>
      <c r="Z1" s="6"/>
      <c r="AA1" s="7"/>
      <c r="AB1" s="6"/>
      <c r="AC1" s="6"/>
      <c r="AD1" s="6"/>
      <c r="AE1" s="6"/>
    </row>
    <row r="2" ht="15.75" customHeight="1">
      <c r="A2" s="8">
        <v>3.0</v>
      </c>
      <c r="B2" s="9"/>
      <c r="C2" s="9"/>
      <c r="D2" s="8"/>
      <c r="F2" s="10"/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1" t="s">
        <v>9</v>
      </c>
      <c r="N2" s="11" t="s">
        <v>10</v>
      </c>
    </row>
    <row r="3" ht="15.75" customHeight="1">
      <c r="A3" s="12" t="s">
        <v>11</v>
      </c>
      <c r="E3" s="13"/>
      <c r="F3" s="14" t="s">
        <v>12</v>
      </c>
      <c r="G3" s="15">
        <f>COUNTA(B5:B1002)</f>
        <v>17</v>
      </c>
      <c r="H3" s="15">
        <f>G3/G6*100</f>
        <v>56.66666667</v>
      </c>
      <c r="I3" s="15">
        <f>average(B5:B1002)</f>
        <v>102.88</v>
      </c>
      <c r="J3" s="15">
        <f>MIN(B5:B1002)</f>
        <v>73.56</v>
      </c>
      <c r="K3" s="15">
        <f>max(B5:B1002)</f>
        <v>147.69</v>
      </c>
      <c r="L3" s="16"/>
      <c r="M3" s="16">
        <f t="shared" ref="M3:M5" si="1">L3+G3</f>
        <v>17</v>
      </c>
      <c r="N3" s="17">
        <f>M3*4</f>
        <v>68</v>
      </c>
      <c r="O3" s="13"/>
      <c r="P3" s="13"/>
      <c r="Q3" s="18"/>
      <c r="R3" s="19"/>
      <c r="S3" s="13"/>
      <c r="T3" s="13"/>
      <c r="U3" s="13"/>
      <c r="V3" s="18"/>
      <c r="W3" s="19"/>
      <c r="X3" s="13"/>
      <c r="Y3" s="13"/>
      <c r="Z3" s="13"/>
      <c r="AA3" s="18"/>
      <c r="AB3" s="19"/>
      <c r="AC3" s="13"/>
      <c r="AD3" s="13"/>
      <c r="AE3" s="13"/>
    </row>
    <row r="4" ht="15.75" customHeight="1">
      <c r="A4" s="12" t="s">
        <v>3</v>
      </c>
      <c r="B4" s="20" t="s">
        <v>12</v>
      </c>
      <c r="C4" s="20" t="s">
        <v>13</v>
      </c>
      <c r="D4" s="21" t="s">
        <v>14</v>
      </c>
      <c r="E4" s="22"/>
      <c r="F4" s="14" t="s">
        <v>13</v>
      </c>
      <c r="G4" s="15">
        <f>counta(C5:C1002)</f>
        <v>13</v>
      </c>
      <c r="H4" s="15">
        <f>G4/G6*100</f>
        <v>43.33333333</v>
      </c>
      <c r="I4" s="15">
        <f>average(C5:C1002)</f>
        <v>60.41307692</v>
      </c>
      <c r="J4" s="15">
        <f>min(C5:C1002)</f>
        <v>24.96</v>
      </c>
      <c r="K4" s="15">
        <f>max(C5:C1002)</f>
        <v>108.83</v>
      </c>
      <c r="L4" s="15"/>
      <c r="M4" s="15">
        <f t="shared" si="1"/>
        <v>13</v>
      </c>
      <c r="N4" s="15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ht="15.75" customHeight="1">
      <c r="A5" s="9">
        <v>1.0</v>
      </c>
      <c r="B5" s="23">
        <v>147.69</v>
      </c>
      <c r="C5" s="25"/>
      <c r="D5" s="24"/>
      <c r="E5" s="22"/>
      <c r="F5" s="14" t="s">
        <v>15</v>
      </c>
      <c r="G5" s="15">
        <f>COUNTA(D5:D1002)</f>
        <v>0</v>
      </c>
      <c r="H5" s="15">
        <f>G5/G6*100</f>
        <v>0</v>
      </c>
      <c r="I5" s="15" t="str">
        <f>average(D5:D1002)</f>
        <v>#DIV/0!</v>
      </c>
      <c r="J5" s="15">
        <f>min(D5:D1002)</f>
        <v>0</v>
      </c>
      <c r="K5" s="15">
        <f>max(D5:D1002)</f>
        <v>0</v>
      </c>
      <c r="L5" s="15"/>
      <c r="M5" s="15">
        <f t="shared" si="1"/>
        <v>0</v>
      </c>
      <c r="N5" s="15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ht="15.75" customHeight="1">
      <c r="A6" s="9">
        <v>2.0</v>
      </c>
      <c r="B6" s="23">
        <v>135.85</v>
      </c>
      <c r="C6" s="25"/>
      <c r="D6" s="24"/>
      <c r="E6" s="22"/>
      <c r="F6" s="14" t="s">
        <v>16</v>
      </c>
      <c r="G6" s="15">
        <f>COUNTA(B5:D1002)</f>
        <v>30</v>
      </c>
      <c r="H6" s="15">
        <f>G6/G6*100</f>
        <v>100</v>
      </c>
      <c r="I6" s="15">
        <f>average(B5:D1002)</f>
        <v>84.47766667</v>
      </c>
      <c r="J6" s="15">
        <f>min(B5:D1002)</f>
        <v>24.96</v>
      </c>
      <c r="K6" s="15">
        <f>max(B5:D1002)</f>
        <v>147.69</v>
      </c>
      <c r="L6" s="15"/>
      <c r="M6" s="15"/>
      <c r="N6" s="1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ht="15.75" customHeight="1">
      <c r="A7" s="9">
        <v>3.0</v>
      </c>
      <c r="B7" s="25"/>
      <c r="C7" s="23">
        <v>69.87</v>
      </c>
      <c r="D7" s="24"/>
      <c r="E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ht="15.75" customHeight="1">
      <c r="A8" s="9">
        <v>4.0</v>
      </c>
      <c r="B8" s="25"/>
      <c r="C8" s="23">
        <v>65.0</v>
      </c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ht="15.75" customHeight="1">
      <c r="A9" s="9">
        <v>5.0</v>
      </c>
      <c r="B9" s="23">
        <v>83.68</v>
      </c>
      <c r="C9" s="25"/>
      <c r="D9" s="24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ht="15.75" customHeight="1">
      <c r="A10" s="9">
        <v>6.0</v>
      </c>
      <c r="B10" s="23">
        <v>90.61</v>
      </c>
      <c r="C10" s="25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ht="15.75" customHeight="1">
      <c r="A11" s="9">
        <v>7.0</v>
      </c>
      <c r="B11" s="23">
        <v>105.08</v>
      </c>
      <c r="C11" s="25"/>
      <c r="D11" s="24"/>
      <c r="E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ht="15.75" customHeight="1">
      <c r="A12" s="9">
        <v>8.0</v>
      </c>
      <c r="B12" s="23">
        <v>106.97</v>
      </c>
      <c r="C12" s="25"/>
      <c r="D12" s="24"/>
      <c r="E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ht="15.75" customHeight="1">
      <c r="A13" s="9">
        <v>9.0</v>
      </c>
      <c r="B13" s="23">
        <v>123.04</v>
      </c>
      <c r="C13" s="25"/>
      <c r="D13" s="24"/>
      <c r="E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ht="15.75" customHeight="1">
      <c r="A14" s="9">
        <v>10.0</v>
      </c>
      <c r="B14" s="23">
        <v>112.26</v>
      </c>
      <c r="C14" s="25"/>
      <c r="D14" s="2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ht="15.75" customHeight="1">
      <c r="A15" s="9">
        <v>11.0</v>
      </c>
      <c r="B15" s="23">
        <v>73.56</v>
      </c>
      <c r="C15" s="25"/>
      <c r="D15" s="2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ht="15.75" customHeight="1">
      <c r="A16" s="9">
        <v>12.0</v>
      </c>
      <c r="B16" s="23">
        <v>107.72</v>
      </c>
      <c r="C16" s="25"/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ht="15.75" customHeight="1">
      <c r="A17" s="9">
        <v>13.0</v>
      </c>
      <c r="B17" s="23">
        <v>105.24</v>
      </c>
      <c r="C17" s="25"/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ht="15.75" customHeight="1">
      <c r="A18" s="9">
        <v>14.0</v>
      </c>
      <c r="B18" s="25"/>
      <c r="C18" s="23">
        <v>93.03</v>
      </c>
      <c r="D18" s="2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ht="15.75" customHeight="1">
      <c r="A19" s="9">
        <v>15.0</v>
      </c>
      <c r="B19" s="25"/>
      <c r="C19" s="23">
        <v>51.98</v>
      </c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ht="15.75" customHeight="1">
      <c r="A20" s="9">
        <v>16.0</v>
      </c>
      <c r="B20" s="23">
        <v>98.39</v>
      </c>
      <c r="C20" s="25"/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ht="15.75" customHeight="1">
      <c r="A21" s="9">
        <v>17.0</v>
      </c>
      <c r="B21" s="23">
        <v>88.57</v>
      </c>
      <c r="C21" s="25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ht="15.75" customHeight="1">
      <c r="A22" s="9">
        <v>18.0</v>
      </c>
      <c r="B22" s="23">
        <v>93.67</v>
      </c>
      <c r="C22" s="25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ht="15.75" customHeight="1">
      <c r="A23" s="9">
        <v>19.0</v>
      </c>
      <c r="B23" s="23">
        <v>89.39</v>
      </c>
      <c r="C23" s="25"/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ht="15.75" customHeight="1">
      <c r="A24" s="9">
        <v>20.0</v>
      </c>
      <c r="B24" s="25"/>
      <c r="C24" s="23">
        <v>43.69</v>
      </c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ht="15.75" customHeight="1">
      <c r="A25" s="9">
        <v>21.0</v>
      </c>
      <c r="B25" s="25"/>
      <c r="C25" s="23">
        <v>32.38</v>
      </c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ht="15.75" customHeight="1">
      <c r="A26" s="9">
        <v>22.0</v>
      </c>
      <c r="B26" s="25"/>
      <c r="C26" s="23">
        <v>24.96</v>
      </c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ht="15.75" customHeight="1">
      <c r="A27" s="9">
        <v>23.0</v>
      </c>
      <c r="B27" s="25"/>
      <c r="C27" s="23">
        <v>53.08</v>
      </c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ht="15.75" customHeight="1">
      <c r="A28" s="9">
        <v>24.0</v>
      </c>
      <c r="B28" s="25"/>
      <c r="C28" s="23">
        <v>61.5</v>
      </c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ht="15.75" customHeight="1">
      <c r="A29" s="9">
        <v>25.0</v>
      </c>
      <c r="B29" s="25"/>
      <c r="C29" s="23">
        <v>47.63</v>
      </c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ht="15.75" customHeight="1">
      <c r="A30" s="9">
        <v>26.0</v>
      </c>
      <c r="B30" s="23">
        <v>104.89</v>
      </c>
      <c r="C30" s="25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ht="15.75" customHeight="1">
      <c r="A31" s="9">
        <v>27.0</v>
      </c>
      <c r="B31" s="23">
        <v>82.35</v>
      </c>
      <c r="C31" s="25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ht="15.75" customHeight="1">
      <c r="A32" s="9">
        <v>28.0</v>
      </c>
      <c r="B32" s="25"/>
      <c r="C32" s="23">
        <v>74.12</v>
      </c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ht="15.75" customHeight="1">
      <c r="A33" s="9">
        <v>29.0</v>
      </c>
      <c r="B33" s="25"/>
      <c r="C33" s="23">
        <v>108.83</v>
      </c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ht="15.75" customHeight="1">
      <c r="A34" s="9">
        <v>30.0</v>
      </c>
      <c r="B34" s="25"/>
      <c r="C34" s="23">
        <v>59.3</v>
      </c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ht="15.75" customHeight="1">
      <c r="A35" s="9">
        <v>31.0</v>
      </c>
      <c r="B35" s="25"/>
      <c r="C35" s="25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ht="15.75" customHeight="1">
      <c r="A36" s="9">
        <v>32.0</v>
      </c>
      <c r="B36" s="25"/>
      <c r="C36" s="25"/>
      <c r="D36" s="24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ht="15.75" customHeight="1">
      <c r="A37" s="9">
        <v>33.0</v>
      </c>
      <c r="B37" s="25"/>
      <c r="C37" s="25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ht="15.75" customHeight="1">
      <c r="A38" s="9">
        <v>34.0</v>
      </c>
      <c r="B38" s="25"/>
      <c r="C38" s="25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ht="15.75" customHeight="1">
      <c r="A39" s="9">
        <v>35.0</v>
      </c>
      <c r="B39" s="25"/>
      <c r="C39" s="25"/>
      <c r="D39" s="2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ht="15.75" customHeight="1">
      <c r="A40" s="9">
        <v>36.0</v>
      </c>
      <c r="B40" s="25"/>
      <c r="C40" s="25"/>
      <c r="D40" s="24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ht="15.75" customHeight="1">
      <c r="A41" s="9">
        <v>37.0</v>
      </c>
      <c r="B41" s="25"/>
      <c r="C41" s="25"/>
      <c r="D41" s="24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ht="15.75" customHeight="1">
      <c r="A42" s="9">
        <v>38.0</v>
      </c>
      <c r="B42" s="25"/>
      <c r="C42" s="25"/>
      <c r="D42" s="2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ht="15.75" customHeight="1">
      <c r="A43" s="9">
        <v>39.0</v>
      </c>
      <c r="B43" s="25"/>
      <c r="C43" s="25"/>
      <c r="D43" s="24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ht="15.75" customHeight="1">
      <c r="A44" s="9">
        <v>40.0</v>
      </c>
      <c r="B44" s="25"/>
      <c r="C44" s="25"/>
      <c r="D44" s="24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ht="15.75" customHeight="1">
      <c r="A45" s="9">
        <v>41.0</v>
      </c>
      <c r="B45" s="25"/>
      <c r="C45" s="25"/>
      <c r="D45" s="24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ht="15.75" customHeight="1">
      <c r="A46" s="9">
        <v>42.0</v>
      </c>
      <c r="B46" s="25"/>
      <c r="C46" s="25"/>
      <c r="D46" s="24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ht="15.75" customHeight="1">
      <c r="A47" s="9">
        <v>43.0</v>
      </c>
      <c r="B47" s="25"/>
      <c r="C47" s="25"/>
      <c r="D47" s="24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ht="15.75" customHeight="1">
      <c r="A48" s="9">
        <v>44.0</v>
      </c>
      <c r="B48" s="25"/>
      <c r="C48" s="25"/>
      <c r="D48" s="24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ht="15.75" customHeight="1">
      <c r="A49" s="9">
        <v>45.0</v>
      </c>
      <c r="B49" s="25"/>
      <c r="C49" s="25"/>
      <c r="D49" s="24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ht="15.75" customHeight="1">
      <c r="A50" s="9">
        <v>46.0</v>
      </c>
      <c r="B50" s="25"/>
      <c r="C50" s="25"/>
      <c r="D50" s="24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ht="15.75" customHeight="1">
      <c r="A51" s="9">
        <v>47.0</v>
      </c>
      <c r="B51" s="25"/>
      <c r="C51" s="25"/>
      <c r="D51" s="2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ht="15.75" customHeight="1">
      <c r="A52" s="9">
        <v>48.0</v>
      </c>
      <c r="B52" s="25"/>
      <c r="C52" s="25"/>
      <c r="D52" s="24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ht="15.75" customHeight="1">
      <c r="A53" s="9">
        <v>49.0</v>
      </c>
      <c r="B53" s="25"/>
      <c r="C53" s="25"/>
      <c r="D53" s="24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ht="15.75" customHeight="1">
      <c r="A54" s="9">
        <v>50.0</v>
      </c>
      <c r="B54" s="25"/>
      <c r="C54" s="25"/>
      <c r="D54" s="2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ht="15.75" customHeight="1">
      <c r="A55" s="9">
        <v>51.0</v>
      </c>
      <c r="B55" s="25"/>
      <c r="C55" s="25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ht="15.75" customHeight="1">
      <c r="A56" s="9">
        <v>52.0</v>
      </c>
      <c r="B56" s="25"/>
      <c r="C56" s="25"/>
      <c r="D56" s="24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ht="15.75" customHeight="1">
      <c r="A57" s="9">
        <v>53.0</v>
      </c>
      <c r="B57" s="25"/>
      <c r="C57" s="25"/>
      <c r="D57" s="2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ht="15.75" customHeight="1">
      <c r="A58" s="9">
        <v>54.0</v>
      </c>
      <c r="B58" s="25"/>
      <c r="C58" s="25"/>
      <c r="D58" s="24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ht="15.75" customHeight="1">
      <c r="A59" s="9">
        <v>55.0</v>
      </c>
      <c r="B59" s="25"/>
      <c r="C59" s="25"/>
      <c r="D59" s="24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ht="15.75" customHeight="1">
      <c r="A60" s="9">
        <v>56.0</v>
      </c>
      <c r="B60" s="25"/>
      <c r="C60" s="25"/>
      <c r="D60" s="2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ht="15.75" customHeight="1">
      <c r="A61" s="9">
        <v>57.0</v>
      </c>
      <c r="B61" s="25"/>
      <c r="C61" s="25"/>
      <c r="D61" s="24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ht="15.75" customHeight="1">
      <c r="A62" s="9">
        <v>58.0</v>
      </c>
      <c r="B62" s="25"/>
      <c r="C62" s="25"/>
      <c r="D62" s="24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ht="15.75" customHeight="1">
      <c r="A63" s="9">
        <v>59.0</v>
      </c>
      <c r="B63" s="25"/>
      <c r="C63" s="25"/>
      <c r="D63" s="24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ht="15.75" customHeight="1">
      <c r="A64" s="9">
        <v>60.0</v>
      </c>
      <c r="B64" s="25"/>
      <c r="C64" s="25"/>
      <c r="D64" s="24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ht="15.75" customHeight="1">
      <c r="A65" s="9">
        <v>61.0</v>
      </c>
      <c r="B65" s="25"/>
      <c r="C65" s="25"/>
      <c r="D65" s="24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ht="15.75" customHeight="1">
      <c r="A66" s="9">
        <v>62.0</v>
      </c>
      <c r="B66" s="25"/>
      <c r="C66" s="25"/>
      <c r="D66" s="24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ht="15.75" customHeight="1">
      <c r="A67" s="9">
        <v>63.0</v>
      </c>
      <c r="B67" s="25"/>
      <c r="C67" s="25"/>
      <c r="D67" s="24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ht="15.75" customHeight="1">
      <c r="A68" s="9">
        <v>64.0</v>
      </c>
      <c r="B68" s="25"/>
      <c r="C68" s="25"/>
      <c r="D68" s="24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ht="15.75" customHeight="1">
      <c r="A69" s="9">
        <v>65.0</v>
      </c>
      <c r="B69" s="25"/>
      <c r="C69" s="25"/>
      <c r="D69" s="24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ht="15.75" customHeight="1">
      <c r="A70" s="9">
        <v>66.0</v>
      </c>
      <c r="B70" s="25"/>
      <c r="C70" s="25"/>
      <c r="D70" s="24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ht="15.75" customHeight="1">
      <c r="A71" s="9">
        <v>67.0</v>
      </c>
      <c r="B71" s="25"/>
      <c r="C71" s="25"/>
      <c r="D71" s="24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ht="15.75" customHeight="1">
      <c r="A72" s="9">
        <v>68.0</v>
      </c>
      <c r="B72" s="25"/>
      <c r="C72" s="25"/>
      <c r="D72" s="24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ht="15.75" customHeight="1">
      <c r="A73" s="9">
        <v>69.0</v>
      </c>
      <c r="B73" s="25"/>
      <c r="C73" s="25"/>
      <c r="D73" s="24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ht="15.75" customHeight="1">
      <c r="A74" s="9">
        <v>70.0</v>
      </c>
      <c r="B74" s="25"/>
      <c r="C74" s="25"/>
      <c r="D74" s="24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ht="15.75" customHeight="1">
      <c r="A75" s="9">
        <v>71.0</v>
      </c>
      <c r="B75" s="25"/>
      <c r="C75" s="25"/>
      <c r="D75" s="24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ht="15.75" customHeight="1">
      <c r="A76" s="9">
        <v>72.0</v>
      </c>
      <c r="B76" s="25"/>
      <c r="C76" s="25"/>
      <c r="D76" s="24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ht="15.75" customHeight="1">
      <c r="A77" s="9">
        <v>73.0</v>
      </c>
      <c r="B77" s="25"/>
      <c r="C77" s="25"/>
      <c r="D77" s="24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ht="15.75" customHeight="1">
      <c r="A78" s="9">
        <v>74.0</v>
      </c>
      <c r="B78" s="25"/>
      <c r="C78" s="25"/>
      <c r="D78" s="24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ht="15.75" customHeight="1">
      <c r="A79" s="9">
        <v>75.0</v>
      </c>
      <c r="B79" s="25"/>
      <c r="C79" s="25"/>
      <c r="D79" s="24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ht="15.75" customHeight="1">
      <c r="A80" s="9">
        <v>76.0</v>
      </c>
      <c r="B80" s="25"/>
      <c r="C80" s="25"/>
      <c r="D80" s="24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ht="15.75" customHeight="1">
      <c r="A81" s="9">
        <v>77.0</v>
      </c>
      <c r="B81" s="25"/>
      <c r="C81" s="25"/>
      <c r="D81" s="24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ht="15.75" customHeight="1">
      <c r="A82" s="9">
        <v>78.0</v>
      </c>
      <c r="B82" s="25"/>
      <c r="C82" s="25"/>
      <c r="D82" s="24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ht="15.75" customHeight="1">
      <c r="A83" s="9">
        <v>79.0</v>
      </c>
      <c r="B83" s="25"/>
      <c r="C83" s="25"/>
      <c r="D83" s="24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ht="15.75" customHeight="1">
      <c r="A84" s="9">
        <v>80.0</v>
      </c>
      <c r="B84" s="25"/>
      <c r="C84" s="25"/>
      <c r="D84" s="24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ht="15.75" customHeight="1">
      <c r="A85" s="9">
        <v>81.0</v>
      </c>
      <c r="B85" s="25"/>
      <c r="C85" s="25"/>
      <c r="D85" s="24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ht="15.75" customHeight="1">
      <c r="A86" s="9">
        <v>82.0</v>
      </c>
      <c r="B86" s="25"/>
      <c r="C86" s="25"/>
      <c r="D86" s="24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ht="15.75" customHeight="1">
      <c r="A87" s="9">
        <v>83.0</v>
      </c>
      <c r="B87" s="25"/>
      <c r="C87" s="25"/>
      <c r="D87" s="24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ht="15.75" customHeight="1">
      <c r="A88" s="9">
        <v>84.0</v>
      </c>
      <c r="B88" s="25"/>
      <c r="C88" s="25"/>
      <c r="D88" s="24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ht="15.75" customHeight="1">
      <c r="A89" s="9">
        <v>85.0</v>
      </c>
      <c r="B89" s="25"/>
      <c r="C89" s="25"/>
      <c r="D89" s="24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ht="15.75" customHeight="1">
      <c r="A90" s="9">
        <v>86.0</v>
      </c>
      <c r="B90" s="25"/>
      <c r="C90" s="25"/>
      <c r="D90" s="24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ht="15.75" customHeight="1">
      <c r="A91" s="9">
        <v>87.0</v>
      </c>
      <c r="B91" s="25"/>
      <c r="C91" s="25"/>
      <c r="D91" s="24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ht="15.75" customHeight="1">
      <c r="A92" s="9">
        <v>88.0</v>
      </c>
      <c r="B92" s="25"/>
      <c r="C92" s="25"/>
      <c r="D92" s="24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ht="15.75" customHeight="1">
      <c r="A93" s="9">
        <v>89.0</v>
      </c>
      <c r="B93" s="25"/>
      <c r="C93" s="25"/>
      <c r="D93" s="24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ht="15.75" customHeight="1">
      <c r="A94" s="9">
        <v>90.0</v>
      </c>
      <c r="B94" s="25"/>
      <c r="C94" s="25"/>
      <c r="D94" s="24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ht="15.75" customHeight="1">
      <c r="A95" s="9">
        <v>91.0</v>
      </c>
      <c r="B95" s="25"/>
      <c r="C95" s="25"/>
      <c r="D95" s="24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ht="15.75" customHeight="1">
      <c r="A96" s="9">
        <v>92.0</v>
      </c>
      <c r="B96" s="25"/>
      <c r="C96" s="25"/>
      <c r="D96" s="24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ht="15.75" customHeight="1">
      <c r="A97" s="9">
        <v>93.0</v>
      </c>
      <c r="B97" s="25"/>
      <c r="C97" s="25"/>
      <c r="D97" s="24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ht="15.75" customHeight="1">
      <c r="A98" s="9">
        <v>94.0</v>
      </c>
      <c r="B98" s="25"/>
      <c r="C98" s="25"/>
      <c r="D98" s="24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ht="15.75" customHeight="1">
      <c r="A99" s="9">
        <v>95.0</v>
      </c>
      <c r="B99" s="25"/>
      <c r="C99" s="25"/>
      <c r="D99" s="24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ht="15.75" customHeight="1">
      <c r="A100" s="9">
        <v>96.0</v>
      </c>
      <c r="B100" s="25"/>
      <c r="C100" s="25"/>
      <c r="D100" s="24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ht="15.75" customHeight="1">
      <c r="A101" s="9">
        <v>97.0</v>
      </c>
      <c r="B101" s="25"/>
      <c r="C101" s="25"/>
      <c r="D101" s="24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ht="15.75" customHeight="1">
      <c r="A102" s="9">
        <v>98.0</v>
      </c>
      <c r="B102" s="25"/>
      <c r="C102" s="25"/>
      <c r="D102" s="24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ht="15.75" customHeight="1">
      <c r="A103" s="9">
        <v>99.0</v>
      </c>
      <c r="B103" s="25"/>
      <c r="C103" s="25"/>
      <c r="D103" s="24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ht="15.75" customHeight="1">
      <c r="A104" s="9">
        <v>100.0</v>
      </c>
      <c r="B104" s="25"/>
      <c r="C104" s="25"/>
      <c r="D104" s="24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ht="15.75" customHeight="1">
      <c r="A105" s="22"/>
      <c r="B105" s="26"/>
      <c r="C105" s="26"/>
      <c r="D105" s="27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ht="15.75" customHeight="1">
      <c r="A106" s="22"/>
      <c r="B106" s="26"/>
      <c r="C106" s="26"/>
      <c r="D106" s="27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ht="15.75" customHeight="1">
      <c r="A107" s="22"/>
      <c r="B107" s="26"/>
      <c r="C107" s="26"/>
      <c r="D107" s="27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ht="15.75" customHeight="1">
      <c r="A108" s="22"/>
      <c r="B108" s="26"/>
      <c r="C108" s="26"/>
      <c r="D108" s="27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ht="15.75" customHeight="1">
      <c r="A109" s="22"/>
      <c r="B109" s="26"/>
      <c r="C109" s="26"/>
      <c r="D109" s="27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ht="15.75" customHeight="1">
      <c r="A110" s="22"/>
      <c r="B110" s="26"/>
      <c r="C110" s="26"/>
      <c r="D110" s="27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ht="15.75" customHeight="1">
      <c r="A111" s="22"/>
      <c r="B111" s="26"/>
      <c r="C111" s="26"/>
      <c r="D111" s="27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ht="15.75" customHeight="1">
      <c r="A112" s="22"/>
      <c r="B112" s="26"/>
      <c r="C112" s="26"/>
      <c r="D112" s="27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ht="15.75" customHeight="1">
      <c r="A113" s="22"/>
      <c r="B113" s="26"/>
      <c r="C113" s="26"/>
      <c r="D113" s="27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ht="15.75" customHeight="1">
      <c r="A114" s="22"/>
      <c r="B114" s="26"/>
      <c r="C114" s="26"/>
      <c r="D114" s="27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ht="15.75" customHeight="1">
      <c r="A115" s="22"/>
      <c r="B115" s="26"/>
      <c r="C115" s="26"/>
      <c r="D115" s="27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ht="15.75" customHeight="1">
      <c r="A116" s="22"/>
      <c r="B116" s="26"/>
      <c r="C116" s="26"/>
      <c r="D116" s="2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ht="15.75" customHeight="1">
      <c r="A117" s="22"/>
      <c r="B117" s="26"/>
      <c r="C117" s="26"/>
      <c r="D117" s="27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ht="15.75" customHeight="1">
      <c r="A118" s="22"/>
      <c r="B118" s="26"/>
      <c r="C118" s="26"/>
      <c r="D118" s="27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ht="15.75" customHeight="1">
      <c r="A119" s="22"/>
      <c r="B119" s="26"/>
      <c r="C119" s="26"/>
      <c r="D119" s="27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ht="15.75" customHeight="1">
      <c r="A120" s="22"/>
      <c r="B120" s="26"/>
      <c r="C120" s="26"/>
      <c r="D120" s="27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ht="15.75" customHeight="1">
      <c r="A121" s="22"/>
      <c r="B121" s="26"/>
      <c r="C121" s="26"/>
      <c r="D121" s="27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ht="15.75" customHeight="1">
      <c r="A122" s="22"/>
      <c r="B122" s="26"/>
      <c r="C122" s="26"/>
      <c r="D122" s="27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ht="15.75" customHeight="1">
      <c r="A123" s="22"/>
      <c r="B123" s="26"/>
      <c r="C123" s="26"/>
      <c r="D123" s="27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ht="15.75" customHeight="1">
      <c r="A124" s="22"/>
      <c r="B124" s="26"/>
      <c r="C124" s="26"/>
      <c r="D124" s="27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ht="15.75" customHeight="1">
      <c r="A125" s="22"/>
      <c r="B125" s="26"/>
      <c r="C125" s="26"/>
      <c r="D125" s="27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ht="15.75" customHeight="1">
      <c r="A126" s="22"/>
      <c r="B126" s="26"/>
      <c r="C126" s="26"/>
      <c r="D126" s="27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ht="15.75" customHeight="1">
      <c r="A127" s="22"/>
      <c r="B127" s="26"/>
      <c r="C127" s="26"/>
      <c r="D127" s="27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ht="15.75" customHeight="1">
      <c r="A128" s="22"/>
      <c r="B128" s="26"/>
      <c r="C128" s="26"/>
      <c r="D128" s="27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ht="15.75" customHeight="1">
      <c r="A129" s="22"/>
      <c r="B129" s="26"/>
      <c r="C129" s="26"/>
      <c r="D129" s="27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ht="15.75" customHeight="1">
      <c r="A130" s="22"/>
      <c r="B130" s="26"/>
      <c r="C130" s="26"/>
      <c r="D130" s="27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ht="15.75" customHeight="1">
      <c r="A131" s="22"/>
      <c r="B131" s="26"/>
      <c r="C131" s="26"/>
      <c r="D131" s="27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ht="15.75" customHeight="1">
      <c r="A132" s="22"/>
      <c r="B132" s="26"/>
      <c r="C132" s="26"/>
      <c r="D132" s="27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ht="15.75" customHeight="1">
      <c r="A133" s="22"/>
      <c r="B133" s="26"/>
      <c r="C133" s="26"/>
      <c r="D133" s="27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ht="15.75" customHeight="1">
      <c r="A134" s="22"/>
      <c r="B134" s="26"/>
      <c r="C134" s="26"/>
      <c r="D134" s="27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ht="15.75" customHeight="1">
      <c r="A135" s="22"/>
      <c r="B135" s="26"/>
      <c r="C135" s="26"/>
      <c r="D135" s="27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ht="15.75" customHeight="1">
      <c r="A136" s="22"/>
      <c r="B136" s="26"/>
      <c r="C136" s="26"/>
      <c r="D136" s="27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ht="15.75" customHeight="1">
      <c r="A137" s="22"/>
      <c r="B137" s="26"/>
      <c r="C137" s="26"/>
      <c r="D137" s="27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ht="15.75" customHeight="1">
      <c r="A138" s="22"/>
      <c r="B138" s="26"/>
      <c r="C138" s="26"/>
      <c r="D138" s="27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ht="15.75" customHeight="1">
      <c r="A139" s="22"/>
      <c r="B139" s="26"/>
      <c r="C139" s="26"/>
      <c r="D139" s="27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ht="15.75" customHeight="1">
      <c r="A140" s="22"/>
      <c r="B140" s="26"/>
      <c r="C140" s="26"/>
      <c r="D140" s="27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ht="15.75" customHeight="1">
      <c r="A141" s="22"/>
      <c r="B141" s="26"/>
      <c r="C141" s="26"/>
      <c r="D141" s="27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ht="15.75" customHeight="1">
      <c r="A142" s="22"/>
      <c r="B142" s="26"/>
      <c r="C142" s="26"/>
      <c r="D142" s="27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ht="15.75" customHeight="1">
      <c r="A143" s="22"/>
      <c r="B143" s="26"/>
      <c r="C143" s="26"/>
      <c r="D143" s="27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ht="15.75" customHeight="1">
      <c r="A144" s="22"/>
      <c r="B144" s="26"/>
      <c r="C144" s="26"/>
      <c r="D144" s="27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ht="15.75" customHeight="1">
      <c r="A145" s="22"/>
      <c r="B145" s="26"/>
      <c r="C145" s="26"/>
      <c r="D145" s="27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ht="15.75" customHeight="1">
      <c r="A146" s="22"/>
      <c r="B146" s="26"/>
      <c r="C146" s="26"/>
      <c r="D146" s="27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ht="15.75" customHeight="1">
      <c r="A147" s="22"/>
      <c r="B147" s="26"/>
      <c r="C147" s="26"/>
      <c r="D147" s="27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ht="15.75" customHeight="1">
      <c r="A148" s="22"/>
      <c r="B148" s="26"/>
      <c r="C148" s="26"/>
      <c r="D148" s="27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ht="15.75" customHeight="1">
      <c r="A149" s="22"/>
      <c r="B149" s="26"/>
      <c r="C149" s="26"/>
      <c r="D149" s="27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ht="15.75" customHeight="1">
      <c r="A150" s="22"/>
      <c r="B150" s="26"/>
      <c r="C150" s="26"/>
      <c r="D150" s="27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ht="15.75" customHeight="1">
      <c r="A151" s="22"/>
      <c r="B151" s="26"/>
      <c r="C151" s="26"/>
      <c r="D151" s="27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ht="15.75" customHeight="1">
      <c r="A152" s="22"/>
      <c r="B152" s="26"/>
      <c r="C152" s="26"/>
      <c r="D152" s="27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ht="15.75" customHeight="1">
      <c r="A153" s="22"/>
      <c r="B153" s="26"/>
      <c r="C153" s="26"/>
      <c r="D153" s="27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ht="15.75" customHeight="1">
      <c r="A154" s="22"/>
      <c r="B154" s="26"/>
      <c r="C154" s="26"/>
      <c r="D154" s="27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ht="15.75" customHeight="1">
      <c r="A155" s="22"/>
      <c r="B155" s="26"/>
      <c r="C155" s="26"/>
      <c r="D155" s="27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ht="15.75" customHeight="1">
      <c r="A156" s="22"/>
      <c r="B156" s="26"/>
      <c r="C156" s="26"/>
      <c r="D156" s="27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ht="15.75" customHeight="1">
      <c r="A157" s="22"/>
      <c r="B157" s="26"/>
      <c r="C157" s="26"/>
      <c r="D157" s="27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ht="15.75" customHeight="1">
      <c r="A158" s="22"/>
      <c r="B158" s="26"/>
      <c r="C158" s="26"/>
      <c r="D158" s="27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ht="15.75" customHeight="1">
      <c r="A159" s="22"/>
      <c r="B159" s="26"/>
      <c r="C159" s="26"/>
      <c r="D159" s="27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ht="15.75" customHeight="1">
      <c r="A160" s="22"/>
      <c r="B160" s="26"/>
      <c r="C160" s="26"/>
      <c r="D160" s="27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ht="15.75" customHeight="1">
      <c r="A161" s="22"/>
      <c r="B161" s="26"/>
      <c r="C161" s="26"/>
      <c r="D161" s="27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ht="15.75" customHeight="1">
      <c r="A162" s="22"/>
      <c r="B162" s="26"/>
      <c r="C162" s="26"/>
      <c r="D162" s="27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ht="15.75" customHeight="1">
      <c r="A163" s="22"/>
      <c r="B163" s="26"/>
      <c r="C163" s="26"/>
      <c r="D163" s="27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ht="15.75" customHeight="1">
      <c r="A164" s="22"/>
      <c r="B164" s="26"/>
      <c r="C164" s="26"/>
      <c r="D164" s="27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ht="15.75" customHeight="1">
      <c r="A165" s="22"/>
      <c r="B165" s="26"/>
      <c r="C165" s="26"/>
      <c r="D165" s="27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ht="15.75" customHeight="1">
      <c r="A166" s="22"/>
      <c r="B166" s="26"/>
      <c r="C166" s="26"/>
      <c r="D166" s="27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ht="15.75" customHeight="1">
      <c r="A167" s="22"/>
      <c r="B167" s="26"/>
      <c r="C167" s="26"/>
      <c r="D167" s="27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ht="15.75" customHeight="1">
      <c r="A168" s="22"/>
      <c r="B168" s="26"/>
      <c r="C168" s="26"/>
      <c r="D168" s="27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ht="15.75" customHeight="1">
      <c r="A169" s="22"/>
      <c r="B169" s="26"/>
      <c r="C169" s="26"/>
      <c r="D169" s="27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ht="15.75" customHeight="1">
      <c r="A170" s="22"/>
      <c r="B170" s="26"/>
      <c r="C170" s="26"/>
      <c r="D170" s="27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ht="15.75" customHeight="1">
      <c r="A171" s="22"/>
      <c r="B171" s="26"/>
      <c r="C171" s="26"/>
      <c r="D171" s="27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ht="15.75" customHeight="1">
      <c r="A172" s="22"/>
      <c r="B172" s="26"/>
      <c r="C172" s="26"/>
      <c r="D172" s="27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ht="15.75" customHeight="1">
      <c r="A173" s="22"/>
      <c r="B173" s="26"/>
      <c r="C173" s="26"/>
      <c r="D173" s="27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ht="15.75" customHeight="1">
      <c r="A174" s="22"/>
      <c r="B174" s="26"/>
      <c r="C174" s="26"/>
      <c r="D174" s="27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ht="15.75" customHeight="1">
      <c r="A175" s="22"/>
      <c r="B175" s="26"/>
      <c r="C175" s="26"/>
      <c r="D175" s="27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ht="15.75" customHeight="1">
      <c r="A176" s="22"/>
      <c r="B176" s="26"/>
      <c r="C176" s="26"/>
      <c r="D176" s="27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ht="15.75" customHeight="1">
      <c r="A177" s="22"/>
      <c r="B177" s="26"/>
      <c r="C177" s="26"/>
      <c r="D177" s="27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ht="15.75" customHeight="1">
      <c r="A178" s="22"/>
      <c r="B178" s="26"/>
      <c r="C178" s="26"/>
      <c r="D178" s="27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ht="15.75" customHeight="1">
      <c r="A179" s="22"/>
      <c r="B179" s="26"/>
      <c r="C179" s="26"/>
      <c r="D179" s="27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ht="15.75" customHeight="1">
      <c r="A180" s="22"/>
      <c r="B180" s="26"/>
      <c r="C180" s="26"/>
      <c r="D180" s="27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ht="15.75" customHeight="1">
      <c r="A181" s="22"/>
      <c r="B181" s="26"/>
      <c r="C181" s="26"/>
      <c r="D181" s="27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ht="15.75" customHeight="1">
      <c r="A182" s="22"/>
      <c r="B182" s="26"/>
      <c r="C182" s="26"/>
      <c r="D182" s="27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ht="15.75" customHeight="1">
      <c r="A183" s="22"/>
      <c r="B183" s="26"/>
      <c r="C183" s="26"/>
      <c r="D183" s="27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ht="15.75" customHeight="1">
      <c r="A184" s="22"/>
      <c r="B184" s="26"/>
      <c r="C184" s="26"/>
      <c r="D184" s="27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ht="15.75" customHeight="1">
      <c r="A185" s="22"/>
      <c r="B185" s="26"/>
      <c r="C185" s="26"/>
      <c r="D185" s="27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ht="15.75" customHeight="1">
      <c r="A186" s="22"/>
      <c r="B186" s="26"/>
      <c r="C186" s="26"/>
      <c r="D186" s="27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ht="15.75" customHeight="1">
      <c r="A187" s="22"/>
      <c r="B187" s="26"/>
      <c r="C187" s="26"/>
      <c r="D187" s="27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ht="15.75" customHeight="1">
      <c r="A188" s="22"/>
      <c r="B188" s="26"/>
      <c r="C188" s="26"/>
      <c r="D188" s="27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ht="15.75" customHeight="1">
      <c r="A189" s="22"/>
      <c r="B189" s="26"/>
      <c r="C189" s="26"/>
      <c r="D189" s="27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ht="15.75" customHeight="1">
      <c r="A190" s="22"/>
      <c r="B190" s="26"/>
      <c r="C190" s="26"/>
      <c r="D190" s="27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ht="15.75" customHeight="1">
      <c r="A191" s="22"/>
      <c r="B191" s="26"/>
      <c r="C191" s="26"/>
      <c r="D191" s="27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ht="15.75" customHeight="1">
      <c r="A192" s="22"/>
      <c r="B192" s="26"/>
      <c r="C192" s="26"/>
      <c r="D192" s="27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ht="15.75" customHeight="1">
      <c r="A193" s="22"/>
      <c r="B193" s="26"/>
      <c r="C193" s="26"/>
      <c r="D193" s="27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ht="15.75" customHeight="1">
      <c r="A194" s="22"/>
      <c r="B194" s="26"/>
      <c r="C194" s="26"/>
      <c r="D194" s="27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ht="15.75" customHeight="1">
      <c r="A195" s="22"/>
      <c r="B195" s="26"/>
      <c r="C195" s="26"/>
      <c r="D195" s="27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ht="15.75" customHeight="1">
      <c r="A196" s="22"/>
      <c r="B196" s="26"/>
      <c r="C196" s="26"/>
      <c r="D196" s="27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ht="15.75" customHeight="1">
      <c r="A197" s="22"/>
      <c r="B197" s="26"/>
      <c r="C197" s="26"/>
      <c r="D197" s="27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ht="15.75" customHeight="1">
      <c r="A198" s="22"/>
      <c r="B198" s="26"/>
      <c r="C198" s="26"/>
      <c r="D198" s="27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ht="15.75" customHeight="1">
      <c r="A199" s="22"/>
      <c r="B199" s="26"/>
      <c r="C199" s="26"/>
      <c r="D199" s="27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ht="15.75" customHeight="1">
      <c r="A200" s="22"/>
      <c r="B200" s="26"/>
      <c r="C200" s="26"/>
      <c r="D200" s="27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ht="15.75" customHeight="1">
      <c r="A201" s="22"/>
      <c r="B201" s="26"/>
      <c r="C201" s="26"/>
      <c r="D201" s="27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ht="15.75" customHeight="1">
      <c r="A202" s="22"/>
      <c r="B202" s="26"/>
      <c r="C202" s="26"/>
      <c r="D202" s="27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ht="15.75" customHeight="1">
      <c r="A203" s="22"/>
      <c r="B203" s="26"/>
      <c r="C203" s="26"/>
      <c r="D203" s="27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ht="15.75" customHeight="1">
      <c r="A204" s="22"/>
      <c r="B204" s="26"/>
      <c r="C204" s="26"/>
      <c r="D204" s="27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ht="15.75" customHeight="1">
      <c r="A205" s="22"/>
      <c r="B205" s="26"/>
      <c r="C205" s="26"/>
      <c r="D205" s="27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ht="15.75" customHeight="1">
      <c r="A206" s="22"/>
      <c r="B206" s="26"/>
      <c r="C206" s="26"/>
      <c r="D206" s="27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ht="15.75" customHeight="1">
      <c r="A207" s="22"/>
      <c r="B207" s="26"/>
      <c r="C207" s="26"/>
      <c r="D207" s="27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ht="15.75" customHeight="1">
      <c r="A208" s="22"/>
      <c r="B208" s="26"/>
      <c r="C208" s="26"/>
      <c r="D208" s="27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ht="15.75" customHeight="1">
      <c r="A209" s="22"/>
      <c r="B209" s="26"/>
      <c r="C209" s="26"/>
      <c r="D209" s="27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ht="15.75" customHeight="1">
      <c r="A210" s="22"/>
      <c r="B210" s="26"/>
      <c r="C210" s="26"/>
      <c r="D210" s="27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ht="15.75" customHeight="1">
      <c r="A211" s="22"/>
      <c r="B211" s="26"/>
      <c r="C211" s="26"/>
      <c r="D211" s="27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ht="15.75" customHeight="1">
      <c r="A212" s="22"/>
      <c r="B212" s="26"/>
      <c r="C212" s="26"/>
      <c r="D212" s="27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ht="15.75" customHeight="1">
      <c r="A213" s="22"/>
      <c r="B213" s="26"/>
      <c r="C213" s="26"/>
      <c r="D213" s="27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ht="15.75" customHeight="1">
      <c r="A214" s="22"/>
      <c r="B214" s="26"/>
      <c r="C214" s="26"/>
      <c r="D214" s="27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ht="15.75" customHeight="1">
      <c r="A215" s="22"/>
      <c r="B215" s="26"/>
      <c r="C215" s="26"/>
      <c r="D215" s="27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ht="15.75" customHeight="1">
      <c r="A216" s="22"/>
      <c r="B216" s="26"/>
      <c r="C216" s="26"/>
      <c r="D216" s="27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ht="15.75" customHeight="1">
      <c r="A217" s="22"/>
      <c r="B217" s="26"/>
      <c r="C217" s="26"/>
      <c r="D217" s="27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ht="15.75" customHeight="1">
      <c r="A218" s="22"/>
      <c r="B218" s="26"/>
      <c r="C218" s="26"/>
      <c r="D218" s="27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ht="15.75" customHeight="1">
      <c r="A219" s="22"/>
      <c r="B219" s="26"/>
      <c r="C219" s="26"/>
      <c r="D219" s="27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ht="15.75" customHeight="1">
      <c r="A220" s="22"/>
      <c r="B220" s="26"/>
      <c r="C220" s="26"/>
      <c r="D220" s="27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ht="15.75" customHeight="1">
      <c r="A221" s="22"/>
      <c r="B221" s="26"/>
      <c r="C221" s="26"/>
      <c r="D221" s="27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ht="15.75" customHeight="1">
      <c r="A222" s="22"/>
      <c r="B222" s="26"/>
      <c r="C222" s="26"/>
      <c r="D222" s="27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ht="15.75" customHeight="1">
      <c r="A223" s="22"/>
      <c r="B223" s="26"/>
      <c r="C223" s="26"/>
      <c r="D223" s="27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ht="15.75" customHeight="1">
      <c r="A224" s="22"/>
      <c r="B224" s="26"/>
      <c r="C224" s="26"/>
      <c r="D224" s="27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ht="15.75" customHeight="1">
      <c r="A225" s="22"/>
      <c r="B225" s="26"/>
      <c r="C225" s="26"/>
      <c r="D225" s="27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ht="15.75" customHeight="1">
      <c r="A226" s="22"/>
      <c r="B226" s="26"/>
      <c r="C226" s="26"/>
      <c r="D226" s="27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ht="15.75" customHeight="1">
      <c r="A227" s="22"/>
      <c r="B227" s="26"/>
      <c r="C227" s="26"/>
      <c r="D227" s="27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ht="15.75" customHeight="1">
      <c r="A228" s="22"/>
      <c r="B228" s="26"/>
      <c r="C228" s="26"/>
      <c r="D228" s="27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ht="15.75" customHeight="1">
      <c r="A229" s="22"/>
      <c r="B229" s="26"/>
      <c r="C229" s="26"/>
      <c r="D229" s="27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ht="15.75" customHeight="1">
      <c r="A230" s="22"/>
      <c r="B230" s="26"/>
      <c r="C230" s="26"/>
      <c r="D230" s="27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ht="15.75" customHeight="1">
      <c r="A231" s="22"/>
      <c r="B231" s="26"/>
      <c r="C231" s="26"/>
      <c r="D231" s="27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ht="15.75" customHeight="1">
      <c r="A232" s="22"/>
      <c r="B232" s="26"/>
      <c r="C232" s="26"/>
      <c r="D232" s="27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ht="15.75" customHeight="1">
      <c r="A233" s="22"/>
      <c r="B233" s="26"/>
      <c r="C233" s="26"/>
      <c r="D233" s="27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ht="15.75" customHeight="1">
      <c r="A234" s="22"/>
      <c r="B234" s="26"/>
      <c r="C234" s="26"/>
      <c r="D234" s="27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ht="15.75" customHeight="1">
      <c r="A235" s="22"/>
      <c r="B235" s="26"/>
      <c r="C235" s="26"/>
      <c r="D235" s="27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ht="15.75" customHeight="1">
      <c r="A236" s="22"/>
      <c r="B236" s="26"/>
      <c r="C236" s="26"/>
      <c r="D236" s="27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ht="15.75" customHeight="1">
      <c r="A237" s="22"/>
      <c r="B237" s="26"/>
      <c r="C237" s="26"/>
      <c r="D237" s="27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ht="15.75" customHeight="1">
      <c r="A238" s="22"/>
      <c r="B238" s="26"/>
      <c r="C238" s="26"/>
      <c r="D238" s="27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ht="15.75" customHeight="1">
      <c r="A239" s="22"/>
      <c r="B239" s="26"/>
      <c r="C239" s="26"/>
      <c r="D239" s="27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ht="15.75" customHeight="1">
      <c r="A240" s="22"/>
      <c r="B240" s="26"/>
      <c r="C240" s="26"/>
      <c r="D240" s="27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ht="15.75" customHeight="1">
      <c r="A241" s="22"/>
      <c r="B241" s="26"/>
      <c r="C241" s="26"/>
      <c r="D241" s="27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ht="15.75" customHeight="1">
      <c r="A242" s="22"/>
      <c r="B242" s="26"/>
      <c r="C242" s="26"/>
      <c r="D242" s="27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ht="15.75" customHeight="1">
      <c r="A243" s="22"/>
      <c r="B243" s="26"/>
      <c r="C243" s="26"/>
      <c r="D243" s="27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ht="15.75" customHeight="1">
      <c r="A244" s="22"/>
      <c r="B244" s="26"/>
      <c r="C244" s="26"/>
      <c r="D244" s="27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ht="15.75" customHeight="1">
      <c r="A245" s="22"/>
      <c r="B245" s="26"/>
      <c r="C245" s="26"/>
      <c r="D245" s="27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ht="15.75" customHeight="1">
      <c r="A246" s="22"/>
      <c r="B246" s="26"/>
      <c r="C246" s="26"/>
      <c r="D246" s="27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ht="15.75" customHeight="1">
      <c r="A247" s="22"/>
      <c r="B247" s="26"/>
      <c r="C247" s="26"/>
      <c r="D247" s="27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ht="15.75" customHeight="1">
      <c r="A248" s="22"/>
      <c r="B248" s="26"/>
      <c r="C248" s="26"/>
      <c r="D248" s="27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ht="15.75" customHeight="1">
      <c r="A249" s="22"/>
      <c r="B249" s="26"/>
      <c r="C249" s="26"/>
      <c r="D249" s="27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ht="15.75" customHeight="1">
      <c r="A250" s="22"/>
      <c r="B250" s="26"/>
      <c r="C250" s="26"/>
      <c r="D250" s="27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ht="15.75" customHeight="1">
      <c r="A251" s="22"/>
      <c r="B251" s="26"/>
      <c r="C251" s="26"/>
      <c r="D251" s="27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ht="15.75" customHeight="1">
      <c r="A252" s="22"/>
      <c r="B252" s="26"/>
      <c r="C252" s="26"/>
      <c r="D252" s="27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ht="15.75" customHeight="1">
      <c r="A253" s="22"/>
      <c r="B253" s="26"/>
      <c r="C253" s="26"/>
      <c r="D253" s="27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ht="15.75" customHeight="1">
      <c r="A254" s="22"/>
      <c r="B254" s="26"/>
      <c r="C254" s="26"/>
      <c r="D254" s="27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ht="15.75" customHeight="1">
      <c r="A255" s="22"/>
      <c r="B255" s="26"/>
      <c r="C255" s="26"/>
      <c r="D255" s="27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ht="15.75" customHeight="1">
      <c r="A256" s="22"/>
      <c r="B256" s="26"/>
      <c r="C256" s="26"/>
      <c r="D256" s="27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ht="15.75" customHeight="1">
      <c r="A257" s="22"/>
      <c r="B257" s="26"/>
      <c r="C257" s="26"/>
      <c r="D257" s="27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ht="15.75" customHeight="1">
      <c r="A258" s="22"/>
      <c r="B258" s="26"/>
      <c r="C258" s="26"/>
      <c r="D258" s="27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ht="15.75" customHeight="1">
      <c r="A259" s="22"/>
      <c r="B259" s="26"/>
      <c r="C259" s="26"/>
      <c r="D259" s="27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ht="15.75" customHeight="1">
      <c r="A260" s="22"/>
      <c r="B260" s="26"/>
      <c r="C260" s="26"/>
      <c r="D260" s="27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ht="15.75" customHeight="1">
      <c r="A261" s="22"/>
      <c r="B261" s="26"/>
      <c r="C261" s="26"/>
      <c r="D261" s="27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ht="15.75" customHeight="1">
      <c r="A262" s="22"/>
      <c r="B262" s="26"/>
      <c r="C262" s="26"/>
      <c r="D262" s="27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ht="15.75" customHeight="1">
      <c r="A263" s="22"/>
      <c r="B263" s="26"/>
      <c r="C263" s="26"/>
      <c r="D263" s="27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ht="15.75" customHeight="1">
      <c r="A264" s="22"/>
      <c r="B264" s="26"/>
      <c r="C264" s="26"/>
      <c r="D264" s="27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ht="15.75" customHeight="1">
      <c r="A265" s="22"/>
      <c r="B265" s="26"/>
      <c r="C265" s="26"/>
      <c r="D265" s="27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ht="15.75" customHeight="1">
      <c r="A266" s="22"/>
      <c r="B266" s="26"/>
      <c r="C266" s="26"/>
      <c r="D266" s="27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ht="15.75" customHeight="1">
      <c r="A267" s="22"/>
      <c r="B267" s="26"/>
      <c r="C267" s="26"/>
      <c r="D267" s="27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ht="15.75" customHeight="1">
      <c r="A268" s="22"/>
      <c r="B268" s="26"/>
      <c r="C268" s="26"/>
      <c r="D268" s="27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ht="15.75" customHeight="1">
      <c r="A269" s="22"/>
      <c r="B269" s="26"/>
      <c r="C269" s="26"/>
      <c r="D269" s="27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ht="15.75" customHeight="1">
      <c r="A270" s="22"/>
      <c r="B270" s="26"/>
      <c r="C270" s="26"/>
      <c r="D270" s="27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ht="15.75" customHeight="1">
      <c r="A271" s="22"/>
      <c r="B271" s="26"/>
      <c r="C271" s="26"/>
      <c r="D271" s="27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ht="15.75" customHeight="1">
      <c r="A272" s="22"/>
      <c r="B272" s="26"/>
      <c r="C272" s="26"/>
      <c r="D272" s="27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ht="15.75" customHeight="1">
      <c r="A273" s="22"/>
      <c r="B273" s="26"/>
      <c r="C273" s="26"/>
      <c r="D273" s="27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ht="15.75" customHeight="1">
      <c r="A274" s="22"/>
      <c r="B274" s="26"/>
      <c r="C274" s="26"/>
      <c r="D274" s="27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ht="15.75" customHeight="1">
      <c r="A275" s="22"/>
      <c r="B275" s="26"/>
      <c r="C275" s="26"/>
      <c r="D275" s="27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ht="15.75" customHeight="1">
      <c r="A276" s="22"/>
      <c r="B276" s="26"/>
      <c r="C276" s="26"/>
      <c r="D276" s="27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ht="15.75" customHeight="1">
      <c r="A277" s="22"/>
      <c r="B277" s="26"/>
      <c r="C277" s="26"/>
      <c r="D277" s="27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ht="15.75" customHeight="1">
      <c r="A278" s="22"/>
      <c r="B278" s="26"/>
      <c r="C278" s="26"/>
      <c r="D278" s="27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ht="15.75" customHeight="1">
      <c r="A279" s="22"/>
      <c r="B279" s="26"/>
      <c r="C279" s="26"/>
      <c r="D279" s="27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ht="15.75" customHeight="1">
      <c r="A280" s="22"/>
      <c r="B280" s="26"/>
      <c r="C280" s="26"/>
      <c r="D280" s="27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ht="15.75" customHeight="1">
      <c r="A281" s="22"/>
      <c r="B281" s="26"/>
      <c r="C281" s="26"/>
      <c r="D281" s="27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ht="15.75" customHeight="1">
      <c r="A282" s="22"/>
      <c r="B282" s="26"/>
      <c r="C282" s="26"/>
      <c r="D282" s="27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ht="15.75" customHeight="1">
      <c r="A283" s="22"/>
      <c r="B283" s="26"/>
      <c r="C283" s="26"/>
      <c r="D283" s="27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ht="15.75" customHeight="1">
      <c r="A284" s="22"/>
      <c r="B284" s="26"/>
      <c r="C284" s="26"/>
      <c r="D284" s="27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ht="15.75" customHeight="1">
      <c r="A285" s="22"/>
      <c r="B285" s="26"/>
      <c r="C285" s="26"/>
      <c r="D285" s="27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ht="15.75" customHeight="1">
      <c r="A286" s="22"/>
      <c r="B286" s="26"/>
      <c r="C286" s="26"/>
      <c r="D286" s="27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ht="15.75" customHeight="1">
      <c r="A287" s="22"/>
      <c r="B287" s="26"/>
      <c r="C287" s="26"/>
      <c r="D287" s="27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ht="15.75" customHeight="1">
      <c r="A288" s="22"/>
      <c r="B288" s="26"/>
      <c r="C288" s="26"/>
      <c r="D288" s="27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ht="15.75" customHeight="1">
      <c r="A289" s="22"/>
      <c r="B289" s="26"/>
      <c r="C289" s="26"/>
      <c r="D289" s="27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ht="15.75" customHeight="1">
      <c r="A290" s="22"/>
      <c r="B290" s="26"/>
      <c r="C290" s="26"/>
      <c r="D290" s="27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ht="15.75" customHeight="1">
      <c r="A291" s="22"/>
      <c r="B291" s="26"/>
      <c r="C291" s="26"/>
      <c r="D291" s="27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ht="15.75" customHeight="1">
      <c r="A292" s="22"/>
      <c r="B292" s="26"/>
      <c r="C292" s="26"/>
      <c r="D292" s="27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ht="15.75" customHeight="1">
      <c r="A293" s="22"/>
      <c r="B293" s="26"/>
      <c r="C293" s="26"/>
      <c r="D293" s="27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ht="15.75" customHeight="1">
      <c r="A294" s="22"/>
      <c r="B294" s="26"/>
      <c r="C294" s="26"/>
      <c r="D294" s="27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ht="15.75" customHeight="1">
      <c r="A295" s="22"/>
      <c r="B295" s="26"/>
      <c r="C295" s="26"/>
      <c r="D295" s="27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ht="15.75" customHeight="1">
      <c r="A296" s="22"/>
      <c r="B296" s="26"/>
      <c r="C296" s="26"/>
      <c r="D296" s="27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ht="15.75" customHeight="1">
      <c r="A297" s="22"/>
      <c r="B297" s="26"/>
      <c r="C297" s="26"/>
      <c r="D297" s="27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ht="15.75" customHeight="1">
      <c r="A298" s="22"/>
      <c r="B298" s="26"/>
      <c r="C298" s="26"/>
      <c r="D298" s="27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ht="15.75" customHeight="1">
      <c r="A299" s="22"/>
      <c r="B299" s="26"/>
      <c r="C299" s="26"/>
      <c r="D299" s="27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ht="15.75" customHeight="1">
      <c r="A300" s="22"/>
      <c r="B300" s="26"/>
      <c r="C300" s="26"/>
      <c r="D300" s="27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ht="15.75" customHeight="1">
      <c r="A301" s="22"/>
      <c r="B301" s="26"/>
      <c r="C301" s="26"/>
      <c r="D301" s="27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ht="15.75" customHeight="1">
      <c r="A302" s="22"/>
      <c r="B302" s="26"/>
      <c r="C302" s="26"/>
      <c r="D302" s="27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ht="15.75" customHeight="1">
      <c r="A303" s="22"/>
      <c r="B303" s="26"/>
      <c r="C303" s="26"/>
      <c r="D303" s="27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ht="15.75" customHeight="1">
      <c r="A304" s="22"/>
      <c r="B304" s="26"/>
      <c r="C304" s="26"/>
      <c r="D304" s="27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:M1"/>
    <mergeCell ref="A3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8"/>
      <c r="C1" s="28"/>
      <c r="D1" s="28" t="s">
        <v>1</v>
      </c>
      <c r="F1" s="3"/>
      <c r="G1" s="4" t="s">
        <v>2</v>
      </c>
      <c r="N1" s="5"/>
      <c r="O1" s="6"/>
      <c r="P1" s="6"/>
      <c r="Q1" s="7"/>
      <c r="R1" s="6"/>
      <c r="S1" s="6"/>
      <c r="T1" s="6"/>
      <c r="U1" s="6"/>
      <c r="V1" s="7"/>
      <c r="W1" s="6"/>
      <c r="X1" s="6"/>
      <c r="Y1" s="6"/>
      <c r="Z1" s="6"/>
      <c r="AA1" s="7"/>
      <c r="AB1" s="6"/>
      <c r="AC1" s="6"/>
      <c r="AD1" s="6"/>
      <c r="AE1" s="6"/>
    </row>
    <row r="2" ht="15.75" customHeight="1">
      <c r="A2" s="8">
        <v>4.0</v>
      </c>
      <c r="B2" s="9"/>
      <c r="C2" s="9"/>
      <c r="D2" s="8"/>
      <c r="F2" s="10"/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1" t="s">
        <v>9</v>
      </c>
      <c r="N2" s="11" t="s">
        <v>10</v>
      </c>
    </row>
    <row r="3" ht="15.75" customHeight="1">
      <c r="A3" s="12" t="s">
        <v>11</v>
      </c>
      <c r="E3" s="13"/>
      <c r="F3" s="14" t="s">
        <v>12</v>
      </c>
      <c r="G3" s="15">
        <f>COUNTA($B5:$B1002)</f>
        <v>54</v>
      </c>
      <c r="H3" s="15">
        <f>G3/G6*100</f>
        <v>56.25</v>
      </c>
      <c r="I3" s="15">
        <f>average(B5:B104)</f>
        <v>100.1211111</v>
      </c>
      <c r="J3" s="15">
        <f>MIN(B5:B1002)</f>
        <v>35.46</v>
      </c>
      <c r="K3" s="15">
        <f>max(B5:B1002)</f>
        <v>158.44</v>
      </c>
      <c r="L3" s="30">
        <v>8.0</v>
      </c>
      <c r="M3" s="16">
        <f t="shared" ref="M3:M5" si="1">L3+G3</f>
        <v>62</v>
      </c>
      <c r="N3" s="17">
        <f>M3*4</f>
        <v>248</v>
      </c>
      <c r="O3" s="13"/>
      <c r="P3" s="13"/>
      <c r="Q3" s="18"/>
      <c r="R3" s="19"/>
      <c r="S3" s="13"/>
      <c r="T3" s="13"/>
      <c r="U3" s="13"/>
      <c r="V3" s="18"/>
      <c r="W3" s="19"/>
      <c r="X3" s="13"/>
      <c r="Y3" s="13"/>
      <c r="Z3" s="13"/>
      <c r="AA3" s="18"/>
      <c r="AB3" s="19"/>
      <c r="AC3" s="13"/>
      <c r="AD3" s="13"/>
      <c r="AE3" s="13"/>
    </row>
    <row r="4" ht="15.75" customHeight="1">
      <c r="A4" s="12" t="s">
        <v>3</v>
      </c>
      <c r="B4" s="20" t="s">
        <v>12</v>
      </c>
      <c r="C4" s="20" t="s">
        <v>13</v>
      </c>
      <c r="D4" s="21" t="s">
        <v>14</v>
      </c>
      <c r="E4" s="22"/>
      <c r="F4" s="14" t="s">
        <v>13</v>
      </c>
      <c r="G4" s="15">
        <f>COUNTA($C5:$C1002)</f>
        <v>42</v>
      </c>
      <c r="H4" s="15">
        <f>G4/G6*100</f>
        <v>43.75</v>
      </c>
      <c r="I4" s="15">
        <f>average(C5:C104)</f>
        <v>65.1352381</v>
      </c>
      <c r="J4" s="15">
        <f>MIN(C5:C1002)</f>
        <v>33.06</v>
      </c>
      <c r="K4" s="15">
        <f>max(C5:C1002)</f>
        <v>104.56</v>
      </c>
      <c r="L4" s="31">
        <v>3.0</v>
      </c>
      <c r="M4" s="15">
        <f t="shared" si="1"/>
        <v>45</v>
      </c>
      <c r="N4" s="15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ht="15.75" customHeight="1">
      <c r="A5" s="9">
        <v>1.0</v>
      </c>
      <c r="B5" s="23">
        <v>98.91</v>
      </c>
      <c r="C5" s="25"/>
      <c r="D5" s="24"/>
      <c r="E5" s="22"/>
      <c r="F5" s="14" t="s">
        <v>15</v>
      </c>
      <c r="G5" s="15">
        <f>COUNTA(D5:D1002)</f>
        <v>0</v>
      </c>
      <c r="H5" s="15">
        <f>G5/G6*100</f>
        <v>0</v>
      </c>
      <c r="I5" s="15" t="str">
        <f>average(D5:D104)</f>
        <v>#DIV/0!</v>
      </c>
      <c r="J5" s="15">
        <f>MIN(D5:D1002)</f>
        <v>0</v>
      </c>
      <c r="K5" s="15">
        <f>max(D5:D1002)</f>
        <v>0</v>
      </c>
      <c r="L5" s="15"/>
      <c r="M5" s="15">
        <f t="shared" si="1"/>
        <v>0</v>
      </c>
      <c r="N5" s="15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ht="15.75" customHeight="1">
      <c r="A6" s="9">
        <v>2.0</v>
      </c>
      <c r="B6" s="23">
        <v>111.4</v>
      </c>
      <c r="C6" s="25"/>
      <c r="D6" s="24"/>
      <c r="E6" s="22"/>
      <c r="F6" s="14" t="s">
        <v>16</v>
      </c>
      <c r="G6" s="15">
        <f>COUNTA(B5:D1002)</f>
        <v>96</v>
      </c>
      <c r="H6" s="15">
        <f>G6/G6*100</f>
        <v>100</v>
      </c>
      <c r="I6" s="15">
        <f>average(B5:D104)</f>
        <v>84.81479167</v>
      </c>
      <c r="J6" s="15">
        <f>min(B5:D1002)</f>
        <v>33.06</v>
      </c>
      <c r="K6" s="15">
        <f>max(B5:D1002)</f>
        <v>158.44</v>
      </c>
      <c r="L6" s="15"/>
      <c r="M6" s="15"/>
      <c r="N6" s="1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ht="15.75" customHeight="1">
      <c r="A7" s="9">
        <v>3.0</v>
      </c>
      <c r="B7" s="25"/>
      <c r="C7" s="23">
        <v>42.06</v>
      </c>
      <c r="D7" s="24"/>
      <c r="E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ht="15.75" customHeight="1">
      <c r="A8" s="9">
        <v>4.0</v>
      </c>
      <c r="B8" s="23">
        <v>129.68</v>
      </c>
      <c r="C8" s="25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ht="15.75" customHeight="1">
      <c r="A9" s="9">
        <v>5.0</v>
      </c>
      <c r="B9" s="23">
        <v>63.08</v>
      </c>
      <c r="C9" s="25"/>
      <c r="D9" s="24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ht="15.75" customHeight="1">
      <c r="A10" s="9">
        <v>6.0</v>
      </c>
      <c r="B10" s="23">
        <v>88.63</v>
      </c>
      <c r="C10" s="25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ht="15.75" customHeight="1">
      <c r="A11" s="9">
        <v>7.0</v>
      </c>
      <c r="B11" s="23">
        <v>74.06</v>
      </c>
      <c r="C11" s="25"/>
      <c r="D11" s="2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ht="15.75" customHeight="1">
      <c r="A12" s="9">
        <v>8.0</v>
      </c>
      <c r="B12" s="23">
        <v>91.28</v>
      </c>
      <c r="C12" s="25"/>
      <c r="D12" s="2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ht="15.75" customHeight="1">
      <c r="A13" s="9">
        <v>9.0</v>
      </c>
      <c r="B13" s="25"/>
      <c r="C13" s="23">
        <v>96.28</v>
      </c>
      <c r="D13" s="2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ht="15.75" customHeight="1">
      <c r="A14" s="9">
        <v>10.0</v>
      </c>
      <c r="B14" s="25"/>
      <c r="C14" s="23">
        <v>40.27</v>
      </c>
      <c r="D14" s="2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ht="15.75" customHeight="1">
      <c r="A15" s="9">
        <v>11.0</v>
      </c>
      <c r="B15" s="25"/>
      <c r="C15" s="23">
        <v>52.22</v>
      </c>
      <c r="D15" s="2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ht="15.75" customHeight="1">
      <c r="A16" s="9">
        <v>12.0</v>
      </c>
      <c r="B16" s="23">
        <v>95.89</v>
      </c>
      <c r="C16" s="25"/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ht="15.75" customHeight="1">
      <c r="A17" s="9">
        <v>13.0</v>
      </c>
      <c r="B17" s="23">
        <v>59.53</v>
      </c>
      <c r="C17" s="25"/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ht="15.75" customHeight="1">
      <c r="A18" s="9">
        <v>14.0</v>
      </c>
      <c r="B18" s="23">
        <v>118.94</v>
      </c>
      <c r="C18" s="25"/>
      <c r="D18" s="2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ht="15.75" customHeight="1">
      <c r="A19" s="9">
        <v>15.0</v>
      </c>
      <c r="B19" s="25"/>
      <c r="C19" s="23">
        <v>76.13</v>
      </c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ht="15.75" customHeight="1">
      <c r="A20" s="9">
        <v>16.0</v>
      </c>
      <c r="B20" s="25"/>
      <c r="C20" s="23">
        <v>45.73</v>
      </c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ht="15.75" customHeight="1">
      <c r="A21" s="9">
        <v>17.0</v>
      </c>
      <c r="B21" s="23">
        <v>123.14</v>
      </c>
      <c r="C21" s="25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ht="15.75" customHeight="1">
      <c r="A22" s="9">
        <v>18.0</v>
      </c>
      <c r="B22" s="23">
        <v>125.85</v>
      </c>
      <c r="C22" s="25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ht="15.75" customHeight="1">
      <c r="A23" s="9">
        <v>19.0</v>
      </c>
      <c r="B23" s="25"/>
      <c r="C23" s="23">
        <v>75.69</v>
      </c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ht="15.75" customHeight="1">
      <c r="A24" s="9">
        <v>20.0</v>
      </c>
      <c r="B24" s="25"/>
      <c r="C24" s="23">
        <v>37.97</v>
      </c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ht="15.75" customHeight="1">
      <c r="A25" s="9">
        <v>21.0</v>
      </c>
      <c r="B25" s="25"/>
      <c r="C25" s="23">
        <v>43.2</v>
      </c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ht="15.75" customHeight="1">
      <c r="A26" s="9">
        <v>22.0</v>
      </c>
      <c r="B26" s="23">
        <v>120.45</v>
      </c>
      <c r="C26" s="25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ht="15.75" customHeight="1">
      <c r="A27" s="9">
        <v>23.0</v>
      </c>
      <c r="B27" s="25"/>
      <c r="C27" s="23">
        <v>71.8</v>
      </c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ht="15.75" customHeight="1">
      <c r="A28" s="9">
        <v>24.0</v>
      </c>
      <c r="B28" s="25"/>
      <c r="C28" s="23">
        <v>53.54</v>
      </c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ht="15.75" customHeight="1">
      <c r="A29" s="9">
        <v>25.0</v>
      </c>
      <c r="B29" s="23">
        <v>77.47</v>
      </c>
      <c r="C29" s="25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ht="15.75" customHeight="1">
      <c r="A30" s="9">
        <v>26.0</v>
      </c>
      <c r="B30" s="23">
        <v>136.48</v>
      </c>
      <c r="C30" s="25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ht="15.75" customHeight="1">
      <c r="A31" s="9">
        <v>27.0</v>
      </c>
      <c r="B31" s="23">
        <v>100.3</v>
      </c>
      <c r="C31" s="25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ht="15.75" customHeight="1">
      <c r="A32" s="9">
        <v>28.0</v>
      </c>
      <c r="B32" s="23">
        <v>89.16</v>
      </c>
      <c r="C32" s="25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ht="15.75" customHeight="1">
      <c r="A33" s="9">
        <v>29.0</v>
      </c>
      <c r="B33" s="23">
        <v>35.46</v>
      </c>
      <c r="C33" s="25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ht="15.75" customHeight="1">
      <c r="A34" s="9">
        <v>30.0</v>
      </c>
      <c r="B34" s="25"/>
      <c r="C34" s="23">
        <v>46.61</v>
      </c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ht="15.75" customHeight="1">
      <c r="A35" s="9">
        <v>31.0</v>
      </c>
      <c r="B35" s="25"/>
      <c r="C35" s="23">
        <v>88.36</v>
      </c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ht="15.75" customHeight="1">
      <c r="A36" s="9">
        <v>32.0</v>
      </c>
      <c r="B36" s="25"/>
      <c r="C36" s="23">
        <v>61.06</v>
      </c>
      <c r="D36" s="24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ht="15.75" customHeight="1">
      <c r="A37" s="9">
        <v>33.0</v>
      </c>
      <c r="B37" s="25"/>
      <c r="C37" s="23">
        <v>63.45</v>
      </c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ht="15.75" customHeight="1">
      <c r="A38" s="9">
        <v>34.0</v>
      </c>
      <c r="B38" s="23">
        <v>81.34</v>
      </c>
      <c r="C38" s="25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ht="15.75" customHeight="1">
      <c r="A39" s="9">
        <v>35.0</v>
      </c>
      <c r="B39" s="23">
        <v>104.66</v>
      </c>
      <c r="C39" s="25"/>
      <c r="D39" s="2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ht="15.75" customHeight="1">
      <c r="A40" s="9">
        <v>36.0</v>
      </c>
      <c r="B40" s="25"/>
      <c r="C40" s="23">
        <v>61.93</v>
      </c>
      <c r="D40" s="24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ht="15.75" customHeight="1">
      <c r="A41" s="9">
        <v>37.0</v>
      </c>
      <c r="B41" s="25"/>
      <c r="C41" s="23">
        <v>53.61</v>
      </c>
      <c r="D41" s="24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ht="15.75" customHeight="1">
      <c r="A42" s="9">
        <v>38.0</v>
      </c>
      <c r="B42" s="25"/>
      <c r="C42" s="23">
        <v>67.6</v>
      </c>
      <c r="D42" s="2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ht="15.75" customHeight="1">
      <c r="A43" s="9">
        <v>39.0</v>
      </c>
      <c r="B43" s="23">
        <v>61.54</v>
      </c>
      <c r="C43" s="25"/>
      <c r="D43" s="24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ht="15.75" customHeight="1">
      <c r="A44" s="9">
        <v>40.0</v>
      </c>
      <c r="B44" s="23">
        <v>102.19</v>
      </c>
      <c r="C44" s="25"/>
      <c r="D44" s="24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ht="15.75" customHeight="1">
      <c r="A45" s="9">
        <v>41.0</v>
      </c>
      <c r="B45" s="23">
        <v>99.69</v>
      </c>
      <c r="C45" s="25"/>
      <c r="D45" s="24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ht="15.75" customHeight="1">
      <c r="A46" s="9">
        <v>42.0</v>
      </c>
      <c r="B46" s="23">
        <v>62.19</v>
      </c>
      <c r="C46" s="25"/>
      <c r="D46" s="24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ht="15.75" customHeight="1">
      <c r="A47" s="9">
        <v>43.0</v>
      </c>
      <c r="B47" s="25"/>
      <c r="C47" s="23">
        <v>71.2</v>
      </c>
      <c r="D47" s="24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ht="15.75" customHeight="1">
      <c r="A48" s="9">
        <v>44.0</v>
      </c>
      <c r="B48" s="23">
        <v>59.19</v>
      </c>
      <c r="C48" s="25"/>
      <c r="D48" s="24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ht="15.75" customHeight="1">
      <c r="A49" s="9">
        <v>45.0</v>
      </c>
      <c r="B49" s="25"/>
      <c r="C49" s="23">
        <v>100.96</v>
      </c>
      <c r="D49" s="24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ht="15.75" customHeight="1">
      <c r="A50" s="9">
        <v>46.0</v>
      </c>
      <c r="B50" s="25"/>
      <c r="C50" s="23">
        <v>52.83</v>
      </c>
      <c r="D50" s="24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ht="15.75" customHeight="1">
      <c r="A51" s="9">
        <v>47.0</v>
      </c>
      <c r="B51" s="23">
        <v>129.7</v>
      </c>
      <c r="C51" s="25"/>
      <c r="D51" s="2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ht="15.75" customHeight="1">
      <c r="A52" s="9">
        <v>48.0</v>
      </c>
      <c r="B52" s="23">
        <v>140.18</v>
      </c>
      <c r="C52" s="25"/>
      <c r="D52" s="24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ht="15.75" customHeight="1">
      <c r="A53" s="9">
        <v>49.0</v>
      </c>
      <c r="B53" s="23">
        <v>135.61</v>
      </c>
      <c r="C53" s="25"/>
      <c r="D53" s="24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ht="15.75" customHeight="1">
      <c r="A54" s="9">
        <v>50.0</v>
      </c>
      <c r="B54" s="25"/>
      <c r="C54" s="23">
        <v>100.98</v>
      </c>
      <c r="D54" s="2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ht="15.75" customHeight="1">
      <c r="A55" s="9">
        <v>51.0</v>
      </c>
      <c r="B55" s="23">
        <v>101.52</v>
      </c>
      <c r="C55" s="25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ht="15.75" customHeight="1">
      <c r="A56" s="9">
        <v>52.0</v>
      </c>
      <c r="B56" s="23">
        <v>110.86</v>
      </c>
      <c r="C56" s="25"/>
      <c r="D56" s="24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ht="15.75" customHeight="1">
      <c r="A57" s="9">
        <v>53.0</v>
      </c>
      <c r="B57" s="23">
        <v>124.73</v>
      </c>
      <c r="C57" s="25"/>
      <c r="D57" s="2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ht="15.75" customHeight="1">
      <c r="A58" s="9">
        <v>54.0</v>
      </c>
      <c r="B58" s="25"/>
      <c r="C58" s="23">
        <v>56.38</v>
      </c>
      <c r="D58" s="24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ht="15.75" customHeight="1">
      <c r="A59" s="9">
        <v>55.0</v>
      </c>
      <c r="B59" s="23">
        <v>81.39</v>
      </c>
      <c r="C59" s="25"/>
      <c r="D59" s="24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ht="15.75" customHeight="1">
      <c r="A60" s="9">
        <v>56.0</v>
      </c>
      <c r="B60" s="23">
        <v>68.06</v>
      </c>
      <c r="C60" s="25"/>
      <c r="D60" s="2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ht="15.75" customHeight="1">
      <c r="A61" s="9">
        <v>57.0</v>
      </c>
      <c r="B61" s="23">
        <v>92.72</v>
      </c>
      <c r="C61" s="25"/>
      <c r="D61" s="24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ht="15.75" customHeight="1">
      <c r="A62" s="9">
        <v>58.0</v>
      </c>
      <c r="B62" s="23">
        <v>74.22</v>
      </c>
      <c r="C62" s="25"/>
      <c r="D62" s="24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ht="15.75" customHeight="1">
      <c r="A63" s="9">
        <v>59.0</v>
      </c>
      <c r="B63" s="23">
        <v>74.22</v>
      </c>
      <c r="C63" s="25"/>
      <c r="D63" s="24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ht="15.75" customHeight="1">
      <c r="A64" s="9">
        <v>60.0</v>
      </c>
      <c r="B64" s="23">
        <v>113.58</v>
      </c>
      <c r="C64" s="25"/>
      <c r="D64" s="24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ht="15.75" customHeight="1">
      <c r="A65" s="9">
        <v>61.0</v>
      </c>
      <c r="B65" s="23">
        <v>82.91</v>
      </c>
      <c r="C65" s="25"/>
      <c r="D65" s="24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ht="15.75" customHeight="1">
      <c r="A66" s="9">
        <v>62.0</v>
      </c>
      <c r="B66" s="25"/>
      <c r="C66" s="23">
        <v>71.19</v>
      </c>
      <c r="D66" s="24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ht="15.75" customHeight="1">
      <c r="A67" s="9">
        <v>63.0</v>
      </c>
      <c r="B67" s="25"/>
      <c r="C67" s="23">
        <v>75.59</v>
      </c>
      <c r="D67" s="24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ht="15.75" customHeight="1">
      <c r="A68" s="9">
        <v>64.0</v>
      </c>
      <c r="B68" s="25"/>
      <c r="C68" s="23">
        <v>74.23</v>
      </c>
      <c r="D68" s="24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ht="15.75" customHeight="1">
      <c r="A69" s="9">
        <v>65.0</v>
      </c>
      <c r="B69" s="25"/>
      <c r="C69" s="23">
        <v>74.23</v>
      </c>
      <c r="D69" s="24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ht="15.75" customHeight="1">
      <c r="A70" s="9">
        <v>66.0</v>
      </c>
      <c r="B70" s="25"/>
      <c r="C70" s="23">
        <v>45.07</v>
      </c>
      <c r="D70" s="24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ht="15.75" customHeight="1">
      <c r="A71" s="9">
        <v>67.0</v>
      </c>
      <c r="B71" s="23">
        <v>115.11</v>
      </c>
      <c r="C71" s="25"/>
      <c r="D71" s="24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ht="15.75" customHeight="1">
      <c r="A72" s="9">
        <v>68.0</v>
      </c>
      <c r="B72" s="23">
        <v>63.99</v>
      </c>
      <c r="C72" s="25"/>
      <c r="D72" s="24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ht="15.75" customHeight="1">
      <c r="A73" s="9">
        <v>69.0</v>
      </c>
      <c r="B73" s="23">
        <v>74.23</v>
      </c>
      <c r="C73" s="25"/>
      <c r="D73" s="24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ht="15.75" customHeight="1">
      <c r="A74" s="9">
        <v>70.0</v>
      </c>
      <c r="B74" s="23">
        <v>97.06</v>
      </c>
      <c r="C74" s="25"/>
      <c r="D74" s="24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ht="15.75" customHeight="1">
      <c r="A75" s="9">
        <v>71.0</v>
      </c>
      <c r="B75" s="23">
        <v>91.24</v>
      </c>
      <c r="C75" s="25"/>
      <c r="D75" s="24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ht="15.75" customHeight="1">
      <c r="A76" s="9">
        <v>72.0</v>
      </c>
      <c r="B76" s="23">
        <v>123.66</v>
      </c>
      <c r="C76" s="25"/>
      <c r="D76" s="24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ht="15.75" customHeight="1">
      <c r="A77" s="9">
        <v>73.0</v>
      </c>
      <c r="B77" s="25"/>
      <c r="C77" s="23">
        <v>77.15</v>
      </c>
      <c r="D77" s="24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ht="15.75" customHeight="1">
      <c r="A78" s="9">
        <v>74.0</v>
      </c>
      <c r="B78" s="25"/>
      <c r="C78" s="23">
        <v>77.51</v>
      </c>
      <c r="D78" s="24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ht="15.75" customHeight="1">
      <c r="A79" s="9">
        <v>75.0</v>
      </c>
      <c r="B79" s="23">
        <v>61.58</v>
      </c>
      <c r="C79" s="25"/>
      <c r="D79" s="24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ht="15.75" customHeight="1">
      <c r="A80" s="9">
        <v>76.0</v>
      </c>
      <c r="B80" s="23">
        <v>129.62</v>
      </c>
      <c r="C80" s="25"/>
      <c r="D80" s="24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ht="15.75" customHeight="1">
      <c r="A81" s="9">
        <v>77.0</v>
      </c>
      <c r="B81" s="25"/>
      <c r="C81" s="23">
        <v>40.99</v>
      </c>
      <c r="D81" s="24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ht="15.75" customHeight="1">
      <c r="A82" s="9">
        <v>78.0</v>
      </c>
      <c r="B82" s="23">
        <v>141.21</v>
      </c>
      <c r="C82" s="25"/>
      <c r="D82" s="24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ht="15.75" customHeight="1">
      <c r="A83" s="9">
        <v>79.0</v>
      </c>
      <c r="B83" s="23">
        <v>158.44</v>
      </c>
      <c r="C83" s="25"/>
      <c r="D83" s="24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ht="15.75" customHeight="1">
      <c r="A84" s="9">
        <v>80.0</v>
      </c>
      <c r="B84" s="25"/>
      <c r="C84" s="23">
        <v>93.64</v>
      </c>
      <c r="D84" s="24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ht="15.75" customHeight="1">
      <c r="A85" s="9">
        <v>81.0</v>
      </c>
      <c r="B85" s="25"/>
      <c r="C85" s="23">
        <v>90.76</v>
      </c>
      <c r="D85" s="24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ht="15.75" customHeight="1">
      <c r="A86" s="9">
        <v>82.0</v>
      </c>
      <c r="B86" s="25"/>
      <c r="C86" s="23">
        <v>53.72</v>
      </c>
      <c r="D86" s="24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ht="15.75" customHeight="1">
      <c r="A87" s="9">
        <v>83.0</v>
      </c>
      <c r="B87" s="25"/>
      <c r="C87" s="23">
        <v>37.06</v>
      </c>
      <c r="D87" s="24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ht="15.75" customHeight="1">
      <c r="A88" s="9">
        <v>84.0</v>
      </c>
      <c r="B88" s="23">
        <v>116.53</v>
      </c>
      <c r="C88" s="25"/>
      <c r="D88" s="24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ht="15.75" customHeight="1">
      <c r="A89" s="9">
        <v>85.0</v>
      </c>
      <c r="B89" s="23">
        <v>113.41</v>
      </c>
      <c r="C89" s="25"/>
      <c r="D89" s="24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ht="15.75" customHeight="1">
      <c r="A90" s="9">
        <v>86.0</v>
      </c>
      <c r="B90" s="25"/>
      <c r="C90" s="23">
        <v>66.39</v>
      </c>
      <c r="D90" s="24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ht="15.75" customHeight="1">
      <c r="A91" s="9">
        <v>87.0</v>
      </c>
      <c r="B91" s="25"/>
      <c r="C91" s="23">
        <v>57.03</v>
      </c>
      <c r="D91" s="24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ht="15.75" customHeight="1">
      <c r="A92" s="9">
        <v>88.0</v>
      </c>
      <c r="B92" s="25"/>
      <c r="C92" s="23">
        <v>63.92</v>
      </c>
      <c r="D92" s="24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ht="15.75" customHeight="1">
      <c r="A93" s="9">
        <v>89.0</v>
      </c>
      <c r="B93" s="25"/>
      <c r="C93" s="23">
        <v>84.76</v>
      </c>
      <c r="D93" s="24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ht="15.75" customHeight="1">
      <c r="A94" s="9">
        <v>90.0</v>
      </c>
      <c r="B94" s="25"/>
      <c r="C94" s="23">
        <v>33.06</v>
      </c>
      <c r="D94" s="24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ht="15.75" customHeight="1">
      <c r="A95" s="9">
        <v>91.0</v>
      </c>
      <c r="B95" s="25"/>
      <c r="C95" s="23">
        <v>54.96</v>
      </c>
      <c r="D95" s="24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ht="15.75" customHeight="1">
      <c r="A96" s="9">
        <v>92.0</v>
      </c>
      <c r="B96" s="23">
        <v>118.96</v>
      </c>
      <c r="C96" s="25"/>
      <c r="D96" s="24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ht="15.75" customHeight="1">
      <c r="A97" s="9">
        <v>93.0</v>
      </c>
      <c r="B97" s="25"/>
      <c r="C97" s="23">
        <v>104.56</v>
      </c>
      <c r="D97" s="24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ht="15.75" customHeight="1">
      <c r="A98" s="9">
        <v>94.0</v>
      </c>
      <c r="B98" s="23">
        <v>96.63</v>
      </c>
      <c r="C98" s="25"/>
      <c r="D98" s="24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ht="15.75" customHeight="1">
      <c r="A99" s="9">
        <v>95.0</v>
      </c>
      <c r="B99" s="23">
        <v>135.7</v>
      </c>
      <c r="C99" s="25"/>
      <c r="D99" s="24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ht="15.75" customHeight="1">
      <c r="A100" s="9">
        <v>96.0</v>
      </c>
      <c r="B100" s="23">
        <v>128.96</v>
      </c>
      <c r="C100" s="25"/>
      <c r="D100" s="24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ht="15.75" customHeight="1">
      <c r="A101" s="9">
        <v>97.0</v>
      </c>
      <c r="B101" s="25"/>
      <c r="C101" s="25"/>
      <c r="D101" s="24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ht="15.75" customHeight="1">
      <c r="A102" s="9">
        <v>98.0</v>
      </c>
      <c r="B102" s="25"/>
      <c r="C102" s="25"/>
      <c r="D102" s="24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ht="15.75" customHeight="1">
      <c r="A103" s="9">
        <v>99.0</v>
      </c>
      <c r="B103" s="25"/>
      <c r="C103" s="25"/>
      <c r="D103" s="24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ht="15.75" customHeight="1">
      <c r="A104" s="9">
        <v>100.0</v>
      </c>
      <c r="B104" s="25"/>
      <c r="C104" s="25"/>
      <c r="D104" s="24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ht="15.75" customHeight="1">
      <c r="A105" s="22"/>
      <c r="B105" s="26"/>
      <c r="C105" s="26"/>
      <c r="D105" s="27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ht="15.75" customHeight="1">
      <c r="A106" s="22"/>
      <c r="B106" s="26"/>
      <c r="C106" s="26"/>
      <c r="D106" s="27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ht="15.75" customHeight="1">
      <c r="A107" s="22"/>
      <c r="B107" s="26"/>
      <c r="C107" s="26"/>
      <c r="D107" s="27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ht="15.75" customHeight="1">
      <c r="A108" s="22"/>
      <c r="B108" s="26"/>
      <c r="C108" s="26"/>
      <c r="D108" s="27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ht="15.75" customHeight="1">
      <c r="A109" s="22"/>
      <c r="B109" s="26"/>
      <c r="C109" s="26"/>
      <c r="D109" s="27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ht="15.75" customHeight="1">
      <c r="A110" s="22"/>
      <c r="B110" s="26"/>
      <c r="C110" s="26"/>
      <c r="D110" s="27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ht="15.75" customHeight="1">
      <c r="A111" s="22"/>
      <c r="B111" s="26"/>
      <c r="C111" s="26"/>
      <c r="D111" s="27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ht="15.75" customHeight="1">
      <c r="A112" s="22"/>
      <c r="B112" s="26"/>
      <c r="C112" s="26"/>
      <c r="D112" s="27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ht="15.75" customHeight="1">
      <c r="A113" s="22"/>
      <c r="B113" s="26"/>
      <c r="C113" s="26"/>
      <c r="D113" s="27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ht="15.75" customHeight="1">
      <c r="A114" s="22"/>
      <c r="B114" s="26"/>
      <c r="C114" s="26"/>
      <c r="D114" s="27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ht="15.75" customHeight="1">
      <c r="A115" s="22"/>
      <c r="B115" s="26"/>
      <c r="C115" s="26"/>
      <c r="D115" s="27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ht="15.75" customHeight="1">
      <c r="A116" s="22"/>
      <c r="B116" s="26"/>
      <c r="C116" s="26"/>
      <c r="D116" s="2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ht="15.75" customHeight="1">
      <c r="A117" s="22"/>
      <c r="B117" s="26"/>
      <c r="C117" s="26"/>
      <c r="D117" s="27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ht="15.75" customHeight="1">
      <c r="A118" s="22"/>
      <c r="B118" s="26"/>
      <c r="C118" s="26"/>
      <c r="D118" s="27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ht="15.75" customHeight="1">
      <c r="A119" s="22"/>
      <c r="B119" s="26"/>
      <c r="C119" s="26"/>
      <c r="D119" s="27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ht="15.75" customHeight="1">
      <c r="A120" s="22"/>
      <c r="B120" s="26"/>
      <c r="C120" s="26"/>
      <c r="D120" s="27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ht="15.75" customHeight="1">
      <c r="A121" s="22"/>
      <c r="B121" s="26"/>
      <c r="C121" s="26"/>
      <c r="D121" s="27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ht="15.75" customHeight="1">
      <c r="A122" s="22"/>
      <c r="B122" s="26"/>
      <c r="C122" s="26"/>
      <c r="D122" s="27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ht="15.75" customHeight="1">
      <c r="A123" s="22"/>
      <c r="B123" s="26"/>
      <c r="C123" s="26"/>
      <c r="D123" s="27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ht="15.75" customHeight="1">
      <c r="A124" s="22"/>
      <c r="B124" s="26"/>
      <c r="C124" s="26"/>
      <c r="D124" s="27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ht="15.75" customHeight="1">
      <c r="A125" s="22"/>
      <c r="B125" s="26"/>
      <c r="C125" s="26"/>
      <c r="D125" s="27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ht="15.75" customHeight="1">
      <c r="A126" s="22"/>
      <c r="B126" s="26"/>
      <c r="C126" s="26"/>
      <c r="D126" s="27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ht="15.75" customHeight="1">
      <c r="A127" s="22"/>
      <c r="B127" s="26"/>
      <c r="C127" s="26"/>
      <c r="D127" s="27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ht="15.75" customHeight="1">
      <c r="A128" s="22"/>
      <c r="B128" s="26"/>
      <c r="C128" s="26"/>
      <c r="D128" s="27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ht="15.75" customHeight="1">
      <c r="A129" s="22"/>
      <c r="B129" s="26"/>
      <c r="C129" s="26"/>
      <c r="D129" s="27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ht="15.75" customHeight="1">
      <c r="A130" s="22"/>
      <c r="B130" s="26"/>
      <c r="C130" s="26"/>
      <c r="D130" s="27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ht="15.75" customHeight="1">
      <c r="A131" s="22"/>
      <c r="B131" s="26"/>
      <c r="C131" s="26"/>
      <c r="D131" s="27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ht="15.75" customHeight="1">
      <c r="A132" s="22"/>
      <c r="B132" s="26"/>
      <c r="C132" s="26"/>
      <c r="D132" s="27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ht="15.75" customHeight="1">
      <c r="A133" s="22"/>
      <c r="B133" s="26"/>
      <c r="C133" s="26"/>
      <c r="D133" s="27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ht="15.75" customHeight="1">
      <c r="A134" s="22"/>
      <c r="B134" s="26"/>
      <c r="C134" s="26"/>
      <c r="D134" s="27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ht="15.75" customHeight="1">
      <c r="A135" s="22"/>
      <c r="B135" s="26"/>
      <c r="C135" s="26"/>
      <c r="D135" s="27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ht="15.75" customHeight="1">
      <c r="A136" s="22"/>
      <c r="B136" s="26"/>
      <c r="C136" s="26"/>
      <c r="D136" s="27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ht="15.75" customHeight="1">
      <c r="A137" s="22"/>
      <c r="B137" s="26"/>
      <c r="C137" s="26"/>
      <c r="D137" s="27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ht="15.75" customHeight="1">
      <c r="A138" s="22"/>
      <c r="B138" s="26"/>
      <c r="C138" s="26"/>
      <c r="D138" s="27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ht="15.75" customHeight="1">
      <c r="A139" s="22"/>
      <c r="B139" s="26"/>
      <c r="C139" s="26"/>
      <c r="D139" s="27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ht="15.75" customHeight="1">
      <c r="A140" s="22"/>
      <c r="B140" s="26"/>
      <c r="C140" s="26"/>
      <c r="D140" s="27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ht="15.75" customHeight="1">
      <c r="A141" s="22"/>
      <c r="B141" s="26"/>
      <c r="C141" s="26"/>
      <c r="D141" s="27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ht="15.75" customHeight="1">
      <c r="A142" s="22"/>
      <c r="B142" s="26"/>
      <c r="C142" s="26"/>
      <c r="D142" s="27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ht="15.75" customHeight="1">
      <c r="A143" s="22"/>
      <c r="B143" s="26"/>
      <c r="C143" s="26"/>
      <c r="D143" s="27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ht="15.75" customHeight="1">
      <c r="A144" s="22"/>
      <c r="B144" s="26"/>
      <c r="C144" s="26"/>
      <c r="D144" s="27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ht="15.75" customHeight="1">
      <c r="A145" s="22"/>
      <c r="B145" s="26"/>
      <c r="C145" s="26"/>
      <c r="D145" s="27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ht="15.75" customHeight="1">
      <c r="A146" s="22"/>
      <c r="B146" s="26"/>
      <c r="C146" s="26"/>
      <c r="D146" s="27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ht="15.75" customHeight="1">
      <c r="A147" s="22"/>
      <c r="B147" s="26"/>
      <c r="C147" s="26"/>
      <c r="D147" s="27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ht="15.75" customHeight="1">
      <c r="A148" s="22"/>
      <c r="B148" s="26"/>
      <c r="C148" s="26"/>
      <c r="D148" s="27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ht="15.75" customHeight="1">
      <c r="A149" s="22"/>
      <c r="B149" s="26"/>
      <c r="C149" s="26"/>
      <c r="D149" s="27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ht="15.75" customHeight="1">
      <c r="A150" s="22"/>
      <c r="B150" s="26"/>
      <c r="C150" s="26"/>
      <c r="D150" s="27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ht="15.75" customHeight="1">
      <c r="A151" s="22"/>
      <c r="B151" s="26"/>
      <c r="C151" s="26"/>
      <c r="D151" s="27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ht="15.75" customHeight="1">
      <c r="A152" s="22"/>
      <c r="B152" s="26"/>
      <c r="C152" s="26"/>
      <c r="D152" s="27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ht="15.75" customHeight="1">
      <c r="A153" s="22"/>
      <c r="B153" s="26"/>
      <c r="C153" s="26"/>
      <c r="D153" s="27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ht="15.75" customHeight="1">
      <c r="A154" s="22"/>
      <c r="B154" s="26"/>
      <c r="C154" s="26"/>
      <c r="D154" s="27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ht="15.75" customHeight="1">
      <c r="A155" s="22"/>
      <c r="B155" s="26"/>
      <c r="C155" s="26"/>
      <c r="D155" s="27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ht="15.75" customHeight="1">
      <c r="A156" s="22"/>
      <c r="B156" s="26"/>
      <c r="C156" s="26"/>
      <c r="D156" s="27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ht="15.75" customHeight="1">
      <c r="A157" s="22"/>
      <c r="B157" s="26"/>
      <c r="C157" s="26"/>
      <c r="D157" s="27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ht="15.75" customHeight="1">
      <c r="A158" s="22"/>
      <c r="B158" s="26"/>
      <c r="C158" s="26"/>
      <c r="D158" s="27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ht="15.75" customHeight="1">
      <c r="A159" s="22"/>
      <c r="B159" s="26"/>
      <c r="C159" s="26"/>
      <c r="D159" s="27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ht="15.75" customHeight="1">
      <c r="A160" s="22"/>
      <c r="B160" s="26"/>
      <c r="C160" s="26"/>
      <c r="D160" s="27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ht="15.75" customHeight="1">
      <c r="A161" s="22"/>
      <c r="B161" s="26"/>
      <c r="C161" s="26"/>
      <c r="D161" s="27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ht="15.75" customHeight="1">
      <c r="A162" s="22"/>
      <c r="B162" s="26"/>
      <c r="C162" s="26"/>
      <c r="D162" s="27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ht="15.75" customHeight="1">
      <c r="A163" s="22"/>
      <c r="B163" s="26"/>
      <c r="C163" s="26"/>
      <c r="D163" s="27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ht="15.75" customHeight="1">
      <c r="A164" s="22"/>
      <c r="B164" s="26"/>
      <c r="C164" s="26"/>
      <c r="D164" s="27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ht="15.75" customHeight="1">
      <c r="A165" s="22"/>
      <c r="B165" s="26"/>
      <c r="C165" s="26"/>
      <c r="D165" s="27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ht="15.75" customHeight="1">
      <c r="A166" s="22"/>
      <c r="B166" s="26"/>
      <c r="C166" s="26"/>
      <c r="D166" s="27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ht="15.75" customHeight="1">
      <c r="A167" s="22"/>
      <c r="B167" s="26"/>
      <c r="C167" s="26"/>
      <c r="D167" s="27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ht="15.75" customHeight="1">
      <c r="A168" s="22"/>
      <c r="B168" s="26"/>
      <c r="C168" s="26"/>
      <c r="D168" s="27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ht="15.75" customHeight="1">
      <c r="A169" s="22"/>
      <c r="B169" s="26"/>
      <c r="C169" s="26"/>
      <c r="D169" s="27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ht="15.75" customHeight="1">
      <c r="A170" s="22"/>
      <c r="B170" s="26"/>
      <c r="C170" s="26"/>
      <c r="D170" s="27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ht="15.75" customHeight="1">
      <c r="A171" s="22"/>
      <c r="B171" s="26"/>
      <c r="C171" s="26"/>
      <c r="D171" s="27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ht="15.75" customHeight="1">
      <c r="A172" s="22"/>
      <c r="B172" s="26"/>
      <c r="C172" s="26"/>
      <c r="D172" s="27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ht="15.75" customHeight="1">
      <c r="A173" s="22"/>
      <c r="B173" s="26"/>
      <c r="C173" s="26"/>
      <c r="D173" s="27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ht="15.75" customHeight="1">
      <c r="A174" s="22"/>
      <c r="B174" s="26"/>
      <c r="C174" s="26"/>
      <c r="D174" s="27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ht="15.75" customHeight="1">
      <c r="A175" s="22"/>
      <c r="B175" s="26"/>
      <c r="C175" s="26"/>
      <c r="D175" s="27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ht="15.75" customHeight="1">
      <c r="A176" s="22"/>
      <c r="B176" s="26"/>
      <c r="C176" s="26"/>
      <c r="D176" s="27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ht="15.75" customHeight="1">
      <c r="A177" s="22"/>
      <c r="B177" s="26"/>
      <c r="C177" s="26"/>
      <c r="D177" s="27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ht="15.75" customHeight="1">
      <c r="A178" s="22"/>
      <c r="B178" s="26"/>
      <c r="C178" s="26"/>
      <c r="D178" s="27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ht="15.75" customHeight="1">
      <c r="A179" s="22"/>
      <c r="B179" s="26"/>
      <c r="C179" s="26"/>
      <c r="D179" s="27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ht="15.75" customHeight="1">
      <c r="A180" s="22"/>
      <c r="B180" s="26"/>
      <c r="C180" s="26"/>
      <c r="D180" s="27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ht="15.75" customHeight="1">
      <c r="A181" s="22"/>
      <c r="B181" s="26"/>
      <c r="C181" s="26"/>
      <c r="D181" s="27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ht="15.75" customHeight="1">
      <c r="A182" s="22"/>
      <c r="B182" s="26"/>
      <c r="C182" s="26"/>
      <c r="D182" s="27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ht="15.75" customHeight="1">
      <c r="A183" s="22"/>
      <c r="B183" s="26"/>
      <c r="C183" s="26"/>
      <c r="D183" s="27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ht="15.75" customHeight="1">
      <c r="A184" s="22"/>
      <c r="B184" s="26"/>
      <c r="C184" s="26"/>
      <c r="D184" s="27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ht="15.75" customHeight="1">
      <c r="A185" s="22"/>
      <c r="B185" s="26"/>
      <c r="C185" s="26"/>
      <c r="D185" s="27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ht="15.75" customHeight="1">
      <c r="A186" s="22"/>
      <c r="B186" s="26"/>
      <c r="C186" s="26"/>
      <c r="D186" s="27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ht="15.75" customHeight="1">
      <c r="A187" s="22"/>
      <c r="B187" s="26"/>
      <c r="C187" s="26"/>
      <c r="D187" s="27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ht="15.75" customHeight="1">
      <c r="A188" s="22"/>
      <c r="B188" s="26"/>
      <c r="C188" s="26"/>
      <c r="D188" s="27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ht="15.75" customHeight="1">
      <c r="A189" s="22"/>
      <c r="B189" s="26"/>
      <c r="C189" s="26"/>
      <c r="D189" s="27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ht="15.75" customHeight="1">
      <c r="A190" s="22"/>
      <c r="B190" s="26"/>
      <c r="C190" s="26"/>
      <c r="D190" s="27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ht="15.75" customHeight="1">
      <c r="A191" s="22"/>
      <c r="B191" s="26"/>
      <c r="C191" s="26"/>
      <c r="D191" s="27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ht="15.75" customHeight="1">
      <c r="A192" s="22"/>
      <c r="B192" s="26"/>
      <c r="C192" s="26"/>
      <c r="D192" s="27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ht="15.75" customHeight="1">
      <c r="A193" s="22"/>
      <c r="B193" s="26"/>
      <c r="C193" s="26"/>
      <c r="D193" s="27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ht="15.75" customHeight="1">
      <c r="A194" s="22"/>
      <c r="B194" s="26"/>
      <c r="C194" s="26"/>
      <c r="D194" s="27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ht="15.75" customHeight="1">
      <c r="A195" s="22"/>
      <c r="B195" s="26"/>
      <c r="C195" s="26"/>
      <c r="D195" s="27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ht="15.75" customHeight="1">
      <c r="A196" s="22"/>
      <c r="B196" s="26"/>
      <c r="C196" s="26"/>
      <c r="D196" s="27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ht="15.75" customHeight="1">
      <c r="A197" s="22"/>
      <c r="B197" s="26"/>
      <c r="C197" s="26"/>
      <c r="D197" s="27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ht="15.75" customHeight="1">
      <c r="A198" s="22"/>
      <c r="B198" s="26"/>
      <c r="C198" s="26"/>
      <c r="D198" s="27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ht="15.75" customHeight="1">
      <c r="A199" s="22"/>
      <c r="B199" s="26"/>
      <c r="C199" s="26"/>
      <c r="D199" s="27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ht="15.75" customHeight="1">
      <c r="A200" s="22"/>
      <c r="B200" s="26"/>
      <c r="C200" s="26"/>
      <c r="D200" s="27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ht="15.75" customHeight="1">
      <c r="A201" s="22"/>
      <c r="B201" s="26"/>
      <c r="C201" s="26"/>
      <c r="D201" s="27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ht="15.75" customHeight="1">
      <c r="A202" s="22"/>
      <c r="B202" s="26"/>
      <c r="C202" s="26"/>
      <c r="D202" s="27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ht="15.75" customHeight="1">
      <c r="A203" s="22"/>
      <c r="B203" s="26"/>
      <c r="C203" s="26"/>
      <c r="D203" s="27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ht="15.75" customHeight="1">
      <c r="A204" s="22"/>
      <c r="B204" s="26"/>
      <c r="C204" s="26"/>
      <c r="D204" s="27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ht="15.75" customHeight="1">
      <c r="A205" s="22"/>
      <c r="B205" s="26"/>
      <c r="C205" s="26"/>
      <c r="D205" s="27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ht="15.75" customHeight="1">
      <c r="A206" s="22"/>
      <c r="B206" s="26"/>
      <c r="C206" s="26"/>
      <c r="D206" s="27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ht="15.75" customHeight="1">
      <c r="A207" s="22"/>
      <c r="B207" s="26"/>
      <c r="C207" s="26"/>
      <c r="D207" s="27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ht="15.75" customHeight="1">
      <c r="A208" s="22"/>
      <c r="B208" s="26"/>
      <c r="C208" s="26"/>
      <c r="D208" s="27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ht="15.75" customHeight="1">
      <c r="A209" s="22"/>
      <c r="B209" s="26"/>
      <c r="C209" s="26"/>
      <c r="D209" s="27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ht="15.75" customHeight="1">
      <c r="A210" s="22"/>
      <c r="B210" s="26"/>
      <c r="C210" s="26"/>
      <c r="D210" s="27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ht="15.75" customHeight="1">
      <c r="A211" s="22"/>
      <c r="B211" s="26"/>
      <c r="C211" s="26"/>
      <c r="D211" s="27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ht="15.75" customHeight="1">
      <c r="A212" s="22"/>
      <c r="B212" s="26"/>
      <c r="C212" s="26"/>
      <c r="D212" s="27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ht="15.75" customHeight="1">
      <c r="A213" s="22"/>
      <c r="B213" s="26"/>
      <c r="C213" s="26"/>
      <c r="D213" s="27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ht="15.75" customHeight="1">
      <c r="A214" s="22"/>
      <c r="B214" s="26"/>
      <c r="C214" s="26"/>
      <c r="D214" s="27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ht="15.75" customHeight="1">
      <c r="A215" s="22"/>
      <c r="B215" s="26"/>
      <c r="C215" s="26"/>
      <c r="D215" s="27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ht="15.75" customHeight="1">
      <c r="A216" s="22"/>
      <c r="B216" s="26"/>
      <c r="C216" s="26"/>
      <c r="D216" s="27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ht="15.75" customHeight="1">
      <c r="A217" s="22"/>
      <c r="B217" s="26"/>
      <c r="C217" s="26"/>
      <c r="D217" s="27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ht="15.75" customHeight="1">
      <c r="A218" s="22"/>
      <c r="B218" s="26"/>
      <c r="C218" s="26"/>
      <c r="D218" s="27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ht="15.75" customHeight="1">
      <c r="A219" s="22"/>
      <c r="B219" s="26"/>
      <c r="C219" s="26"/>
      <c r="D219" s="27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ht="15.75" customHeight="1">
      <c r="A220" s="22"/>
      <c r="B220" s="26"/>
      <c r="C220" s="26"/>
      <c r="D220" s="27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ht="15.75" customHeight="1">
      <c r="A221" s="22"/>
      <c r="B221" s="26"/>
      <c r="C221" s="26"/>
      <c r="D221" s="27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ht="15.75" customHeight="1">
      <c r="A222" s="22"/>
      <c r="B222" s="26"/>
      <c r="C222" s="26"/>
      <c r="D222" s="27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ht="15.75" customHeight="1">
      <c r="A223" s="22"/>
      <c r="B223" s="26"/>
      <c r="C223" s="26"/>
      <c r="D223" s="27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ht="15.75" customHeight="1">
      <c r="A224" s="22"/>
      <c r="B224" s="26"/>
      <c r="C224" s="26"/>
      <c r="D224" s="27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ht="15.75" customHeight="1">
      <c r="A225" s="22"/>
      <c r="B225" s="26"/>
      <c r="C225" s="26"/>
      <c r="D225" s="27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ht="15.75" customHeight="1">
      <c r="A226" s="22"/>
      <c r="B226" s="26"/>
      <c r="C226" s="26"/>
      <c r="D226" s="27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ht="15.75" customHeight="1">
      <c r="A227" s="22"/>
      <c r="B227" s="26"/>
      <c r="C227" s="26"/>
      <c r="D227" s="27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ht="15.75" customHeight="1">
      <c r="A228" s="22"/>
      <c r="B228" s="26"/>
      <c r="C228" s="26"/>
      <c r="D228" s="27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ht="15.75" customHeight="1">
      <c r="A229" s="22"/>
      <c r="B229" s="26"/>
      <c r="C229" s="26"/>
      <c r="D229" s="27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ht="15.75" customHeight="1">
      <c r="A230" s="22"/>
      <c r="B230" s="26"/>
      <c r="C230" s="26"/>
      <c r="D230" s="27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ht="15.75" customHeight="1">
      <c r="A231" s="22"/>
      <c r="B231" s="26"/>
      <c r="C231" s="26"/>
      <c r="D231" s="27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ht="15.75" customHeight="1">
      <c r="A232" s="22"/>
      <c r="B232" s="26"/>
      <c r="C232" s="26"/>
      <c r="D232" s="27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ht="15.75" customHeight="1">
      <c r="A233" s="22"/>
      <c r="B233" s="26"/>
      <c r="C233" s="26"/>
      <c r="D233" s="27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ht="15.75" customHeight="1">
      <c r="A234" s="22"/>
      <c r="B234" s="26"/>
      <c r="C234" s="26"/>
      <c r="D234" s="27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ht="15.75" customHeight="1">
      <c r="A235" s="22"/>
      <c r="B235" s="26"/>
      <c r="C235" s="26"/>
      <c r="D235" s="27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ht="15.75" customHeight="1">
      <c r="A236" s="22"/>
      <c r="B236" s="26"/>
      <c r="C236" s="26"/>
      <c r="D236" s="27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ht="15.75" customHeight="1">
      <c r="A237" s="22"/>
      <c r="B237" s="26"/>
      <c r="C237" s="26"/>
      <c r="D237" s="27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ht="15.75" customHeight="1">
      <c r="A238" s="22"/>
      <c r="B238" s="26"/>
      <c r="C238" s="26"/>
      <c r="D238" s="27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ht="15.75" customHeight="1">
      <c r="A239" s="22"/>
      <c r="B239" s="26"/>
      <c r="C239" s="26"/>
      <c r="D239" s="27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ht="15.75" customHeight="1">
      <c r="A240" s="22"/>
      <c r="B240" s="26"/>
      <c r="C240" s="26"/>
      <c r="D240" s="27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ht="15.75" customHeight="1">
      <c r="A241" s="22"/>
      <c r="B241" s="26"/>
      <c r="C241" s="26"/>
      <c r="D241" s="27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ht="15.75" customHeight="1">
      <c r="A242" s="22"/>
      <c r="B242" s="26"/>
      <c r="C242" s="26"/>
      <c r="D242" s="27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ht="15.75" customHeight="1">
      <c r="A243" s="22"/>
      <c r="B243" s="26"/>
      <c r="C243" s="26"/>
      <c r="D243" s="27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ht="15.75" customHeight="1">
      <c r="A244" s="22"/>
      <c r="B244" s="26"/>
      <c r="C244" s="26"/>
      <c r="D244" s="27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ht="15.75" customHeight="1">
      <c r="A245" s="22"/>
      <c r="B245" s="26"/>
      <c r="C245" s="26"/>
      <c r="D245" s="27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ht="15.75" customHeight="1">
      <c r="A246" s="22"/>
      <c r="B246" s="26"/>
      <c r="C246" s="26"/>
      <c r="D246" s="27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ht="15.75" customHeight="1">
      <c r="A247" s="22"/>
      <c r="B247" s="26"/>
      <c r="C247" s="26"/>
      <c r="D247" s="27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ht="15.75" customHeight="1">
      <c r="A248" s="22"/>
      <c r="B248" s="26"/>
      <c r="C248" s="26"/>
      <c r="D248" s="27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ht="15.75" customHeight="1">
      <c r="A249" s="22"/>
      <c r="B249" s="26"/>
      <c r="C249" s="26"/>
      <c r="D249" s="27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ht="15.75" customHeight="1">
      <c r="A250" s="22"/>
      <c r="B250" s="26"/>
      <c r="C250" s="26"/>
      <c r="D250" s="27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ht="15.75" customHeight="1">
      <c r="A251" s="22"/>
      <c r="B251" s="26"/>
      <c r="C251" s="26"/>
      <c r="D251" s="27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ht="15.75" customHeight="1">
      <c r="A252" s="22"/>
      <c r="B252" s="26"/>
      <c r="C252" s="26"/>
      <c r="D252" s="27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ht="15.75" customHeight="1">
      <c r="A253" s="22"/>
      <c r="B253" s="26"/>
      <c r="C253" s="26"/>
      <c r="D253" s="27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ht="15.75" customHeight="1">
      <c r="A254" s="22"/>
      <c r="B254" s="26"/>
      <c r="C254" s="26"/>
      <c r="D254" s="27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ht="15.75" customHeight="1">
      <c r="A255" s="22"/>
      <c r="B255" s="26"/>
      <c r="C255" s="26"/>
      <c r="D255" s="27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ht="15.75" customHeight="1">
      <c r="A256" s="22"/>
      <c r="B256" s="26"/>
      <c r="C256" s="26"/>
      <c r="D256" s="27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ht="15.75" customHeight="1">
      <c r="A257" s="22"/>
      <c r="B257" s="26"/>
      <c r="C257" s="26"/>
      <c r="D257" s="27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ht="15.75" customHeight="1">
      <c r="A258" s="22"/>
      <c r="B258" s="26"/>
      <c r="C258" s="26"/>
      <c r="D258" s="27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ht="15.75" customHeight="1">
      <c r="A259" s="22"/>
      <c r="B259" s="26"/>
      <c r="C259" s="26"/>
      <c r="D259" s="27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ht="15.75" customHeight="1">
      <c r="A260" s="22"/>
      <c r="B260" s="26"/>
      <c r="C260" s="26"/>
      <c r="D260" s="27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ht="15.75" customHeight="1">
      <c r="A261" s="22"/>
      <c r="B261" s="26"/>
      <c r="C261" s="26"/>
      <c r="D261" s="27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ht="15.75" customHeight="1">
      <c r="A262" s="22"/>
      <c r="B262" s="26"/>
      <c r="C262" s="26"/>
      <c r="D262" s="27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ht="15.75" customHeight="1">
      <c r="A263" s="22"/>
      <c r="B263" s="26"/>
      <c r="C263" s="26"/>
      <c r="D263" s="27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ht="15.75" customHeight="1">
      <c r="A264" s="22"/>
      <c r="B264" s="26"/>
      <c r="C264" s="26"/>
      <c r="D264" s="27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ht="15.75" customHeight="1">
      <c r="A265" s="22"/>
      <c r="B265" s="26"/>
      <c r="C265" s="26"/>
      <c r="D265" s="27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ht="15.75" customHeight="1">
      <c r="A266" s="22"/>
      <c r="B266" s="26"/>
      <c r="C266" s="26"/>
      <c r="D266" s="27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ht="15.75" customHeight="1">
      <c r="A267" s="22"/>
      <c r="B267" s="26"/>
      <c r="C267" s="26"/>
      <c r="D267" s="27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ht="15.75" customHeight="1">
      <c r="A268" s="22"/>
      <c r="B268" s="26"/>
      <c r="C268" s="26"/>
      <c r="D268" s="27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ht="15.75" customHeight="1">
      <c r="A269" s="22"/>
      <c r="B269" s="26"/>
      <c r="C269" s="26"/>
      <c r="D269" s="27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ht="15.75" customHeight="1">
      <c r="A270" s="22"/>
      <c r="B270" s="26"/>
      <c r="C270" s="26"/>
      <c r="D270" s="27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ht="15.75" customHeight="1">
      <c r="A271" s="22"/>
      <c r="B271" s="26"/>
      <c r="C271" s="26"/>
      <c r="D271" s="27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ht="15.75" customHeight="1">
      <c r="A272" s="22"/>
      <c r="B272" s="26"/>
      <c r="C272" s="26"/>
      <c r="D272" s="27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ht="15.75" customHeight="1">
      <c r="A273" s="22"/>
      <c r="B273" s="26"/>
      <c r="C273" s="26"/>
      <c r="D273" s="27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ht="15.75" customHeight="1">
      <c r="A274" s="22"/>
      <c r="B274" s="26"/>
      <c r="C274" s="26"/>
      <c r="D274" s="27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ht="15.75" customHeight="1">
      <c r="A275" s="22"/>
      <c r="B275" s="26"/>
      <c r="C275" s="26"/>
      <c r="D275" s="27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ht="15.75" customHeight="1">
      <c r="A276" s="22"/>
      <c r="B276" s="26"/>
      <c r="C276" s="26"/>
      <c r="D276" s="27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ht="15.75" customHeight="1">
      <c r="A277" s="22"/>
      <c r="B277" s="26"/>
      <c r="C277" s="26"/>
      <c r="D277" s="27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ht="15.75" customHeight="1">
      <c r="A278" s="22"/>
      <c r="B278" s="26"/>
      <c r="C278" s="26"/>
      <c r="D278" s="27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ht="15.75" customHeight="1">
      <c r="A279" s="22"/>
      <c r="B279" s="26"/>
      <c r="C279" s="26"/>
      <c r="D279" s="27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ht="15.75" customHeight="1">
      <c r="A280" s="22"/>
      <c r="B280" s="26"/>
      <c r="C280" s="26"/>
      <c r="D280" s="27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ht="15.75" customHeight="1">
      <c r="A281" s="22"/>
      <c r="B281" s="26"/>
      <c r="C281" s="26"/>
      <c r="D281" s="27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ht="15.75" customHeight="1">
      <c r="A282" s="22"/>
      <c r="B282" s="26"/>
      <c r="C282" s="26"/>
      <c r="D282" s="27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ht="15.75" customHeight="1">
      <c r="A283" s="22"/>
      <c r="B283" s="26"/>
      <c r="C283" s="26"/>
      <c r="D283" s="27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ht="15.75" customHeight="1">
      <c r="A284" s="22"/>
      <c r="B284" s="26"/>
      <c r="C284" s="26"/>
      <c r="D284" s="27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ht="15.75" customHeight="1">
      <c r="A285" s="22"/>
      <c r="B285" s="26"/>
      <c r="C285" s="26"/>
      <c r="D285" s="27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ht="15.75" customHeight="1">
      <c r="A286" s="22"/>
      <c r="B286" s="26"/>
      <c r="C286" s="26"/>
      <c r="D286" s="27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ht="15.75" customHeight="1">
      <c r="A287" s="22"/>
      <c r="B287" s="26"/>
      <c r="C287" s="26"/>
      <c r="D287" s="27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ht="15.75" customHeight="1">
      <c r="A288" s="22"/>
      <c r="B288" s="26"/>
      <c r="C288" s="26"/>
      <c r="D288" s="27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ht="15.75" customHeight="1">
      <c r="A289" s="22"/>
      <c r="B289" s="26"/>
      <c r="C289" s="26"/>
      <c r="D289" s="27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ht="15.75" customHeight="1">
      <c r="A290" s="22"/>
      <c r="B290" s="26"/>
      <c r="C290" s="26"/>
      <c r="D290" s="27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ht="15.75" customHeight="1">
      <c r="A291" s="22"/>
      <c r="B291" s="26"/>
      <c r="C291" s="26"/>
      <c r="D291" s="27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ht="15.75" customHeight="1">
      <c r="A292" s="22"/>
      <c r="B292" s="26"/>
      <c r="C292" s="26"/>
      <c r="D292" s="27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ht="15.75" customHeight="1">
      <c r="A293" s="22"/>
      <c r="B293" s="26"/>
      <c r="C293" s="26"/>
      <c r="D293" s="27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ht="15.75" customHeight="1">
      <c r="A294" s="22"/>
      <c r="B294" s="26"/>
      <c r="C294" s="26"/>
      <c r="D294" s="27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ht="15.75" customHeight="1">
      <c r="A295" s="22"/>
      <c r="B295" s="26"/>
      <c r="C295" s="26"/>
      <c r="D295" s="27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ht="15.75" customHeight="1">
      <c r="A296" s="22"/>
      <c r="B296" s="26"/>
      <c r="C296" s="26"/>
      <c r="D296" s="27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ht="15.75" customHeight="1">
      <c r="A297" s="22"/>
      <c r="B297" s="26"/>
      <c r="C297" s="26"/>
      <c r="D297" s="27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ht="15.75" customHeight="1">
      <c r="A298" s="22"/>
      <c r="B298" s="26"/>
      <c r="C298" s="26"/>
      <c r="D298" s="27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ht="15.75" customHeight="1">
      <c r="A299" s="22"/>
      <c r="B299" s="26"/>
      <c r="C299" s="26"/>
      <c r="D299" s="27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ht="15.75" customHeight="1">
      <c r="A300" s="22"/>
      <c r="B300" s="26"/>
      <c r="C300" s="26"/>
      <c r="D300" s="27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ht="15.75" customHeight="1">
      <c r="A301" s="22"/>
      <c r="B301" s="26"/>
      <c r="C301" s="26"/>
      <c r="D301" s="27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ht="15.75" customHeight="1">
      <c r="A302" s="22"/>
      <c r="B302" s="26"/>
      <c r="C302" s="26"/>
      <c r="D302" s="27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ht="15.75" customHeight="1">
      <c r="A303" s="22"/>
      <c r="B303" s="26"/>
      <c r="C303" s="26"/>
      <c r="D303" s="27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ht="15.75" customHeight="1">
      <c r="A304" s="22"/>
      <c r="B304" s="26"/>
      <c r="C304" s="26"/>
      <c r="D304" s="27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:M1"/>
    <mergeCell ref="A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8"/>
      <c r="C1" s="28"/>
      <c r="D1" s="28" t="s">
        <v>1</v>
      </c>
      <c r="F1" s="3"/>
      <c r="G1" s="4" t="s">
        <v>2</v>
      </c>
      <c r="N1" s="5"/>
      <c r="O1" s="6"/>
      <c r="P1" s="6"/>
      <c r="Q1" s="7"/>
      <c r="R1" s="6"/>
      <c r="S1" s="6"/>
      <c r="T1" s="6"/>
      <c r="U1" s="6"/>
      <c r="V1" s="7"/>
      <c r="W1" s="6"/>
      <c r="X1" s="6"/>
      <c r="Y1" s="6"/>
      <c r="Z1" s="6"/>
      <c r="AA1" s="7"/>
      <c r="AB1" s="6"/>
      <c r="AC1" s="6"/>
      <c r="AD1" s="6"/>
      <c r="AE1" s="6"/>
    </row>
    <row r="2" ht="15.75" customHeight="1">
      <c r="A2" s="32">
        <v>5.0</v>
      </c>
      <c r="B2" s="9"/>
      <c r="C2" s="9"/>
      <c r="D2" s="8"/>
      <c r="F2" s="10"/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1" t="s">
        <v>9</v>
      </c>
      <c r="N2" s="11" t="s">
        <v>10</v>
      </c>
    </row>
    <row r="3" ht="15.75" customHeight="1">
      <c r="A3" s="12" t="s">
        <v>11</v>
      </c>
      <c r="E3" s="13"/>
      <c r="F3" s="14" t="s">
        <v>12</v>
      </c>
      <c r="G3" s="15">
        <f>COUNTA($B5:$B1002)</f>
        <v>28</v>
      </c>
      <c r="H3" s="15">
        <f>G3/G6*100</f>
        <v>45.90163934</v>
      </c>
      <c r="I3" s="15">
        <f>average(B5:B104)</f>
        <v>79.03428571</v>
      </c>
      <c r="J3" s="15">
        <f>MIN(B5:B1002)</f>
        <v>46.35</v>
      </c>
      <c r="K3" s="15">
        <f>max(B5:B1002)</f>
        <v>115.63</v>
      </c>
      <c r="L3" s="16"/>
      <c r="M3" s="16">
        <f t="shared" ref="M3:M5" si="1">L3+G3</f>
        <v>28</v>
      </c>
      <c r="N3" s="17">
        <f>M3*4</f>
        <v>112</v>
      </c>
      <c r="O3" s="13"/>
      <c r="P3" s="13"/>
      <c r="Q3" s="18"/>
      <c r="R3" s="19"/>
      <c r="S3" s="13"/>
      <c r="T3" s="13"/>
      <c r="U3" s="13"/>
      <c r="V3" s="18"/>
      <c r="W3" s="19"/>
      <c r="X3" s="13"/>
      <c r="Y3" s="13"/>
      <c r="Z3" s="13"/>
      <c r="AA3" s="18"/>
      <c r="AB3" s="19"/>
      <c r="AC3" s="13"/>
      <c r="AD3" s="13"/>
      <c r="AE3" s="13"/>
    </row>
    <row r="4" ht="15.75" customHeight="1">
      <c r="A4" s="12" t="s">
        <v>3</v>
      </c>
      <c r="B4" s="20" t="s">
        <v>12</v>
      </c>
      <c r="C4" s="20" t="s">
        <v>13</v>
      </c>
      <c r="D4" s="21" t="s">
        <v>14</v>
      </c>
      <c r="E4" s="22"/>
      <c r="F4" s="14" t="s">
        <v>13</v>
      </c>
      <c r="G4" s="15">
        <f>COUNTA($C5:$C1002)</f>
        <v>33</v>
      </c>
      <c r="H4" s="15">
        <f>G4/G6*100</f>
        <v>54.09836066</v>
      </c>
      <c r="I4" s="15">
        <f>average(C5:C104)</f>
        <v>50.89909091</v>
      </c>
      <c r="J4" s="15">
        <f>MIN(C5:C1002)</f>
        <v>27.84</v>
      </c>
      <c r="K4" s="15">
        <f>max(C5:C1002)</f>
        <v>70.96</v>
      </c>
      <c r="L4" s="15"/>
      <c r="M4" s="15">
        <f t="shared" si="1"/>
        <v>33</v>
      </c>
      <c r="N4" s="15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ht="15.75" customHeight="1">
      <c r="A5" s="9">
        <v>1.0</v>
      </c>
      <c r="B5" s="23">
        <v>71.26</v>
      </c>
      <c r="C5" s="25"/>
      <c r="D5" s="24"/>
      <c r="E5" s="22"/>
      <c r="F5" s="14" t="s">
        <v>15</v>
      </c>
      <c r="G5" s="15">
        <f>COUNTA(D5:D1002)</f>
        <v>0</v>
      </c>
      <c r="H5" s="15">
        <f>G5/G6*100</f>
        <v>0</v>
      </c>
      <c r="I5" s="15" t="str">
        <f>average(D5:D104)</f>
        <v>#DIV/0!</v>
      </c>
      <c r="J5" s="15">
        <f>MIN(D5:D1002)</f>
        <v>0</v>
      </c>
      <c r="K5" s="15">
        <f>max(D5:D1002)</f>
        <v>0</v>
      </c>
      <c r="L5" s="15"/>
      <c r="M5" s="15">
        <f t="shared" si="1"/>
        <v>0</v>
      </c>
      <c r="N5" s="15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ht="15.75" customHeight="1">
      <c r="A6" s="9">
        <v>2.0</v>
      </c>
      <c r="B6" s="23">
        <v>85.92</v>
      </c>
      <c r="C6" s="25"/>
      <c r="D6" s="24"/>
      <c r="E6" s="22"/>
      <c r="F6" s="14" t="s">
        <v>16</v>
      </c>
      <c r="G6" s="15">
        <f>COUNTA(B5:D1002)</f>
        <v>61</v>
      </c>
      <c r="H6" s="15">
        <f>G6/G6*100</f>
        <v>100</v>
      </c>
      <c r="I6" s="15">
        <f>average(B5:D104)</f>
        <v>63.81360656</v>
      </c>
      <c r="J6" s="15">
        <f>min(B5:D1002)</f>
        <v>27.84</v>
      </c>
      <c r="K6" s="15">
        <f>max(B5:D1002)</f>
        <v>115.63</v>
      </c>
      <c r="L6" s="15"/>
      <c r="M6" s="15"/>
      <c r="N6" s="1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ht="15.75" customHeight="1">
      <c r="A7" s="9">
        <v>3.0</v>
      </c>
      <c r="B7" s="25"/>
      <c r="C7" s="23">
        <v>43.36</v>
      </c>
      <c r="D7" s="24"/>
      <c r="E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ht="15.75" customHeight="1">
      <c r="A8" s="9">
        <v>4.0</v>
      </c>
      <c r="B8" s="23">
        <v>114.9</v>
      </c>
      <c r="C8" s="25"/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ht="15.75" customHeight="1">
      <c r="A9" s="9">
        <v>5.0</v>
      </c>
      <c r="B9" s="25"/>
      <c r="C9" s="23">
        <v>48.27</v>
      </c>
      <c r="D9" s="24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ht="15.75" customHeight="1">
      <c r="A10" s="9">
        <v>6.0</v>
      </c>
      <c r="B10" s="25"/>
      <c r="C10" s="23">
        <v>43.13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ht="15.75" customHeight="1">
      <c r="A11" s="9">
        <v>7.0</v>
      </c>
      <c r="B11" s="25"/>
      <c r="C11" s="23">
        <v>39.84</v>
      </c>
      <c r="D11" s="2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ht="15.75" customHeight="1">
      <c r="A12" s="9">
        <v>8.0</v>
      </c>
      <c r="B12" s="25"/>
      <c r="C12" s="23">
        <v>27.84</v>
      </c>
      <c r="D12" s="2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ht="15.75" customHeight="1">
      <c r="A13" s="9">
        <v>9.0</v>
      </c>
      <c r="B13" s="23">
        <v>56.11</v>
      </c>
      <c r="C13" s="25"/>
      <c r="D13" s="2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ht="15.75" customHeight="1">
      <c r="A14" s="9">
        <v>10.0</v>
      </c>
      <c r="B14" s="23">
        <v>115.63</v>
      </c>
      <c r="C14" s="25"/>
      <c r="D14" s="2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ht="15.75" customHeight="1">
      <c r="A15" s="9">
        <v>11.0</v>
      </c>
      <c r="B15" s="23">
        <v>69.86</v>
      </c>
      <c r="C15" s="25"/>
      <c r="D15" s="2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ht="15.75" customHeight="1">
      <c r="A16" s="9">
        <v>12.0</v>
      </c>
      <c r="B16" s="23">
        <v>61.46</v>
      </c>
      <c r="C16" s="25"/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ht="15.75" customHeight="1">
      <c r="A17" s="9">
        <v>13.0</v>
      </c>
      <c r="B17" s="25"/>
      <c r="C17" s="23">
        <v>57.22</v>
      </c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ht="15.75" customHeight="1">
      <c r="A18" s="9">
        <v>14.0</v>
      </c>
      <c r="B18" s="23">
        <v>104.28</v>
      </c>
      <c r="C18" s="25"/>
      <c r="D18" s="2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ht="15.75" customHeight="1">
      <c r="A19" s="9">
        <v>15.0</v>
      </c>
      <c r="B19" s="23">
        <v>46.35</v>
      </c>
      <c r="C19" s="25"/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ht="15.75" customHeight="1">
      <c r="A20" s="9">
        <v>16.0</v>
      </c>
      <c r="B20" s="25"/>
      <c r="C20" s="23">
        <v>64.69</v>
      </c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ht="15.75" customHeight="1">
      <c r="A21" s="9">
        <v>17.0</v>
      </c>
      <c r="B21" s="25"/>
      <c r="C21" s="23">
        <v>68.88</v>
      </c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ht="15.75" customHeight="1">
      <c r="A22" s="9">
        <v>18.0</v>
      </c>
      <c r="B22" s="25"/>
      <c r="C22" s="23">
        <v>70.96</v>
      </c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ht="15.75" customHeight="1">
      <c r="A23" s="9">
        <v>19.0</v>
      </c>
      <c r="B23" s="25"/>
      <c r="C23" s="23">
        <v>52.24</v>
      </c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ht="15.75" customHeight="1">
      <c r="A24" s="9">
        <v>20.0</v>
      </c>
      <c r="B24" s="25"/>
      <c r="C24" s="23">
        <v>61.18</v>
      </c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ht="15.75" customHeight="1">
      <c r="A25" s="9">
        <v>21.0</v>
      </c>
      <c r="B25" s="25"/>
      <c r="C25" s="23">
        <v>48.18</v>
      </c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ht="15.75" customHeight="1">
      <c r="A26" s="9">
        <v>22.0</v>
      </c>
      <c r="B26" s="25"/>
      <c r="C26" s="23">
        <v>64.35</v>
      </c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ht="15.75" customHeight="1">
      <c r="A27" s="9">
        <v>23.0</v>
      </c>
      <c r="B27" s="25"/>
      <c r="C27" s="23">
        <v>45.72</v>
      </c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ht="15.75" customHeight="1">
      <c r="A28" s="9">
        <v>24.0</v>
      </c>
      <c r="B28" s="25"/>
      <c r="C28" s="23">
        <v>38.82</v>
      </c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ht="15.75" customHeight="1">
      <c r="A29" s="9">
        <v>25.0</v>
      </c>
      <c r="B29" s="23">
        <v>81.1</v>
      </c>
      <c r="C29" s="25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ht="15.75" customHeight="1">
      <c r="A30" s="9">
        <v>26.0</v>
      </c>
      <c r="B30" s="25"/>
      <c r="C30" s="23">
        <v>33.85</v>
      </c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ht="15.75" customHeight="1">
      <c r="A31" s="9">
        <v>27.0</v>
      </c>
      <c r="B31" s="23">
        <v>89.42</v>
      </c>
      <c r="C31" s="25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ht="15.75" customHeight="1">
      <c r="A32" s="9">
        <v>28.0</v>
      </c>
      <c r="B32" s="23">
        <v>88.18</v>
      </c>
      <c r="C32" s="25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ht="15.75" customHeight="1">
      <c r="A33" s="9">
        <v>29.0</v>
      </c>
      <c r="B33" s="23">
        <v>55.72</v>
      </c>
      <c r="C33" s="25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ht="15.75" customHeight="1">
      <c r="A34" s="9">
        <v>30.0</v>
      </c>
      <c r="B34" s="23">
        <v>58.23</v>
      </c>
      <c r="C34" s="25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ht="15.75" customHeight="1">
      <c r="A35" s="9">
        <v>31.0</v>
      </c>
      <c r="B35" s="23">
        <v>112.84</v>
      </c>
      <c r="C35" s="25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ht="15.75" customHeight="1">
      <c r="A36" s="9">
        <v>32.0</v>
      </c>
      <c r="B36" s="25"/>
      <c r="C36" s="25"/>
      <c r="D36" s="24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ht="15.75" customHeight="1">
      <c r="A37" s="9">
        <v>33.0</v>
      </c>
      <c r="B37" s="23">
        <v>76.87</v>
      </c>
      <c r="C37" s="25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ht="15.75" customHeight="1">
      <c r="A38" s="9">
        <v>34.0</v>
      </c>
      <c r="B38" s="23">
        <v>102.17</v>
      </c>
      <c r="C38" s="25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ht="15.75" customHeight="1">
      <c r="A39" s="9">
        <v>35.0</v>
      </c>
      <c r="B39" s="23">
        <v>77.43</v>
      </c>
      <c r="C39" s="25"/>
      <c r="D39" s="2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ht="15.75" customHeight="1">
      <c r="A40" s="9">
        <v>36.0</v>
      </c>
      <c r="B40" s="23">
        <v>72.38</v>
      </c>
      <c r="C40" s="25"/>
      <c r="D40" s="24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ht="15.75" customHeight="1">
      <c r="A41" s="9">
        <v>37.0</v>
      </c>
      <c r="B41" s="23">
        <v>57.12</v>
      </c>
      <c r="C41" s="25"/>
      <c r="D41" s="24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ht="15.75" customHeight="1">
      <c r="A42" s="9">
        <v>38.0</v>
      </c>
      <c r="B42" s="23">
        <v>46.91</v>
      </c>
      <c r="C42" s="25"/>
      <c r="D42" s="2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ht="15.75" customHeight="1">
      <c r="A43" s="9">
        <v>39.0</v>
      </c>
      <c r="B43" s="25"/>
      <c r="C43" s="23">
        <v>66.44</v>
      </c>
      <c r="D43" s="24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ht="15.75" customHeight="1">
      <c r="A44" s="9">
        <v>40.0</v>
      </c>
      <c r="B44" s="25"/>
      <c r="C44" s="23">
        <v>46.82</v>
      </c>
      <c r="D44" s="24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ht="15.75" customHeight="1">
      <c r="A45" s="9">
        <v>41.0</v>
      </c>
      <c r="B45" s="25"/>
      <c r="C45" s="23">
        <v>64.4</v>
      </c>
      <c r="D45" s="24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ht="15.75" customHeight="1">
      <c r="A46" s="9">
        <v>42.0</v>
      </c>
      <c r="B46" s="25"/>
      <c r="C46" s="23">
        <v>49.77</v>
      </c>
      <c r="D46" s="24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ht="15.75" customHeight="1">
      <c r="A47" s="9">
        <v>43.0</v>
      </c>
      <c r="B47" s="23">
        <v>72.18</v>
      </c>
      <c r="C47" s="25"/>
      <c r="D47" s="24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ht="15.75" customHeight="1">
      <c r="A48" s="9">
        <v>44.0</v>
      </c>
      <c r="B48" s="25"/>
      <c r="C48" s="23">
        <v>49.94</v>
      </c>
      <c r="D48" s="24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ht="15.75" customHeight="1">
      <c r="A49" s="9">
        <v>45.0</v>
      </c>
      <c r="B49" s="25"/>
      <c r="C49" s="25"/>
      <c r="D49" s="24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ht="15.75" customHeight="1">
      <c r="A50" s="9">
        <v>46.0</v>
      </c>
      <c r="B50" s="23">
        <v>74.11</v>
      </c>
      <c r="C50" s="25"/>
      <c r="D50" s="24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ht="15.75" customHeight="1">
      <c r="A51" s="9">
        <v>47.0</v>
      </c>
      <c r="B51" s="25"/>
      <c r="C51" s="23">
        <v>56.94</v>
      </c>
      <c r="D51" s="2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ht="15.75" customHeight="1">
      <c r="A52" s="9">
        <v>48.0</v>
      </c>
      <c r="B52" s="25"/>
      <c r="C52" s="23">
        <v>52.02</v>
      </c>
      <c r="D52" s="24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ht="15.75" customHeight="1">
      <c r="A53" s="9">
        <v>49.0</v>
      </c>
      <c r="B53" s="25"/>
      <c r="C53" s="23">
        <v>44.61</v>
      </c>
      <c r="D53" s="24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ht="15.75" customHeight="1">
      <c r="A54" s="9">
        <v>50.0</v>
      </c>
      <c r="B54" s="23">
        <v>98.0</v>
      </c>
      <c r="C54" s="25"/>
      <c r="D54" s="2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ht="15.75" customHeight="1">
      <c r="A55" s="9">
        <v>51.0</v>
      </c>
      <c r="B55" s="25"/>
      <c r="C55" s="23">
        <v>53.36</v>
      </c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ht="15.75" customHeight="1">
      <c r="A56" s="9">
        <v>52.0</v>
      </c>
      <c r="B56" s="23">
        <v>90.96</v>
      </c>
      <c r="C56" s="25"/>
      <c r="D56" s="24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ht="15.75" customHeight="1">
      <c r="A57" s="9">
        <v>53.0</v>
      </c>
      <c r="B57" s="25"/>
      <c r="C57" s="23">
        <v>49.8</v>
      </c>
      <c r="D57" s="2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ht="15.75" customHeight="1">
      <c r="A58" s="9">
        <v>54.0</v>
      </c>
      <c r="B58" s="25"/>
      <c r="C58" s="23">
        <v>53.65</v>
      </c>
      <c r="D58" s="24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ht="15.75" customHeight="1">
      <c r="A59" s="9">
        <v>55.0</v>
      </c>
      <c r="B59" s="25"/>
      <c r="C59" s="23">
        <v>54.37</v>
      </c>
      <c r="D59" s="24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ht="15.75" customHeight="1">
      <c r="A60" s="9">
        <v>56.0</v>
      </c>
      <c r="B60" s="25"/>
      <c r="C60" s="23">
        <v>45.53</v>
      </c>
      <c r="D60" s="2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ht="15.75" customHeight="1">
      <c r="A61" s="9">
        <v>57.0</v>
      </c>
      <c r="B61" s="23">
        <v>77.3</v>
      </c>
      <c r="C61" s="25"/>
      <c r="D61" s="24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ht="15.75" customHeight="1">
      <c r="A62" s="9">
        <v>58.0</v>
      </c>
      <c r="B62" s="25"/>
      <c r="C62" s="23">
        <v>39.8</v>
      </c>
      <c r="D62" s="24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ht="15.75" customHeight="1">
      <c r="A63" s="9">
        <v>59.0</v>
      </c>
      <c r="B63" s="25"/>
      <c r="C63" s="23">
        <v>49.2</v>
      </c>
      <c r="D63" s="24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ht="15.75" customHeight="1">
      <c r="A64" s="9">
        <v>60.0</v>
      </c>
      <c r="B64" s="23">
        <v>83.78</v>
      </c>
      <c r="C64" s="25"/>
      <c r="D64" s="24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ht="15.75" customHeight="1">
      <c r="A65" s="9">
        <v>61.0</v>
      </c>
      <c r="B65" s="25"/>
      <c r="C65" s="23">
        <v>45.91</v>
      </c>
      <c r="D65" s="24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ht="15.75" customHeight="1">
      <c r="A66" s="9">
        <v>62.0</v>
      </c>
      <c r="B66" s="25"/>
      <c r="C66" s="23">
        <v>48.58</v>
      </c>
      <c r="D66" s="24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ht="15.75" customHeight="1">
      <c r="A67" s="9">
        <v>63.0</v>
      </c>
      <c r="B67" s="23">
        <v>72.49</v>
      </c>
      <c r="C67" s="25"/>
      <c r="D67" s="24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ht="15.75" customHeight="1">
      <c r="A68" s="9">
        <v>64.0</v>
      </c>
      <c r="B68" s="25"/>
      <c r="C68" s="25"/>
      <c r="D68" s="24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ht="15.75" customHeight="1">
      <c r="A69" s="9">
        <v>65.0</v>
      </c>
      <c r="B69" s="25"/>
      <c r="C69" s="25"/>
      <c r="D69" s="24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ht="15.75" customHeight="1">
      <c r="A70" s="9">
        <v>66.0</v>
      </c>
      <c r="B70" s="25"/>
      <c r="C70" s="25"/>
      <c r="D70" s="24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ht="15.75" customHeight="1">
      <c r="A71" s="9">
        <v>67.0</v>
      </c>
      <c r="B71" s="25"/>
      <c r="C71" s="25"/>
      <c r="D71" s="24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ht="15.75" customHeight="1">
      <c r="A72" s="9">
        <v>68.0</v>
      </c>
      <c r="B72" s="25"/>
      <c r="C72" s="25"/>
      <c r="D72" s="24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ht="15.75" customHeight="1">
      <c r="A73" s="9">
        <v>69.0</v>
      </c>
      <c r="B73" s="25"/>
      <c r="C73" s="25"/>
      <c r="D73" s="24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ht="15.75" customHeight="1">
      <c r="A74" s="9">
        <v>70.0</v>
      </c>
      <c r="B74" s="25"/>
      <c r="C74" s="25"/>
      <c r="D74" s="24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ht="15.75" customHeight="1">
      <c r="A75" s="9">
        <v>71.0</v>
      </c>
      <c r="B75" s="25"/>
      <c r="C75" s="25"/>
      <c r="D75" s="24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ht="15.75" customHeight="1">
      <c r="A76" s="9">
        <v>72.0</v>
      </c>
      <c r="B76" s="25"/>
      <c r="C76" s="25"/>
      <c r="D76" s="24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ht="15.75" customHeight="1">
      <c r="A77" s="9">
        <v>73.0</v>
      </c>
      <c r="B77" s="25"/>
      <c r="C77" s="25"/>
      <c r="D77" s="24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ht="15.75" customHeight="1">
      <c r="A78" s="9">
        <v>74.0</v>
      </c>
      <c r="B78" s="25"/>
      <c r="C78" s="25"/>
      <c r="D78" s="24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ht="15.75" customHeight="1">
      <c r="A79" s="9">
        <v>75.0</v>
      </c>
      <c r="B79" s="25"/>
      <c r="C79" s="25"/>
      <c r="D79" s="24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ht="15.75" customHeight="1">
      <c r="A80" s="9">
        <v>76.0</v>
      </c>
      <c r="B80" s="25"/>
      <c r="C80" s="25"/>
      <c r="D80" s="24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ht="15.75" customHeight="1">
      <c r="A81" s="9">
        <v>77.0</v>
      </c>
      <c r="B81" s="25"/>
      <c r="C81" s="25"/>
      <c r="D81" s="24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ht="15.75" customHeight="1">
      <c r="A82" s="9">
        <v>78.0</v>
      </c>
      <c r="B82" s="25"/>
      <c r="C82" s="25"/>
      <c r="D82" s="24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ht="15.75" customHeight="1">
      <c r="A83" s="9">
        <v>79.0</v>
      </c>
      <c r="B83" s="25"/>
      <c r="C83" s="25"/>
      <c r="D83" s="24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ht="15.75" customHeight="1">
      <c r="A84" s="9">
        <v>80.0</v>
      </c>
      <c r="B84" s="25"/>
      <c r="C84" s="25"/>
      <c r="D84" s="24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ht="15.75" customHeight="1">
      <c r="A85" s="9">
        <v>81.0</v>
      </c>
      <c r="B85" s="25"/>
      <c r="C85" s="25"/>
      <c r="D85" s="24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ht="15.75" customHeight="1">
      <c r="A86" s="9">
        <v>82.0</v>
      </c>
      <c r="B86" s="25"/>
      <c r="C86" s="25"/>
      <c r="D86" s="24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ht="15.75" customHeight="1">
      <c r="A87" s="9">
        <v>83.0</v>
      </c>
      <c r="B87" s="25"/>
      <c r="C87" s="25"/>
      <c r="D87" s="24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ht="15.75" customHeight="1">
      <c r="A88" s="9">
        <v>84.0</v>
      </c>
      <c r="B88" s="25"/>
      <c r="C88" s="25"/>
      <c r="D88" s="24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ht="15.75" customHeight="1">
      <c r="A89" s="9">
        <v>85.0</v>
      </c>
      <c r="B89" s="25"/>
      <c r="C89" s="25"/>
      <c r="D89" s="24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ht="15.75" customHeight="1">
      <c r="A90" s="9">
        <v>86.0</v>
      </c>
      <c r="B90" s="25"/>
      <c r="C90" s="25"/>
      <c r="D90" s="24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ht="15.75" customHeight="1">
      <c r="A91" s="9">
        <v>87.0</v>
      </c>
      <c r="B91" s="25"/>
      <c r="C91" s="25"/>
      <c r="D91" s="24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ht="15.75" customHeight="1">
      <c r="A92" s="9">
        <v>88.0</v>
      </c>
      <c r="B92" s="25"/>
      <c r="C92" s="25"/>
      <c r="D92" s="24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ht="15.75" customHeight="1">
      <c r="A93" s="9">
        <v>89.0</v>
      </c>
      <c r="B93" s="25"/>
      <c r="C93" s="25"/>
      <c r="D93" s="24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ht="15.75" customHeight="1">
      <c r="A94" s="9">
        <v>90.0</v>
      </c>
      <c r="B94" s="25"/>
      <c r="C94" s="25"/>
      <c r="D94" s="24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ht="15.75" customHeight="1">
      <c r="A95" s="9">
        <v>91.0</v>
      </c>
      <c r="B95" s="25"/>
      <c r="C95" s="25"/>
      <c r="D95" s="24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ht="15.75" customHeight="1">
      <c r="A96" s="9">
        <v>92.0</v>
      </c>
      <c r="B96" s="25"/>
      <c r="C96" s="25"/>
      <c r="D96" s="24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ht="15.75" customHeight="1">
      <c r="A97" s="9">
        <v>93.0</v>
      </c>
      <c r="B97" s="25"/>
      <c r="C97" s="25"/>
      <c r="D97" s="24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ht="15.75" customHeight="1">
      <c r="A98" s="9">
        <v>94.0</v>
      </c>
      <c r="B98" s="25"/>
      <c r="C98" s="25"/>
      <c r="D98" s="24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ht="15.75" customHeight="1">
      <c r="A99" s="9">
        <v>95.0</v>
      </c>
      <c r="B99" s="25"/>
      <c r="C99" s="25"/>
      <c r="D99" s="24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ht="15.75" customHeight="1">
      <c r="A100" s="9">
        <v>96.0</v>
      </c>
      <c r="B100" s="25"/>
      <c r="C100" s="25"/>
      <c r="D100" s="24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ht="15.75" customHeight="1">
      <c r="A101" s="9">
        <v>97.0</v>
      </c>
      <c r="B101" s="25"/>
      <c r="C101" s="25"/>
      <c r="D101" s="24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ht="15.75" customHeight="1">
      <c r="A102" s="9">
        <v>98.0</v>
      </c>
      <c r="B102" s="25"/>
      <c r="C102" s="25"/>
      <c r="D102" s="24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ht="15.75" customHeight="1">
      <c r="A103" s="9">
        <v>99.0</v>
      </c>
      <c r="B103" s="25"/>
      <c r="C103" s="25"/>
      <c r="D103" s="24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ht="15.75" customHeight="1">
      <c r="A104" s="9">
        <v>100.0</v>
      </c>
      <c r="B104" s="25"/>
      <c r="C104" s="25"/>
      <c r="D104" s="24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ht="15.75" customHeight="1">
      <c r="A105" s="22"/>
      <c r="B105" s="26"/>
      <c r="C105" s="26"/>
      <c r="D105" s="27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ht="15.75" customHeight="1">
      <c r="A106" s="22"/>
      <c r="B106" s="26"/>
      <c r="C106" s="26"/>
      <c r="D106" s="27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ht="15.75" customHeight="1">
      <c r="A107" s="22"/>
      <c r="B107" s="26"/>
      <c r="C107" s="26"/>
      <c r="D107" s="27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ht="15.75" customHeight="1">
      <c r="A108" s="22"/>
      <c r="B108" s="26"/>
      <c r="C108" s="26"/>
      <c r="D108" s="27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ht="15.75" customHeight="1">
      <c r="A109" s="22"/>
      <c r="B109" s="26"/>
      <c r="C109" s="26"/>
      <c r="D109" s="27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ht="15.75" customHeight="1">
      <c r="A110" s="22"/>
      <c r="B110" s="26"/>
      <c r="C110" s="26"/>
      <c r="D110" s="27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ht="15.75" customHeight="1">
      <c r="A111" s="22"/>
      <c r="B111" s="26"/>
      <c r="C111" s="26"/>
      <c r="D111" s="27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ht="15.75" customHeight="1">
      <c r="A112" s="22"/>
      <c r="B112" s="26"/>
      <c r="C112" s="26"/>
      <c r="D112" s="27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ht="15.75" customHeight="1">
      <c r="A113" s="22"/>
      <c r="B113" s="26"/>
      <c r="C113" s="26"/>
      <c r="D113" s="27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ht="15.75" customHeight="1">
      <c r="A114" s="22"/>
      <c r="B114" s="26"/>
      <c r="C114" s="26"/>
      <c r="D114" s="27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ht="15.75" customHeight="1">
      <c r="A115" s="22"/>
      <c r="B115" s="26"/>
      <c r="C115" s="26"/>
      <c r="D115" s="27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ht="15.75" customHeight="1">
      <c r="A116" s="22"/>
      <c r="B116" s="26"/>
      <c r="C116" s="26"/>
      <c r="D116" s="2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ht="15.75" customHeight="1">
      <c r="A117" s="22"/>
      <c r="B117" s="26"/>
      <c r="C117" s="26"/>
      <c r="D117" s="27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ht="15.75" customHeight="1">
      <c r="A118" s="22"/>
      <c r="B118" s="26"/>
      <c r="C118" s="26"/>
      <c r="D118" s="27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ht="15.75" customHeight="1">
      <c r="A119" s="22"/>
      <c r="B119" s="26"/>
      <c r="C119" s="26"/>
      <c r="D119" s="27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ht="15.75" customHeight="1">
      <c r="A120" s="22"/>
      <c r="B120" s="26"/>
      <c r="C120" s="26"/>
      <c r="D120" s="27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ht="15.75" customHeight="1">
      <c r="A121" s="22"/>
      <c r="B121" s="26"/>
      <c r="C121" s="26"/>
      <c r="D121" s="27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ht="15.75" customHeight="1">
      <c r="A122" s="22"/>
      <c r="B122" s="26"/>
      <c r="C122" s="26"/>
      <c r="D122" s="27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ht="15.75" customHeight="1">
      <c r="A123" s="22"/>
      <c r="B123" s="26"/>
      <c r="C123" s="26"/>
      <c r="D123" s="27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ht="15.75" customHeight="1">
      <c r="A124" s="22"/>
      <c r="B124" s="26"/>
      <c r="C124" s="26"/>
      <c r="D124" s="27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ht="15.75" customHeight="1">
      <c r="A125" s="22"/>
      <c r="B125" s="26"/>
      <c r="C125" s="26"/>
      <c r="D125" s="27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ht="15.75" customHeight="1">
      <c r="A126" s="22"/>
      <c r="B126" s="26"/>
      <c r="C126" s="26"/>
      <c r="D126" s="27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ht="15.75" customHeight="1">
      <c r="A127" s="22"/>
      <c r="B127" s="26"/>
      <c r="C127" s="26"/>
      <c r="D127" s="27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ht="15.75" customHeight="1">
      <c r="A128" s="22"/>
      <c r="B128" s="26"/>
      <c r="C128" s="26"/>
      <c r="D128" s="27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ht="15.75" customHeight="1">
      <c r="A129" s="22"/>
      <c r="B129" s="26"/>
      <c r="C129" s="26"/>
      <c r="D129" s="27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ht="15.75" customHeight="1">
      <c r="A130" s="22"/>
      <c r="B130" s="26"/>
      <c r="C130" s="26"/>
      <c r="D130" s="27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ht="15.75" customHeight="1">
      <c r="A131" s="22"/>
      <c r="B131" s="26"/>
      <c r="C131" s="26"/>
      <c r="D131" s="27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ht="15.75" customHeight="1">
      <c r="A132" s="22"/>
      <c r="B132" s="26"/>
      <c r="C132" s="26"/>
      <c r="D132" s="27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ht="15.75" customHeight="1">
      <c r="A133" s="22"/>
      <c r="B133" s="26"/>
      <c r="C133" s="26"/>
      <c r="D133" s="27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ht="15.75" customHeight="1">
      <c r="A134" s="22"/>
      <c r="B134" s="26"/>
      <c r="C134" s="26"/>
      <c r="D134" s="27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ht="15.75" customHeight="1">
      <c r="A135" s="22"/>
      <c r="B135" s="26"/>
      <c r="C135" s="26"/>
      <c r="D135" s="27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ht="15.75" customHeight="1">
      <c r="A136" s="22"/>
      <c r="B136" s="26"/>
      <c r="C136" s="26"/>
      <c r="D136" s="27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ht="15.75" customHeight="1">
      <c r="A137" s="22"/>
      <c r="B137" s="26"/>
      <c r="C137" s="26"/>
      <c r="D137" s="27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ht="15.75" customHeight="1">
      <c r="A138" s="22"/>
      <c r="B138" s="26"/>
      <c r="C138" s="26"/>
      <c r="D138" s="27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ht="15.75" customHeight="1">
      <c r="A139" s="22"/>
      <c r="B139" s="26"/>
      <c r="C139" s="26"/>
      <c r="D139" s="27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ht="15.75" customHeight="1">
      <c r="A140" s="22"/>
      <c r="B140" s="26"/>
      <c r="C140" s="26"/>
      <c r="D140" s="27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ht="15.75" customHeight="1">
      <c r="A141" s="22"/>
      <c r="B141" s="26"/>
      <c r="C141" s="26"/>
      <c r="D141" s="27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ht="15.75" customHeight="1">
      <c r="A142" s="22"/>
      <c r="B142" s="26"/>
      <c r="C142" s="26"/>
      <c r="D142" s="27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ht="15.75" customHeight="1">
      <c r="A143" s="22"/>
      <c r="B143" s="26"/>
      <c r="C143" s="26"/>
      <c r="D143" s="27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ht="15.75" customHeight="1">
      <c r="A144" s="22"/>
      <c r="B144" s="26"/>
      <c r="C144" s="26"/>
      <c r="D144" s="27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ht="15.75" customHeight="1">
      <c r="A145" s="22"/>
      <c r="B145" s="26"/>
      <c r="C145" s="26"/>
      <c r="D145" s="27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ht="15.75" customHeight="1">
      <c r="A146" s="22"/>
      <c r="B146" s="26"/>
      <c r="C146" s="26"/>
      <c r="D146" s="27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ht="15.75" customHeight="1">
      <c r="A147" s="22"/>
      <c r="B147" s="26"/>
      <c r="C147" s="26"/>
      <c r="D147" s="27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ht="15.75" customHeight="1">
      <c r="A148" s="22"/>
      <c r="B148" s="26"/>
      <c r="C148" s="26"/>
      <c r="D148" s="27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ht="15.75" customHeight="1">
      <c r="A149" s="22"/>
      <c r="B149" s="26"/>
      <c r="C149" s="26"/>
      <c r="D149" s="27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ht="15.75" customHeight="1">
      <c r="A150" s="22"/>
      <c r="B150" s="26"/>
      <c r="C150" s="26"/>
      <c r="D150" s="27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ht="15.75" customHeight="1">
      <c r="A151" s="22"/>
      <c r="B151" s="26"/>
      <c r="C151" s="26"/>
      <c r="D151" s="27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ht="15.75" customHeight="1">
      <c r="A152" s="22"/>
      <c r="B152" s="26"/>
      <c r="C152" s="26"/>
      <c r="D152" s="27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ht="15.75" customHeight="1">
      <c r="A153" s="22"/>
      <c r="B153" s="26"/>
      <c r="C153" s="26"/>
      <c r="D153" s="27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ht="15.75" customHeight="1">
      <c r="A154" s="22"/>
      <c r="B154" s="26"/>
      <c r="C154" s="26"/>
      <c r="D154" s="27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ht="15.75" customHeight="1">
      <c r="A155" s="22"/>
      <c r="B155" s="26"/>
      <c r="C155" s="26"/>
      <c r="D155" s="27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ht="15.75" customHeight="1">
      <c r="A156" s="22"/>
      <c r="B156" s="26"/>
      <c r="C156" s="26"/>
      <c r="D156" s="27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ht="15.75" customHeight="1">
      <c r="A157" s="22"/>
      <c r="B157" s="26"/>
      <c r="C157" s="26"/>
      <c r="D157" s="27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ht="15.75" customHeight="1">
      <c r="A158" s="22"/>
      <c r="B158" s="26"/>
      <c r="C158" s="26"/>
      <c r="D158" s="27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ht="15.75" customHeight="1">
      <c r="A159" s="22"/>
      <c r="B159" s="26"/>
      <c r="C159" s="26"/>
      <c r="D159" s="27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ht="15.75" customHeight="1">
      <c r="A160" s="22"/>
      <c r="B160" s="26"/>
      <c r="C160" s="26"/>
      <c r="D160" s="27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ht="15.75" customHeight="1">
      <c r="A161" s="22"/>
      <c r="B161" s="26"/>
      <c r="C161" s="26"/>
      <c r="D161" s="27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ht="15.75" customHeight="1">
      <c r="A162" s="22"/>
      <c r="B162" s="26"/>
      <c r="C162" s="26"/>
      <c r="D162" s="27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ht="15.75" customHeight="1">
      <c r="A163" s="22"/>
      <c r="B163" s="26"/>
      <c r="C163" s="26"/>
      <c r="D163" s="27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ht="15.75" customHeight="1">
      <c r="A164" s="22"/>
      <c r="B164" s="26"/>
      <c r="C164" s="26"/>
      <c r="D164" s="27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ht="15.75" customHeight="1">
      <c r="A165" s="22"/>
      <c r="B165" s="26"/>
      <c r="C165" s="26"/>
      <c r="D165" s="27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ht="15.75" customHeight="1">
      <c r="A166" s="22"/>
      <c r="B166" s="26"/>
      <c r="C166" s="26"/>
      <c r="D166" s="27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ht="15.75" customHeight="1">
      <c r="A167" s="22"/>
      <c r="B167" s="26"/>
      <c r="C167" s="26"/>
      <c r="D167" s="27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ht="15.75" customHeight="1">
      <c r="A168" s="22"/>
      <c r="B168" s="26"/>
      <c r="C168" s="26"/>
      <c r="D168" s="27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ht="15.75" customHeight="1">
      <c r="A169" s="22"/>
      <c r="B169" s="26"/>
      <c r="C169" s="26"/>
      <c r="D169" s="27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ht="15.75" customHeight="1">
      <c r="A170" s="22"/>
      <c r="B170" s="26"/>
      <c r="C170" s="26"/>
      <c r="D170" s="27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ht="15.75" customHeight="1">
      <c r="A171" s="22"/>
      <c r="B171" s="26"/>
      <c r="C171" s="26"/>
      <c r="D171" s="27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ht="15.75" customHeight="1">
      <c r="A172" s="22"/>
      <c r="B172" s="26"/>
      <c r="C172" s="26"/>
      <c r="D172" s="27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ht="15.75" customHeight="1">
      <c r="A173" s="22"/>
      <c r="B173" s="26"/>
      <c r="C173" s="26"/>
      <c r="D173" s="27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ht="15.75" customHeight="1">
      <c r="A174" s="22"/>
      <c r="B174" s="26"/>
      <c r="C174" s="26"/>
      <c r="D174" s="27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ht="15.75" customHeight="1">
      <c r="A175" s="22"/>
      <c r="B175" s="26"/>
      <c r="C175" s="26"/>
      <c r="D175" s="27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ht="15.75" customHeight="1">
      <c r="A176" s="22"/>
      <c r="B176" s="26"/>
      <c r="C176" s="26"/>
      <c r="D176" s="27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ht="15.75" customHeight="1">
      <c r="A177" s="22"/>
      <c r="B177" s="26"/>
      <c r="C177" s="26"/>
      <c r="D177" s="27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ht="15.75" customHeight="1">
      <c r="A178" s="22"/>
      <c r="B178" s="26"/>
      <c r="C178" s="26"/>
      <c r="D178" s="27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ht="15.75" customHeight="1">
      <c r="A179" s="22"/>
      <c r="B179" s="26"/>
      <c r="C179" s="26"/>
      <c r="D179" s="27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ht="15.75" customHeight="1">
      <c r="A180" s="22"/>
      <c r="B180" s="26"/>
      <c r="C180" s="26"/>
      <c r="D180" s="27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ht="15.75" customHeight="1">
      <c r="A181" s="22"/>
      <c r="B181" s="26"/>
      <c r="C181" s="26"/>
      <c r="D181" s="27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ht="15.75" customHeight="1">
      <c r="A182" s="22"/>
      <c r="B182" s="26"/>
      <c r="C182" s="26"/>
      <c r="D182" s="27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ht="15.75" customHeight="1">
      <c r="A183" s="22"/>
      <c r="B183" s="26"/>
      <c r="C183" s="26"/>
      <c r="D183" s="27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ht="15.75" customHeight="1">
      <c r="A184" s="22"/>
      <c r="B184" s="26"/>
      <c r="C184" s="26"/>
      <c r="D184" s="27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ht="15.75" customHeight="1">
      <c r="A185" s="22"/>
      <c r="B185" s="26"/>
      <c r="C185" s="26"/>
      <c r="D185" s="27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ht="15.75" customHeight="1">
      <c r="A186" s="22"/>
      <c r="B186" s="26"/>
      <c r="C186" s="26"/>
      <c r="D186" s="27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ht="15.75" customHeight="1">
      <c r="A187" s="22"/>
      <c r="B187" s="26"/>
      <c r="C187" s="26"/>
      <c r="D187" s="27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ht="15.75" customHeight="1">
      <c r="A188" s="22"/>
      <c r="B188" s="26"/>
      <c r="C188" s="26"/>
      <c r="D188" s="27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ht="15.75" customHeight="1">
      <c r="A189" s="22"/>
      <c r="B189" s="26"/>
      <c r="C189" s="26"/>
      <c r="D189" s="27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ht="15.75" customHeight="1">
      <c r="A190" s="22"/>
      <c r="B190" s="26"/>
      <c r="C190" s="26"/>
      <c r="D190" s="27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ht="15.75" customHeight="1">
      <c r="A191" s="22"/>
      <c r="B191" s="26"/>
      <c r="C191" s="26"/>
      <c r="D191" s="27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ht="15.75" customHeight="1">
      <c r="A192" s="22"/>
      <c r="B192" s="26"/>
      <c r="C192" s="26"/>
      <c r="D192" s="27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ht="15.75" customHeight="1">
      <c r="A193" s="22"/>
      <c r="B193" s="26"/>
      <c r="C193" s="26"/>
      <c r="D193" s="27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ht="15.75" customHeight="1">
      <c r="A194" s="22"/>
      <c r="B194" s="26"/>
      <c r="C194" s="26"/>
      <c r="D194" s="27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ht="15.75" customHeight="1">
      <c r="A195" s="22"/>
      <c r="B195" s="26"/>
      <c r="C195" s="26"/>
      <c r="D195" s="27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ht="15.75" customHeight="1">
      <c r="A196" s="22"/>
      <c r="B196" s="26"/>
      <c r="C196" s="26"/>
      <c r="D196" s="27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ht="15.75" customHeight="1">
      <c r="A197" s="22"/>
      <c r="B197" s="26"/>
      <c r="C197" s="26"/>
      <c r="D197" s="27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ht="15.75" customHeight="1">
      <c r="A198" s="22"/>
      <c r="B198" s="26"/>
      <c r="C198" s="26"/>
      <c r="D198" s="27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ht="15.75" customHeight="1">
      <c r="A199" s="22"/>
      <c r="B199" s="26"/>
      <c r="C199" s="26"/>
      <c r="D199" s="27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ht="15.75" customHeight="1">
      <c r="A200" s="22"/>
      <c r="B200" s="26"/>
      <c r="C200" s="26"/>
      <c r="D200" s="27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ht="15.75" customHeight="1">
      <c r="A201" s="22"/>
      <c r="B201" s="26"/>
      <c r="C201" s="26"/>
      <c r="D201" s="27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ht="15.75" customHeight="1">
      <c r="A202" s="22"/>
      <c r="B202" s="26"/>
      <c r="C202" s="26"/>
      <c r="D202" s="27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ht="15.75" customHeight="1">
      <c r="A203" s="22"/>
      <c r="B203" s="26"/>
      <c r="C203" s="26"/>
      <c r="D203" s="27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ht="15.75" customHeight="1">
      <c r="A204" s="22"/>
      <c r="B204" s="26"/>
      <c r="C204" s="26"/>
      <c r="D204" s="27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ht="15.75" customHeight="1">
      <c r="A205" s="22"/>
      <c r="B205" s="26"/>
      <c r="C205" s="26"/>
      <c r="D205" s="27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ht="15.75" customHeight="1">
      <c r="A206" s="22"/>
      <c r="B206" s="26"/>
      <c r="C206" s="26"/>
      <c r="D206" s="27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ht="15.75" customHeight="1">
      <c r="A207" s="22"/>
      <c r="B207" s="26"/>
      <c r="C207" s="26"/>
      <c r="D207" s="27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ht="15.75" customHeight="1">
      <c r="A208" s="22"/>
      <c r="B208" s="26"/>
      <c r="C208" s="26"/>
      <c r="D208" s="27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ht="15.75" customHeight="1">
      <c r="A209" s="22"/>
      <c r="B209" s="26"/>
      <c r="C209" s="26"/>
      <c r="D209" s="27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ht="15.75" customHeight="1">
      <c r="A210" s="22"/>
      <c r="B210" s="26"/>
      <c r="C210" s="26"/>
      <c r="D210" s="27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ht="15.75" customHeight="1">
      <c r="A211" s="22"/>
      <c r="B211" s="26"/>
      <c r="C211" s="26"/>
      <c r="D211" s="27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ht="15.75" customHeight="1">
      <c r="A212" s="22"/>
      <c r="B212" s="26"/>
      <c r="C212" s="26"/>
      <c r="D212" s="27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ht="15.75" customHeight="1">
      <c r="A213" s="22"/>
      <c r="B213" s="26"/>
      <c r="C213" s="26"/>
      <c r="D213" s="27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ht="15.75" customHeight="1">
      <c r="A214" s="22"/>
      <c r="B214" s="26"/>
      <c r="C214" s="26"/>
      <c r="D214" s="27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ht="15.75" customHeight="1">
      <c r="A215" s="22"/>
      <c r="B215" s="26"/>
      <c r="C215" s="26"/>
      <c r="D215" s="27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ht="15.75" customHeight="1">
      <c r="A216" s="22"/>
      <c r="B216" s="26"/>
      <c r="C216" s="26"/>
      <c r="D216" s="27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ht="15.75" customHeight="1">
      <c r="A217" s="22"/>
      <c r="B217" s="26"/>
      <c r="C217" s="26"/>
      <c r="D217" s="27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ht="15.75" customHeight="1">
      <c r="A218" s="22"/>
      <c r="B218" s="26"/>
      <c r="C218" s="26"/>
      <c r="D218" s="27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ht="15.75" customHeight="1">
      <c r="A219" s="22"/>
      <c r="B219" s="26"/>
      <c r="C219" s="26"/>
      <c r="D219" s="27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ht="15.75" customHeight="1">
      <c r="A220" s="22"/>
      <c r="B220" s="26"/>
      <c r="C220" s="26"/>
      <c r="D220" s="27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ht="15.75" customHeight="1">
      <c r="A221" s="22"/>
      <c r="B221" s="26"/>
      <c r="C221" s="26"/>
      <c r="D221" s="27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ht="15.75" customHeight="1">
      <c r="A222" s="22"/>
      <c r="B222" s="26"/>
      <c r="C222" s="26"/>
      <c r="D222" s="27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ht="15.75" customHeight="1">
      <c r="A223" s="22"/>
      <c r="B223" s="26"/>
      <c r="C223" s="26"/>
      <c r="D223" s="27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ht="15.75" customHeight="1">
      <c r="A224" s="22"/>
      <c r="B224" s="26"/>
      <c r="C224" s="26"/>
      <c r="D224" s="27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ht="15.75" customHeight="1">
      <c r="A225" s="22"/>
      <c r="B225" s="26"/>
      <c r="C225" s="26"/>
      <c r="D225" s="27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ht="15.75" customHeight="1">
      <c r="A226" s="22"/>
      <c r="B226" s="26"/>
      <c r="C226" s="26"/>
      <c r="D226" s="27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ht="15.75" customHeight="1">
      <c r="A227" s="22"/>
      <c r="B227" s="26"/>
      <c r="C227" s="26"/>
      <c r="D227" s="27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ht="15.75" customHeight="1">
      <c r="A228" s="22"/>
      <c r="B228" s="26"/>
      <c r="C228" s="26"/>
      <c r="D228" s="27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ht="15.75" customHeight="1">
      <c r="A229" s="22"/>
      <c r="B229" s="26"/>
      <c r="C229" s="26"/>
      <c r="D229" s="27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ht="15.75" customHeight="1">
      <c r="A230" s="22"/>
      <c r="B230" s="26"/>
      <c r="C230" s="26"/>
      <c r="D230" s="27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ht="15.75" customHeight="1">
      <c r="A231" s="22"/>
      <c r="B231" s="26"/>
      <c r="C231" s="26"/>
      <c r="D231" s="27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ht="15.75" customHeight="1">
      <c r="A232" s="22"/>
      <c r="B232" s="26"/>
      <c r="C232" s="26"/>
      <c r="D232" s="27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ht="15.75" customHeight="1">
      <c r="A233" s="22"/>
      <c r="B233" s="26"/>
      <c r="C233" s="26"/>
      <c r="D233" s="27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ht="15.75" customHeight="1">
      <c r="A234" s="22"/>
      <c r="B234" s="26"/>
      <c r="C234" s="26"/>
      <c r="D234" s="27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ht="15.75" customHeight="1">
      <c r="A235" s="22"/>
      <c r="B235" s="26"/>
      <c r="C235" s="26"/>
      <c r="D235" s="27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ht="15.75" customHeight="1">
      <c r="A236" s="22"/>
      <c r="B236" s="26"/>
      <c r="C236" s="26"/>
      <c r="D236" s="27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ht="15.75" customHeight="1">
      <c r="A237" s="22"/>
      <c r="B237" s="26"/>
      <c r="C237" s="26"/>
      <c r="D237" s="27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ht="15.75" customHeight="1">
      <c r="A238" s="22"/>
      <c r="B238" s="26"/>
      <c r="C238" s="26"/>
      <c r="D238" s="27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ht="15.75" customHeight="1">
      <c r="A239" s="22"/>
      <c r="B239" s="26"/>
      <c r="C239" s="26"/>
      <c r="D239" s="27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ht="15.75" customHeight="1">
      <c r="A240" s="22"/>
      <c r="B240" s="26"/>
      <c r="C240" s="26"/>
      <c r="D240" s="27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ht="15.75" customHeight="1">
      <c r="A241" s="22"/>
      <c r="B241" s="26"/>
      <c r="C241" s="26"/>
      <c r="D241" s="27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ht="15.75" customHeight="1">
      <c r="A242" s="22"/>
      <c r="B242" s="26"/>
      <c r="C242" s="26"/>
      <c r="D242" s="27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ht="15.75" customHeight="1">
      <c r="A243" s="22"/>
      <c r="B243" s="26"/>
      <c r="C243" s="26"/>
      <c r="D243" s="27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ht="15.75" customHeight="1">
      <c r="A244" s="22"/>
      <c r="B244" s="26"/>
      <c r="C244" s="26"/>
      <c r="D244" s="27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ht="15.75" customHeight="1">
      <c r="A245" s="22"/>
      <c r="B245" s="26"/>
      <c r="C245" s="26"/>
      <c r="D245" s="27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ht="15.75" customHeight="1">
      <c r="A246" s="22"/>
      <c r="B246" s="26"/>
      <c r="C246" s="26"/>
      <c r="D246" s="27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ht="15.75" customHeight="1">
      <c r="A247" s="22"/>
      <c r="B247" s="26"/>
      <c r="C247" s="26"/>
      <c r="D247" s="27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ht="15.75" customHeight="1">
      <c r="A248" s="22"/>
      <c r="B248" s="26"/>
      <c r="C248" s="26"/>
      <c r="D248" s="27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ht="15.75" customHeight="1">
      <c r="A249" s="22"/>
      <c r="B249" s="26"/>
      <c r="C249" s="26"/>
      <c r="D249" s="27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ht="15.75" customHeight="1">
      <c r="A250" s="22"/>
      <c r="B250" s="26"/>
      <c r="C250" s="26"/>
      <c r="D250" s="27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ht="15.75" customHeight="1">
      <c r="A251" s="22"/>
      <c r="B251" s="26"/>
      <c r="C251" s="26"/>
      <c r="D251" s="27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ht="15.75" customHeight="1">
      <c r="A252" s="22"/>
      <c r="B252" s="26"/>
      <c r="C252" s="26"/>
      <c r="D252" s="27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ht="15.75" customHeight="1">
      <c r="A253" s="22"/>
      <c r="B253" s="26"/>
      <c r="C253" s="26"/>
      <c r="D253" s="27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ht="15.75" customHeight="1">
      <c r="A254" s="22"/>
      <c r="B254" s="26"/>
      <c r="C254" s="26"/>
      <c r="D254" s="27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ht="15.75" customHeight="1">
      <c r="A255" s="22"/>
      <c r="B255" s="26"/>
      <c r="C255" s="26"/>
      <c r="D255" s="27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ht="15.75" customHeight="1">
      <c r="A256" s="22"/>
      <c r="B256" s="26"/>
      <c r="C256" s="26"/>
      <c r="D256" s="27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ht="15.75" customHeight="1">
      <c r="A257" s="22"/>
      <c r="B257" s="26"/>
      <c r="C257" s="26"/>
      <c r="D257" s="27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ht="15.75" customHeight="1">
      <c r="A258" s="22"/>
      <c r="B258" s="26"/>
      <c r="C258" s="26"/>
      <c r="D258" s="27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ht="15.75" customHeight="1">
      <c r="A259" s="22"/>
      <c r="B259" s="26"/>
      <c r="C259" s="26"/>
      <c r="D259" s="27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ht="15.75" customHeight="1">
      <c r="A260" s="22"/>
      <c r="B260" s="26"/>
      <c r="C260" s="26"/>
      <c r="D260" s="27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ht="15.75" customHeight="1">
      <c r="A261" s="22"/>
      <c r="B261" s="26"/>
      <c r="C261" s="26"/>
      <c r="D261" s="27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ht="15.75" customHeight="1">
      <c r="A262" s="22"/>
      <c r="B262" s="26"/>
      <c r="C262" s="26"/>
      <c r="D262" s="27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ht="15.75" customHeight="1">
      <c r="A263" s="22"/>
      <c r="B263" s="26"/>
      <c r="C263" s="26"/>
      <c r="D263" s="27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ht="15.75" customHeight="1">
      <c r="A264" s="22"/>
      <c r="B264" s="26"/>
      <c r="C264" s="26"/>
      <c r="D264" s="27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ht="15.75" customHeight="1">
      <c r="A265" s="22"/>
      <c r="B265" s="26"/>
      <c r="C265" s="26"/>
      <c r="D265" s="27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ht="15.75" customHeight="1">
      <c r="A266" s="22"/>
      <c r="B266" s="26"/>
      <c r="C266" s="26"/>
      <c r="D266" s="27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ht="15.75" customHeight="1">
      <c r="A267" s="22"/>
      <c r="B267" s="26"/>
      <c r="C267" s="26"/>
      <c r="D267" s="27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ht="15.75" customHeight="1">
      <c r="A268" s="22"/>
      <c r="B268" s="26"/>
      <c r="C268" s="26"/>
      <c r="D268" s="27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ht="15.75" customHeight="1">
      <c r="A269" s="22"/>
      <c r="B269" s="26"/>
      <c r="C269" s="26"/>
      <c r="D269" s="27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ht="15.75" customHeight="1">
      <c r="A270" s="22"/>
      <c r="B270" s="26"/>
      <c r="C270" s="26"/>
      <c r="D270" s="27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ht="15.75" customHeight="1">
      <c r="A271" s="22"/>
      <c r="B271" s="26"/>
      <c r="C271" s="26"/>
      <c r="D271" s="27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ht="15.75" customHeight="1">
      <c r="A272" s="22"/>
      <c r="B272" s="26"/>
      <c r="C272" s="26"/>
      <c r="D272" s="27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ht="15.75" customHeight="1">
      <c r="A273" s="22"/>
      <c r="B273" s="26"/>
      <c r="C273" s="26"/>
      <c r="D273" s="27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ht="15.75" customHeight="1">
      <c r="A274" s="22"/>
      <c r="B274" s="26"/>
      <c r="C274" s="26"/>
      <c r="D274" s="27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ht="15.75" customHeight="1">
      <c r="A275" s="22"/>
      <c r="B275" s="26"/>
      <c r="C275" s="26"/>
      <c r="D275" s="27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ht="15.75" customHeight="1">
      <c r="A276" s="22"/>
      <c r="B276" s="26"/>
      <c r="C276" s="26"/>
      <c r="D276" s="27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ht="15.75" customHeight="1">
      <c r="A277" s="22"/>
      <c r="B277" s="26"/>
      <c r="C277" s="26"/>
      <c r="D277" s="27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ht="15.75" customHeight="1">
      <c r="A278" s="22"/>
      <c r="B278" s="26"/>
      <c r="C278" s="26"/>
      <c r="D278" s="27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ht="15.75" customHeight="1">
      <c r="A279" s="22"/>
      <c r="B279" s="26"/>
      <c r="C279" s="26"/>
      <c r="D279" s="27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ht="15.75" customHeight="1">
      <c r="A280" s="22"/>
      <c r="B280" s="26"/>
      <c r="C280" s="26"/>
      <c r="D280" s="27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ht="15.75" customHeight="1">
      <c r="A281" s="22"/>
      <c r="B281" s="26"/>
      <c r="C281" s="26"/>
      <c r="D281" s="27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ht="15.75" customHeight="1">
      <c r="A282" s="22"/>
      <c r="B282" s="26"/>
      <c r="C282" s="26"/>
      <c r="D282" s="27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ht="15.75" customHeight="1">
      <c r="A283" s="22"/>
      <c r="B283" s="26"/>
      <c r="C283" s="26"/>
      <c r="D283" s="27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ht="15.75" customHeight="1">
      <c r="A284" s="22"/>
      <c r="B284" s="26"/>
      <c r="C284" s="26"/>
      <c r="D284" s="27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ht="15.75" customHeight="1">
      <c r="A285" s="22"/>
      <c r="B285" s="26"/>
      <c r="C285" s="26"/>
      <c r="D285" s="27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ht="15.75" customHeight="1">
      <c r="A286" s="22"/>
      <c r="B286" s="26"/>
      <c r="C286" s="26"/>
      <c r="D286" s="27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ht="15.75" customHeight="1">
      <c r="A287" s="22"/>
      <c r="B287" s="26"/>
      <c r="C287" s="26"/>
      <c r="D287" s="27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ht="15.75" customHeight="1">
      <c r="A288" s="22"/>
      <c r="B288" s="26"/>
      <c r="C288" s="26"/>
      <c r="D288" s="27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ht="15.75" customHeight="1">
      <c r="A289" s="22"/>
      <c r="B289" s="26"/>
      <c r="C289" s="26"/>
      <c r="D289" s="27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ht="15.75" customHeight="1">
      <c r="A290" s="22"/>
      <c r="B290" s="26"/>
      <c r="C290" s="26"/>
      <c r="D290" s="27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ht="15.75" customHeight="1">
      <c r="A291" s="22"/>
      <c r="B291" s="26"/>
      <c r="C291" s="26"/>
      <c r="D291" s="27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ht="15.75" customHeight="1">
      <c r="A292" s="22"/>
      <c r="B292" s="26"/>
      <c r="C292" s="26"/>
      <c r="D292" s="27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ht="15.75" customHeight="1">
      <c r="A293" s="22"/>
      <c r="B293" s="26"/>
      <c r="C293" s="26"/>
      <c r="D293" s="27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ht="15.75" customHeight="1">
      <c r="A294" s="22"/>
      <c r="B294" s="26"/>
      <c r="C294" s="26"/>
      <c r="D294" s="27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ht="15.75" customHeight="1">
      <c r="A295" s="22"/>
      <c r="B295" s="26"/>
      <c r="C295" s="26"/>
      <c r="D295" s="27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ht="15.75" customHeight="1">
      <c r="A296" s="22"/>
      <c r="B296" s="26"/>
      <c r="C296" s="26"/>
      <c r="D296" s="27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ht="15.75" customHeight="1">
      <c r="A297" s="22"/>
      <c r="B297" s="26"/>
      <c r="C297" s="26"/>
      <c r="D297" s="27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ht="15.75" customHeight="1">
      <c r="A298" s="22"/>
      <c r="B298" s="26"/>
      <c r="C298" s="26"/>
      <c r="D298" s="27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ht="15.75" customHeight="1">
      <c r="A299" s="22"/>
      <c r="B299" s="26"/>
      <c r="C299" s="26"/>
      <c r="D299" s="27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ht="15.75" customHeight="1">
      <c r="A300" s="22"/>
      <c r="B300" s="26"/>
      <c r="C300" s="26"/>
      <c r="D300" s="27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ht="15.75" customHeight="1">
      <c r="A301" s="22"/>
      <c r="B301" s="26"/>
      <c r="C301" s="26"/>
      <c r="D301" s="27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ht="15.75" customHeight="1">
      <c r="A302" s="22"/>
      <c r="B302" s="26"/>
      <c r="C302" s="26"/>
      <c r="D302" s="27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ht="15.75" customHeight="1">
      <c r="A303" s="22"/>
      <c r="B303" s="26"/>
      <c r="C303" s="26"/>
      <c r="D303" s="27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ht="15.75" customHeight="1">
      <c r="A304" s="22"/>
      <c r="B304" s="26"/>
      <c r="C304" s="26"/>
      <c r="D304" s="27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:M1"/>
    <mergeCell ref="A3:D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8"/>
      <c r="C1" s="28"/>
      <c r="D1" s="28" t="s">
        <v>1</v>
      </c>
      <c r="F1" s="3"/>
      <c r="G1" s="4" t="s">
        <v>2</v>
      </c>
      <c r="N1" s="5"/>
      <c r="O1" s="6"/>
      <c r="P1" s="6"/>
      <c r="Q1" s="7"/>
      <c r="R1" s="6"/>
      <c r="S1" s="6"/>
      <c r="T1" s="6"/>
      <c r="U1" s="6"/>
      <c r="V1" s="7"/>
      <c r="W1" s="6"/>
      <c r="X1" s="6"/>
      <c r="Y1" s="6"/>
      <c r="Z1" s="6"/>
      <c r="AA1" s="7"/>
      <c r="AB1" s="6"/>
      <c r="AC1" s="6"/>
      <c r="AD1" s="6"/>
      <c r="AE1" s="6"/>
    </row>
    <row r="2" ht="15.75" customHeight="1">
      <c r="A2" s="32">
        <v>6.0</v>
      </c>
      <c r="B2" s="9"/>
      <c r="C2" s="9"/>
      <c r="D2" s="8"/>
      <c r="F2" s="10"/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1" t="s">
        <v>9</v>
      </c>
      <c r="N2" s="11" t="s">
        <v>10</v>
      </c>
    </row>
    <row r="3" ht="15.75" customHeight="1">
      <c r="A3" s="12" t="s">
        <v>11</v>
      </c>
      <c r="E3" s="13"/>
      <c r="F3" s="14" t="s">
        <v>12</v>
      </c>
      <c r="G3" s="15">
        <f>COUNTA($B5:$B1002)</f>
        <v>56</v>
      </c>
      <c r="H3" s="15">
        <f>G3/G6*100</f>
        <v>56.56565657</v>
      </c>
      <c r="I3" s="15">
        <f>average(B5:B104)</f>
        <v>117.6082143</v>
      </c>
      <c r="J3" s="15">
        <f>MIN(B5:B1002)</f>
        <v>57.39</v>
      </c>
      <c r="K3" s="15">
        <f>max(B5:B1002)</f>
        <v>169.97</v>
      </c>
      <c r="L3" s="16"/>
      <c r="M3" s="16">
        <f t="shared" ref="M3:M5" si="1">L3+G3</f>
        <v>56</v>
      </c>
      <c r="N3" s="17">
        <f>M3*4</f>
        <v>224</v>
      </c>
      <c r="O3" s="13"/>
      <c r="P3" s="13"/>
      <c r="Q3" s="18"/>
      <c r="R3" s="19"/>
      <c r="S3" s="13"/>
      <c r="T3" s="13"/>
      <c r="U3" s="13"/>
      <c r="V3" s="18"/>
      <c r="W3" s="19"/>
      <c r="X3" s="13"/>
      <c r="Y3" s="13"/>
      <c r="Z3" s="13"/>
      <c r="AA3" s="18"/>
      <c r="AB3" s="19"/>
      <c r="AC3" s="13"/>
      <c r="AD3" s="13"/>
      <c r="AE3" s="13"/>
    </row>
    <row r="4" ht="15.75" customHeight="1">
      <c r="A4" s="12" t="s">
        <v>3</v>
      </c>
      <c r="B4" s="20" t="s">
        <v>12</v>
      </c>
      <c r="C4" s="20" t="s">
        <v>13</v>
      </c>
      <c r="D4" s="21" t="s">
        <v>14</v>
      </c>
      <c r="E4" s="22"/>
      <c r="F4" s="14" t="s">
        <v>13</v>
      </c>
      <c r="G4" s="15">
        <f>COUNTA($C5:$C1002)</f>
        <v>43</v>
      </c>
      <c r="H4" s="15">
        <f>G4/G6*100</f>
        <v>43.43434343</v>
      </c>
      <c r="I4" s="15">
        <f>average(C5:C104)</f>
        <v>77.28674419</v>
      </c>
      <c r="J4" s="15">
        <f>MIN(C5:C1002)</f>
        <v>32.62</v>
      </c>
      <c r="K4" s="15">
        <f>max(C5:C1002)</f>
        <v>145.2</v>
      </c>
      <c r="L4" s="15"/>
      <c r="M4" s="15">
        <f t="shared" si="1"/>
        <v>43</v>
      </c>
      <c r="N4" s="15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ht="15.75" customHeight="1">
      <c r="A5" s="9">
        <v>1.0</v>
      </c>
      <c r="B5" s="23">
        <v>140.82</v>
      </c>
      <c r="C5" s="25"/>
      <c r="D5" s="24"/>
      <c r="E5" s="22"/>
      <c r="F5" s="14" t="s">
        <v>15</v>
      </c>
      <c r="G5" s="15">
        <f>COUNTA(D5:D1002)</f>
        <v>0</v>
      </c>
      <c r="H5" s="15">
        <f>G5/G6*100</f>
        <v>0</v>
      </c>
      <c r="I5" s="15" t="str">
        <f>average(D5:D104)</f>
        <v>#DIV/0!</v>
      </c>
      <c r="J5" s="15">
        <f>MIN(D5:D1002)</f>
        <v>0</v>
      </c>
      <c r="K5" s="15">
        <f>max(D5:D1002)</f>
        <v>0</v>
      </c>
      <c r="L5" s="15"/>
      <c r="M5" s="15">
        <f t="shared" si="1"/>
        <v>0</v>
      </c>
      <c r="N5" s="15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ht="15.75" customHeight="1">
      <c r="A6" s="9">
        <v>2.0</v>
      </c>
      <c r="B6" s="23">
        <v>72.07</v>
      </c>
      <c r="C6" s="25"/>
      <c r="D6" s="24"/>
      <c r="E6" s="22"/>
      <c r="F6" s="14" t="s">
        <v>16</v>
      </c>
      <c r="G6" s="15">
        <f>COUNTA(B5:D1002)</f>
        <v>99</v>
      </c>
      <c r="H6" s="15">
        <f>G6/G6*100</f>
        <v>100</v>
      </c>
      <c r="I6" s="15">
        <f>average(B5:D104)</f>
        <v>100.0948485</v>
      </c>
      <c r="J6" s="15">
        <f>min(B5:D1002)</f>
        <v>32.62</v>
      </c>
      <c r="K6" s="15">
        <f>max(B5:D1002)</f>
        <v>169.97</v>
      </c>
      <c r="L6" s="15"/>
      <c r="M6" s="15"/>
      <c r="N6" s="1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ht="15.75" customHeight="1">
      <c r="A7" s="9">
        <v>3.0</v>
      </c>
      <c r="B7" s="25"/>
      <c r="C7" s="23">
        <v>42.06</v>
      </c>
      <c r="D7" s="24"/>
      <c r="E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ht="15.75" customHeight="1">
      <c r="A8" s="9">
        <v>4.0</v>
      </c>
      <c r="B8" s="25"/>
      <c r="C8" s="23">
        <v>53.59</v>
      </c>
      <c r="D8" s="24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ht="15.75" customHeight="1">
      <c r="A9" s="9">
        <v>5.0</v>
      </c>
      <c r="B9" s="23">
        <v>115.58</v>
      </c>
      <c r="C9" s="25"/>
      <c r="D9" s="24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ht="15.75" customHeight="1">
      <c r="A10" s="9">
        <v>6.0</v>
      </c>
      <c r="B10" s="23">
        <v>151.76</v>
      </c>
      <c r="C10" s="25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ht="15.75" customHeight="1">
      <c r="A11" s="9">
        <v>7.0</v>
      </c>
      <c r="B11" s="25"/>
      <c r="C11" s="23">
        <v>81.01</v>
      </c>
      <c r="D11" s="2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ht="15.75" customHeight="1">
      <c r="A12" s="9">
        <v>8.0</v>
      </c>
      <c r="B12" s="23">
        <v>144.76</v>
      </c>
      <c r="C12" s="25"/>
      <c r="D12" s="2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ht="15.75" customHeight="1">
      <c r="A13" s="9">
        <v>9.0</v>
      </c>
      <c r="B13" s="23">
        <v>99.38</v>
      </c>
      <c r="C13" s="25"/>
      <c r="D13" s="24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ht="15.75" customHeight="1">
      <c r="A14" s="9">
        <v>10.0</v>
      </c>
      <c r="B14" s="23">
        <v>95.9</v>
      </c>
      <c r="C14" s="25"/>
      <c r="D14" s="24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ht="15.75" customHeight="1">
      <c r="A15" s="9">
        <v>11.0</v>
      </c>
      <c r="B15" s="23">
        <v>108.99</v>
      </c>
      <c r="C15" s="25"/>
      <c r="D15" s="2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ht="15.75" customHeight="1">
      <c r="A16" s="9">
        <v>12.0</v>
      </c>
      <c r="B16" s="25"/>
      <c r="C16" s="23">
        <v>93.67</v>
      </c>
      <c r="D16" s="2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ht="15.75" customHeight="1">
      <c r="A17" s="9">
        <v>13.0</v>
      </c>
      <c r="B17" s="25"/>
      <c r="C17" s="23">
        <v>84.31</v>
      </c>
      <c r="D17" s="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ht="15.75" customHeight="1">
      <c r="A18" s="9">
        <v>14.0</v>
      </c>
      <c r="B18" s="25"/>
      <c r="C18" s="23">
        <v>42.5</v>
      </c>
      <c r="D18" s="2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ht="15.75" customHeight="1">
      <c r="A19" s="9">
        <v>15.0</v>
      </c>
      <c r="B19" s="25"/>
      <c r="C19" s="23">
        <v>53.83</v>
      </c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ht="15.75" customHeight="1">
      <c r="A20" s="9">
        <v>16.0</v>
      </c>
      <c r="B20" s="25"/>
      <c r="C20" s="23">
        <v>102.79</v>
      </c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ht="15.75" customHeight="1">
      <c r="A21" s="9">
        <v>17.0</v>
      </c>
      <c r="B21" s="23">
        <v>150.3</v>
      </c>
      <c r="C21" s="25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ht="15.75" customHeight="1">
      <c r="A22" s="9">
        <v>18.0</v>
      </c>
      <c r="B22" s="23">
        <v>105.27</v>
      </c>
      <c r="C22" s="25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ht="15.75" customHeight="1">
      <c r="A23" s="9">
        <v>19.0</v>
      </c>
      <c r="B23" s="25"/>
      <c r="C23" s="23">
        <v>145.2</v>
      </c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ht="15.75" customHeight="1">
      <c r="A24" s="9">
        <v>20.0</v>
      </c>
      <c r="B24" s="25"/>
      <c r="C24" s="23">
        <v>47.88</v>
      </c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ht="15.75" customHeight="1">
      <c r="A25" s="9">
        <v>21.0</v>
      </c>
      <c r="B25" s="23">
        <v>130.76</v>
      </c>
      <c r="C25" s="25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ht="15.75" customHeight="1">
      <c r="A26" s="9">
        <v>22.0</v>
      </c>
      <c r="B26" s="23">
        <v>142.52</v>
      </c>
      <c r="C26" s="25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ht="15.75" customHeight="1">
      <c r="A27" s="9">
        <v>23.0</v>
      </c>
      <c r="B27" s="25"/>
      <c r="C27" s="23">
        <v>124.86</v>
      </c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ht="15.75" customHeight="1">
      <c r="A28" s="9">
        <v>24.0</v>
      </c>
      <c r="B28" s="25"/>
      <c r="C28" s="23">
        <v>132.35</v>
      </c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ht="15.75" customHeight="1">
      <c r="A29" s="9">
        <v>25.0</v>
      </c>
      <c r="B29" s="25"/>
      <c r="C29" s="23">
        <v>107.16</v>
      </c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ht="15.75" customHeight="1">
      <c r="A30" s="9">
        <v>26.0</v>
      </c>
      <c r="B30" s="23">
        <v>110.25</v>
      </c>
      <c r="C30" s="25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ht="15.75" customHeight="1">
      <c r="A31" s="9">
        <v>27.0</v>
      </c>
      <c r="B31" s="23">
        <v>98.15</v>
      </c>
      <c r="C31" s="25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ht="15.75" customHeight="1">
      <c r="A32" s="9">
        <v>28.0</v>
      </c>
      <c r="B32" s="25"/>
      <c r="C32" s="23">
        <v>38.65</v>
      </c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ht="15.75" customHeight="1">
      <c r="A33" s="9">
        <v>29.0</v>
      </c>
      <c r="B33" s="25"/>
      <c r="C33" s="23">
        <v>66.01</v>
      </c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ht="15.75" customHeight="1">
      <c r="A34" s="9">
        <v>30.0</v>
      </c>
      <c r="B34" s="25"/>
      <c r="C34" s="23">
        <v>58.62</v>
      </c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ht="15.75" customHeight="1">
      <c r="A35" s="9">
        <v>31.0</v>
      </c>
      <c r="B35" s="23">
        <v>169.97</v>
      </c>
      <c r="C35" s="25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ht="15.75" customHeight="1">
      <c r="A36" s="9">
        <v>32.0</v>
      </c>
      <c r="B36" s="23">
        <v>107.51</v>
      </c>
      <c r="C36" s="25"/>
      <c r="D36" s="24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ht="15.75" customHeight="1">
      <c r="A37" s="9">
        <v>33.0</v>
      </c>
      <c r="B37" s="23">
        <v>78.14</v>
      </c>
      <c r="C37" s="25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ht="15.75" customHeight="1">
      <c r="A38" s="9">
        <v>34.0</v>
      </c>
      <c r="B38" s="23">
        <v>113.09</v>
      </c>
      <c r="C38" s="25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ht="15.75" customHeight="1">
      <c r="A39" s="9">
        <v>35.0</v>
      </c>
      <c r="B39" s="25"/>
      <c r="C39" s="23">
        <v>89.36</v>
      </c>
      <c r="D39" s="24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ht="15.75" customHeight="1">
      <c r="A40" s="9">
        <v>36.0</v>
      </c>
      <c r="B40" s="25"/>
      <c r="C40" s="23">
        <v>57.36</v>
      </c>
      <c r="D40" s="24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ht="15.75" customHeight="1">
      <c r="A41" s="9">
        <v>37.0</v>
      </c>
      <c r="B41" s="25"/>
      <c r="C41" s="23">
        <v>45.14</v>
      </c>
      <c r="D41" s="24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ht="15.75" customHeight="1">
      <c r="A42" s="9">
        <v>38.0</v>
      </c>
      <c r="B42" s="23">
        <v>128.22</v>
      </c>
      <c r="C42" s="25"/>
      <c r="D42" s="2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ht="15.75" customHeight="1">
      <c r="A43" s="9">
        <v>39.0</v>
      </c>
      <c r="B43" s="23">
        <v>124.57</v>
      </c>
      <c r="C43" s="25"/>
      <c r="D43" s="24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ht="15.75" customHeight="1">
      <c r="A44" s="9">
        <v>40.0</v>
      </c>
      <c r="B44" s="23">
        <v>130.97</v>
      </c>
      <c r="C44" s="25"/>
      <c r="D44" s="24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 ht="15.75" customHeight="1">
      <c r="A45" s="9">
        <v>41.0</v>
      </c>
      <c r="B45" s="23">
        <v>104.1</v>
      </c>
      <c r="C45" s="25"/>
      <c r="D45" s="24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 ht="15.75" customHeight="1">
      <c r="A46" s="9">
        <v>42.0</v>
      </c>
      <c r="B46" s="23">
        <v>130.99</v>
      </c>
      <c r="C46" s="25"/>
      <c r="D46" s="24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 ht="15.75" customHeight="1">
      <c r="A47" s="9">
        <v>43.0</v>
      </c>
      <c r="B47" s="25"/>
      <c r="C47" s="23">
        <v>94.87</v>
      </c>
      <c r="D47" s="24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 ht="15.75" customHeight="1">
      <c r="A48" s="9">
        <v>44.0</v>
      </c>
      <c r="B48" s="23">
        <v>118.47</v>
      </c>
      <c r="C48" s="25"/>
      <c r="D48" s="24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 ht="15.75" customHeight="1">
      <c r="A49" s="9">
        <v>45.0</v>
      </c>
      <c r="B49" s="25"/>
      <c r="C49" s="23">
        <v>88.73</v>
      </c>
      <c r="D49" s="24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 ht="15.75" customHeight="1">
      <c r="A50" s="9">
        <v>46.0</v>
      </c>
      <c r="B50" s="25"/>
      <c r="C50" s="23">
        <v>97.72</v>
      </c>
      <c r="D50" s="24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 ht="15.75" customHeight="1">
      <c r="A51" s="9">
        <v>47.0</v>
      </c>
      <c r="B51" s="25"/>
      <c r="C51" s="23">
        <v>97.41</v>
      </c>
      <c r="D51" s="24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ht="15.75" customHeight="1">
      <c r="A52" s="9">
        <v>48.0</v>
      </c>
      <c r="B52" s="25"/>
      <c r="C52" s="23">
        <v>32.62</v>
      </c>
      <c r="D52" s="24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ht="15.75" customHeight="1">
      <c r="A53" s="9">
        <v>49.0</v>
      </c>
      <c r="B53" s="23">
        <v>110.41</v>
      </c>
      <c r="C53" s="25"/>
      <c r="D53" s="24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ht="15.75" customHeight="1">
      <c r="A54" s="9">
        <v>50.0</v>
      </c>
      <c r="B54" s="23">
        <v>132.32</v>
      </c>
      <c r="C54" s="25"/>
      <c r="D54" s="24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ht="15.75" customHeight="1">
      <c r="A55" s="9">
        <v>51.0</v>
      </c>
      <c r="B55" s="23">
        <v>127.57</v>
      </c>
      <c r="C55" s="25"/>
      <c r="D55" s="24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ht="15.75" customHeight="1">
      <c r="A56" s="9">
        <v>52.0</v>
      </c>
      <c r="B56" s="23">
        <v>121.33</v>
      </c>
      <c r="C56" s="25"/>
      <c r="D56" s="24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ht="15.75" customHeight="1">
      <c r="A57" s="9">
        <v>53.0</v>
      </c>
      <c r="B57" s="25"/>
      <c r="C57" s="23">
        <v>79.32</v>
      </c>
      <c r="D57" s="24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ht="15.75" customHeight="1">
      <c r="A58" s="9">
        <v>54.0</v>
      </c>
      <c r="B58" s="23">
        <v>131.22</v>
      </c>
      <c r="C58" s="25"/>
      <c r="D58" s="24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 ht="15.75" customHeight="1">
      <c r="A59" s="9">
        <v>55.0</v>
      </c>
      <c r="B59" s="23">
        <v>121.32</v>
      </c>
      <c r="C59" s="25"/>
      <c r="D59" s="24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 ht="15.75" customHeight="1">
      <c r="A60" s="9">
        <v>56.0</v>
      </c>
      <c r="B60" s="23">
        <v>118.61</v>
      </c>
      <c r="C60" s="25"/>
      <c r="D60" s="2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 ht="15.75" customHeight="1">
      <c r="A61" s="9">
        <v>57.0</v>
      </c>
      <c r="B61" s="23">
        <v>123.21</v>
      </c>
      <c r="C61" s="25"/>
      <c r="D61" s="24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 ht="15.75" customHeight="1">
      <c r="A62" s="9">
        <v>58.0</v>
      </c>
      <c r="B62" s="23">
        <v>88.14</v>
      </c>
      <c r="C62" s="25"/>
      <c r="D62" s="24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 ht="15.75" customHeight="1">
      <c r="A63" s="9">
        <v>59.0</v>
      </c>
      <c r="B63" s="25"/>
      <c r="C63" s="23">
        <v>90.41</v>
      </c>
      <c r="D63" s="24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 ht="15.75" customHeight="1">
      <c r="A64" s="9">
        <v>60.0</v>
      </c>
      <c r="B64" s="25"/>
      <c r="C64" s="23">
        <v>44.9</v>
      </c>
      <c r="D64" s="24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 ht="15.75" customHeight="1">
      <c r="A65" s="9">
        <v>61.0</v>
      </c>
      <c r="B65" s="23">
        <v>112.59</v>
      </c>
      <c r="C65" s="25"/>
      <c r="D65" s="24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 ht="15.75" customHeight="1">
      <c r="A66" s="9">
        <v>62.0</v>
      </c>
      <c r="B66" s="23">
        <v>118.99</v>
      </c>
      <c r="C66" s="25"/>
      <c r="D66" s="24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 ht="15.75" customHeight="1">
      <c r="A67" s="9">
        <v>63.0</v>
      </c>
      <c r="B67" s="23">
        <v>113.16</v>
      </c>
      <c r="C67" s="25"/>
      <c r="D67" s="24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 ht="15.75" customHeight="1">
      <c r="A68" s="9">
        <v>64.0</v>
      </c>
      <c r="B68" s="25"/>
      <c r="C68" s="23">
        <v>108.17</v>
      </c>
      <c r="D68" s="24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 ht="15.75" customHeight="1">
      <c r="A69" s="9">
        <v>65.0</v>
      </c>
      <c r="B69" s="25"/>
      <c r="C69" s="23">
        <v>97.49</v>
      </c>
      <c r="D69" s="24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 ht="15.75" customHeight="1">
      <c r="A70" s="9">
        <v>66.0</v>
      </c>
      <c r="B70" s="23">
        <v>110.2</v>
      </c>
      <c r="C70" s="25"/>
      <c r="D70" s="24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 ht="15.75" customHeight="1">
      <c r="A71" s="9">
        <v>67.0</v>
      </c>
      <c r="B71" s="25"/>
      <c r="C71" s="23">
        <v>83.39</v>
      </c>
      <c r="D71" s="24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 ht="15.75" customHeight="1">
      <c r="A72" s="9">
        <v>68.0</v>
      </c>
      <c r="B72" s="25"/>
      <c r="C72" s="23">
        <v>94.94</v>
      </c>
      <c r="D72" s="24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 ht="15.75" customHeight="1">
      <c r="A73" s="9">
        <v>69.0</v>
      </c>
      <c r="B73" s="23">
        <v>110.5</v>
      </c>
      <c r="C73" s="25"/>
      <c r="D73" s="24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 ht="15.75" customHeight="1">
      <c r="A74" s="9">
        <v>70.0</v>
      </c>
      <c r="B74" s="25"/>
      <c r="C74" s="23">
        <v>61.04</v>
      </c>
      <c r="D74" s="24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 ht="15.75" customHeight="1">
      <c r="A75" s="9">
        <v>71.0</v>
      </c>
      <c r="B75" s="25"/>
      <c r="C75" s="23">
        <v>90.44</v>
      </c>
      <c r="D75" s="24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 ht="15.75" customHeight="1">
      <c r="A76" s="9">
        <v>72.0</v>
      </c>
      <c r="B76" s="23">
        <v>129.4</v>
      </c>
      <c r="C76" s="25"/>
      <c r="D76" s="24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 ht="15.75" customHeight="1">
      <c r="A77" s="9">
        <v>73.0</v>
      </c>
      <c r="B77" s="25"/>
      <c r="C77" s="23">
        <v>86.94</v>
      </c>
      <c r="D77" s="24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 ht="15.75" customHeight="1">
      <c r="A78" s="9">
        <v>74.0</v>
      </c>
      <c r="B78" s="23">
        <v>156.9</v>
      </c>
      <c r="C78" s="25"/>
      <c r="D78" s="24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 ht="15.75" customHeight="1">
      <c r="A79" s="9">
        <v>75.0</v>
      </c>
      <c r="B79" s="23">
        <v>128.63</v>
      </c>
      <c r="C79" s="25"/>
      <c r="D79" s="24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 ht="15.75" customHeight="1">
      <c r="A80" s="9">
        <v>76.0</v>
      </c>
      <c r="B80" s="23">
        <v>117.05</v>
      </c>
      <c r="C80" s="25"/>
      <c r="D80" s="24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 ht="15.75" customHeight="1">
      <c r="A81" s="9">
        <v>77.0</v>
      </c>
      <c r="B81" s="25"/>
      <c r="C81" s="23">
        <v>46.88</v>
      </c>
      <c r="D81" s="24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 ht="15.75" customHeight="1">
      <c r="A82" s="9">
        <v>78.0</v>
      </c>
      <c r="B82" s="23">
        <v>128.48</v>
      </c>
      <c r="C82" s="25"/>
      <c r="D82" s="24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 ht="15.75" customHeight="1">
      <c r="A83" s="9">
        <v>79.0</v>
      </c>
      <c r="B83" s="25"/>
      <c r="C83" s="23">
        <v>60.7</v>
      </c>
      <c r="D83" s="24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 ht="15.75" customHeight="1">
      <c r="A84" s="9">
        <v>80.0</v>
      </c>
      <c r="B84" s="23">
        <v>75.57</v>
      </c>
      <c r="C84" s="25"/>
      <c r="D84" s="24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 ht="15.75" customHeight="1">
      <c r="A85" s="9">
        <v>81.0</v>
      </c>
      <c r="B85" s="23">
        <v>102.32</v>
      </c>
      <c r="C85" s="25"/>
      <c r="D85" s="24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 ht="15.75" customHeight="1">
      <c r="A86" s="9">
        <v>82.0</v>
      </c>
      <c r="B86" s="23">
        <v>97.56</v>
      </c>
      <c r="C86" s="25"/>
      <c r="D86" s="24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 ht="15.75" customHeight="1">
      <c r="A87" s="9">
        <v>83.0</v>
      </c>
      <c r="B87" s="25"/>
      <c r="C87" s="23">
        <v>52.7</v>
      </c>
      <c r="D87" s="24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 ht="15.75" customHeight="1">
      <c r="A88" s="9">
        <v>84.0</v>
      </c>
      <c r="B88" s="25"/>
      <c r="C88" s="23">
        <v>81.61</v>
      </c>
      <c r="D88" s="24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 ht="15.75" customHeight="1">
      <c r="A89" s="9">
        <v>85.0</v>
      </c>
      <c r="B89" s="25"/>
      <c r="C89" s="23">
        <v>70.77</v>
      </c>
      <c r="D89" s="24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 ht="15.75" customHeight="1">
      <c r="A90" s="9">
        <v>86.0</v>
      </c>
      <c r="B90" s="23">
        <v>156.38</v>
      </c>
      <c r="C90" s="25"/>
      <c r="D90" s="24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 ht="15.75" customHeight="1">
      <c r="A91" s="9">
        <v>87.0</v>
      </c>
      <c r="B91" s="23">
        <v>97.51</v>
      </c>
      <c r="C91" s="25"/>
      <c r="D91" s="24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 ht="15.75" customHeight="1">
      <c r="A92" s="9">
        <v>88.0</v>
      </c>
      <c r="B92" s="23">
        <v>115.44</v>
      </c>
      <c r="C92" s="25"/>
      <c r="D92" s="24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 ht="15.75" customHeight="1">
      <c r="A93" s="9">
        <v>89.0</v>
      </c>
      <c r="B93" s="23">
        <v>133.72</v>
      </c>
      <c r="C93" s="25"/>
      <c r="D93" s="24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 ht="15.75" customHeight="1">
      <c r="A94" s="9">
        <v>90.0</v>
      </c>
      <c r="B94" s="23">
        <v>101.21</v>
      </c>
      <c r="C94" s="25"/>
      <c r="D94" s="24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 ht="15.75" customHeight="1">
      <c r="A95" s="9">
        <v>91.0</v>
      </c>
      <c r="B95" s="23">
        <v>138.55</v>
      </c>
      <c r="C95" s="25"/>
      <c r="D95" s="24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 ht="15.75" customHeight="1">
      <c r="A96" s="9">
        <v>92.0</v>
      </c>
      <c r="B96" s="23">
        <v>62.57</v>
      </c>
      <c r="C96" s="25"/>
      <c r="D96" s="24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 ht="15.75" customHeight="1">
      <c r="A97" s="9">
        <v>93.0</v>
      </c>
      <c r="B97" s="25"/>
      <c r="C97" s="23">
        <v>68.03</v>
      </c>
      <c r="D97" s="24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 ht="15.75" customHeight="1">
      <c r="A98" s="9">
        <v>94.0</v>
      </c>
      <c r="B98" s="25"/>
      <c r="C98" s="23">
        <v>91.37</v>
      </c>
      <c r="D98" s="24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 ht="15.75" customHeight="1">
      <c r="A99" s="9">
        <v>95.0</v>
      </c>
      <c r="B99" s="25"/>
      <c r="C99" s="23">
        <v>63.51</v>
      </c>
      <c r="D99" s="24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 ht="15.75" customHeight="1">
      <c r="A100" s="9">
        <v>96.0</v>
      </c>
      <c r="B100" s="25"/>
      <c r="C100" s="23">
        <v>73.02</v>
      </c>
      <c r="D100" s="24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 ht="15.75" customHeight="1">
      <c r="A101" s="9">
        <v>97.0</v>
      </c>
      <c r="B101" s="23">
        <v>158.96</v>
      </c>
      <c r="C101" s="25"/>
      <c r="D101" s="24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 ht="15.75" customHeight="1">
      <c r="A102" s="9">
        <v>98.0</v>
      </c>
      <c r="B102" s="23">
        <v>57.39</v>
      </c>
      <c r="C102" s="25"/>
      <c r="D102" s="24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 ht="15.75" customHeight="1">
      <c r="A103" s="9">
        <v>99.0</v>
      </c>
      <c r="B103" s="23">
        <v>116.31</v>
      </c>
      <c r="C103" s="25"/>
      <c r="D103" s="24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 ht="15.75" customHeight="1">
      <c r="A104" s="9">
        <v>100.0</v>
      </c>
      <c r="B104" s="25"/>
      <c r="C104" s="25"/>
      <c r="D104" s="24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 ht="15.75" customHeight="1">
      <c r="A105" s="22"/>
      <c r="B105" s="26"/>
      <c r="C105" s="26"/>
      <c r="D105" s="27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 ht="15.75" customHeight="1">
      <c r="A106" s="22"/>
      <c r="B106" s="26"/>
      <c r="C106" s="26"/>
      <c r="D106" s="27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 ht="15.75" customHeight="1">
      <c r="A107" s="22"/>
      <c r="B107" s="26"/>
      <c r="C107" s="26"/>
      <c r="D107" s="27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 ht="15.75" customHeight="1">
      <c r="A108" s="22"/>
      <c r="B108" s="26"/>
      <c r="C108" s="26"/>
      <c r="D108" s="27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 ht="15.75" customHeight="1">
      <c r="A109" s="22"/>
      <c r="B109" s="26"/>
      <c r="C109" s="26"/>
      <c r="D109" s="27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 ht="15.75" customHeight="1">
      <c r="A110" s="22"/>
      <c r="B110" s="26"/>
      <c r="C110" s="26"/>
      <c r="D110" s="27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 ht="15.75" customHeight="1">
      <c r="A111" s="22"/>
      <c r="B111" s="26"/>
      <c r="C111" s="26"/>
      <c r="D111" s="27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 ht="15.75" customHeight="1">
      <c r="A112" s="22"/>
      <c r="B112" s="26"/>
      <c r="C112" s="26"/>
      <c r="D112" s="27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 ht="15.75" customHeight="1">
      <c r="A113" s="22"/>
      <c r="B113" s="26"/>
      <c r="C113" s="26"/>
      <c r="D113" s="27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 ht="15.75" customHeight="1">
      <c r="A114" s="22"/>
      <c r="B114" s="26"/>
      <c r="C114" s="26"/>
      <c r="D114" s="27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 ht="15.75" customHeight="1">
      <c r="A115" s="22"/>
      <c r="B115" s="26"/>
      <c r="C115" s="26"/>
      <c r="D115" s="27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 ht="15.75" customHeight="1">
      <c r="A116" s="22"/>
      <c r="B116" s="26"/>
      <c r="C116" s="26"/>
      <c r="D116" s="27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 ht="15.75" customHeight="1">
      <c r="A117" s="22"/>
      <c r="B117" s="26"/>
      <c r="C117" s="26"/>
      <c r="D117" s="27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 ht="15.75" customHeight="1">
      <c r="A118" s="22"/>
      <c r="B118" s="26"/>
      <c r="C118" s="26"/>
      <c r="D118" s="27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 ht="15.75" customHeight="1">
      <c r="A119" s="22"/>
      <c r="B119" s="26"/>
      <c r="C119" s="26"/>
      <c r="D119" s="27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 ht="15.75" customHeight="1">
      <c r="A120" s="22"/>
      <c r="B120" s="26"/>
      <c r="C120" s="26"/>
      <c r="D120" s="27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 ht="15.75" customHeight="1">
      <c r="A121" s="22"/>
      <c r="B121" s="26"/>
      <c r="C121" s="26"/>
      <c r="D121" s="27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 ht="15.75" customHeight="1">
      <c r="A122" s="22"/>
      <c r="B122" s="26"/>
      <c r="C122" s="26"/>
      <c r="D122" s="27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 ht="15.75" customHeight="1">
      <c r="A123" s="22"/>
      <c r="B123" s="26"/>
      <c r="C123" s="26"/>
      <c r="D123" s="27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 ht="15.75" customHeight="1">
      <c r="A124" s="22"/>
      <c r="B124" s="26"/>
      <c r="C124" s="26"/>
      <c r="D124" s="27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 ht="15.75" customHeight="1">
      <c r="A125" s="22"/>
      <c r="B125" s="26"/>
      <c r="C125" s="26"/>
      <c r="D125" s="27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 ht="15.75" customHeight="1">
      <c r="A126" s="22"/>
      <c r="B126" s="26"/>
      <c r="C126" s="26"/>
      <c r="D126" s="27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 ht="15.75" customHeight="1">
      <c r="A127" s="22"/>
      <c r="B127" s="26"/>
      <c r="C127" s="26"/>
      <c r="D127" s="27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 ht="15.75" customHeight="1">
      <c r="A128" s="22"/>
      <c r="B128" s="26"/>
      <c r="C128" s="26"/>
      <c r="D128" s="27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 ht="15.75" customHeight="1">
      <c r="A129" s="22"/>
      <c r="B129" s="26"/>
      <c r="C129" s="26"/>
      <c r="D129" s="27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 ht="15.75" customHeight="1">
      <c r="A130" s="22"/>
      <c r="B130" s="26"/>
      <c r="C130" s="26"/>
      <c r="D130" s="27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 ht="15.75" customHeight="1">
      <c r="A131" s="22"/>
      <c r="B131" s="26"/>
      <c r="C131" s="26"/>
      <c r="D131" s="27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 ht="15.75" customHeight="1">
      <c r="A132" s="22"/>
      <c r="B132" s="26"/>
      <c r="C132" s="26"/>
      <c r="D132" s="27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 ht="15.75" customHeight="1">
      <c r="A133" s="22"/>
      <c r="B133" s="26"/>
      <c r="C133" s="26"/>
      <c r="D133" s="27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 ht="15.75" customHeight="1">
      <c r="A134" s="22"/>
      <c r="B134" s="26"/>
      <c r="C134" s="26"/>
      <c r="D134" s="27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 ht="15.75" customHeight="1">
      <c r="A135" s="22"/>
      <c r="B135" s="26"/>
      <c r="C135" s="26"/>
      <c r="D135" s="27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 ht="15.75" customHeight="1">
      <c r="A136" s="22"/>
      <c r="B136" s="26"/>
      <c r="C136" s="26"/>
      <c r="D136" s="27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 ht="15.75" customHeight="1">
      <c r="A137" s="22"/>
      <c r="B137" s="26"/>
      <c r="C137" s="26"/>
      <c r="D137" s="27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 ht="15.75" customHeight="1">
      <c r="A138" s="22"/>
      <c r="B138" s="26"/>
      <c r="C138" s="26"/>
      <c r="D138" s="27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 ht="15.75" customHeight="1">
      <c r="A139" s="22"/>
      <c r="B139" s="26"/>
      <c r="C139" s="26"/>
      <c r="D139" s="27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 ht="15.75" customHeight="1">
      <c r="A140" s="22"/>
      <c r="B140" s="26"/>
      <c r="C140" s="26"/>
      <c r="D140" s="27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 ht="15.75" customHeight="1">
      <c r="A141" s="22"/>
      <c r="B141" s="26"/>
      <c r="C141" s="26"/>
      <c r="D141" s="27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 ht="15.75" customHeight="1">
      <c r="A142" s="22"/>
      <c r="B142" s="26"/>
      <c r="C142" s="26"/>
      <c r="D142" s="27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 ht="15.75" customHeight="1">
      <c r="A143" s="22"/>
      <c r="B143" s="26"/>
      <c r="C143" s="26"/>
      <c r="D143" s="27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 ht="15.75" customHeight="1">
      <c r="A144" s="22"/>
      <c r="B144" s="26"/>
      <c r="C144" s="26"/>
      <c r="D144" s="27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 ht="15.75" customHeight="1">
      <c r="A145" s="22"/>
      <c r="B145" s="26"/>
      <c r="C145" s="26"/>
      <c r="D145" s="27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 ht="15.75" customHeight="1">
      <c r="A146" s="22"/>
      <c r="B146" s="26"/>
      <c r="C146" s="26"/>
      <c r="D146" s="27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 ht="15.75" customHeight="1">
      <c r="A147" s="22"/>
      <c r="B147" s="26"/>
      <c r="C147" s="26"/>
      <c r="D147" s="27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 ht="15.75" customHeight="1">
      <c r="A148" s="22"/>
      <c r="B148" s="26"/>
      <c r="C148" s="26"/>
      <c r="D148" s="27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 ht="15.75" customHeight="1">
      <c r="A149" s="22"/>
      <c r="B149" s="26"/>
      <c r="C149" s="26"/>
      <c r="D149" s="27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 ht="15.75" customHeight="1">
      <c r="A150" s="22"/>
      <c r="B150" s="26"/>
      <c r="C150" s="26"/>
      <c r="D150" s="27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 ht="15.75" customHeight="1">
      <c r="A151" s="22"/>
      <c r="B151" s="26"/>
      <c r="C151" s="26"/>
      <c r="D151" s="27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 ht="15.75" customHeight="1">
      <c r="A152" s="22"/>
      <c r="B152" s="26"/>
      <c r="C152" s="26"/>
      <c r="D152" s="27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 ht="15.75" customHeight="1">
      <c r="A153" s="22"/>
      <c r="B153" s="26"/>
      <c r="C153" s="26"/>
      <c r="D153" s="27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 ht="15.75" customHeight="1">
      <c r="A154" s="22"/>
      <c r="B154" s="26"/>
      <c r="C154" s="26"/>
      <c r="D154" s="27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 ht="15.75" customHeight="1">
      <c r="A155" s="22"/>
      <c r="B155" s="26"/>
      <c r="C155" s="26"/>
      <c r="D155" s="27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 ht="15.75" customHeight="1">
      <c r="A156" s="22"/>
      <c r="B156" s="26"/>
      <c r="C156" s="26"/>
      <c r="D156" s="27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 ht="15.75" customHeight="1">
      <c r="A157" s="22"/>
      <c r="B157" s="26"/>
      <c r="C157" s="26"/>
      <c r="D157" s="27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 ht="15.75" customHeight="1">
      <c r="A158" s="22"/>
      <c r="B158" s="26"/>
      <c r="C158" s="26"/>
      <c r="D158" s="27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 ht="15.75" customHeight="1">
      <c r="A159" s="22"/>
      <c r="B159" s="26"/>
      <c r="C159" s="26"/>
      <c r="D159" s="27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 ht="15.75" customHeight="1">
      <c r="A160" s="22"/>
      <c r="B160" s="26"/>
      <c r="C160" s="26"/>
      <c r="D160" s="27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 ht="15.75" customHeight="1">
      <c r="A161" s="22"/>
      <c r="B161" s="26"/>
      <c r="C161" s="26"/>
      <c r="D161" s="27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 ht="15.75" customHeight="1">
      <c r="A162" s="22"/>
      <c r="B162" s="26"/>
      <c r="C162" s="26"/>
      <c r="D162" s="27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 ht="15.75" customHeight="1">
      <c r="A163" s="22"/>
      <c r="B163" s="26"/>
      <c r="C163" s="26"/>
      <c r="D163" s="27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 ht="15.75" customHeight="1">
      <c r="A164" s="22"/>
      <c r="B164" s="26"/>
      <c r="C164" s="26"/>
      <c r="D164" s="27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 ht="15.75" customHeight="1">
      <c r="A165" s="22"/>
      <c r="B165" s="26"/>
      <c r="C165" s="26"/>
      <c r="D165" s="27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 ht="15.75" customHeight="1">
      <c r="A166" s="22"/>
      <c r="B166" s="26"/>
      <c r="C166" s="26"/>
      <c r="D166" s="27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 ht="15.75" customHeight="1">
      <c r="A167" s="22"/>
      <c r="B167" s="26"/>
      <c r="C167" s="26"/>
      <c r="D167" s="27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 ht="15.75" customHeight="1">
      <c r="A168" s="22"/>
      <c r="B168" s="26"/>
      <c r="C168" s="26"/>
      <c r="D168" s="27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 ht="15.75" customHeight="1">
      <c r="A169" s="22"/>
      <c r="B169" s="26"/>
      <c r="C169" s="26"/>
      <c r="D169" s="27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 ht="15.75" customHeight="1">
      <c r="A170" s="22"/>
      <c r="B170" s="26"/>
      <c r="C170" s="26"/>
      <c r="D170" s="27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 ht="15.75" customHeight="1">
      <c r="A171" s="22"/>
      <c r="B171" s="26"/>
      <c r="C171" s="26"/>
      <c r="D171" s="27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 ht="15.75" customHeight="1">
      <c r="A172" s="22"/>
      <c r="B172" s="26"/>
      <c r="C172" s="26"/>
      <c r="D172" s="27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 ht="15.75" customHeight="1">
      <c r="A173" s="22"/>
      <c r="B173" s="26"/>
      <c r="C173" s="26"/>
      <c r="D173" s="27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 ht="15.75" customHeight="1">
      <c r="A174" s="22"/>
      <c r="B174" s="26"/>
      <c r="C174" s="26"/>
      <c r="D174" s="27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 ht="15.75" customHeight="1">
      <c r="A175" s="22"/>
      <c r="B175" s="26"/>
      <c r="C175" s="26"/>
      <c r="D175" s="27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 ht="15.75" customHeight="1">
      <c r="A176" s="22"/>
      <c r="B176" s="26"/>
      <c r="C176" s="26"/>
      <c r="D176" s="27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 ht="15.75" customHeight="1">
      <c r="A177" s="22"/>
      <c r="B177" s="26"/>
      <c r="C177" s="26"/>
      <c r="D177" s="27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 ht="15.75" customHeight="1">
      <c r="A178" s="22"/>
      <c r="B178" s="26"/>
      <c r="C178" s="26"/>
      <c r="D178" s="27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 ht="15.75" customHeight="1">
      <c r="A179" s="22"/>
      <c r="B179" s="26"/>
      <c r="C179" s="26"/>
      <c r="D179" s="27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 ht="15.75" customHeight="1">
      <c r="A180" s="22"/>
      <c r="B180" s="26"/>
      <c r="C180" s="26"/>
      <c r="D180" s="27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 ht="15.75" customHeight="1">
      <c r="A181" s="22"/>
      <c r="B181" s="26"/>
      <c r="C181" s="26"/>
      <c r="D181" s="27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 ht="15.75" customHeight="1">
      <c r="A182" s="22"/>
      <c r="B182" s="26"/>
      <c r="C182" s="26"/>
      <c r="D182" s="27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 ht="15.75" customHeight="1">
      <c r="A183" s="22"/>
      <c r="B183" s="26"/>
      <c r="C183" s="26"/>
      <c r="D183" s="27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 ht="15.75" customHeight="1">
      <c r="A184" s="22"/>
      <c r="B184" s="26"/>
      <c r="C184" s="26"/>
      <c r="D184" s="27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 ht="15.75" customHeight="1">
      <c r="A185" s="22"/>
      <c r="B185" s="26"/>
      <c r="C185" s="26"/>
      <c r="D185" s="27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 ht="15.75" customHeight="1">
      <c r="A186" s="22"/>
      <c r="B186" s="26"/>
      <c r="C186" s="26"/>
      <c r="D186" s="27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 ht="15.75" customHeight="1">
      <c r="A187" s="22"/>
      <c r="B187" s="26"/>
      <c r="C187" s="26"/>
      <c r="D187" s="27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 ht="15.75" customHeight="1">
      <c r="A188" s="22"/>
      <c r="B188" s="26"/>
      <c r="C188" s="26"/>
      <c r="D188" s="27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 ht="15.75" customHeight="1">
      <c r="A189" s="22"/>
      <c r="B189" s="26"/>
      <c r="C189" s="26"/>
      <c r="D189" s="27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 ht="15.75" customHeight="1">
      <c r="A190" s="22"/>
      <c r="B190" s="26"/>
      <c r="C190" s="26"/>
      <c r="D190" s="27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 ht="15.75" customHeight="1">
      <c r="A191" s="22"/>
      <c r="B191" s="26"/>
      <c r="C191" s="26"/>
      <c r="D191" s="27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 ht="15.75" customHeight="1">
      <c r="A192" s="22"/>
      <c r="B192" s="26"/>
      <c r="C192" s="26"/>
      <c r="D192" s="27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 ht="15.75" customHeight="1">
      <c r="A193" s="22"/>
      <c r="B193" s="26"/>
      <c r="C193" s="26"/>
      <c r="D193" s="27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 ht="15.75" customHeight="1">
      <c r="A194" s="22"/>
      <c r="B194" s="26"/>
      <c r="C194" s="26"/>
      <c r="D194" s="27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 ht="15.75" customHeight="1">
      <c r="A195" s="22"/>
      <c r="B195" s="26"/>
      <c r="C195" s="26"/>
      <c r="D195" s="27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 ht="15.75" customHeight="1">
      <c r="A196" s="22"/>
      <c r="B196" s="26"/>
      <c r="C196" s="26"/>
      <c r="D196" s="27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 ht="15.75" customHeight="1">
      <c r="A197" s="22"/>
      <c r="B197" s="26"/>
      <c r="C197" s="26"/>
      <c r="D197" s="27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 ht="15.75" customHeight="1">
      <c r="A198" s="22"/>
      <c r="B198" s="26"/>
      <c r="C198" s="26"/>
      <c r="D198" s="27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 ht="15.75" customHeight="1">
      <c r="A199" s="22"/>
      <c r="B199" s="26"/>
      <c r="C199" s="26"/>
      <c r="D199" s="27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 ht="15.75" customHeight="1">
      <c r="A200" s="22"/>
      <c r="B200" s="26"/>
      <c r="C200" s="26"/>
      <c r="D200" s="27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 ht="15.75" customHeight="1">
      <c r="A201" s="22"/>
      <c r="B201" s="26"/>
      <c r="C201" s="26"/>
      <c r="D201" s="27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 ht="15.75" customHeight="1">
      <c r="A202" s="22"/>
      <c r="B202" s="26"/>
      <c r="C202" s="26"/>
      <c r="D202" s="27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 ht="15.75" customHeight="1">
      <c r="A203" s="22"/>
      <c r="B203" s="26"/>
      <c r="C203" s="26"/>
      <c r="D203" s="27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 ht="15.75" customHeight="1">
      <c r="A204" s="22"/>
      <c r="B204" s="26"/>
      <c r="C204" s="26"/>
      <c r="D204" s="27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 ht="15.75" customHeight="1">
      <c r="A205" s="22"/>
      <c r="B205" s="26"/>
      <c r="C205" s="26"/>
      <c r="D205" s="27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 ht="15.75" customHeight="1">
      <c r="A206" s="22"/>
      <c r="B206" s="26"/>
      <c r="C206" s="26"/>
      <c r="D206" s="27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 ht="15.75" customHeight="1">
      <c r="A207" s="22"/>
      <c r="B207" s="26"/>
      <c r="C207" s="26"/>
      <c r="D207" s="27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 ht="15.75" customHeight="1">
      <c r="A208" s="22"/>
      <c r="B208" s="26"/>
      <c r="C208" s="26"/>
      <c r="D208" s="27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 ht="15.75" customHeight="1">
      <c r="A209" s="22"/>
      <c r="B209" s="26"/>
      <c r="C209" s="26"/>
      <c r="D209" s="27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 ht="15.75" customHeight="1">
      <c r="A210" s="22"/>
      <c r="B210" s="26"/>
      <c r="C210" s="26"/>
      <c r="D210" s="27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 ht="15.75" customHeight="1">
      <c r="A211" s="22"/>
      <c r="B211" s="26"/>
      <c r="C211" s="26"/>
      <c r="D211" s="27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 ht="15.75" customHeight="1">
      <c r="A212" s="22"/>
      <c r="B212" s="26"/>
      <c r="C212" s="26"/>
      <c r="D212" s="27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 ht="15.75" customHeight="1">
      <c r="A213" s="22"/>
      <c r="B213" s="26"/>
      <c r="C213" s="26"/>
      <c r="D213" s="27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 ht="15.75" customHeight="1">
      <c r="A214" s="22"/>
      <c r="B214" s="26"/>
      <c r="C214" s="26"/>
      <c r="D214" s="27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 ht="15.75" customHeight="1">
      <c r="A215" s="22"/>
      <c r="B215" s="26"/>
      <c r="C215" s="26"/>
      <c r="D215" s="27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 ht="15.75" customHeight="1">
      <c r="A216" s="22"/>
      <c r="B216" s="26"/>
      <c r="C216" s="26"/>
      <c r="D216" s="27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 ht="15.75" customHeight="1">
      <c r="A217" s="22"/>
      <c r="B217" s="26"/>
      <c r="C217" s="26"/>
      <c r="D217" s="27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 ht="15.75" customHeight="1">
      <c r="A218" s="22"/>
      <c r="B218" s="26"/>
      <c r="C218" s="26"/>
      <c r="D218" s="27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 ht="15.75" customHeight="1">
      <c r="A219" s="22"/>
      <c r="B219" s="26"/>
      <c r="C219" s="26"/>
      <c r="D219" s="27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 ht="15.75" customHeight="1">
      <c r="A220" s="22"/>
      <c r="B220" s="26"/>
      <c r="C220" s="26"/>
      <c r="D220" s="27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 ht="15.75" customHeight="1">
      <c r="A221" s="22"/>
      <c r="B221" s="26"/>
      <c r="C221" s="26"/>
      <c r="D221" s="27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 ht="15.75" customHeight="1">
      <c r="A222" s="22"/>
      <c r="B222" s="26"/>
      <c r="C222" s="26"/>
      <c r="D222" s="27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 ht="15.75" customHeight="1">
      <c r="A223" s="22"/>
      <c r="B223" s="26"/>
      <c r="C223" s="26"/>
      <c r="D223" s="27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 ht="15.75" customHeight="1">
      <c r="A224" s="22"/>
      <c r="B224" s="26"/>
      <c r="C224" s="26"/>
      <c r="D224" s="27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 ht="15.75" customHeight="1">
      <c r="A225" s="22"/>
      <c r="B225" s="26"/>
      <c r="C225" s="26"/>
      <c r="D225" s="27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 ht="15.75" customHeight="1">
      <c r="A226" s="22"/>
      <c r="B226" s="26"/>
      <c r="C226" s="26"/>
      <c r="D226" s="27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 ht="15.75" customHeight="1">
      <c r="A227" s="22"/>
      <c r="B227" s="26"/>
      <c r="C227" s="26"/>
      <c r="D227" s="27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 ht="15.75" customHeight="1">
      <c r="A228" s="22"/>
      <c r="B228" s="26"/>
      <c r="C228" s="26"/>
      <c r="D228" s="27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 ht="15.75" customHeight="1">
      <c r="A229" s="22"/>
      <c r="B229" s="26"/>
      <c r="C229" s="26"/>
      <c r="D229" s="27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 ht="15.75" customHeight="1">
      <c r="A230" s="22"/>
      <c r="B230" s="26"/>
      <c r="C230" s="26"/>
      <c r="D230" s="27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 ht="15.75" customHeight="1">
      <c r="A231" s="22"/>
      <c r="B231" s="26"/>
      <c r="C231" s="26"/>
      <c r="D231" s="27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 ht="15.75" customHeight="1">
      <c r="A232" s="22"/>
      <c r="B232" s="26"/>
      <c r="C232" s="26"/>
      <c r="D232" s="27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 ht="15.75" customHeight="1">
      <c r="A233" s="22"/>
      <c r="B233" s="26"/>
      <c r="C233" s="26"/>
      <c r="D233" s="27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 ht="15.75" customHeight="1">
      <c r="A234" s="22"/>
      <c r="B234" s="26"/>
      <c r="C234" s="26"/>
      <c r="D234" s="27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 ht="15.75" customHeight="1">
      <c r="A235" s="22"/>
      <c r="B235" s="26"/>
      <c r="C235" s="26"/>
      <c r="D235" s="27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 ht="15.75" customHeight="1">
      <c r="A236" s="22"/>
      <c r="B236" s="26"/>
      <c r="C236" s="26"/>
      <c r="D236" s="27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 ht="15.75" customHeight="1">
      <c r="A237" s="22"/>
      <c r="B237" s="26"/>
      <c r="C237" s="26"/>
      <c r="D237" s="27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 ht="15.75" customHeight="1">
      <c r="A238" s="22"/>
      <c r="B238" s="26"/>
      <c r="C238" s="26"/>
      <c r="D238" s="27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 ht="15.75" customHeight="1">
      <c r="A239" s="22"/>
      <c r="B239" s="26"/>
      <c r="C239" s="26"/>
      <c r="D239" s="27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 ht="15.75" customHeight="1">
      <c r="A240" s="22"/>
      <c r="B240" s="26"/>
      <c r="C240" s="26"/>
      <c r="D240" s="27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 ht="15.75" customHeight="1">
      <c r="A241" s="22"/>
      <c r="B241" s="26"/>
      <c r="C241" s="26"/>
      <c r="D241" s="27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 ht="15.75" customHeight="1">
      <c r="A242" s="22"/>
      <c r="B242" s="26"/>
      <c r="C242" s="26"/>
      <c r="D242" s="27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 ht="15.75" customHeight="1">
      <c r="A243" s="22"/>
      <c r="B243" s="26"/>
      <c r="C243" s="26"/>
      <c r="D243" s="27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 ht="15.75" customHeight="1">
      <c r="A244" s="22"/>
      <c r="B244" s="26"/>
      <c r="C244" s="26"/>
      <c r="D244" s="27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 ht="15.75" customHeight="1">
      <c r="A245" s="22"/>
      <c r="B245" s="26"/>
      <c r="C245" s="26"/>
      <c r="D245" s="27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 ht="15.75" customHeight="1">
      <c r="A246" s="22"/>
      <c r="B246" s="26"/>
      <c r="C246" s="26"/>
      <c r="D246" s="27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 ht="15.75" customHeight="1">
      <c r="A247" s="22"/>
      <c r="B247" s="26"/>
      <c r="C247" s="26"/>
      <c r="D247" s="27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 ht="15.75" customHeight="1">
      <c r="A248" s="22"/>
      <c r="B248" s="26"/>
      <c r="C248" s="26"/>
      <c r="D248" s="27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 ht="15.75" customHeight="1">
      <c r="A249" s="22"/>
      <c r="B249" s="26"/>
      <c r="C249" s="26"/>
      <c r="D249" s="27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 ht="15.75" customHeight="1">
      <c r="A250" s="22"/>
      <c r="B250" s="26"/>
      <c r="C250" s="26"/>
      <c r="D250" s="27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 ht="15.75" customHeight="1">
      <c r="A251" s="22"/>
      <c r="B251" s="26"/>
      <c r="C251" s="26"/>
      <c r="D251" s="27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 ht="15.75" customHeight="1">
      <c r="A252" s="22"/>
      <c r="B252" s="26"/>
      <c r="C252" s="26"/>
      <c r="D252" s="27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 ht="15.75" customHeight="1">
      <c r="A253" s="22"/>
      <c r="B253" s="26"/>
      <c r="C253" s="26"/>
      <c r="D253" s="27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 ht="15.75" customHeight="1">
      <c r="A254" s="22"/>
      <c r="B254" s="26"/>
      <c r="C254" s="26"/>
      <c r="D254" s="27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 ht="15.75" customHeight="1">
      <c r="A255" s="22"/>
      <c r="B255" s="26"/>
      <c r="C255" s="26"/>
      <c r="D255" s="27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 ht="15.75" customHeight="1">
      <c r="A256" s="22"/>
      <c r="B256" s="26"/>
      <c r="C256" s="26"/>
      <c r="D256" s="27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 ht="15.75" customHeight="1">
      <c r="A257" s="22"/>
      <c r="B257" s="26"/>
      <c r="C257" s="26"/>
      <c r="D257" s="27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 ht="15.75" customHeight="1">
      <c r="A258" s="22"/>
      <c r="B258" s="26"/>
      <c r="C258" s="26"/>
      <c r="D258" s="27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 ht="15.75" customHeight="1">
      <c r="A259" s="22"/>
      <c r="B259" s="26"/>
      <c r="C259" s="26"/>
      <c r="D259" s="27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 ht="15.75" customHeight="1">
      <c r="A260" s="22"/>
      <c r="B260" s="26"/>
      <c r="C260" s="26"/>
      <c r="D260" s="27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 ht="15.75" customHeight="1">
      <c r="A261" s="22"/>
      <c r="B261" s="26"/>
      <c r="C261" s="26"/>
      <c r="D261" s="27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 ht="15.75" customHeight="1">
      <c r="A262" s="22"/>
      <c r="B262" s="26"/>
      <c r="C262" s="26"/>
      <c r="D262" s="27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 ht="15.75" customHeight="1">
      <c r="A263" s="22"/>
      <c r="B263" s="26"/>
      <c r="C263" s="26"/>
      <c r="D263" s="27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 ht="15.75" customHeight="1">
      <c r="A264" s="22"/>
      <c r="B264" s="26"/>
      <c r="C264" s="26"/>
      <c r="D264" s="27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 ht="15.75" customHeight="1">
      <c r="A265" s="22"/>
      <c r="B265" s="26"/>
      <c r="C265" s="26"/>
      <c r="D265" s="27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 ht="15.75" customHeight="1">
      <c r="A266" s="22"/>
      <c r="B266" s="26"/>
      <c r="C266" s="26"/>
      <c r="D266" s="27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 ht="15.75" customHeight="1">
      <c r="A267" s="22"/>
      <c r="B267" s="26"/>
      <c r="C267" s="26"/>
      <c r="D267" s="27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 ht="15.75" customHeight="1">
      <c r="A268" s="22"/>
      <c r="B268" s="26"/>
      <c r="C268" s="26"/>
      <c r="D268" s="27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 ht="15.75" customHeight="1">
      <c r="A269" s="22"/>
      <c r="B269" s="26"/>
      <c r="C269" s="26"/>
      <c r="D269" s="27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 ht="15.75" customHeight="1">
      <c r="A270" s="22"/>
      <c r="B270" s="26"/>
      <c r="C270" s="26"/>
      <c r="D270" s="27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 ht="15.75" customHeight="1">
      <c r="A271" s="22"/>
      <c r="B271" s="26"/>
      <c r="C271" s="26"/>
      <c r="D271" s="27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 ht="15.75" customHeight="1">
      <c r="A272" s="22"/>
      <c r="B272" s="26"/>
      <c r="C272" s="26"/>
      <c r="D272" s="27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 ht="15.75" customHeight="1">
      <c r="A273" s="22"/>
      <c r="B273" s="26"/>
      <c r="C273" s="26"/>
      <c r="D273" s="27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 ht="15.75" customHeight="1">
      <c r="A274" s="22"/>
      <c r="B274" s="26"/>
      <c r="C274" s="26"/>
      <c r="D274" s="27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 ht="15.75" customHeight="1">
      <c r="A275" s="22"/>
      <c r="B275" s="26"/>
      <c r="C275" s="26"/>
      <c r="D275" s="27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 ht="15.75" customHeight="1">
      <c r="A276" s="22"/>
      <c r="B276" s="26"/>
      <c r="C276" s="26"/>
      <c r="D276" s="27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 ht="15.75" customHeight="1">
      <c r="A277" s="22"/>
      <c r="B277" s="26"/>
      <c r="C277" s="26"/>
      <c r="D277" s="27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 ht="15.75" customHeight="1">
      <c r="A278" s="22"/>
      <c r="B278" s="26"/>
      <c r="C278" s="26"/>
      <c r="D278" s="27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 ht="15.75" customHeight="1">
      <c r="A279" s="22"/>
      <c r="B279" s="26"/>
      <c r="C279" s="26"/>
      <c r="D279" s="27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 ht="15.75" customHeight="1">
      <c r="A280" s="22"/>
      <c r="B280" s="26"/>
      <c r="C280" s="26"/>
      <c r="D280" s="27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 ht="15.75" customHeight="1">
      <c r="A281" s="22"/>
      <c r="B281" s="26"/>
      <c r="C281" s="26"/>
      <c r="D281" s="27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 ht="15.75" customHeight="1">
      <c r="A282" s="22"/>
      <c r="B282" s="26"/>
      <c r="C282" s="26"/>
      <c r="D282" s="27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 ht="15.75" customHeight="1">
      <c r="A283" s="22"/>
      <c r="B283" s="26"/>
      <c r="C283" s="26"/>
      <c r="D283" s="27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 ht="15.75" customHeight="1">
      <c r="A284" s="22"/>
      <c r="B284" s="26"/>
      <c r="C284" s="26"/>
      <c r="D284" s="27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 ht="15.75" customHeight="1">
      <c r="A285" s="22"/>
      <c r="B285" s="26"/>
      <c r="C285" s="26"/>
      <c r="D285" s="27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 ht="15.75" customHeight="1">
      <c r="A286" s="22"/>
      <c r="B286" s="26"/>
      <c r="C286" s="26"/>
      <c r="D286" s="27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 ht="15.75" customHeight="1">
      <c r="A287" s="22"/>
      <c r="B287" s="26"/>
      <c r="C287" s="26"/>
      <c r="D287" s="27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 ht="15.75" customHeight="1">
      <c r="A288" s="22"/>
      <c r="B288" s="26"/>
      <c r="C288" s="26"/>
      <c r="D288" s="27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 ht="15.75" customHeight="1">
      <c r="A289" s="22"/>
      <c r="B289" s="26"/>
      <c r="C289" s="26"/>
      <c r="D289" s="27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 ht="15.75" customHeight="1">
      <c r="A290" s="22"/>
      <c r="B290" s="26"/>
      <c r="C290" s="26"/>
      <c r="D290" s="27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 ht="15.75" customHeight="1">
      <c r="A291" s="22"/>
      <c r="B291" s="26"/>
      <c r="C291" s="26"/>
      <c r="D291" s="27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 ht="15.75" customHeight="1">
      <c r="A292" s="22"/>
      <c r="B292" s="26"/>
      <c r="C292" s="26"/>
      <c r="D292" s="27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 ht="15.75" customHeight="1">
      <c r="A293" s="22"/>
      <c r="B293" s="26"/>
      <c r="C293" s="26"/>
      <c r="D293" s="27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 ht="15.75" customHeight="1">
      <c r="A294" s="22"/>
      <c r="B294" s="26"/>
      <c r="C294" s="26"/>
      <c r="D294" s="27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 ht="15.75" customHeight="1">
      <c r="A295" s="22"/>
      <c r="B295" s="26"/>
      <c r="C295" s="26"/>
      <c r="D295" s="27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 ht="15.75" customHeight="1">
      <c r="A296" s="22"/>
      <c r="B296" s="26"/>
      <c r="C296" s="26"/>
      <c r="D296" s="27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 ht="15.75" customHeight="1">
      <c r="A297" s="22"/>
      <c r="B297" s="26"/>
      <c r="C297" s="26"/>
      <c r="D297" s="27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 ht="15.75" customHeight="1">
      <c r="A298" s="22"/>
      <c r="B298" s="26"/>
      <c r="C298" s="26"/>
      <c r="D298" s="27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 ht="15.75" customHeight="1">
      <c r="A299" s="22"/>
      <c r="B299" s="26"/>
      <c r="C299" s="26"/>
      <c r="D299" s="27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 ht="15.75" customHeight="1">
      <c r="A300" s="22"/>
      <c r="B300" s="26"/>
      <c r="C300" s="26"/>
      <c r="D300" s="27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 ht="15.75" customHeight="1">
      <c r="A301" s="22"/>
      <c r="B301" s="26"/>
      <c r="C301" s="26"/>
      <c r="D301" s="27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 ht="15.75" customHeight="1">
      <c r="A302" s="22"/>
      <c r="B302" s="26"/>
      <c r="C302" s="26"/>
      <c r="D302" s="27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 ht="15.75" customHeight="1">
      <c r="A303" s="22"/>
      <c r="B303" s="26"/>
      <c r="C303" s="26"/>
      <c r="D303" s="27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 ht="15.75" customHeight="1">
      <c r="A304" s="22"/>
      <c r="B304" s="26"/>
      <c r="C304" s="26"/>
      <c r="D304" s="27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1:M1"/>
    <mergeCell ref="A3:D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"/>
      <c r="B1" s="4" t="s">
        <v>17</v>
      </c>
      <c r="G1" s="33"/>
      <c r="H1" s="33"/>
    </row>
    <row r="2" ht="15.75" customHeight="1">
      <c r="A2" s="10"/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1" t="s">
        <v>9</v>
      </c>
      <c r="H2" s="11" t="s">
        <v>10</v>
      </c>
    </row>
    <row r="3" ht="15.75" customHeight="1">
      <c r="A3" s="14" t="s">
        <v>12</v>
      </c>
      <c r="B3" s="15">
        <f>COUNTA('Quadrat 1'!B5:B1000,'Quadrat 2'!B5:B1000,'Quadrat 3'!B5:B1000,'Quadrat 4'!B5:B1000,'Quadrat 5'!B5:B1000,'Quadrat 6'!B5:B1000)</f>
        <v>80</v>
      </c>
      <c r="C3" s="15">
        <f>B3/B6*100</f>
        <v>48.7804878</v>
      </c>
      <c r="D3" s="15">
        <f>AVERAGE('Quadrat 1'!B5:B1000,'Quadrat 2'!B5:B1000,'Quadrat 3'!B5:B1000,'Quadrat 4'!B5:B1000)</f>
        <v>100.3467949</v>
      </c>
      <c r="E3" s="15">
        <f>min('Quadrat 1'!B5:B1000,'Quadrat 2'!B5:B1000,'Quadrat 3'!B5:B1000,'Quadrat 4'!B5:B1000)</f>
        <v>35.46</v>
      </c>
      <c r="F3" s="15">
        <f>max('Quadrat 1'!B5:B1000,'Quadrat 2'!B5:B1000,'Quadrat 3'!B5:B1000,'Quadrat 4'!B5:B1000)</f>
        <v>158.44</v>
      </c>
      <c r="G3" s="34">
        <f>B3</f>
        <v>80</v>
      </c>
      <c r="H3" s="17">
        <f>G3*2</f>
        <v>160</v>
      </c>
    </row>
    <row r="4" ht="15.75" customHeight="1">
      <c r="A4" s="14" t="s">
        <v>13</v>
      </c>
      <c r="B4" s="15">
        <f>COUNTA('Quadrat 1'!C5:C1000,'Quadrat 2'!C5:C1000,'Quadrat 3'!C5:C1000,'Quadrat 4'!C5:C1000,'Quadrat 5'!C5:C1000,'Quadrat 6'!C5:C1000)</f>
        <v>86</v>
      </c>
      <c r="C4" s="15">
        <f>B4/B6*100</f>
        <v>52.43902439</v>
      </c>
      <c r="D4" s="15">
        <f>AVERAGE('Quadrat 1'!C5:C1000,'Quadrat 2'!C5:C1000,'Quadrat 3'!C5:C1000,'Quadrat 4'!C5:C1000)</f>
        <v>61.4827381</v>
      </c>
      <c r="E4" s="15">
        <f>MIN('Quadrat 1'!C5:C1000,'Quadrat 2'!C5:C1000,'Quadrat 3'!C5:C1000,'Quadrat 4'!C5:C1000)</f>
        <v>24.96</v>
      </c>
      <c r="F4" s="15">
        <f>MAX('Quadrat 1'!C5:C1000,'Quadrat 2'!C5:C1000,'Quadrat 3'!C5:C1000,'Quadrat 4'!C5:C1000)</f>
        <v>108.83</v>
      </c>
      <c r="G4" s="15"/>
      <c r="H4" s="15"/>
    </row>
    <row r="5" ht="15.75" customHeight="1">
      <c r="A5" s="14" t="s">
        <v>15</v>
      </c>
      <c r="B5" s="35">
        <f>COUNTA('Quadrat 1'!D5:D1000,'Quadrat 2'!D5:D1000,'Quadrat 3'!D5:D1000,'Quadrat 4'!D5:D1000,'Quadrat 5'!D5:D1000,'Quadrat 6'!D5:D1000)</f>
        <v>2</v>
      </c>
      <c r="C5" s="15">
        <f>B5/B6*100</f>
        <v>1.219512195</v>
      </c>
      <c r="D5" s="35" t="str">
        <f>average('Quadrat 1'!D5:D1000,'Quadrat 2'!D5:D1000,'Quadrat 3'!D5:D1000,'Quadrat 4'!D5:D1000)</f>
        <v>#DIV/0!</v>
      </c>
      <c r="E5" s="35">
        <f>min('Quadrat 1'!D5:D1000,'Quadrat 2'!D5:D1000,'Quadrat 3'!D5:D1000,'Quadrat 4'!D5:D1000)</f>
        <v>0</v>
      </c>
      <c r="F5" s="35">
        <f>max('Quadrat 1'!D5:D1000,'Quadrat 2'!D5:D1000,'Quadrat 3'!D5:D1000,'Quadrat 4'!D5:D1000)</f>
        <v>0</v>
      </c>
      <c r="G5" s="36"/>
      <c r="H5" s="36"/>
    </row>
    <row r="6" ht="15.75" customHeight="1">
      <c r="A6" s="14" t="s">
        <v>16</v>
      </c>
      <c r="B6" s="15">
        <f>COUNTA('Quadrat 1'!B5:D1000,'Quadrat 2'!B5:D1000,'Quadrat 3'!B5:D1000,'Quadrat 4'!B5:D1000,'Quadrat 5'!B5:D1000,'Quadrat 6'!B5:D1000)</f>
        <v>164</v>
      </c>
      <c r="C6" s="15">
        <f>B6/B6*100</f>
        <v>100</v>
      </c>
      <c r="D6" s="15">
        <f>average('Quadrat 1'!B5:D1000,'Quadrat 2'!B5:D1000,'Quadrat 3'!B5:D1000,'Quadrat 4'!B5:D1000)</f>
        <v>80.19506173</v>
      </c>
      <c r="E6" s="15">
        <f>min('Quadrat 1'!B5:D1000,'Quadrat 2'!B5:D1000,'Quadrat 3'!B5:D1000,'Quadrat 4'!B5:D1000)</f>
        <v>24.96</v>
      </c>
      <c r="F6" s="15">
        <f>max('Quadrat 1'!B5:D1000,'Quadrat 2'!B5:D1000,'Quadrat 3'!B5:D1000,'Quadrat 4'!B5:D1000)</f>
        <v>158.44</v>
      </c>
      <c r="G6" s="36"/>
      <c r="H6" s="36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7" max="7" width="16.75"/>
    <col customWidth="1" min="10" max="10" width="17.5"/>
  </cols>
  <sheetData>
    <row r="1" ht="15.75" customHeight="1">
      <c r="A1" s="16" t="s">
        <v>18</v>
      </c>
      <c r="B1" s="16" t="s">
        <v>19</v>
      </c>
      <c r="C1" s="16" t="s">
        <v>20</v>
      </c>
      <c r="D1" s="16" t="s">
        <v>21</v>
      </c>
      <c r="E1" s="37" t="s">
        <v>22</v>
      </c>
      <c r="F1" s="37" t="s">
        <v>0</v>
      </c>
      <c r="G1" s="16" t="s">
        <v>23</v>
      </c>
      <c r="H1" s="16" t="s">
        <v>24</v>
      </c>
      <c r="I1" s="16" t="s">
        <v>25</v>
      </c>
      <c r="J1" s="16" t="s">
        <v>26</v>
      </c>
      <c r="K1" s="16" t="s">
        <v>27</v>
      </c>
      <c r="L1" s="16" t="s">
        <v>28</v>
      </c>
      <c r="O1" s="38"/>
      <c r="P1" s="38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ht="15.75" customHeight="1">
      <c r="A2" s="40" t="str">
        <f t="shared" ref="A2:A13" si="1">if(len(C2)=1,concatenate(text(month(B2),"00"),right(year(B2),2),C2,"_0"),concatenate(text(month(B2),"00"),right(year(B2),2),C2,))</f>
        <v>0824GOLD</v>
      </c>
      <c r="B2" s="41">
        <v>45518.0</v>
      </c>
      <c r="C2" s="42" t="s">
        <v>29</v>
      </c>
      <c r="D2" s="43" t="s">
        <v>30</v>
      </c>
      <c r="E2" s="44">
        <v>0.5</v>
      </c>
      <c r="F2" s="45">
        <f>IFERROR(__xludf.DUMMYFUNCTION("TRANSPOSE(SPLIT(JOIN("","", 'Quadrat 1'!A2, 'Quadrat 2'!A2, 'Quadrat 3'!A2,'Quadrat 4'!A2,'Quadrat 5'!A2,'Quadrat 6'!A2), "",""))"),1.0)</f>
        <v>1</v>
      </c>
      <c r="G2" s="45" t="str">
        <f>IFERROR(__xludf.DUMMYFUNCTION("TRANSPOSE(SPLIT(JOIN("","", 'Quadrat 1'!D2, 'Quadrat 2'!D2, 'Quadrat 3'!D2,'Quadrat 4'!D2,'Quadrat 5'!D2,'Quadrat 6'!D2), "",""))"),",,,,,")</f>
        <v>,,,,,</v>
      </c>
      <c r="H2" s="45">
        <f>IFERROR(__xludf.DUMMYFUNCTION("TRANSPOSE(SPLIT(JOIN("","", 'Quadrat 1'!M3, 'Quadrat 2'!M3, 'Quadrat 3'!M3,'Quadrat 4'!M3,'Quadrat 5'!M3,'Quadrat 6'!M3), "",""))"),2.0)</f>
        <v>2</v>
      </c>
      <c r="I2" s="45">
        <f>IFERROR(__xludf.DUMMYFUNCTION("TRANSPOSE(SPLIT(JOIN("","", 'Quadrat 1'!M4, 'Quadrat 2'!M4, 'Quadrat 3'!M4,'Quadrat 4'!M4,'Quadrat 5'!M4,'Quadrat 6'!M4), "",""))"),11.0)</f>
        <v>11</v>
      </c>
      <c r="J2" s="45">
        <f>IFERROR(__xludf.DUMMYFUNCTION("TRANSPOSE(SPLIT(JOIN("","", 'Quadrat 1'!M5, 'Quadrat 2'!M5, 'Quadrat 3'!M5,'Quadrat 4'!M5,'Quadrat 5'!M5,'Quadrat 6'!M5), "",""))"),0.0)</f>
        <v>0</v>
      </c>
      <c r="K2" s="46">
        <v>28.0</v>
      </c>
      <c r="L2" s="47">
        <f>70/81</f>
        <v>0.8641975309</v>
      </c>
    </row>
    <row r="3" ht="15.75" customHeight="1">
      <c r="A3" s="40" t="str">
        <f t="shared" si="1"/>
        <v>0824GOLD</v>
      </c>
      <c r="B3" s="48">
        <f t="shared" ref="B3:D3" si="2">B2</f>
        <v>45518</v>
      </c>
      <c r="C3" s="45" t="str">
        <f t="shared" si="2"/>
        <v>GOLD</v>
      </c>
      <c r="D3" s="45" t="str">
        <f t="shared" si="2"/>
        <v>CT</v>
      </c>
      <c r="E3" s="44">
        <v>0.5</v>
      </c>
      <c r="F3" s="49">
        <f>IFERROR(__xludf.DUMMYFUNCTION("""COMPUTED_VALUE"""),2.0)</f>
        <v>2</v>
      </c>
      <c r="G3" s="45"/>
      <c r="H3" s="45">
        <f>IFERROR(__xludf.DUMMYFUNCTION("""COMPUTED_VALUE"""),5.0)</f>
        <v>5</v>
      </c>
      <c r="I3" s="45">
        <f>IFERROR(__xludf.DUMMYFUNCTION("""COMPUTED_VALUE"""),18.0)</f>
        <v>18</v>
      </c>
      <c r="J3" s="45">
        <f>IFERROR(__xludf.DUMMYFUNCTION("""COMPUTED_VALUE"""),0.0)</f>
        <v>0</v>
      </c>
      <c r="K3" s="46">
        <v>32.0</v>
      </c>
      <c r="L3" s="46">
        <f>70/85</f>
        <v>0.8235294118</v>
      </c>
    </row>
    <row r="4" ht="15.75" customHeight="1">
      <c r="A4" s="40" t="str">
        <f t="shared" si="1"/>
        <v>0824GOLD</v>
      </c>
      <c r="B4" s="48">
        <f t="shared" ref="B4:D4" si="3">B3</f>
        <v>45518</v>
      </c>
      <c r="C4" s="45" t="str">
        <f t="shared" si="3"/>
        <v>GOLD</v>
      </c>
      <c r="D4" s="45" t="str">
        <f t="shared" si="3"/>
        <v>CT</v>
      </c>
      <c r="E4" s="44">
        <v>0.5</v>
      </c>
      <c r="F4" s="49">
        <f>IFERROR(__xludf.DUMMYFUNCTION("""COMPUTED_VALUE"""),3.0)</f>
        <v>3</v>
      </c>
      <c r="G4" s="45"/>
      <c r="H4" s="45">
        <f>IFERROR(__xludf.DUMMYFUNCTION("""COMPUTED_VALUE"""),17.0)</f>
        <v>17</v>
      </c>
      <c r="I4" s="45">
        <f>IFERROR(__xludf.DUMMYFUNCTION("""COMPUTED_VALUE"""),13.0)</f>
        <v>13</v>
      </c>
      <c r="J4" s="45">
        <f>IFERROR(__xludf.DUMMYFUNCTION("""COMPUTED_VALUE"""),0.0)</f>
        <v>0</v>
      </c>
      <c r="K4" s="46">
        <v>24.0</v>
      </c>
      <c r="L4" s="47">
        <f>70/90</f>
        <v>0.7777777778</v>
      </c>
    </row>
    <row r="5" ht="15.75" customHeight="1">
      <c r="A5" s="40" t="str">
        <f t="shared" si="1"/>
        <v>0824GOLD</v>
      </c>
      <c r="B5" s="48">
        <f t="shared" ref="B5:D5" si="4">B4</f>
        <v>45518</v>
      </c>
      <c r="C5" s="45" t="str">
        <f t="shared" si="4"/>
        <v>GOLD</v>
      </c>
      <c r="D5" s="45" t="str">
        <f t="shared" si="4"/>
        <v>CT</v>
      </c>
      <c r="E5" s="44">
        <v>0.5</v>
      </c>
      <c r="F5" s="49">
        <f>IFERROR(__xludf.DUMMYFUNCTION("""COMPUTED_VALUE"""),4.0)</f>
        <v>4</v>
      </c>
      <c r="G5" s="45"/>
      <c r="H5" s="45">
        <f>IFERROR(__xludf.DUMMYFUNCTION("""COMPUTED_VALUE"""),62.0)</f>
        <v>62</v>
      </c>
      <c r="I5" s="45">
        <f>IFERROR(__xludf.DUMMYFUNCTION("""COMPUTED_VALUE"""),45.0)</f>
        <v>45</v>
      </c>
      <c r="J5" s="45">
        <f>IFERROR(__xludf.DUMMYFUNCTION("""COMPUTED_VALUE"""),0.0)</f>
        <v>0</v>
      </c>
      <c r="K5" s="46">
        <v>33.0</v>
      </c>
      <c r="L5" s="47">
        <f>70/97</f>
        <v>0.7216494845</v>
      </c>
    </row>
    <row r="6" ht="15.75" customHeight="1">
      <c r="A6" s="40" t="str">
        <f t="shared" si="1"/>
        <v>0824GOLD</v>
      </c>
      <c r="B6" s="48">
        <f t="shared" ref="B6:D6" si="5">B5</f>
        <v>45518</v>
      </c>
      <c r="C6" s="45" t="str">
        <f t="shared" si="5"/>
        <v>GOLD</v>
      </c>
      <c r="D6" s="45" t="str">
        <f t="shared" si="5"/>
        <v>CT</v>
      </c>
      <c r="E6" s="44">
        <v>0.5</v>
      </c>
      <c r="F6" s="50">
        <f>IFERROR(__xludf.DUMMYFUNCTION("""COMPUTED_VALUE"""),5.0)</f>
        <v>5</v>
      </c>
      <c r="G6" s="51"/>
      <c r="H6" s="51">
        <f>IFERROR(__xludf.DUMMYFUNCTION("""COMPUTED_VALUE"""),28.0)</f>
        <v>28</v>
      </c>
      <c r="I6" s="51">
        <f>IFERROR(__xludf.DUMMYFUNCTION("""COMPUTED_VALUE"""),33.0)</f>
        <v>33</v>
      </c>
      <c r="J6" s="51">
        <f>IFERROR(__xludf.DUMMYFUNCTION("""COMPUTED_VALUE"""),0.0)</f>
        <v>0</v>
      </c>
    </row>
    <row r="7" ht="15.75" customHeight="1">
      <c r="A7" s="40" t="str">
        <f t="shared" si="1"/>
        <v>0824GOLD</v>
      </c>
      <c r="B7" s="48">
        <f t="shared" ref="B7:D7" si="6">B6</f>
        <v>45518</v>
      </c>
      <c r="C7" s="45" t="str">
        <f t="shared" si="6"/>
        <v>GOLD</v>
      </c>
      <c r="D7" s="45" t="str">
        <f t="shared" si="6"/>
        <v>CT</v>
      </c>
      <c r="E7" s="44">
        <v>0.5</v>
      </c>
      <c r="F7" s="50">
        <f>IFERROR(__xludf.DUMMYFUNCTION("""COMPUTED_VALUE"""),6.0)</f>
        <v>6</v>
      </c>
      <c r="G7" s="51"/>
      <c r="H7" s="51">
        <f>IFERROR(__xludf.DUMMYFUNCTION("""COMPUTED_VALUE"""),56.0)</f>
        <v>56</v>
      </c>
      <c r="I7" s="51">
        <f>IFERROR(__xludf.DUMMYFUNCTION("""COMPUTED_VALUE"""),43.0)</f>
        <v>43</v>
      </c>
      <c r="J7" s="51">
        <f>IFERROR(__xludf.DUMMYFUNCTION("""COMPUTED_VALUE"""),0.0)</f>
        <v>0</v>
      </c>
    </row>
    <row r="8" ht="15.75" customHeight="1">
      <c r="A8" s="40" t="str">
        <f t="shared" si="1"/>
        <v>0824GOLD</v>
      </c>
      <c r="B8" s="48">
        <f t="shared" ref="B8:D8" si="7">B7</f>
        <v>45518</v>
      </c>
      <c r="C8" s="45" t="str">
        <f t="shared" si="7"/>
        <v>GOLD</v>
      </c>
      <c r="D8" s="45" t="str">
        <f t="shared" si="7"/>
        <v>CT</v>
      </c>
      <c r="E8" s="44">
        <v>0.5</v>
      </c>
      <c r="F8" s="50"/>
      <c r="G8" s="51"/>
      <c r="H8" s="51"/>
      <c r="I8" s="51"/>
      <c r="J8" s="51"/>
    </row>
    <row r="9" ht="15.75" customHeight="1">
      <c r="A9" s="40" t="str">
        <f t="shared" si="1"/>
        <v>0824GOLD</v>
      </c>
      <c r="B9" s="48">
        <f t="shared" ref="B9:D9" si="8">B8</f>
        <v>45518</v>
      </c>
      <c r="C9" s="45" t="str">
        <f t="shared" si="8"/>
        <v>GOLD</v>
      </c>
      <c r="D9" s="45" t="str">
        <f t="shared" si="8"/>
        <v>CT</v>
      </c>
      <c r="E9" s="44">
        <v>0.5</v>
      </c>
      <c r="F9" s="50"/>
      <c r="G9" s="51"/>
      <c r="H9" s="51"/>
      <c r="I9" s="51"/>
      <c r="J9" s="51"/>
    </row>
    <row r="10" ht="15.75" customHeight="1">
      <c r="A10" s="40" t="str">
        <f t="shared" si="1"/>
        <v>0824GOLD</v>
      </c>
      <c r="B10" s="48">
        <f t="shared" ref="B10:D10" si="9">B9</f>
        <v>45518</v>
      </c>
      <c r="C10" s="45" t="str">
        <f t="shared" si="9"/>
        <v>GOLD</v>
      </c>
      <c r="D10" s="45" t="str">
        <f t="shared" si="9"/>
        <v>CT</v>
      </c>
      <c r="E10" s="44">
        <v>0.5</v>
      </c>
      <c r="F10" s="50"/>
      <c r="G10" s="51"/>
      <c r="H10" s="51"/>
      <c r="I10" s="51"/>
      <c r="J10" s="51"/>
    </row>
    <row r="11" ht="15.75" customHeight="1">
      <c r="A11" s="40" t="str">
        <f t="shared" si="1"/>
        <v>0824GOLD</v>
      </c>
      <c r="B11" s="48">
        <f t="shared" ref="B11:D11" si="10">B10</f>
        <v>45518</v>
      </c>
      <c r="C11" s="45" t="str">
        <f t="shared" si="10"/>
        <v>GOLD</v>
      </c>
      <c r="D11" s="45" t="str">
        <f t="shared" si="10"/>
        <v>CT</v>
      </c>
      <c r="E11" s="44">
        <v>0.5</v>
      </c>
      <c r="F11" s="50"/>
      <c r="G11" s="51"/>
      <c r="H11" s="51"/>
      <c r="I11" s="51"/>
      <c r="J11" s="51"/>
    </row>
    <row r="12" ht="15.75" customHeight="1">
      <c r="A12" s="40" t="str">
        <f t="shared" si="1"/>
        <v>0824GOLD</v>
      </c>
      <c r="B12" s="48">
        <f t="shared" ref="B12:D12" si="11">B11</f>
        <v>45518</v>
      </c>
      <c r="C12" s="45" t="str">
        <f t="shared" si="11"/>
        <v>GOLD</v>
      </c>
      <c r="D12" s="45" t="str">
        <f t="shared" si="11"/>
        <v>CT</v>
      </c>
      <c r="E12" s="44">
        <v>0.5</v>
      </c>
      <c r="F12" s="50"/>
      <c r="G12" s="51"/>
      <c r="H12" s="51"/>
      <c r="I12" s="51"/>
      <c r="J12" s="51"/>
    </row>
    <row r="13" ht="15.75" customHeight="1">
      <c r="A13" s="40" t="str">
        <f t="shared" si="1"/>
        <v>0824GOLD</v>
      </c>
      <c r="B13" s="48">
        <f t="shared" ref="B13:D13" si="12">B12</f>
        <v>45518</v>
      </c>
      <c r="C13" s="45" t="str">
        <f t="shared" si="12"/>
        <v>GOLD</v>
      </c>
      <c r="D13" s="45" t="str">
        <f t="shared" si="12"/>
        <v>CT</v>
      </c>
      <c r="E13" s="44">
        <v>0.5</v>
      </c>
      <c r="F13" s="50"/>
      <c r="G13" s="51"/>
      <c r="H13" s="51"/>
      <c r="I13" s="51"/>
      <c r="J13" s="51"/>
    </row>
    <row r="14" ht="15.75" customHeight="1">
      <c r="A14" s="52"/>
      <c r="B14" s="53"/>
      <c r="C14" s="38"/>
      <c r="D14" s="38"/>
      <c r="H14" s="38"/>
      <c r="I14" s="38"/>
      <c r="J14" s="38"/>
    </row>
    <row r="15" ht="15.75" customHeight="1">
      <c r="A15" s="52"/>
      <c r="B15" s="53"/>
      <c r="C15" s="38"/>
      <c r="D15" s="38"/>
    </row>
    <row r="16" ht="15.75" customHeight="1">
      <c r="A16" s="52"/>
      <c r="B16" s="53"/>
      <c r="C16" s="38"/>
      <c r="D16" s="38"/>
    </row>
    <row r="17" ht="15.75" customHeight="1">
      <c r="A17" s="52"/>
      <c r="B17" s="53"/>
      <c r="C17" s="38"/>
      <c r="D17" s="38"/>
    </row>
    <row r="18" ht="15.75" customHeight="1">
      <c r="A18" s="52"/>
      <c r="B18" s="53"/>
      <c r="C18" s="38"/>
      <c r="D18" s="38"/>
    </row>
    <row r="19" ht="15.75" customHeight="1">
      <c r="A19" s="52"/>
      <c r="B19" s="53"/>
      <c r="C19" s="38"/>
      <c r="D19" s="38"/>
    </row>
    <row r="20" ht="15.75" customHeight="1">
      <c r="A20" s="52"/>
      <c r="B20" s="53"/>
      <c r="C20" s="38"/>
      <c r="D20" s="38"/>
    </row>
    <row r="21" ht="15.75" customHeight="1">
      <c r="A21" s="52"/>
      <c r="B21" s="53"/>
      <c r="C21" s="38"/>
      <c r="D21" s="38"/>
    </row>
    <row r="22" ht="15.75" customHeight="1">
      <c r="A22" s="52"/>
      <c r="B22" s="53"/>
      <c r="C22" s="38"/>
      <c r="D22" s="38"/>
    </row>
    <row r="23" ht="15.75" customHeight="1">
      <c r="A23" s="52"/>
      <c r="B23" s="53"/>
      <c r="C23" s="38"/>
      <c r="D23" s="38"/>
    </row>
    <row r="24" ht="15.75" customHeight="1">
      <c r="A24" s="52"/>
      <c r="B24" s="53"/>
      <c r="C24" s="38"/>
      <c r="D24" s="38"/>
    </row>
    <row r="25" ht="15.75" customHeight="1">
      <c r="A25" s="52"/>
      <c r="B25" s="53"/>
      <c r="C25" s="38"/>
      <c r="D25" s="38"/>
    </row>
    <row r="26" ht="15.75" customHeight="1">
      <c r="A26" s="52"/>
      <c r="B26" s="53"/>
      <c r="C26" s="38"/>
      <c r="D26" s="38"/>
    </row>
    <row r="27" ht="15.75" customHeight="1">
      <c r="A27" s="52"/>
      <c r="B27" s="53"/>
      <c r="C27" s="38"/>
      <c r="D27" s="38"/>
    </row>
    <row r="28" ht="15.75" customHeight="1">
      <c r="A28" s="52"/>
      <c r="B28" s="53"/>
      <c r="C28" s="38"/>
      <c r="D28" s="38"/>
    </row>
    <row r="29" ht="15.75" customHeight="1">
      <c r="A29" s="52"/>
      <c r="B29" s="53"/>
      <c r="C29" s="38"/>
      <c r="D29" s="38"/>
    </row>
    <row r="30" ht="15.75" customHeight="1">
      <c r="A30" s="52"/>
      <c r="B30" s="53"/>
      <c r="C30" s="38"/>
      <c r="D30" s="38"/>
    </row>
    <row r="31" ht="15.75" customHeight="1">
      <c r="A31" s="52"/>
      <c r="B31" s="53"/>
      <c r="C31" s="38"/>
      <c r="D31" s="38"/>
    </row>
    <row r="32" ht="15.75" customHeight="1">
      <c r="A32" s="53"/>
      <c r="B32" s="53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ht="15.75" customHeight="1">
      <c r="A33" s="53"/>
      <c r="B33" s="53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ht="15.75" customHeight="1">
      <c r="A34" s="53"/>
      <c r="B34" s="53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ht="15.75" customHeight="1">
      <c r="A35" s="53"/>
      <c r="B35" s="53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ht="15.75" customHeight="1">
      <c r="A36" s="53"/>
      <c r="B36" s="53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ht="15.75" customHeight="1">
      <c r="A37" s="53"/>
      <c r="B37" s="53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ht="15.75" customHeight="1">
      <c r="A38" s="53"/>
      <c r="B38" s="53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ht="15.75" customHeight="1">
      <c r="A39" s="53"/>
      <c r="B39" s="53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ht="15.75" customHeight="1">
      <c r="A40" s="53"/>
      <c r="B40" s="53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ht="15.75" customHeight="1">
      <c r="A41" s="53"/>
      <c r="B41" s="53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ht="15.75" customHeight="1">
      <c r="A42" s="53"/>
      <c r="B42" s="53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ht="15.75" customHeight="1">
      <c r="A43" s="53"/>
      <c r="B43" s="53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ht="15.75" customHeight="1">
      <c r="A44" s="53"/>
      <c r="B44" s="53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ht="15.75" customHeight="1">
      <c r="A45" s="53"/>
      <c r="B45" s="53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ht="15.75" customHeight="1">
      <c r="A46" s="53"/>
      <c r="B46" s="53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ht="15.75" customHeight="1">
      <c r="A47" s="53"/>
      <c r="B47" s="53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ht="15.75" customHeight="1">
      <c r="A48" s="53"/>
      <c r="B48" s="53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ht="15.75" customHeight="1">
      <c r="A49" s="53"/>
      <c r="B49" s="53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ht="15.75" customHeight="1">
      <c r="A50" s="53"/>
      <c r="B50" s="53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ht="15.75" customHeight="1">
      <c r="A51" s="53"/>
      <c r="B51" s="53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ht="15.75" customHeight="1">
      <c r="A52" s="53"/>
      <c r="B52" s="53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ht="15.75" customHeight="1">
      <c r="A53" s="53"/>
      <c r="B53" s="53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ht="15.75" customHeight="1">
      <c r="A54" s="53"/>
      <c r="B54" s="53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ht="15.75" customHeight="1">
      <c r="A55" s="53"/>
      <c r="B55" s="53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ht="15.75" customHeight="1">
      <c r="A56" s="53"/>
      <c r="B56" s="53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ht="15.75" customHeight="1">
      <c r="A57" s="53"/>
      <c r="B57" s="53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ht="15.75" customHeight="1">
      <c r="A58" s="53"/>
      <c r="B58" s="53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ht="15.75" customHeight="1">
      <c r="A59" s="53"/>
      <c r="B59" s="53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ht="15.75" customHeight="1">
      <c r="A60" s="53"/>
      <c r="B60" s="53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ht="15.75" customHeight="1">
      <c r="A61" s="53"/>
      <c r="B61" s="53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ht="15.75" customHeight="1">
      <c r="A62" s="53"/>
      <c r="B62" s="53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ht="15.75" customHeight="1">
      <c r="A63" s="53"/>
      <c r="B63" s="53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ht="15.75" customHeight="1">
      <c r="A64" s="53"/>
      <c r="B64" s="53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ht="15.75" customHeight="1">
      <c r="A65" s="53"/>
      <c r="B65" s="53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ht="15.75" customHeight="1">
      <c r="A66" s="53"/>
      <c r="B66" s="53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ht="15.75" customHeight="1">
      <c r="A67" s="53"/>
      <c r="B67" s="53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ht="15.75" customHeight="1">
      <c r="A68" s="53"/>
      <c r="B68" s="53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ht="15.75" customHeight="1">
      <c r="A69" s="53"/>
      <c r="B69" s="53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ht="15.75" customHeight="1">
      <c r="A70" s="53"/>
      <c r="B70" s="53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ht="15.75" customHeight="1">
      <c r="A71" s="53"/>
      <c r="B71" s="53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ht="15.75" customHeight="1">
      <c r="A72" s="53"/>
      <c r="B72" s="53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ht="15.75" customHeight="1">
      <c r="A73" s="53"/>
      <c r="B73" s="53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ht="15.75" customHeight="1">
      <c r="A74" s="53"/>
      <c r="B74" s="53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ht="15.75" customHeight="1">
      <c r="A75" s="53"/>
      <c r="B75" s="53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ht="15.75" customHeight="1">
      <c r="A76" s="53"/>
      <c r="B76" s="53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ht="15.75" customHeight="1">
      <c r="A77" s="53"/>
      <c r="B77" s="53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ht="15.75" customHeight="1">
      <c r="A78" s="53"/>
      <c r="B78" s="53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ht="15.75" customHeight="1">
      <c r="A79" s="53"/>
      <c r="B79" s="53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ht="15.75" customHeight="1">
      <c r="A80" s="53"/>
      <c r="B80" s="53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ht="15.75" customHeight="1">
      <c r="A81" s="53"/>
      <c r="B81" s="53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ht="15.75" customHeight="1">
      <c r="A82" s="53"/>
      <c r="B82" s="53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ht="15.75" customHeight="1">
      <c r="A83" s="53"/>
      <c r="B83" s="53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ht="15.75" customHeight="1">
      <c r="A84" s="53"/>
      <c r="B84" s="53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ht="15.75" customHeight="1">
      <c r="A85" s="53"/>
      <c r="B85" s="53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ht="15.75" customHeight="1">
      <c r="A86" s="53"/>
      <c r="B86" s="53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ht="15.75" customHeight="1">
      <c r="A87" s="53"/>
      <c r="B87" s="53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ht="15.75" customHeight="1">
      <c r="A88" s="53"/>
      <c r="B88" s="53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ht="15.75" customHeight="1">
      <c r="A89" s="53"/>
      <c r="B89" s="53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ht="15.75" customHeight="1">
      <c r="A90" s="53"/>
      <c r="B90" s="53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ht="15.75" customHeight="1">
      <c r="A91" s="53"/>
      <c r="B91" s="53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ht="15.75" customHeight="1">
      <c r="A92" s="53"/>
      <c r="B92" s="53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ht="15.75" customHeight="1">
      <c r="A93" s="53"/>
      <c r="B93" s="53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ht="15.75" customHeight="1">
      <c r="A94" s="53"/>
      <c r="B94" s="53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ht="15.75" customHeight="1">
      <c r="A95" s="53"/>
      <c r="B95" s="53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ht="15.75" customHeight="1">
      <c r="A96" s="53"/>
      <c r="B96" s="53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ht="15.75" customHeight="1">
      <c r="A97" s="53"/>
      <c r="B97" s="53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ht="15.75" customHeight="1">
      <c r="A98" s="53"/>
      <c r="B98" s="53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ht="15.75" customHeight="1">
      <c r="A99" s="53"/>
      <c r="B99" s="53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ht="15.75" customHeight="1">
      <c r="A100" s="53"/>
      <c r="B100" s="53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ht="15.75" customHeight="1">
      <c r="A101" s="53"/>
      <c r="B101" s="53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ht="15.75" customHeight="1">
      <c r="A102" s="53"/>
      <c r="B102" s="53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ht="15.75" customHeight="1">
      <c r="A103" s="53"/>
      <c r="B103" s="53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ht="15.75" customHeight="1">
      <c r="A104" s="53"/>
      <c r="B104" s="53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ht="15.75" customHeight="1">
      <c r="A105" s="53"/>
      <c r="B105" s="53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ht="15.75" customHeight="1">
      <c r="A106" s="53"/>
      <c r="B106" s="53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ht="15.75" customHeight="1">
      <c r="A107" s="53"/>
      <c r="B107" s="53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ht="15.75" customHeight="1">
      <c r="A108" s="53"/>
      <c r="B108" s="53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ht="15.75" customHeight="1">
      <c r="A109" s="53"/>
      <c r="B109" s="53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ht="15.75" customHeight="1">
      <c r="A110" s="53"/>
      <c r="B110" s="53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ht="15.75" customHeight="1">
      <c r="A111" s="53"/>
      <c r="B111" s="53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ht="15.75" customHeight="1">
      <c r="A112" s="53"/>
      <c r="B112" s="53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ht="15.75" customHeight="1">
      <c r="A113" s="53"/>
      <c r="B113" s="53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ht="15.75" customHeight="1">
      <c r="A114" s="53"/>
      <c r="B114" s="53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ht="15.75" customHeight="1">
      <c r="A115" s="53"/>
      <c r="B115" s="53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ht="15.75" customHeight="1">
      <c r="A116" s="53"/>
      <c r="B116" s="53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ht="15.75" customHeight="1">
      <c r="A117" s="53"/>
      <c r="B117" s="53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ht="15.75" customHeight="1">
      <c r="A118" s="53"/>
      <c r="B118" s="53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ht="15.75" customHeight="1">
      <c r="A119" s="53"/>
      <c r="B119" s="53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ht="15.75" customHeight="1">
      <c r="A120" s="53"/>
      <c r="B120" s="53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ht="15.75" customHeight="1">
      <c r="A121" s="53"/>
      <c r="B121" s="53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ht="15.75" customHeight="1">
      <c r="A122" s="53"/>
      <c r="B122" s="53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ht="15.75" customHeight="1">
      <c r="A123" s="53"/>
      <c r="B123" s="53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ht="15.75" customHeight="1">
      <c r="A124" s="53"/>
      <c r="B124" s="53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ht="15.75" customHeight="1">
      <c r="A125" s="53"/>
      <c r="B125" s="53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ht="15.75" customHeight="1">
      <c r="A126" s="53"/>
      <c r="B126" s="53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ht="15.75" customHeight="1">
      <c r="A127" s="53"/>
      <c r="B127" s="53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ht="15.75" customHeight="1">
      <c r="A128" s="53"/>
      <c r="B128" s="53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ht="15.75" customHeight="1">
      <c r="A129" s="53"/>
      <c r="B129" s="53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ht="15.75" customHeight="1">
      <c r="A130" s="53"/>
      <c r="B130" s="53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ht="15.75" customHeight="1">
      <c r="A131" s="53"/>
      <c r="B131" s="53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ht="15.75" customHeight="1">
      <c r="A132" s="53"/>
      <c r="B132" s="53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ht="15.75" customHeight="1">
      <c r="A133" s="53"/>
      <c r="B133" s="53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ht="15.75" customHeight="1">
      <c r="A134" s="53"/>
      <c r="B134" s="53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ht="15.75" customHeight="1">
      <c r="A135" s="53"/>
      <c r="B135" s="53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ht="15.75" customHeight="1">
      <c r="A136" s="53"/>
      <c r="B136" s="53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ht="15.75" customHeight="1">
      <c r="A137" s="53"/>
      <c r="B137" s="53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ht="15.75" customHeight="1">
      <c r="A138" s="53"/>
      <c r="B138" s="53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ht="15.75" customHeight="1">
      <c r="A139" s="53"/>
      <c r="B139" s="53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ht="15.75" customHeight="1">
      <c r="A140" s="53"/>
      <c r="B140" s="53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ht="15.75" customHeight="1">
      <c r="A141" s="53"/>
      <c r="B141" s="53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ht="15.75" customHeight="1">
      <c r="A142" s="53"/>
      <c r="B142" s="53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ht="15.75" customHeight="1">
      <c r="A143" s="53"/>
      <c r="B143" s="53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ht="15.75" customHeight="1">
      <c r="A144" s="53"/>
      <c r="B144" s="53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ht="15.75" customHeight="1">
      <c r="A145" s="53"/>
      <c r="B145" s="53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ht="15.75" customHeight="1">
      <c r="A146" s="53"/>
      <c r="B146" s="53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ht="15.75" customHeight="1">
      <c r="A147" s="53"/>
      <c r="B147" s="53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ht="15.75" customHeight="1">
      <c r="A148" s="53"/>
      <c r="B148" s="53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ht="15.75" customHeight="1">
      <c r="A149" s="53"/>
      <c r="B149" s="53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ht="15.75" customHeight="1">
      <c r="A150" s="53"/>
      <c r="B150" s="53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ht="15.75" customHeight="1">
      <c r="A151" s="53"/>
      <c r="B151" s="53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ht="15.75" customHeight="1">
      <c r="A152" s="53"/>
      <c r="B152" s="53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ht="15.75" customHeight="1">
      <c r="A153" s="53"/>
      <c r="B153" s="53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ht="15.75" customHeight="1">
      <c r="A154" s="53"/>
      <c r="B154" s="53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ht="15.75" customHeight="1">
      <c r="A155" s="53"/>
      <c r="B155" s="53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ht="15.75" customHeight="1">
      <c r="A156" s="53"/>
      <c r="B156" s="53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ht="15.75" customHeight="1">
      <c r="A157" s="53"/>
      <c r="B157" s="53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ht="15.75" customHeight="1">
      <c r="A158" s="53"/>
      <c r="B158" s="53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ht="15.75" customHeight="1">
      <c r="A159" s="53"/>
      <c r="B159" s="53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ht="15.75" customHeight="1">
      <c r="A160" s="53"/>
      <c r="B160" s="53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ht="15.75" customHeight="1">
      <c r="A161" s="53"/>
      <c r="B161" s="53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ht="15.75" customHeight="1">
      <c r="A162" s="53"/>
      <c r="B162" s="53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ht="15.75" customHeight="1">
      <c r="A163" s="53"/>
      <c r="B163" s="53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ht="15.75" customHeight="1">
      <c r="A164" s="53"/>
      <c r="B164" s="53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ht="15.75" customHeight="1">
      <c r="A165" s="53"/>
      <c r="B165" s="53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ht="15.75" customHeight="1">
      <c r="A166" s="53"/>
      <c r="B166" s="53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ht="15.75" customHeight="1">
      <c r="A167" s="53"/>
      <c r="B167" s="53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ht="15.75" customHeight="1">
      <c r="A168" s="53"/>
      <c r="B168" s="53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ht="15.75" customHeight="1">
      <c r="A169" s="53"/>
      <c r="B169" s="53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ht="15.75" customHeight="1">
      <c r="A170" s="53"/>
      <c r="B170" s="53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ht="15.75" customHeight="1">
      <c r="A171" s="53"/>
      <c r="B171" s="53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ht="15.75" customHeight="1">
      <c r="A172" s="53"/>
      <c r="B172" s="53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ht="15.75" customHeight="1">
      <c r="A173" s="53"/>
      <c r="B173" s="53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ht="15.75" customHeight="1">
      <c r="A174" s="53"/>
      <c r="B174" s="53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ht="15.75" customHeight="1">
      <c r="A175" s="53"/>
      <c r="B175" s="53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ht="15.75" customHeight="1">
      <c r="A176" s="53"/>
      <c r="B176" s="53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ht="15.75" customHeight="1">
      <c r="A177" s="53"/>
      <c r="B177" s="53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ht="15.75" customHeight="1">
      <c r="A178" s="53"/>
      <c r="B178" s="53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ht="15.75" customHeight="1">
      <c r="A179" s="53"/>
      <c r="B179" s="53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ht="15.75" customHeight="1">
      <c r="A180" s="53"/>
      <c r="B180" s="53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ht="15.75" customHeight="1">
      <c r="A181" s="53"/>
      <c r="B181" s="53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ht="15.75" customHeight="1">
      <c r="A182" s="53"/>
      <c r="B182" s="53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ht="15.75" customHeight="1">
      <c r="A183" s="53"/>
      <c r="B183" s="53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ht="15.75" customHeight="1">
      <c r="A184" s="53"/>
      <c r="B184" s="53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ht="15.75" customHeight="1">
      <c r="A185" s="53"/>
      <c r="B185" s="53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ht="15.75" customHeight="1">
      <c r="A186" s="53"/>
      <c r="B186" s="53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ht="15.75" customHeight="1">
      <c r="A187" s="53"/>
      <c r="B187" s="53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ht="15.75" customHeight="1">
      <c r="A188" s="53"/>
      <c r="B188" s="53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ht="15.75" customHeight="1">
      <c r="A189" s="53"/>
      <c r="B189" s="53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ht="15.75" customHeight="1">
      <c r="A190" s="53"/>
      <c r="B190" s="53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ht="15.75" customHeight="1">
      <c r="A191" s="53"/>
      <c r="B191" s="53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ht="15.75" customHeight="1">
      <c r="A192" s="53"/>
      <c r="B192" s="53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ht="15.75" customHeight="1">
      <c r="A193" s="53"/>
      <c r="B193" s="53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ht="15.75" customHeight="1">
      <c r="A194" s="53"/>
      <c r="B194" s="53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ht="15.75" customHeight="1">
      <c r="A195" s="53"/>
      <c r="B195" s="53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ht="15.75" customHeight="1">
      <c r="A196" s="53"/>
      <c r="B196" s="53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ht="15.75" customHeight="1">
      <c r="A197" s="53"/>
      <c r="B197" s="53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ht="15.75" customHeight="1">
      <c r="A198" s="53"/>
      <c r="B198" s="53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ht="15.75" customHeight="1">
      <c r="A199" s="53"/>
      <c r="B199" s="53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ht="15.75" customHeight="1">
      <c r="A200" s="53"/>
      <c r="B200" s="53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ht="15.75" customHeight="1">
      <c r="A201" s="53"/>
      <c r="B201" s="53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ht="15.75" customHeight="1">
      <c r="A202" s="53"/>
      <c r="B202" s="53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ht="15.75" customHeight="1">
      <c r="A203" s="53"/>
      <c r="B203" s="53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ht="15.75" customHeight="1">
      <c r="A204" s="53"/>
      <c r="B204" s="53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ht="15.75" customHeight="1">
      <c r="A205" s="53"/>
      <c r="B205" s="53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ht="15.75" customHeight="1">
      <c r="A206" s="53"/>
      <c r="B206" s="53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ht="15.75" customHeight="1">
      <c r="A207" s="53"/>
      <c r="B207" s="53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ht="15.75" customHeight="1">
      <c r="A208" s="53"/>
      <c r="B208" s="53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ht="15.75" customHeight="1">
      <c r="A209" s="53"/>
      <c r="B209" s="53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ht="15.75" customHeight="1">
      <c r="A210" s="53"/>
      <c r="B210" s="53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ht="15.75" customHeight="1">
      <c r="A211" s="53"/>
      <c r="B211" s="53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ht="15.75" customHeight="1">
      <c r="A212" s="53"/>
      <c r="B212" s="53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ht="15.75" customHeight="1">
      <c r="A213" s="53"/>
      <c r="B213" s="53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ht="15.75" customHeight="1">
      <c r="A214" s="53"/>
      <c r="B214" s="53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ht="15.75" customHeight="1">
      <c r="A215" s="53"/>
      <c r="B215" s="53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ht="15.75" customHeight="1">
      <c r="A216" s="53"/>
      <c r="B216" s="53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ht="15.75" customHeight="1">
      <c r="A217" s="53"/>
      <c r="B217" s="53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ht="15.75" customHeight="1">
      <c r="A218" s="53"/>
      <c r="B218" s="53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ht="15.75" customHeight="1">
      <c r="A219" s="53"/>
      <c r="B219" s="53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ht="15.75" customHeight="1">
      <c r="A220" s="53"/>
      <c r="B220" s="53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3">
      <formula1>"LAUR,GOLD,ASHC,FENC,STAR"</formula1>
    </dataValidation>
    <dataValidation type="list" allowBlank="1" showErrorMessage="1" sqref="E2:E13">
      <formula1>"1,0.5,.25"</formula1>
    </dataValidation>
    <dataValidation type="list" allowBlank="1" showErrorMessage="1" sqref="D2:D13">
      <formula1>"NY,CT"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37" t="s">
        <v>18</v>
      </c>
      <c r="B1" s="37" t="s">
        <v>31</v>
      </c>
      <c r="C1" s="37" t="s">
        <v>20</v>
      </c>
      <c r="D1" s="37" t="s">
        <v>21</v>
      </c>
      <c r="E1" s="34" t="s">
        <v>0</v>
      </c>
      <c r="F1" s="36" t="s">
        <v>3</v>
      </c>
      <c r="G1" s="54" t="s">
        <v>32</v>
      </c>
      <c r="H1" s="54" t="s">
        <v>33</v>
      </c>
      <c r="I1" s="54" t="s">
        <v>34</v>
      </c>
      <c r="J1" s="36"/>
      <c r="K1" s="36"/>
      <c r="L1" s="36"/>
      <c r="M1" s="36"/>
      <c r="N1" s="36"/>
      <c r="O1" s="36"/>
    </row>
    <row r="2" ht="15.75" customHeight="1">
      <c r="A2" s="55" t="str">
        <f t="shared" ref="A2:A601" si="1">if(len(C2)=1,concatenate(text(month(B2),"00"),right(year(B2),2),C2,"_0"),concatenate(text(month(B2),"00"),right(year(B2),2),C2,))</f>
        <v>0824GOLD</v>
      </c>
      <c r="B2" s="56">
        <v>45518.0</v>
      </c>
      <c r="C2" s="57" t="s">
        <v>29</v>
      </c>
      <c r="D2" s="58" t="s">
        <v>35</v>
      </c>
      <c r="E2" s="51">
        <v>1.0</v>
      </c>
      <c r="F2" s="59">
        <f>IFERROR(__xludf.DUMMYFUNCTION("QUERY({'Quadrat 1'!A5:D104;'Quadrat 2'!A5:D104;'Quadrat 3'!A5:D104;'Quadrat 4'!A5:D104;'Quadrat 5'!A5:D104;'Quadrat 6'!A5:D104})"),1.0)</f>
        <v>1</v>
      </c>
      <c r="G2" s="60"/>
      <c r="H2" s="59">
        <f>IFERROR(__xludf.DUMMYFUNCTION("""COMPUTED_VALUE"""),80.46)</f>
        <v>80.46</v>
      </c>
      <c r="I2" s="60"/>
      <c r="K2" s="61"/>
      <c r="L2" s="61"/>
    </row>
    <row r="3" ht="15.75" customHeight="1">
      <c r="A3" s="55" t="str">
        <f t="shared" si="1"/>
        <v>0824GOLD</v>
      </c>
      <c r="B3" s="62">
        <f t="shared" ref="B3:D3" si="2">B2</f>
        <v>45518</v>
      </c>
      <c r="C3" s="63" t="str">
        <f t="shared" si="2"/>
        <v>GOLD</v>
      </c>
      <c r="D3" s="63" t="str">
        <f t="shared" si="2"/>
        <v>NY</v>
      </c>
      <c r="E3" s="51">
        <v>1.0</v>
      </c>
      <c r="F3" s="60">
        <f>IFERROR(__xludf.DUMMYFUNCTION("""COMPUTED_VALUE"""),2.0)</f>
        <v>2</v>
      </c>
      <c r="G3" s="60"/>
      <c r="H3" s="60">
        <f>IFERROR(__xludf.DUMMYFUNCTION("""COMPUTED_VALUE"""),39.63)</f>
        <v>39.63</v>
      </c>
      <c r="I3" s="60"/>
    </row>
    <row r="4" ht="15.75" customHeight="1">
      <c r="A4" s="55" t="str">
        <f t="shared" si="1"/>
        <v>0824GOLD</v>
      </c>
      <c r="B4" s="62">
        <f t="shared" ref="B4:D4" si="3">B3</f>
        <v>45518</v>
      </c>
      <c r="C4" s="63" t="str">
        <f t="shared" si="3"/>
        <v>GOLD</v>
      </c>
      <c r="D4" s="63" t="str">
        <f t="shared" si="3"/>
        <v>NY</v>
      </c>
      <c r="E4" s="51">
        <v>1.0</v>
      </c>
      <c r="F4" s="60">
        <f>IFERROR(__xludf.DUMMYFUNCTION("""COMPUTED_VALUE"""),3.0)</f>
        <v>3</v>
      </c>
      <c r="G4" s="60"/>
      <c r="H4" s="60">
        <f>IFERROR(__xludf.DUMMYFUNCTION("""COMPUTED_VALUE"""),45.98)</f>
        <v>45.98</v>
      </c>
      <c r="I4" s="60"/>
    </row>
    <row r="5" ht="15.75" customHeight="1">
      <c r="A5" s="55" t="str">
        <f t="shared" si="1"/>
        <v>0824GOLD</v>
      </c>
      <c r="B5" s="62">
        <f t="shared" ref="B5:D5" si="4">B4</f>
        <v>45518</v>
      </c>
      <c r="C5" s="63" t="str">
        <f t="shared" si="4"/>
        <v>GOLD</v>
      </c>
      <c r="D5" s="63" t="str">
        <f t="shared" si="4"/>
        <v>NY</v>
      </c>
      <c r="E5" s="51">
        <v>1.0</v>
      </c>
      <c r="F5" s="60">
        <f>IFERROR(__xludf.DUMMYFUNCTION("""COMPUTED_VALUE"""),4.0)</f>
        <v>4</v>
      </c>
      <c r="G5" s="60"/>
      <c r="H5" s="60">
        <f>IFERROR(__xludf.DUMMYFUNCTION("""COMPUTED_VALUE"""),52.5)</f>
        <v>52.5</v>
      </c>
      <c r="I5" s="60"/>
    </row>
    <row r="6" ht="15.75" customHeight="1">
      <c r="A6" s="55" t="str">
        <f t="shared" si="1"/>
        <v>0824GOLD</v>
      </c>
      <c r="B6" s="62">
        <f t="shared" ref="B6:D6" si="5">B5</f>
        <v>45518</v>
      </c>
      <c r="C6" s="63" t="str">
        <f t="shared" si="5"/>
        <v>GOLD</v>
      </c>
      <c r="D6" s="63" t="str">
        <f t="shared" si="5"/>
        <v>NY</v>
      </c>
      <c r="E6" s="51">
        <v>1.0</v>
      </c>
      <c r="F6" s="60">
        <f>IFERROR(__xludf.DUMMYFUNCTION("""COMPUTED_VALUE"""),5.0)</f>
        <v>5</v>
      </c>
      <c r="G6" s="60"/>
      <c r="H6" s="60">
        <f>IFERROR(__xludf.DUMMYFUNCTION("""COMPUTED_VALUE"""),28.15)</f>
        <v>28.15</v>
      </c>
      <c r="I6" s="60"/>
    </row>
    <row r="7" ht="15.75" customHeight="1">
      <c r="A7" s="55" t="str">
        <f t="shared" si="1"/>
        <v>0824GOLD</v>
      </c>
      <c r="B7" s="62">
        <f t="shared" ref="B7:D7" si="6">B6</f>
        <v>45518</v>
      </c>
      <c r="C7" s="63" t="str">
        <f t="shared" si="6"/>
        <v>GOLD</v>
      </c>
      <c r="D7" s="63" t="str">
        <f t="shared" si="6"/>
        <v>NY</v>
      </c>
      <c r="E7" s="51">
        <v>1.0</v>
      </c>
      <c r="F7" s="60">
        <f>IFERROR(__xludf.DUMMYFUNCTION("""COMPUTED_VALUE"""),6.0)</f>
        <v>6</v>
      </c>
      <c r="G7" s="60"/>
      <c r="H7" s="60">
        <f>IFERROR(__xludf.DUMMYFUNCTION("""COMPUTED_VALUE"""),68.97)</f>
        <v>68.97</v>
      </c>
      <c r="I7" s="60"/>
    </row>
    <row r="8" ht="15.75" customHeight="1">
      <c r="A8" s="55" t="str">
        <f t="shared" si="1"/>
        <v>0824GOLD</v>
      </c>
      <c r="B8" s="62">
        <f t="shared" ref="B8:D8" si="7">B7</f>
        <v>45518</v>
      </c>
      <c r="C8" s="63" t="str">
        <f t="shared" si="7"/>
        <v>GOLD</v>
      </c>
      <c r="D8" s="63" t="str">
        <f t="shared" si="7"/>
        <v>NY</v>
      </c>
      <c r="E8" s="51">
        <v>1.0</v>
      </c>
      <c r="F8" s="60">
        <f>IFERROR(__xludf.DUMMYFUNCTION("""COMPUTED_VALUE"""),7.0)</f>
        <v>7</v>
      </c>
      <c r="G8" s="60">
        <f>IFERROR(__xludf.DUMMYFUNCTION("""COMPUTED_VALUE"""),90.09)</f>
        <v>90.09</v>
      </c>
      <c r="H8" s="60"/>
      <c r="I8" s="60"/>
    </row>
    <row r="9" ht="15.75" customHeight="1">
      <c r="A9" s="55" t="str">
        <f t="shared" si="1"/>
        <v>0824GOLD</v>
      </c>
      <c r="B9" s="62">
        <f t="shared" ref="B9:D9" si="8">B8</f>
        <v>45518</v>
      </c>
      <c r="C9" s="63" t="str">
        <f t="shared" si="8"/>
        <v>GOLD</v>
      </c>
      <c r="D9" s="63" t="str">
        <f t="shared" si="8"/>
        <v>NY</v>
      </c>
      <c r="E9" s="51">
        <v>1.0</v>
      </c>
      <c r="F9" s="60">
        <f>IFERROR(__xludf.DUMMYFUNCTION("""COMPUTED_VALUE"""),8.0)</f>
        <v>8</v>
      </c>
      <c r="G9" s="60"/>
      <c r="H9" s="60">
        <f>IFERROR(__xludf.DUMMYFUNCTION("""COMPUTED_VALUE"""),75.36)</f>
        <v>75.36</v>
      </c>
      <c r="I9" s="60"/>
    </row>
    <row r="10" ht="15.75" customHeight="1">
      <c r="A10" s="55" t="str">
        <f t="shared" si="1"/>
        <v>0824GOLD</v>
      </c>
      <c r="B10" s="62">
        <f t="shared" ref="B10:D10" si="9">B9</f>
        <v>45518</v>
      </c>
      <c r="C10" s="63" t="str">
        <f t="shared" si="9"/>
        <v>GOLD</v>
      </c>
      <c r="D10" s="63" t="str">
        <f t="shared" si="9"/>
        <v>NY</v>
      </c>
      <c r="E10" s="51">
        <v>1.0</v>
      </c>
      <c r="F10" s="60">
        <f>IFERROR(__xludf.DUMMYFUNCTION("""COMPUTED_VALUE"""),9.0)</f>
        <v>9</v>
      </c>
      <c r="G10" s="60"/>
      <c r="H10" s="60">
        <f>IFERROR(__xludf.DUMMYFUNCTION("""COMPUTED_VALUE"""),61.85)</f>
        <v>61.85</v>
      </c>
      <c r="I10" s="60"/>
    </row>
    <row r="11" ht="15.75" customHeight="1">
      <c r="A11" s="55" t="str">
        <f t="shared" si="1"/>
        <v>0824GOLD</v>
      </c>
      <c r="B11" s="62">
        <f t="shared" ref="B11:D11" si="10">B10</f>
        <v>45518</v>
      </c>
      <c r="C11" s="63" t="str">
        <f t="shared" si="10"/>
        <v>GOLD</v>
      </c>
      <c r="D11" s="63" t="str">
        <f t="shared" si="10"/>
        <v>NY</v>
      </c>
      <c r="E11" s="51">
        <v>1.0</v>
      </c>
      <c r="F11" s="60">
        <f>IFERROR(__xludf.DUMMYFUNCTION("""COMPUTED_VALUE"""),10.0)</f>
        <v>10</v>
      </c>
      <c r="G11" s="60"/>
      <c r="H11" s="60">
        <f>IFERROR(__xludf.DUMMYFUNCTION("""COMPUTED_VALUE"""),57.67)</f>
        <v>57.67</v>
      </c>
      <c r="I11" s="60"/>
      <c r="M11" s="51"/>
    </row>
    <row r="12" ht="15.75" customHeight="1">
      <c r="A12" s="55" t="str">
        <f t="shared" si="1"/>
        <v>0824GOLD</v>
      </c>
      <c r="B12" s="62">
        <f t="shared" ref="B12:D12" si="11">B11</f>
        <v>45518</v>
      </c>
      <c r="C12" s="63" t="str">
        <f t="shared" si="11"/>
        <v>GOLD</v>
      </c>
      <c r="D12" s="63" t="str">
        <f t="shared" si="11"/>
        <v>NY</v>
      </c>
      <c r="E12" s="51">
        <v>1.0</v>
      </c>
      <c r="F12" s="60">
        <f>IFERROR(__xludf.DUMMYFUNCTION("""COMPUTED_VALUE"""),11.0)</f>
        <v>11</v>
      </c>
      <c r="G12" s="60"/>
      <c r="H12" s="60">
        <f>IFERROR(__xludf.DUMMYFUNCTION("""COMPUTED_VALUE"""),48.33)</f>
        <v>48.33</v>
      </c>
      <c r="I12" s="60"/>
    </row>
    <row r="13" ht="15.75" customHeight="1">
      <c r="A13" s="55" t="str">
        <f t="shared" si="1"/>
        <v>0824GOLD</v>
      </c>
      <c r="B13" s="62">
        <f t="shared" ref="B13:D13" si="12">B12</f>
        <v>45518</v>
      </c>
      <c r="C13" s="63" t="str">
        <f t="shared" si="12"/>
        <v>GOLD</v>
      </c>
      <c r="D13" s="63" t="str">
        <f t="shared" si="12"/>
        <v>NY</v>
      </c>
      <c r="E13" s="51">
        <v>1.0</v>
      </c>
      <c r="F13" s="60">
        <f>IFERROR(__xludf.DUMMYFUNCTION("""COMPUTED_VALUE"""),12.0)</f>
        <v>12</v>
      </c>
      <c r="G13" s="60">
        <f>IFERROR(__xludf.DUMMYFUNCTION("""COMPUTED_VALUE"""),87.54)</f>
        <v>87.54</v>
      </c>
      <c r="H13" s="60"/>
      <c r="I13" s="60"/>
    </row>
    <row r="14" ht="15.75" customHeight="1">
      <c r="A14" s="55" t="str">
        <f t="shared" si="1"/>
        <v>0824GOLD</v>
      </c>
      <c r="B14" s="62">
        <f t="shared" ref="B14:D14" si="13">B13</f>
        <v>45518</v>
      </c>
      <c r="C14" s="63" t="str">
        <f t="shared" si="13"/>
        <v>GOLD</v>
      </c>
      <c r="D14" s="63" t="str">
        <f t="shared" si="13"/>
        <v>NY</v>
      </c>
      <c r="E14" s="51">
        <v>1.0</v>
      </c>
      <c r="F14" s="60">
        <f>IFERROR(__xludf.DUMMYFUNCTION("""COMPUTED_VALUE"""),13.0)</f>
        <v>13</v>
      </c>
      <c r="G14" s="60"/>
      <c r="H14" s="60">
        <f>IFERROR(__xludf.DUMMYFUNCTION("""COMPUTED_VALUE"""),55.83)</f>
        <v>55.83</v>
      </c>
      <c r="I14" s="60"/>
    </row>
    <row r="15" ht="15.75" customHeight="1">
      <c r="A15" s="55" t="str">
        <f t="shared" si="1"/>
        <v>0824GOLD</v>
      </c>
      <c r="B15" s="62">
        <f t="shared" ref="B15:D15" si="14">B14</f>
        <v>45518</v>
      </c>
      <c r="C15" s="63" t="str">
        <f t="shared" si="14"/>
        <v>GOLD</v>
      </c>
      <c r="D15" s="63" t="str">
        <f t="shared" si="14"/>
        <v>NY</v>
      </c>
      <c r="E15" s="51">
        <v>1.0</v>
      </c>
      <c r="F15" s="60">
        <f>IFERROR(__xludf.DUMMYFUNCTION("""COMPUTED_VALUE"""),14.0)</f>
        <v>14</v>
      </c>
      <c r="G15" s="60"/>
      <c r="H15" s="60"/>
      <c r="I15" s="60"/>
    </row>
    <row r="16" ht="15.75" customHeight="1">
      <c r="A16" s="55" t="str">
        <f t="shared" si="1"/>
        <v>0824GOLD</v>
      </c>
      <c r="B16" s="62">
        <f t="shared" ref="B16:D16" si="15">B15</f>
        <v>45518</v>
      </c>
      <c r="C16" s="63" t="str">
        <f t="shared" si="15"/>
        <v>GOLD</v>
      </c>
      <c r="D16" s="63" t="str">
        <f t="shared" si="15"/>
        <v>NY</v>
      </c>
      <c r="E16" s="51">
        <v>1.0</v>
      </c>
      <c r="F16" s="60">
        <f>IFERROR(__xludf.DUMMYFUNCTION("""COMPUTED_VALUE"""),15.0)</f>
        <v>15</v>
      </c>
      <c r="G16" s="60"/>
      <c r="H16" s="60"/>
      <c r="I16" s="60"/>
    </row>
    <row r="17" ht="15.75" customHeight="1">
      <c r="A17" s="55" t="str">
        <f t="shared" si="1"/>
        <v>0824GOLD</v>
      </c>
      <c r="B17" s="62">
        <f t="shared" ref="B17:D17" si="16">B16</f>
        <v>45518</v>
      </c>
      <c r="C17" s="63" t="str">
        <f t="shared" si="16"/>
        <v>GOLD</v>
      </c>
      <c r="D17" s="63" t="str">
        <f t="shared" si="16"/>
        <v>NY</v>
      </c>
      <c r="E17" s="51">
        <v>1.0</v>
      </c>
      <c r="F17" s="60">
        <f>IFERROR(__xludf.DUMMYFUNCTION("""COMPUTED_VALUE"""),16.0)</f>
        <v>16</v>
      </c>
      <c r="G17" s="60"/>
      <c r="H17" s="60"/>
      <c r="I17" s="60"/>
    </row>
    <row r="18" ht="15.75" customHeight="1">
      <c r="A18" s="55" t="str">
        <f t="shared" si="1"/>
        <v>0824GOLD</v>
      </c>
      <c r="B18" s="62">
        <f t="shared" ref="B18:D18" si="17">B17</f>
        <v>45518</v>
      </c>
      <c r="C18" s="63" t="str">
        <f t="shared" si="17"/>
        <v>GOLD</v>
      </c>
      <c r="D18" s="63" t="str">
        <f t="shared" si="17"/>
        <v>NY</v>
      </c>
      <c r="E18" s="51">
        <v>1.0</v>
      </c>
      <c r="F18" s="60">
        <f>IFERROR(__xludf.DUMMYFUNCTION("""COMPUTED_VALUE"""),17.0)</f>
        <v>17</v>
      </c>
      <c r="G18" s="60"/>
      <c r="H18" s="60"/>
      <c r="I18" s="60"/>
    </row>
    <row r="19" ht="15.75" customHeight="1">
      <c r="A19" s="55" t="str">
        <f t="shared" si="1"/>
        <v>0824GOLD</v>
      </c>
      <c r="B19" s="62">
        <f t="shared" ref="B19:D19" si="18">B18</f>
        <v>45518</v>
      </c>
      <c r="C19" s="63" t="str">
        <f t="shared" si="18"/>
        <v>GOLD</v>
      </c>
      <c r="D19" s="63" t="str">
        <f t="shared" si="18"/>
        <v>NY</v>
      </c>
      <c r="E19" s="51">
        <v>1.0</v>
      </c>
      <c r="F19" s="60">
        <f>IFERROR(__xludf.DUMMYFUNCTION("""COMPUTED_VALUE"""),18.0)</f>
        <v>18</v>
      </c>
      <c r="G19" s="60"/>
      <c r="H19" s="60"/>
      <c r="I19" s="60"/>
    </row>
    <row r="20" ht="15.75" customHeight="1">
      <c r="A20" s="55" t="str">
        <f t="shared" si="1"/>
        <v>0824GOLD</v>
      </c>
      <c r="B20" s="62">
        <f t="shared" ref="B20:D20" si="19">B19</f>
        <v>45518</v>
      </c>
      <c r="C20" s="63" t="str">
        <f t="shared" si="19"/>
        <v>GOLD</v>
      </c>
      <c r="D20" s="63" t="str">
        <f t="shared" si="19"/>
        <v>NY</v>
      </c>
      <c r="E20" s="51">
        <v>1.0</v>
      </c>
      <c r="F20" s="60">
        <f>IFERROR(__xludf.DUMMYFUNCTION("""COMPUTED_VALUE"""),19.0)</f>
        <v>19</v>
      </c>
      <c r="G20" s="60"/>
      <c r="H20" s="60"/>
      <c r="I20" s="60"/>
    </row>
    <row r="21" ht="15.75" customHeight="1">
      <c r="A21" s="55" t="str">
        <f t="shared" si="1"/>
        <v>0824GOLD</v>
      </c>
      <c r="B21" s="62">
        <f t="shared" ref="B21:D21" si="20">B20</f>
        <v>45518</v>
      </c>
      <c r="C21" s="63" t="str">
        <f t="shared" si="20"/>
        <v>GOLD</v>
      </c>
      <c r="D21" s="63" t="str">
        <f t="shared" si="20"/>
        <v>NY</v>
      </c>
      <c r="E21" s="51">
        <v>1.0</v>
      </c>
      <c r="F21" s="60">
        <f>IFERROR(__xludf.DUMMYFUNCTION("""COMPUTED_VALUE"""),20.0)</f>
        <v>20</v>
      </c>
      <c r="G21" s="60"/>
      <c r="H21" s="60"/>
      <c r="I21" s="60"/>
    </row>
    <row r="22" ht="15.75" customHeight="1">
      <c r="A22" s="55" t="str">
        <f t="shared" si="1"/>
        <v>0824GOLD</v>
      </c>
      <c r="B22" s="62">
        <f t="shared" ref="B22:D22" si="21">B21</f>
        <v>45518</v>
      </c>
      <c r="C22" s="63" t="str">
        <f t="shared" si="21"/>
        <v>GOLD</v>
      </c>
      <c r="D22" s="63" t="str">
        <f t="shared" si="21"/>
        <v>NY</v>
      </c>
      <c r="E22" s="51">
        <v>1.0</v>
      </c>
      <c r="F22" s="60">
        <f>IFERROR(__xludf.DUMMYFUNCTION("""COMPUTED_VALUE"""),21.0)</f>
        <v>21</v>
      </c>
      <c r="G22" s="60"/>
      <c r="H22" s="60"/>
      <c r="I22" s="60"/>
    </row>
    <row r="23" ht="15.75" customHeight="1">
      <c r="A23" s="55" t="str">
        <f t="shared" si="1"/>
        <v>0824GOLD</v>
      </c>
      <c r="B23" s="62">
        <f t="shared" ref="B23:D23" si="22">B22</f>
        <v>45518</v>
      </c>
      <c r="C23" s="63" t="str">
        <f t="shared" si="22"/>
        <v>GOLD</v>
      </c>
      <c r="D23" s="63" t="str">
        <f t="shared" si="22"/>
        <v>NY</v>
      </c>
      <c r="E23" s="51">
        <v>1.0</v>
      </c>
      <c r="F23" s="60">
        <f>IFERROR(__xludf.DUMMYFUNCTION("""COMPUTED_VALUE"""),22.0)</f>
        <v>22</v>
      </c>
      <c r="G23" s="60"/>
      <c r="H23" s="60"/>
      <c r="I23" s="60"/>
    </row>
    <row r="24" ht="15.75" customHeight="1">
      <c r="A24" s="55" t="str">
        <f t="shared" si="1"/>
        <v>0824GOLD</v>
      </c>
      <c r="B24" s="62">
        <f t="shared" ref="B24:D24" si="23">B23</f>
        <v>45518</v>
      </c>
      <c r="C24" s="63" t="str">
        <f t="shared" si="23"/>
        <v>GOLD</v>
      </c>
      <c r="D24" s="63" t="str">
        <f t="shared" si="23"/>
        <v>NY</v>
      </c>
      <c r="E24" s="51">
        <v>1.0</v>
      </c>
      <c r="F24" s="60">
        <f>IFERROR(__xludf.DUMMYFUNCTION("""COMPUTED_VALUE"""),23.0)</f>
        <v>23</v>
      </c>
      <c r="G24" s="60"/>
      <c r="H24" s="60"/>
      <c r="I24" s="60"/>
    </row>
    <row r="25" ht="15.75" customHeight="1">
      <c r="A25" s="55" t="str">
        <f t="shared" si="1"/>
        <v>0824GOLD</v>
      </c>
      <c r="B25" s="62">
        <f t="shared" ref="B25:D25" si="24">B24</f>
        <v>45518</v>
      </c>
      <c r="C25" s="63" t="str">
        <f t="shared" si="24"/>
        <v>GOLD</v>
      </c>
      <c r="D25" s="63" t="str">
        <f t="shared" si="24"/>
        <v>NY</v>
      </c>
      <c r="E25" s="51">
        <v>1.0</v>
      </c>
      <c r="F25" s="60">
        <f>IFERROR(__xludf.DUMMYFUNCTION("""COMPUTED_VALUE"""),24.0)</f>
        <v>24</v>
      </c>
      <c r="G25" s="60"/>
      <c r="H25" s="60"/>
      <c r="I25" s="60"/>
    </row>
    <row r="26" ht="15.75" customHeight="1">
      <c r="A26" s="55" t="str">
        <f t="shared" si="1"/>
        <v>0824GOLD</v>
      </c>
      <c r="B26" s="62">
        <f t="shared" ref="B26:D26" si="25">B25</f>
        <v>45518</v>
      </c>
      <c r="C26" s="63" t="str">
        <f t="shared" si="25"/>
        <v>GOLD</v>
      </c>
      <c r="D26" s="63" t="str">
        <f t="shared" si="25"/>
        <v>NY</v>
      </c>
      <c r="E26" s="51">
        <v>1.0</v>
      </c>
      <c r="F26" s="60">
        <f>IFERROR(__xludf.DUMMYFUNCTION("""COMPUTED_VALUE"""),25.0)</f>
        <v>25</v>
      </c>
      <c r="G26" s="60"/>
      <c r="H26" s="60"/>
      <c r="I26" s="60"/>
    </row>
    <row r="27" ht="15.75" customHeight="1">
      <c r="A27" s="55" t="str">
        <f t="shared" si="1"/>
        <v>0824GOLD</v>
      </c>
      <c r="B27" s="62">
        <f t="shared" ref="B27:D27" si="26">B26</f>
        <v>45518</v>
      </c>
      <c r="C27" s="63" t="str">
        <f t="shared" si="26"/>
        <v>GOLD</v>
      </c>
      <c r="D27" s="63" t="str">
        <f t="shared" si="26"/>
        <v>NY</v>
      </c>
      <c r="E27" s="51">
        <v>1.0</v>
      </c>
      <c r="F27" s="60">
        <f>IFERROR(__xludf.DUMMYFUNCTION("""COMPUTED_VALUE"""),26.0)</f>
        <v>26</v>
      </c>
      <c r="G27" s="60"/>
      <c r="H27" s="60"/>
      <c r="I27" s="60"/>
    </row>
    <row r="28" ht="15.75" customHeight="1">
      <c r="A28" s="55" t="str">
        <f t="shared" si="1"/>
        <v>0824GOLD</v>
      </c>
      <c r="B28" s="62">
        <f t="shared" ref="B28:D28" si="27">B27</f>
        <v>45518</v>
      </c>
      <c r="C28" s="63" t="str">
        <f t="shared" si="27"/>
        <v>GOLD</v>
      </c>
      <c r="D28" s="63" t="str">
        <f t="shared" si="27"/>
        <v>NY</v>
      </c>
      <c r="E28" s="51">
        <v>1.0</v>
      </c>
      <c r="F28" s="60">
        <f>IFERROR(__xludf.DUMMYFUNCTION("""COMPUTED_VALUE"""),27.0)</f>
        <v>27</v>
      </c>
      <c r="G28" s="60"/>
      <c r="H28" s="60"/>
      <c r="I28" s="60"/>
    </row>
    <row r="29" ht="15.75" customHeight="1">
      <c r="A29" s="55" t="str">
        <f t="shared" si="1"/>
        <v>0824GOLD</v>
      </c>
      <c r="B29" s="62">
        <f t="shared" ref="B29:D29" si="28">B28</f>
        <v>45518</v>
      </c>
      <c r="C29" s="63" t="str">
        <f t="shared" si="28"/>
        <v>GOLD</v>
      </c>
      <c r="D29" s="63" t="str">
        <f t="shared" si="28"/>
        <v>NY</v>
      </c>
      <c r="E29" s="51">
        <v>1.0</v>
      </c>
      <c r="F29" s="60">
        <f>IFERROR(__xludf.DUMMYFUNCTION("""COMPUTED_VALUE"""),28.0)</f>
        <v>28</v>
      </c>
      <c r="G29" s="60"/>
      <c r="H29" s="60"/>
      <c r="I29" s="60"/>
    </row>
    <row r="30" ht="15.75" customHeight="1">
      <c r="A30" s="55" t="str">
        <f t="shared" si="1"/>
        <v>0824GOLD</v>
      </c>
      <c r="B30" s="62">
        <f t="shared" ref="B30:D30" si="29">B29</f>
        <v>45518</v>
      </c>
      <c r="C30" s="63" t="str">
        <f t="shared" si="29"/>
        <v>GOLD</v>
      </c>
      <c r="D30" s="63" t="str">
        <f t="shared" si="29"/>
        <v>NY</v>
      </c>
      <c r="E30" s="51">
        <v>1.0</v>
      </c>
      <c r="F30" s="60">
        <f>IFERROR(__xludf.DUMMYFUNCTION("""COMPUTED_VALUE"""),29.0)</f>
        <v>29</v>
      </c>
      <c r="G30" s="60"/>
      <c r="H30" s="60"/>
      <c r="I30" s="60"/>
    </row>
    <row r="31" ht="15.75" customHeight="1">
      <c r="A31" s="55" t="str">
        <f t="shared" si="1"/>
        <v>0824GOLD</v>
      </c>
      <c r="B31" s="62">
        <f t="shared" ref="B31:D31" si="30">B30</f>
        <v>45518</v>
      </c>
      <c r="C31" s="63" t="str">
        <f t="shared" si="30"/>
        <v>GOLD</v>
      </c>
      <c r="D31" s="63" t="str">
        <f t="shared" si="30"/>
        <v>NY</v>
      </c>
      <c r="E31" s="51">
        <v>1.0</v>
      </c>
      <c r="F31" s="60">
        <f>IFERROR(__xludf.DUMMYFUNCTION("""COMPUTED_VALUE"""),30.0)</f>
        <v>30</v>
      </c>
      <c r="G31" s="60"/>
      <c r="H31" s="60"/>
      <c r="I31" s="60"/>
    </row>
    <row r="32" ht="15.75" customHeight="1">
      <c r="A32" s="55" t="str">
        <f t="shared" si="1"/>
        <v>0824GOLD</v>
      </c>
      <c r="B32" s="62">
        <f t="shared" ref="B32:D32" si="31">B31</f>
        <v>45518</v>
      </c>
      <c r="C32" s="63" t="str">
        <f t="shared" si="31"/>
        <v>GOLD</v>
      </c>
      <c r="D32" s="63" t="str">
        <f t="shared" si="31"/>
        <v>NY</v>
      </c>
      <c r="E32" s="51">
        <v>1.0</v>
      </c>
      <c r="F32" s="60">
        <f>IFERROR(__xludf.DUMMYFUNCTION("""COMPUTED_VALUE"""),31.0)</f>
        <v>31</v>
      </c>
      <c r="G32" s="60"/>
      <c r="H32" s="60"/>
      <c r="I32" s="60"/>
    </row>
    <row r="33" ht="15.75" customHeight="1">
      <c r="A33" s="55" t="str">
        <f t="shared" si="1"/>
        <v>0824GOLD</v>
      </c>
      <c r="B33" s="62">
        <f t="shared" ref="B33:D33" si="32">B32</f>
        <v>45518</v>
      </c>
      <c r="C33" s="63" t="str">
        <f t="shared" si="32"/>
        <v>GOLD</v>
      </c>
      <c r="D33" s="63" t="str">
        <f t="shared" si="32"/>
        <v>NY</v>
      </c>
      <c r="E33" s="51">
        <v>1.0</v>
      </c>
      <c r="F33" s="60">
        <f>IFERROR(__xludf.DUMMYFUNCTION("""COMPUTED_VALUE"""),32.0)</f>
        <v>32</v>
      </c>
      <c r="G33" s="60"/>
      <c r="H33" s="60"/>
      <c r="I33" s="60"/>
    </row>
    <row r="34" ht="15.75" customHeight="1">
      <c r="A34" s="55" t="str">
        <f t="shared" si="1"/>
        <v>0824GOLD</v>
      </c>
      <c r="B34" s="62">
        <f t="shared" ref="B34:D34" si="33">B33</f>
        <v>45518</v>
      </c>
      <c r="C34" s="63" t="str">
        <f t="shared" si="33"/>
        <v>GOLD</v>
      </c>
      <c r="D34" s="63" t="str">
        <f t="shared" si="33"/>
        <v>NY</v>
      </c>
      <c r="E34" s="51">
        <v>1.0</v>
      </c>
      <c r="F34" s="60">
        <f>IFERROR(__xludf.DUMMYFUNCTION("""COMPUTED_VALUE"""),33.0)</f>
        <v>33</v>
      </c>
      <c r="G34" s="60"/>
      <c r="H34" s="60"/>
      <c r="I34" s="60"/>
    </row>
    <row r="35" ht="15.75" customHeight="1">
      <c r="A35" s="55" t="str">
        <f t="shared" si="1"/>
        <v>0824GOLD</v>
      </c>
      <c r="B35" s="62">
        <f t="shared" ref="B35:D35" si="34">B34</f>
        <v>45518</v>
      </c>
      <c r="C35" s="63" t="str">
        <f t="shared" si="34"/>
        <v>GOLD</v>
      </c>
      <c r="D35" s="63" t="str">
        <f t="shared" si="34"/>
        <v>NY</v>
      </c>
      <c r="E35" s="51">
        <v>1.0</v>
      </c>
      <c r="F35" s="60">
        <f>IFERROR(__xludf.DUMMYFUNCTION("""COMPUTED_VALUE"""),34.0)</f>
        <v>34</v>
      </c>
      <c r="G35" s="60"/>
      <c r="H35" s="60"/>
      <c r="I35" s="60"/>
    </row>
    <row r="36" ht="15.75" customHeight="1">
      <c r="A36" s="55" t="str">
        <f t="shared" si="1"/>
        <v>0824GOLD</v>
      </c>
      <c r="B36" s="62">
        <f t="shared" ref="B36:D36" si="35">B35</f>
        <v>45518</v>
      </c>
      <c r="C36" s="63" t="str">
        <f t="shared" si="35"/>
        <v>GOLD</v>
      </c>
      <c r="D36" s="63" t="str">
        <f t="shared" si="35"/>
        <v>NY</v>
      </c>
      <c r="E36" s="51">
        <v>1.0</v>
      </c>
      <c r="F36" s="60">
        <f>IFERROR(__xludf.DUMMYFUNCTION("""COMPUTED_VALUE"""),35.0)</f>
        <v>35</v>
      </c>
      <c r="G36" s="60"/>
      <c r="H36" s="60"/>
      <c r="I36" s="60"/>
    </row>
    <row r="37" ht="15.75" customHeight="1">
      <c r="A37" s="55" t="str">
        <f t="shared" si="1"/>
        <v>0824GOLD</v>
      </c>
      <c r="B37" s="62">
        <f t="shared" ref="B37:D37" si="36">B36</f>
        <v>45518</v>
      </c>
      <c r="C37" s="63" t="str">
        <f t="shared" si="36"/>
        <v>GOLD</v>
      </c>
      <c r="D37" s="63" t="str">
        <f t="shared" si="36"/>
        <v>NY</v>
      </c>
      <c r="E37" s="51">
        <v>1.0</v>
      </c>
      <c r="F37" s="60">
        <f>IFERROR(__xludf.DUMMYFUNCTION("""COMPUTED_VALUE"""),36.0)</f>
        <v>36</v>
      </c>
      <c r="G37" s="60"/>
      <c r="H37" s="60"/>
      <c r="I37" s="60"/>
    </row>
    <row r="38" ht="15.75" customHeight="1">
      <c r="A38" s="55" t="str">
        <f t="shared" si="1"/>
        <v>0824GOLD</v>
      </c>
      <c r="B38" s="62">
        <f t="shared" ref="B38:D38" si="37">B37</f>
        <v>45518</v>
      </c>
      <c r="C38" s="63" t="str">
        <f t="shared" si="37"/>
        <v>GOLD</v>
      </c>
      <c r="D38" s="63" t="str">
        <f t="shared" si="37"/>
        <v>NY</v>
      </c>
      <c r="E38" s="51">
        <v>1.0</v>
      </c>
      <c r="F38" s="60">
        <f>IFERROR(__xludf.DUMMYFUNCTION("""COMPUTED_VALUE"""),37.0)</f>
        <v>37</v>
      </c>
      <c r="G38" s="60"/>
      <c r="H38" s="60"/>
      <c r="I38" s="60"/>
    </row>
    <row r="39" ht="15.75" customHeight="1">
      <c r="A39" s="55" t="str">
        <f t="shared" si="1"/>
        <v>0824GOLD</v>
      </c>
      <c r="B39" s="62">
        <f t="shared" ref="B39:D39" si="38">B38</f>
        <v>45518</v>
      </c>
      <c r="C39" s="63" t="str">
        <f t="shared" si="38"/>
        <v>GOLD</v>
      </c>
      <c r="D39" s="63" t="str">
        <f t="shared" si="38"/>
        <v>NY</v>
      </c>
      <c r="E39" s="51">
        <v>1.0</v>
      </c>
      <c r="F39" s="60">
        <f>IFERROR(__xludf.DUMMYFUNCTION("""COMPUTED_VALUE"""),38.0)</f>
        <v>38</v>
      </c>
      <c r="G39" s="60"/>
      <c r="H39" s="60"/>
      <c r="I39" s="60"/>
    </row>
    <row r="40" ht="15.75" customHeight="1">
      <c r="A40" s="55" t="str">
        <f t="shared" si="1"/>
        <v>0824GOLD</v>
      </c>
      <c r="B40" s="62">
        <f t="shared" ref="B40:D40" si="39">B39</f>
        <v>45518</v>
      </c>
      <c r="C40" s="63" t="str">
        <f t="shared" si="39"/>
        <v>GOLD</v>
      </c>
      <c r="D40" s="63" t="str">
        <f t="shared" si="39"/>
        <v>NY</v>
      </c>
      <c r="E40" s="51">
        <v>1.0</v>
      </c>
      <c r="F40" s="60">
        <f>IFERROR(__xludf.DUMMYFUNCTION("""COMPUTED_VALUE"""),39.0)</f>
        <v>39</v>
      </c>
      <c r="G40" s="60"/>
      <c r="H40" s="60"/>
      <c r="I40" s="60"/>
    </row>
    <row r="41" ht="15.75" customHeight="1">
      <c r="A41" s="55" t="str">
        <f t="shared" si="1"/>
        <v>0824GOLD</v>
      </c>
      <c r="B41" s="62">
        <f t="shared" ref="B41:D41" si="40">B40</f>
        <v>45518</v>
      </c>
      <c r="C41" s="63" t="str">
        <f t="shared" si="40"/>
        <v>GOLD</v>
      </c>
      <c r="D41" s="63" t="str">
        <f t="shared" si="40"/>
        <v>NY</v>
      </c>
      <c r="E41" s="51">
        <v>1.0</v>
      </c>
      <c r="F41" s="60">
        <f>IFERROR(__xludf.DUMMYFUNCTION("""COMPUTED_VALUE"""),40.0)</f>
        <v>40</v>
      </c>
      <c r="G41" s="60"/>
      <c r="H41" s="60"/>
      <c r="I41" s="60"/>
    </row>
    <row r="42" ht="15.75" customHeight="1">
      <c r="A42" s="55" t="str">
        <f t="shared" si="1"/>
        <v>0824GOLD</v>
      </c>
      <c r="B42" s="62">
        <f t="shared" ref="B42:D42" si="41">B41</f>
        <v>45518</v>
      </c>
      <c r="C42" s="63" t="str">
        <f t="shared" si="41"/>
        <v>GOLD</v>
      </c>
      <c r="D42" s="63" t="str">
        <f t="shared" si="41"/>
        <v>NY</v>
      </c>
      <c r="E42" s="51">
        <v>1.0</v>
      </c>
      <c r="F42" s="60">
        <f>IFERROR(__xludf.DUMMYFUNCTION("""COMPUTED_VALUE"""),41.0)</f>
        <v>41</v>
      </c>
      <c r="G42" s="60"/>
      <c r="H42" s="60"/>
      <c r="I42" s="60"/>
    </row>
    <row r="43" ht="15.75" customHeight="1">
      <c r="A43" s="55" t="str">
        <f t="shared" si="1"/>
        <v>0824GOLD</v>
      </c>
      <c r="B43" s="62">
        <f t="shared" ref="B43:D43" si="42">B42</f>
        <v>45518</v>
      </c>
      <c r="C43" s="63" t="str">
        <f t="shared" si="42"/>
        <v>GOLD</v>
      </c>
      <c r="D43" s="63" t="str">
        <f t="shared" si="42"/>
        <v>NY</v>
      </c>
      <c r="E43" s="51">
        <v>1.0</v>
      </c>
      <c r="F43" s="60">
        <f>IFERROR(__xludf.DUMMYFUNCTION("""COMPUTED_VALUE"""),42.0)</f>
        <v>42</v>
      </c>
      <c r="G43" s="60"/>
      <c r="H43" s="60"/>
      <c r="I43" s="60"/>
    </row>
    <row r="44" ht="15.75" customHeight="1">
      <c r="A44" s="55" t="str">
        <f t="shared" si="1"/>
        <v>0824GOLD</v>
      </c>
      <c r="B44" s="62">
        <f t="shared" ref="B44:D44" si="43">B43</f>
        <v>45518</v>
      </c>
      <c r="C44" s="63" t="str">
        <f t="shared" si="43"/>
        <v>GOLD</v>
      </c>
      <c r="D44" s="63" t="str">
        <f t="shared" si="43"/>
        <v>NY</v>
      </c>
      <c r="E44" s="51">
        <v>1.0</v>
      </c>
      <c r="F44" s="60">
        <f>IFERROR(__xludf.DUMMYFUNCTION("""COMPUTED_VALUE"""),43.0)</f>
        <v>43</v>
      </c>
      <c r="G44" s="60"/>
      <c r="H44" s="60"/>
      <c r="I44" s="60"/>
    </row>
    <row r="45" ht="15.75" customHeight="1">
      <c r="A45" s="55" t="str">
        <f t="shared" si="1"/>
        <v>0824GOLD</v>
      </c>
      <c r="B45" s="62">
        <f t="shared" ref="B45:D45" si="44">B44</f>
        <v>45518</v>
      </c>
      <c r="C45" s="63" t="str">
        <f t="shared" si="44"/>
        <v>GOLD</v>
      </c>
      <c r="D45" s="63" t="str">
        <f t="shared" si="44"/>
        <v>NY</v>
      </c>
      <c r="E45" s="51">
        <v>1.0</v>
      </c>
      <c r="F45" s="60">
        <f>IFERROR(__xludf.DUMMYFUNCTION("""COMPUTED_VALUE"""),44.0)</f>
        <v>44</v>
      </c>
      <c r="G45" s="60"/>
      <c r="H45" s="60"/>
      <c r="I45" s="60"/>
    </row>
    <row r="46" ht="15.75" customHeight="1">
      <c r="A46" s="55" t="str">
        <f t="shared" si="1"/>
        <v>0824GOLD</v>
      </c>
      <c r="B46" s="62">
        <f t="shared" ref="B46:D46" si="45">B45</f>
        <v>45518</v>
      </c>
      <c r="C46" s="63" t="str">
        <f t="shared" si="45"/>
        <v>GOLD</v>
      </c>
      <c r="D46" s="63" t="str">
        <f t="shared" si="45"/>
        <v>NY</v>
      </c>
      <c r="E46" s="51">
        <v>1.0</v>
      </c>
      <c r="F46" s="60">
        <f>IFERROR(__xludf.DUMMYFUNCTION("""COMPUTED_VALUE"""),45.0)</f>
        <v>45</v>
      </c>
      <c r="G46" s="60"/>
      <c r="H46" s="60"/>
      <c r="I46" s="60"/>
    </row>
    <row r="47" ht="15.75" customHeight="1">
      <c r="A47" s="55" t="str">
        <f t="shared" si="1"/>
        <v>0824GOLD</v>
      </c>
      <c r="B47" s="62">
        <f t="shared" ref="B47:D47" si="46">B46</f>
        <v>45518</v>
      </c>
      <c r="C47" s="63" t="str">
        <f t="shared" si="46"/>
        <v>GOLD</v>
      </c>
      <c r="D47" s="63" t="str">
        <f t="shared" si="46"/>
        <v>NY</v>
      </c>
      <c r="E47" s="51">
        <v>1.0</v>
      </c>
      <c r="F47" s="60">
        <f>IFERROR(__xludf.DUMMYFUNCTION("""COMPUTED_VALUE"""),46.0)</f>
        <v>46</v>
      </c>
      <c r="G47" s="60"/>
      <c r="H47" s="60"/>
      <c r="I47" s="60"/>
    </row>
    <row r="48" ht="15.75" customHeight="1">
      <c r="A48" s="55" t="str">
        <f t="shared" si="1"/>
        <v>0824GOLD</v>
      </c>
      <c r="B48" s="62">
        <f t="shared" ref="B48:D48" si="47">B47</f>
        <v>45518</v>
      </c>
      <c r="C48" s="63" t="str">
        <f t="shared" si="47"/>
        <v>GOLD</v>
      </c>
      <c r="D48" s="63" t="str">
        <f t="shared" si="47"/>
        <v>NY</v>
      </c>
      <c r="E48" s="51">
        <v>1.0</v>
      </c>
      <c r="F48" s="60">
        <f>IFERROR(__xludf.DUMMYFUNCTION("""COMPUTED_VALUE"""),47.0)</f>
        <v>47</v>
      </c>
      <c r="G48" s="60"/>
      <c r="H48" s="60"/>
      <c r="I48" s="60"/>
    </row>
    <row r="49" ht="15.75" customHeight="1">
      <c r="A49" s="55" t="str">
        <f t="shared" si="1"/>
        <v>0824GOLD</v>
      </c>
      <c r="B49" s="62">
        <f t="shared" ref="B49:D49" si="48">B48</f>
        <v>45518</v>
      </c>
      <c r="C49" s="63" t="str">
        <f t="shared" si="48"/>
        <v>GOLD</v>
      </c>
      <c r="D49" s="63" t="str">
        <f t="shared" si="48"/>
        <v>NY</v>
      </c>
      <c r="E49" s="51">
        <v>1.0</v>
      </c>
      <c r="F49" s="60">
        <f>IFERROR(__xludf.DUMMYFUNCTION("""COMPUTED_VALUE"""),48.0)</f>
        <v>48</v>
      </c>
      <c r="G49" s="60"/>
      <c r="H49" s="60"/>
      <c r="I49" s="60"/>
    </row>
    <row r="50" ht="15.75" customHeight="1">
      <c r="A50" s="55" t="str">
        <f t="shared" si="1"/>
        <v>0824GOLD</v>
      </c>
      <c r="B50" s="62">
        <f t="shared" ref="B50:D50" si="49">B49</f>
        <v>45518</v>
      </c>
      <c r="C50" s="63" t="str">
        <f t="shared" si="49"/>
        <v>GOLD</v>
      </c>
      <c r="D50" s="63" t="str">
        <f t="shared" si="49"/>
        <v>NY</v>
      </c>
      <c r="E50" s="51">
        <v>1.0</v>
      </c>
      <c r="F50" s="60">
        <f>IFERROR(__xludf.DUMMYFUNCTION("""COMPUTED_VALUE"""),49.0)</f>
        <v>49</v>
      </c>
      <c r="G50" s="60"/>
      <c r="H50" s="60"/>
      <c r="I50" s="60"/>
    </row>
    <row r="51" ht="15.75" customHeight="1">
      <c r="A51" s="55" t="str">
        <f t="shared" si="1"/>
        <v>0824GOLD</v>
      </c>
      <c r="B51" s="62">
        <f t="shared" ref="B51:D51" si="50">B50</f>
        <v>45518</v>
      </c>
      <c r="C51" s="63" t="str">
        <f t="shared" si="50"/>
        <v>GOLD</v>
      </c>
      <c r="D51" s="63" t="str">
        <f t="shared" si="50"/>
        <v>NY</v>
      </c>
      <c r="E51" s="51">
        <v>1.0</v>
      </c>
      <c r="F51" s="60">
        <f>IFERROR(__xludf.DUMMYFUNCTION("""COMPUTED_VALUE"""),50.0)</f>
        <v>50</v>
      </c>
      <c r="G51" s="60"/>
      <c r="H51" s="60"/>
      <c r="I51" s="60"/>
    </row>
    <row r="52" ht="15.75" customHeight="1">
      <c r="A52" s="55" t="str">
        <f t="shared" si="1"/>
        <v>0824GOLD</v>
      </c>
      <c r="B52" s="62">
        <f t="shared" ref="B52:D52" si="51">B51</f>
        <v>45518</v>
      </c>
      <c r="C52" s="63" t="str">
        <f t="shared" si="51"/>
        <v>GOLD</v>
      </c>
      <c r="D52" s="63" t="str">
        <f t="shared" si="51"/>
        <v>NY</v>
      </c>
      <c r="E52" s="51">
        <v>1.0</v>
      </c>
      <c r="F52" s="60">
        <f>IFERROR(__xludf.DUMMYFUNCTION("""COMPUTED_VALUE"""),51.0)</f>
        <v>51</v>
      </c>
      <c r="G52" s="60"/>
      <c r="H52" s="60"/>
      <c r="I52" s="60"/>
    </row>
    <row r="53" ht="15.75" customHeight="1">
      <c r="A53" s="55" t="str">
        <f t="shared" si="1"/>
        <v>0824GOLD</v>
      </c>
      <c r="B53" s="62">
        <f t="shared" ref="B53:D53" si="52">B52</f>
        <v>45518</v>
      </c>
      <c r="C53" s="63" t="str">
        <f t="shared" si="52"/>
        <v>GOLD</v>
      </c>
      <c r="D53" s="63" t="str">
        <f t="shared" si="52"/>
        <v>NY</v>
      </c>
      <c r="E53" s="51">
        <v>1.0</v>
      </c>
      <c r="F53" s="60">
        <f>IFERROR(__xludf.DUMMYFUNCTION("""COMPUTED_VALUE"""),52.0)</f>
        <v>52</v>
      </c>
      <c r="G53" s="60"/>
      <c r="H53" s="60"/>
      <c r="I53" s="60"/>
    </row>
    <row r="54" ht="15.75" customHeight="1">
      <c r="A54" s="55" t="str">
        <f t="shared" si="1"/>
        <v>0824GOLD</v>
      </c>
      <c r="B54" s="62">
        <f t="shared" ref="B54:D54" si="53">B53</f>
        <v>45518</v>
      </c>
      <c r="C54" s="63" t="str">
        <f t="shared" si="53"/>
        <v>GOLD</v>
      </c>
      <c r="D54" s="63" t="str">
        <f t="shared" si="53"/>
        <v>NY</v>
      </c>
      <c r="E54" s="51">
        <v>1.0</v>
      </c>
      <c r="F54" s="60">
        <f>IFERROR(__xludf.DUMMYFUNCTION("""COMPUTED_VALUE"""),53.0)</f>
        <v>53</v>
      </c>
      <c r="G54" s="60"/>
      <c r="H54" s="60"/>
      <c r="I54" s="60"/>
    </row>
    <row r="55" ht="15.75" customHeight="1">
      <c r="A55" s="55" t="str">
        <f t="shared" si="1"/>
        <v>0824GOLD</v>
      </c>
      <c r="B55" s="62">
        <f t="shared" ref="B55:D55" si="54">B54</f>
        <v>45518</v>
      </c>
      <c r="C55" s="63" t="str">
        <f t="shared" si="54"/>
        <v>GOLD</v>
      </c>
      <c r="D55" s="63" t="str">
        <f t="shared" si="54"/>
        <v>NY</v>
      </c>
      <c r="E55" s="51">
        <v>1.0</v>
      </c>
      <c r="F55" s="60">
        <f>IFERROR(__xludf.DUMMYFUNCTION("""COMPUTED_VALUE"""),54.0)</f>
        <v>54</v>
      </c>
      <c r="G55" s="60"/>
      <c r="H55" s="60"/>
      <c r="I55" s="60"/>
    </row>
    <row r="56" ht="15.75" customHeight="1">
      <c r="A56" s="55" t="str">
        <f t="shared" si="1"/>
        <v>0824GOLD</v>
      </c>
      <c r="B56" s="62">
        <f t="shared" ref="B56:D56" si="55">B55</f>
        <v>45518</v>
      </c>
      <c r="C56" s="63" t="str">
        <f t="shared" si="55"/>
        <v>GOLD</v>
      </c>
      <c r="D56" s="63" t="str">
        <f t="shared" si="55"/>
        <v>NY</v>
      </c>
      <c r="E56" s="51">
        <v>1.0</v>
      </c>
      <c r="F56" s="60">
        <f>IFERROR(__xludf.DUMMYFUNCTION("""COMPUTED_VALUE"""),55.0)</f>
        <v>55</v>
      </c>
      <c r="G56" s="60"/>
      <c r="H56" s="60"/>
      <c r="I56" s="60"/>
    </row>
    <row r="57" ht="15.75" customHeight="1">
      <c r="A57" s="55" t="str">
        <f t="shared" si="1"/>
        <v>0824GOLD</v>
      </c>
      <c r="B57" s="62">
        <f t="shared" ref="B57:D57" si="56">B56</f>
        <v>45518</v>
      </c>
      <c r="C57" s="63" t="str">
        <f t="shared" si="56"/>
        <v>GOLD</v>
      </c>
      <c r="D57" s="63" t="str">
        <f t="shared" si="56"/>
        <v>NY</v>
      </c>
      <c r="E57" s="51">
        <v>1.0</v>
      </c>
      <c r="F57" s="60">
        <f>IFERROR(__xludf.DUMMYFUNCTION("""COMPUTED_VALUE"""),56.0)</f>
        <v>56</v>
      </c>
      <c r="G57" s="60"/>
      <c r="H57" s="60"/>
      <c r="I57" s="60"/>
    </row>
    <row r="58" ht="15.75" customHeight="1">
      <c r="A58" s="55" t="str">
        <f t="shared" si="1"/>
        <v>0824GOLD</v>
      </c>
      <c r="B58" s="62">
        <f t="shared" ref="B58:D58" si="57">B57</f>
        <v>45518</v>
      </c>
      <c r="C58" s="63" t="str">
        <f t="shared" si="57"/>
        <v>GOLD</v>
      </c>
      <c r="D58" s="63" t="str">
        <f t="shared" si="57"/>
        <v>NY</v>
      </c>
      <c r="E58" s="51">
        <v>1.0</v>
      </c>
      <c r="F58" s="60">
        <f>IFERROR(__xludf.DUMMYFUNCTION("""COMPUTED_VALUE"""),57.0)</f>
        <v>57</v>
      </c>
      <c r="G58" s="60"/>
      <c r="H58" s="60"/>
      <c r="I58" s="60"/>
    </row>
    <row r="59" ht="15.75" customHeight="1">
      <c r="A59" s="55" t="str">
        <f t="shared" si="1"/>
        <v>0824GOLD</v>
      </c>
      <c r="B59" s="62">
        <f t="shared" ref="B59:D59" si="58">B58</f>
        <v>45518</v>
      </c>
      <c r="C59" s="63" t="str">
        <f t="shared" si="58"/>
        <v>GOLD</v>
      </c>
      <c r="D59" s="63" t="str">
        <f t="shared" si="58"/>
        <v>NY</v>
      </c>
      <c r="E59" s="51">
        <v>1.0</v>
      </c>
      <c r="F59" s="60">
        <f>IFERROR(__xludf.DUMMYFUNCTION("""COMPUTED_VALUE"""),58.0)</f>
        <v>58</v>
      </c>
      <c r="G59" s="60"/>
      <c r="H59" s="60"/>
      <c r="I59" s="60"/>
    </row>
    <row r="60" ht="15.75" customHeight="1">
      <c r="A60" s="55" t="str">
        <f t="shared" si="1"/>
        <v>0824GOLD</v>
      </c>
      <c r="B60" s="62">
        <f t="shared" ref="B60:D60" si="59">B59</f>
        <v>45518</v>
      </c>
      <c r="C60" s="63" t="str">
        <f t="shared" si="59"/>
        <v>GOLD</v>
      </c>
      <c r="D60" s="63" t="str">
        <f t="shared" si="59"/>
        <v>NY</v>
      </c>
      <c r="E60" s="51">
        <v>1.0</v>
      </c>
      <c r="F60" s="60">
        <f>IFERROR(__xludf.DUMMYFUNCTION("""COMPUTED_VALUE"""),59.0)</f>
        <v>59</v>
      </c>
      <c r="G60" s="60"/>
      <c r="H60" s="60"/>
      <c r="I60" s="60"/>
    </row>
    <row r="61" ht="15.75" customHeight="1">
      <c r="A61" s="55" t="str">
        <f t="shared" si="1"/>
        <v>0824GOLD</v>
      </c>
      <c r="B61" s="62">
        <f t="shared" ref="B61:D61" si="60">B60</f>
        <v>45518</v>
      </c>
      <c r="C61" s="63" t="str">
        <f t="shared" si="60"/>
        <v>GOLD</v>
      </c>
      <c r="D61" s="63" t="str">
        <f t="shared" si="60"/>
        <v>NY</v>
      </c>
      <c r="E61" s="51">
        <v>1.0</v>
      </c>
      <c r="F61" s="60">
        <f>IFERROR(__xludf.DUMMYFUNCTION("""COMPUTED_VALUE"""),60.0)</f>
        <v>60</v>
      </c>
      <c r="G61" s="60"/>
      <c r="H61" s="60"/>
      <c r="I61" s="60"/>
    </row>
    <row r="62" ht="15.75" customHeight="1">
      <c r="A62" s="55" t="str">
        <f t="shared" si="1"/>
        <v>0824GOLD</v>
      </c>
      <c r="B62" s="62">
        <f t="shared" ref="B62:D62" si="61">B61</f>
        <v>45518</v>
      </c>
      <c r="C62" s="63" t="str">
        <f t="shared" si="61"/>
        <v>GOLD</v>
      </c>
      <c r="D62" s="63" t="str">
        <f t="shared" si="61"/>
        <v>NY</v>
      </c>
      <c r="E62" s="51">
        <v>1.0</v>
      </c>
      <c r="F62" s="60">
        <f>IFERROR(__xludf.DUMMYFUNCTION("""COMPUTED_VALUE"""),61.0)</f>
        <v>61</v>
      </c>
      <c r="G62" s="60"/>
      <c r="H62" s="60"/>
      <c r="I62" s="60"/>
    </row>
    <row r="63" ht="15.75" customHeight="1">
      <c r="A63" s="55" t="str">
        <f t="shared" si="1"/>
        <v>0824GOLD</v>
      </c>
      <c r="B63" s="62">
        <f t="shared" ref="B63:D63" si="62">B62</f>
        <v>45518</v>
      </c>
      <c r="C63" s="63" t="str">
        <f t="shared" si="62"/>
        <v>GOLD</v>
      </c>
      <c r="D63" s="63" t="str">
        <f t="shared" si="62"/>
        <v>NY</v>
      </c>
      <c r="E63" s="51">
        <v>1.0</v>
      </c>
      <c r="F63" s="60">
        <f>IFERROR(__xludf.DUMMYFUNCTION("""COMPUTED_VALUE"""),62.0)</f>
        <v>62</v>
      </c>
      <c r="G63" s="60"/>
      <c r="H63" s="60"/>
      <c r="I63" s="60"/>
    </row>
    <row r="64" ht="15.75" customHeight="1">
      <c r="A64" s="55" t="str">
        <f t="shared" si="1"/>
        <v>0824GOLD</v>
      </c>
      <c r="B64" s="62">
        <f t="shared" ref="B64:D64" si="63">B63</f>
        <v>45518</v>
      </c>
      <c r="C64" s="63" t="str">
        <f t="shared" si="63"/>
        <v>GOLD</v>
      </c>
      <c r="D64" s="63" t="str">
        <f t="shared" si="63"/>
        <v>NY</v>
      </c>
      <c r="E64" s="51">
        <v>1.0</v>
      </c>
      <c r="F64" s="60">
        <f>IFERROR(__xludf.DUMMYFUNCTION("""COMPUTED_VALUE"""),63.0)</f>
        <v>63</v>
      </c>
      <c r="G64" s="60"/>
      <c r="H64" s="60"/>
      <c r="I64" s="60"/>
    </row>
    <row r="65" ht="15.75" customHeight="1">
      <c r="A65" s="55" t="str">
        <f t="shared" si="1"/>
        <v>0824GOLD</v>
      </c>
      <c r="B65" s="62">
        <f t="shared" ref="B65:D65" si="64">B64</f>
        <v>45518</v>
      </c>
      <c r="C65" s="63" t="str">
        <f t="shared" si="64"/>
        <v>GOLD</v>
      </c>
      <c r="D65" s="63" t="str">
        <f t="shared" si="64"/>
        <v>NY</v>
      </c>
      <c r="E65" s="51">
        <v>1.0</v>
      </c>
      <c r="F65" s="60">
        <f>IFERROR(__xludf.DUMMYFUNCTION("""COMPUTED_VALUE"""),64.0)</f>
        <v>64</v>
      </c>
      <c r="G65" s="60"/>
      <c r="H65" s="60"/>
      <c r="I65" s="60"/>
    </row>
    <row r="66" ht="15.75" customHeight="1">
      <c r="A66" s="55" t="str">
        <f t="shared" si="1"/>
        <v>0824GOLD</v>
      </c>
      <c r="B66" s="62">
        <f t="shared" ref="B66:D66" si="65">B65</f>
        <v>45518</v>
      </c>
      <c r="C66" s="63" t="str">
        <f t="shared" si="65"/>
        <v>GOLD</v>
      </c>
      <c r="D66" s="63" t="str">
        <f t="shared" si="65"/>
        <v>NY</v>
      </c>
      <c r="E66" s="51">
        <v>1.0</v>
      </c>
      <c r="F66" s="60">
        <f>IFERROR(__xludf.DUMMYFUNCTION("""COMPUTED_VALUE"""),65.0)</f>
        <v>65</v>
      </c>
      <c r="G66" s="60"/>
      <c r="H66" s="60"/>
      <c r="I66" s="60"/>
    </row>
    <row r="67" ht="15.75" customHeight="1">
      <c r="A67" s="55" t="str">
        <f t="shared" si="1"/>
        <v>0824GOLD</v>
      </c>
      <c r="B67" s="62">
        <f t="shared" ref="B67:D67" si="66">B66</f>
        <v>45518</v>
      </c>
      <c r="C67" s="63" t="str">
        <f t="shared" si="66"/>
        <v>GOLD</v>
      </c>
      <c r="D67" s="63" t="str">
        <f t="shared" si="66"/>
        <v>NY</v>
      </c>
      <c r="E67" s="51">
        <v>1.0</v>
      </c>
      <c r="F67" s="60">
        <f>IFERROR(__xludf.DUMMYFUNCTION("""COMPUTED_VALUE"""),66.0)</f>
        <v>66</v>
      </c>
      <c r="G67" s="60"/>
      <c r="H67" s="60"/>
      <c r="I67" s="60"/>
    </row>
    <row r="68" ht="15.75" customHeight="1">
      <c r="A68" s="55" t="str">
        <f t="shared" si="1"/>
        <v>0824GOLD</v>
      </c>
      <c r="B68" s="62">
        <f t="shared" ref="B68:D68" si="67">B67</f>
        <v>45518</v>
      </c>
      <c r="C68" s="63" t="str">
        <f t="shared" si="67"/>
        <v>GOLD</v>
      </c>
      <c r="D68" s="63" t="str">
        <f t="shared" si="67"/>
        <v>NY</v>
      </c>
      <c r="E68" s="51">
        <v>1.0</v>
      </c>
      <c r="F68" s="60">
        <f>IFERROR(__xludf.DUMMYFUNCTION("""COMPUTED_VALUE"""),67.0)</f>
        <v>67</v>
      </c>
      <c r="G68" s="60"/>
      <c r="H68" s="60"/>
      <c r="I68" s="60"/>
    </row>
    <row r="69" ht="15.75" customHeight="1">
      <c r="A69" s="55" t="str">
        <f t="shared" si="1"/>
        <v>0824GOLD</v>
      </c>
      <c r="B69" s="62">
        <f t="shared" ref="B69:D69" si="68">B68</f>
        <v>45518</v>
      </c>
      <c r="C69" s="63" t="str">
        <f t="shared" si="68"/>
        <v>GOLD</v>
      </c>
      <c r="D69" s="63" t="str">
        <f t="shared" si="68"/>
        <v>NY</v>
      </c>
      <c r="E69" s="51">
        <v>1.0</v>
      </c>
      <c r="F69" s="60">
        <f>IFERROR(__xludf.DUMMYFUNCTION("""COMPUTED_VALUE"""),68.0)</f>
        <v>68</v>
      </c>
      <c r="G69" s="60"/>
      <c r="H69" s="60"/>
      <c r="I69" s="60"/>
    </row>
    <row r="70" ht="15.75" customHeight="1">
      <c r="A70" s="55" t="str">
        <f t="shared" si="1"/>
        <v>0824GOLD</v>
      </c>
      <c r="B70" s="62">
        <f t="shared" ref="B70:D70" si="69">B69</f>
        <v>45518</v>
      </c>
      <c r="C70" s="63" t="str">
        <f t="shared" si="69"/>
        <v>GOLD</v>
      </c>
      <c r="D70" s="63" t="str">
        <f t="shared" si="69"/>
        <v>NY</v>
      </c>
      <c r="E70" s="51">
        <v>1.0</v>
      </c>
      <c r="F70" s="60">
        <f>IFERROR(__xludf.DUMMYFUNCTION("""COMPUTED_VALUE"""),69.0)</f>
        <v>69</v>
      </c>
      <c r="G70" s="60"/>
      <c r="H70" s="60"/>
      <c r="I70" s="60"/>
    </row>
    <row r="71" ht="15.75" customHeight="1">
      <c r="A71" s="55" t="str">
        <f t="shared" si="1"/>
        <v>0824GOLD</v>
      </c>
      <c r="B71" s="62">
        <f t="shared" ref="B71:D71" si="70">B70</f>
        <v>45518</v>
      </c>
      <c r="C71" s="63" t="str">
        <f t="shared" si="70"/>
        <v>GOLD</v>
      </c>
      <c r="D71" s="63" t="str">
        <f t="shared" si="70"/>
        <v>NY</v>
      </c>
      <c r="E71" s="51">
        <v>1.0</v>
      </c>
      <c r="F71" s="60">
        <f>IFERROR(__xludf.DUMMYFUNCTION("""COMPUTED_VALUE"""),70.0)</f>
        <v>70</v>
      </c>
      <c r="G71" s="60"/>
      <c r="H71" s="60"/>
      <c r="I71" s="60"/>
    </row>
    <row r="72" ht="15.75" customHeight="1">
      <c r="A72" s="55" t="str">
        <f t="shared" si="1"/>
        <v>0824GOLD</v>
      </c>
      <c r="B72" s="62">
        <f t="shared" ref="B72:D72" si="71">B71</f>
        <v>45518</v>
      </c>
      <c r="C72" s="63" t="str">
        <f t="shared" si="71"/>
        <v>GOLD</v>
      </c>
      <c r="D72" s="63" t="str">
        <f t="shared" si="71"/>
        <v>NY</v>
      </c>
      <c r="E72" s="51">
        <v>1.0</v>
      </c>
      <c r="F72" s="60">
        <f>IFERROR(__xludf.DUMMYFUNCTION("""COMPUTED_VALUE"""),71.0)</f>
        <v>71</v>
      </c>
      <c r="G72" s="60"/>
      <c r="H72" s="60"/>
      <c r="I72" s="60"/>
    </row>
    <row r="73" ht="15.75" customHeight="1">
      <c r="A73" s="55" t="str">
        <f t="shared" si="1"/>
        <v>0824GOLD</v>
      </c>
      <c r="B73" s="62">
        <f t="shared" ref="B73:D73" si="72">B72</f>
        <v>45518</v>
      </c>
      <c r="C73" s="63" t="str">
        <f t="shared" si="72"/>
        <v>GOLD</v>
      </c>
      <c r="D73" s="63" t="str">
        <f t="shared" si="72"/>
        <v>NY</v>
      </c>
      <c r="E73" s="51">
        <v>1.0</v>
      </c>
      <c r="F73" s="60">
        <f>IFERROR(__xludf.DUMMYFUNCTION("""COMPUTED_VALUE"""),72.0)</f>
        <v>72</v>
      </c>
      <c r="G73" s="60"/>
      <c r="H73" s="60"/>
      <c r="I73" s="60"/>
    </row>
    <row r="74" ht="15.75" customHeight="1">
      <c r="A74" s="55" t="str">
        <f t="shared" si="1"/>
        <v>0824GOLD</v>
      </c>
      <c r="B74" s="62">
        <f t="shared" ref="B74:D74" si="73">B73</f>
        <v>45518</v>
      </c>
      <c r="C74" s="63" t="str">
        <f t="shared" si="73"/>
        <v>GOLD</v>
      </c>
      <c r="D74" s="63" t="str">
        <f t="shared" si="73"/>
        <v>NY</v>
      </c>
      <c r="E74" s="51">
        <v>1.0</v>
      </c>
      <c r="F74" s="60">
        <f>IFERROR(__xludf.DUMMYFUNCTION("""COMPUTED_VALUE"""),73.0)</f>
        <v>73</v>
      </c>
      <c r="G74" s="60"/>
      <c r="H74" s="60"/>
      <c r="I74" s="60"/>
    </row>
    <row r="75" ht="15.75" customHeight="1">
      <c r="A75" s="55" t="str">
        <f t="shared" si="1"/>
        <v>0824GOLD</v>
      </c>
      <c r="B75" s="62">
        <f t="shared" ref="B75:D75" si="74">B74</f>
        <v>45518</v>
      </c>
      <c r="C75" s="63" t="str">
        <f t="shared" si="74"/>
        <v>GOLD</v>
      </c>
      <c r="D75" s="63" t="str">
        <f t="shared" si="74"/>
        <v>NY</v>
      </c>
      <c r="E75" s="51">
        <v>1.0</v>
      </c>
      <c r="F75" s="60">
        <f>IFERROR(__xludf.DUMMYFUNCTION("""COMPUTED_VALUE"""),74.0)</f>
        <v>74</v>
      </c>
      <c r="G75" s="60"/>
      <c r="H75" s="60"/>
      <c r="I75" s="60"/>
    </row>
    <row r="76" ht="15.75" customHeight="1">
      <c r="A76" s="55" t="str">
        <f t="shared" si="1"/>
        <v>0824GOLD</v>
      </c>
      <c r="B76" s="62">
        <f t="shared" ref="B76:D76" si="75">B75</f>
        <v>45518</v>
      </c>
      <c r="C76" s="63" t="str">
        <f t="shared" si="75"/>
        <v>GOLD</v>
      </c>
      <c r="D76" s="63" t="str">
        <f t="shared" si="75"/>
        <v>NY</v>
      </c>
      <c r="E76" s="51">
        <v>1.0</v>
      </c>
      <c r="F76" s="60">
        <f>IFERROR(__xludf.DUMMYFUNCTION("""COMPUTED_VALUE"""),75.0)</f>
        <v>75</v>
      </c>
      <c r="G76" s="60"/>
      <c r="H76" s="60"/>
      <c r="I76" s="60"/>
    </row>
    <row r="77" ht="15.75" customHeight="1">
      <c r="A77" s="55" t="str">
        <f t="shared" si="1"/>
        <v>0824GOLD</v>
      </c>
      <c r="B77" s="62">
        <f t="shared" ref="B77:D77" si="76">B76</f>
        <v>45518</v>
      </c>
      <c r="C77" s="63" t="str">
        <f t="shared" si="76"/>
        <v>GOLD</v>
      </c>
      <c r="D77" s="63" t="str">
        <f t="shared" si="76"/>
        <v>NY</v>
      </c>
      <c r="E77" s="51">
        <v>1.0</v>
      </c>
      <c r="F77" s="60">
        <f>IFERROR(__xludf.DUMMYFUNCTION("""COMPUTED_VALUE"""),76.0)</f>
        <v>76</v>
      </c>
      <c r="G77" s="60"/>
      <c r="H77" s="60"/>
      <c r="I77" s="60"/>
    </row>
    <row r="78" ht="15.75" customHeight="1">
      <c r="A78" s="55" t="str">
        <f t="shared" si="1"/>
        <v>0824GOLD</v>
      </c>
      <c r="B78" s="62">
        <f t="shared" ref="B78:D78" si="77">B77</f>
        <v>45518</v>
      </c>
      <c r="C78" s="63" t="str">
        <f t="shared" si="77"/>
        <v>GOLD</v>
      </c>
      <c r="D78" s="63" t="str">
        <f t="shared" si="77"/>
        <v>NY</v>
      </c>
      <c r="E78" s="51">
        <v>1.0</v>
      </c>
      <c r="F78" s="60">
        <f>IFERROR(__xludf.DUMMYFUNCTION("""COMPUTED_VALUE"""),77.0)</f>
        <v>77</v>
      </c>
      <c r="G78" s="60"/>
      <c r="H78" s="60"/>
      <c r="I78" s="60"/>
    </row>
    <row r="79" ht="15.75" customHeight="1">
      <c r="A79" s="55" t="str">
        <f t="shared" si="1"/>
        <v>0824GOLD</v>
      </c>
      <c r="B79" s="62">
        <f t="shared" ref="B79:D79" si="78">B78</f>
        <v>45518</v>
      </c>
      <c r="C79" s="63" t="str">
        <f t="shared" si="78"/>
        <v>GOLD</v>
      </c>
      <c r="D79" s="63" t="str">
        <f t="shared" si="78"/>
        <v>NY</v>
      </c>
      <c r="E79" s="51">
        <v>1.0</v>
      </c>
      <c r="F79" s="60">
        <f>IFERROR(__xludf.DUMMYFUNCTION("""COMPUTED_VALUE"""),78.0)</f>
        <v>78</v>
      </c>
      <c r="G79" s="60"/>
      <c r="H79" s="60"/>
      <c r="I79" s="60"/>
    </row>
    <row r="80" ht="15.75" customHeight="1">
      <c r="A80" s="55" t="str">
        <f t="shared" si="1"/>
        <v>0824GOLD</v>
      </c>
      <c r="B80" s="62">
        <f t="shared" ref="B80:D80" si="79">B79</f>
        <v>45518</v>
      </c>
      <c r="C80" s="63" t="str">
        <f t="shared" si="79"/>
        <v>GOLD</v>
      </c>
      <c r="D80" s="63" t="str">
        <f t="shared" si="79"/>
        <v>NY</v>
      </c>
      <c r="E80" s="51">
        <v>1.0</v>
      </c>
      <c r="F80" s="60">
        <f>IFERROR(__xludf.DUMMYFUNCTION("""COMPUTED_VALUE"""),79.0)</f>
        <v>79</v>
      </c>
      <c r="G80" s="60"/>
      <c r="H80" s="60"/>
      <c r="I80" s="60"/>
    </row>
    <row r="81" ht="15.75" customHeight="1">
      <c r="A81" s="55" t="str">
        <f t="shared" si="1"/>
        <v>0824GOLD</v>
      </c>
      <c r="B81" s="62">
        <f t="shared" ref="B81:D81" si="80">B80</f>
        <v>45518</v>
      </c>
      <c r="C81" s="63" t="str">
        <f t="shared" si="80"/>
        <v>GOLD</v>
      </c>
      <c r="D81" s="63" t="str">
        <f t="shared" si="80"/>
        <v>NY</v>
      </c>
      <c r="E81" s="51">
        <v>1.0</v>
      </c>
      <c r="F81" s="60">
        <f>IFERROR(__xludf.DUMMYFUNCTION("""COMPUTED_VALUE"""),80.0)</f>
        <v>80</v>
      </c>
      <c r="G81" s="60"/>
      <c r="H81" s="60"/>
      <c r="I81" s="60"/>
    </row>
    <row r="82" ht="15.75" customHeight="1">
      <c r="A82" s="55" t="str">
        <f t="shared" si="1"/>
        <v>0824GOLD</v>
      </c>
      <c r="B82" s="62">
        <f t="shared" ref="B82:D82" si="81">B81</f>
        <v>45518</v>
      </c>
      <c r="C82" s="63" t="str">
        <f t="shared" si="81"/>
        <v>GOLD</v>
      </c>
      <c r="D82" s="63" t="str">
        <f t="shared" si="81"/>
        <v>NY</v>
      </c>
      <c r="E82" s="51">
        <v>1.0</v>
      </c>
      <c r="F82" s="60">
        <f>IFERROR(__xludf.DUMMYFUNCTION("""COMPUTED_VALUE"""),81.0)</f>
        <v>81</v>
      </c>
      <c r="G82" s="60"/>
      <c r="H82" s="60"/>
      <c r="I82" s="60"/>
    </row>
    <row r="83" ht="15.75" customHeight="1">
      <c r="A83" s="55" t="str">
        <f t="shared" si="1"/>
        <v>0824GOLD</v>
      </c>
      <c r="B83" s="62">
        <f t="shared" ref="B83:D83" si="82">B82</f>
        <v>45518</v>
      </c>
      <c r="C83" s="63" t="str">
        <f t="shared" si="82"/>
        <v>GOLD</v>
      </c>
      <c r="D83" s="63" t="str">
        <f t="shared" si="82"/>
        <v>NY</v>
      </c>
      <c r="E83" s="51">
        <v>1.0</v>
      </c>
      <c r="F83" s="60">
        <f>IFERROR(__xludf.DUMMYFUNCTION("""COMPUTED_VALUE"""),82.0)</f>
        <v>82</v>
      </c>
      <c r="G83" s="60"/>
      <c r="H83" s="60"/>
      <c r="I83" s="60"/>
    </row>
    <row r="84" ht="15.75" customHeight="1">
      <c r="A84" s="55" t="str">
        <f t="shared" si="1"/>
        <v>0824GOLD</v>
      </c>
      <c r="B84" s="62">
        <f t="shared" ref="B84:D84" si="83">B83</f>
        <v>45518</v>
      </c>
      <c r="C84" s="63" t="str">
        <f t="shared" si="83"/>
        <v>GOLD</v>
      </c>
      <c r="D84" s="63" t="str">
        <f t="shared" si="83"/>
        <v>NY</v>
      </c>
      <c r="E84" s="51">
        <v>1.0</v>
      </c>
      <c r="F84" s="60">
        <f>IFERROR(__xludf.DUMMYFUNCTION("""COMPUTED_VALUE"""),83.0)</f>
        <v>83</v>
      </c>
      <c r="G84" s="60"/>
      <c r="H84" s="60"/>
      <c r="I84" s="60"/>
    </row>
    <row r="85" ht="15.75" customHeight="1">
      <c r="A85" s="55" t="str">
        <f t="shared" si="1"/>
        <v>0824GOLD</v>
      </c>
      <c r="B85" s="62">
        <f t="shared" ref="B85:D85" si="84">B84</f>
        <v>45518</v>
      </c>
      <c r="C85" s="63" t="str">
        <f t="shared" si="84"/>
        <v>GOLD</v>
      </c>
      <c r="D85" s="63" t="str">
        <f t="shared" si="84"/>
        <v>NY</v>
      </c>
      <c r="E85" s="51">
        <v>1.0</v>
      </c>
      <c r="F85" s="60">
        <f>IFERROR(__xludf.DUMMYFUNCTION("""COMPUTED_VALUE"""),84.0)</f>
        <v>84</v>
      </c>
      <c r="G85" s="60"/>
      <c r="H85" s="60"/>
      <c r="I85" s="60"/>
    </row>
    <row r="86" ht="15.75" customHeight="1">
      <c r="A86" s="55" t="str">
        <f t="shared" si="1"/>
        <v>0824GOLD</v>
      </c>
      <c r="B86" s="62">
        <f t="shared" ref="B86:D86" si="85">B85</f>
        <v>45518</v>
      </c>
      <c r="C86" s="63" t="str">
        <f t="shared" si="85"/>
        <v>GOLD</v>
      </c>
      <c r="D86" s="63" t="str">
        <f t="shared" si="85"/>
        <v>NY</v>
      </c>
      <c r="E86" s="51">
        <v>1.0</v>
      </c>
      <c r="F86" s="60">
        <f>IFERROR(__xludf.DUMMYFUNCTION("""COMPUTED_VALUE"""),85.0)</f>
        <v>85</v>
      </c>
      <c r="G86" s="60"/>
      <c r="H86" s="60"/>
      <c r="I86" s="60"/>
    </row>
    <row r="87" ht="15.75" customHeight="1">
      <c r="A87" s="55" t="str">
        <f t="shared" si="1"/>
        <v>0824GOLD</v>
      </c>
      <c r="B87" s="62">
        <f t="shared" ref="B87:D87" si="86">B86</f>
        <v>45518</v>
      </c>
      <c r="C87" s="63" t="str">
        <f t="shared" si="86"/>
        <v>GOLD</v>
      </c>
      <c r="D87" s="63" t="str">
        <f t="shared" si="86"/>
        <v>NY</v>
      </c>
      <c r="E87" s="51">
        <v>1.0</v>
      </c>
      <c r="F87" s="60">
        <f>IFERROR(__xludf.DUMMYFUNCTION("""COMPUTED_VALUE"""),86.0)</f>
        <v>86</v>
      </c>
      <c r="G87" s="60"/>
      <c r="H87" s="60"/>
      <c r="I87" s="60"/>
    </row>
    <row r="88" ht="15.75" customHeight="1">
      <c r="A88" s="55" t="str">
        <f t="shared" si="1"/>
        <v>0824GOLD</v>
      </c>
      <c r="B88" s="62">
        <f t="shared" ref="B88:D88" si="87">B87</f>
        <v>45518</v>
      </c>
      <c r="C88" s="63" t="str">
        <f t="shared" si="87"/>
        <v>GOLD</v>
      </c>
      <c r="D88" s="63" t="str">
        <f t="shared" si="87"/>
        <v>NY</v>
      </c>
      <c r="E88" s="51">
        <v>1.0</v>
      </c>
      <c r="F88" s="60">
        <f>IFERROR(__xludf.DUMMYFUNCTION("""COMPUTED_VALUE"""),87.0)</f>
        <v>87</v>
      </c>
      <c r="G88" s="60"/>
      <c r="H88" s="60"/>
      <c r="I88" s="60"/>
    </row>
    <row r="89" ht="15.75" customHeight="1">
      <c r="A89" s="55" t="str">
        <f t="shared" si="1"/>
        <v>0824GOLD</v>
      </c>
      <c r="B89" s="62">
        <f t="shared" ref="B89:D89" si="88">B88</f>
        <v>45518</v>
      </c>
      <c r="C89" s="63" t="str">
        <f t="shared" si="88"/>
        <v>GOLD</v>
      </c>
      <c r="D89" s="63" t="str">
        <f t="shared" si="88"/>
        <v>NY</v>
      </c>
      <c r="E89" s="51">
        <v>1.0</v>
      </c>
      <c r="F89" s="60">
        <f>IFERROR(__xludf.DUMMYFUNCTION("""COMPUTED_VALUE"""),88.0)</f>
        <v>88</v>
      </c>
      <c r="G89" s="60"/>
      <c r="H89" s="60"/>
      <c r="I89" s="60"/>
    </row>
    <row r="90" ht="15.75" customHeight="1">
      <c r="A90" s="55" t="str">
        <f t="shared" si="1"/>
        <v>0824GOLD</v>
      </c>
      <c r="B90" s="62">
        <f t="shared" ref="B90:D90" si="89">B89</f>
        <v>45518</v>
      </c>
      <c r="C90" s="63" t="str">
        <f t="shared" si="89"/>
        <v>GOLD</v>
      </c>
      <c r="D90" s="63" t="str">
        <f t="shared" si="89"/>
        <v>NY</v>
      </c>
      <c r="E90" s="51">
        <v>1.0</v>
      </c>
      <c r="F90" s="60">
        <f>IFERROR(__xludf.DUMMYFUNCTION("""COMPUTED_VALUE"""),89.0)</f>
        <v>89</v>
      </c>
      <c r="G90" s="60"/>
      <c r="H90" s="60"/>
      <c r="I90" s="60"/>
    </row>
    <row r="91" ht="15.75" customHeight="1">
      <c r="A91" s="55" t="str">
        <f t="shared" si="1"/>
        <v>0824GOLD</v>
      </c>
      <c r="B91" s="62">
        <f t="shared" ref="B91:D91" si="90">B90</f>
        <v>45518</v>
      </c>
      <c r="C91" s="63" t="str">
        <f t="shared" si="90"/>
        <v>GOLD</v>
      </c>
      <c r="D91" s="63" t="str">
        <f t="shared" si="90"/>
        <v>NY</v>
      </c>
      <c r="E91" s="51">
        <v>1.0</v>
      </c>
      <c r="F91" s="60">
        <f>IFERROR(__xludf.DUMMYFUNCTION("""COMPUTED_VALUE"""),90.0)</f>
        <v>90</v>
      </c>
      <c r="G91" s="60"/>
      <c r="H91" s="60"/>
      <c r="I91" s="60"/>
    </row>
    <row r="92" ht="15.75" customHeight="1">
      <c r="A92" s="55" t="str">
        <f t="shared" si="1"/>
        <v>0824GOLD</v>
      </c>
      <c r="B92" s="62">
        <f t="shared" ref="B92:D92" si="91">B91</f>
        <v>45518</v>
      </c>
      <c r="C92" s="63" t="str">
        <f t="shared" si="91"/>
        <v>GOLD</v>
      </c>
      <c r="D92" s="63" t="str">
        <f t="shared" si="91"/>
        <v>NY</v>
      </c>
      <c r="E92" s="51">
        <v>1.0</v>
      </c>
      <c r="F92" s="60">
        <f>IFERROR(__xludf.DUMMYFUNCTION("""COMPUTED_VALUE"""),91.0)</f>
        <v>91</v>
      </c>
      <c r="G92" s="60"/>
      <c r="H92" s="60"/>
      <c r="I92" s="60"/>
    </row>
    <row r="93" ht="15.75" customHeight="1">
      <c r="A93" s="55" t="str">
        <f t="shared" si="1"/>
        <v>0824GOLD</v>
      </c>
      <c r="B93" s="62">
        <f t="shared" ref="B93:D93" si="92">B92</f>
        <v>45518</v>
      </c>
      <c r="C93" s="63" t="str">
        <f t="shared" si="92"/>
        <v>GOLD</v>
      </c>
      <c r="D93" s="63" t="str">
        <f t="shared" si="92"/>
        <v>NY</v>
      </c>
      <c r="E93" s="51">
        <v>1.0</v>
      </c>
      <c r="F93" s="60">
        <f>IFERROR(__xludf.DUMMYFUNCTION("""COMPUTED_VALUE"""),92.0)</f>
        <v>92</v>
      </c>
      <c r="G93" s="60"/>
      <c r="H93" s="60"/>
      <c r="I93" s="60"/>
    </row>
    <row r="94" ht="15.75" customHeight="1">
      <c r="A94" s="55" t="str">
        <f t="shared" si="1"/>
        <v>0824GOLD</v>
      </c>
      <c r="B94" s="62">
        <f t="shared" ref="B94:D94" si="93">B93</f>
        <v>45518</v>
      </c>
      <c r="C94" s="63" t="str">
        <f t="shared" si="93"/>
        <v>GOLD</v>
      </c>
      <c r="D94" s="63" t="str">
        <f t="shared" si="93"/>
        <v>NY</v>
      </c>
      <c r="E94" s="51">
        <v>1.0</v>
      </c>
      <c r="F94" s="60">
        <f>IFERROR(__xludf.DUMMYFUNCTION("""COMPUTED_VALUE"""),93.0)</f>
        <v>93</v>
      </c>
      <c r="G94" s="60"/>
      <c r="H94" s="60"/>
      <c r="I94" s="60"/>
    </row>
    <row r="95" ht="15.75" customHeight="1">
      <c r="A95" s="55" t="str">
        <f t="shared" si="1"/>
        <v>0824GOLD</v>
      </c>
      <c r="B95" s="62">
        <f t="shared" ref="B95:D95" si="94">B94</f>
        <v>45518</v>
      </c>
      <c r="C95" s="63" t="str">
        <f t="shared" si="94"/>
        <v>GOLD</v>
      </c>
      <c r="D95" s="63" t="str">
        <f t="shared" si="94"/>
        <v>NY</v>
      </c>
      <c r="E95" s="51">
        <v>1.0</v>
      </c>
      <c r="F95" s="60">
        <f>IFERROR(__xludf.DUMMYFUNCTION("""COMPUTED_VALUE"""),94.0)</f>
        <v>94</v>
      </c>
      <c r="G95" s="60"/>
      <c r="H95" s="60"/>
      <c r="I95" s="60"/>
    </row>
    <row r="96" ht="15.75" customHeight="1">
      <c r="A96" s="55" t="str">
        <f t="shared" si="1"/>
        <v>0824GOLD</v>
      </c>
      <c r="B96" s="62">
        <f t="shared" ref="B96:D96" si="95">B95</f>
        <v>45518</v>
      </c>
      <c r="C96" s="63" t="str">
        <f t="shared" si="95"/>
        <v>GOLD</v>
      </c>
      <c r="D96" s="63" t="str">
        <f t="shared" si="95"/>
        <v>NY</v>
      </c>
      <c r="E96" s="51">
        <v>1.0</v>
      </c>
      <c r="F96" s="60">
        <f>IFERROR(__xludf.DUMMYFUNCTION("""COMPUTED_VALUE"""),95.0)</f>
        <v>95</v>
      </c>
      <c r="G96" s="60"/>
      <c r="H96" s="60"/>
      <c r="I96" s="60"/>
    </row>
    <row r="97" ht="15.75" customHeight="1">
      <c r="A97" s="55" t="str">
        <f t="shared" si="1"/>
        <v>0824GOLD</v>
      </c>
      <c r="B97" s="62">
        <f t="shared" ref="B97:D97" si="96">B96</f>
        <v>45518</v>
      </c>
      <c r="C97" s="63" t="str">
        <f t="shared" si="96"/>
        <v>GOLD</v>
      </c>
      <c r="D97" s="63" t="str">
        <f t="shared" si="96"/>
        <v>NY</v>
      </c>
      <c r="E97" s="51">
        <v>1.0</v>
      </c>
      <c r="F97" s="60">
        <f>IFERROR(__xludf.DUMMYFUNCTION("""COMPUTED_VALUE"""),96.0)</f>
        <v>96</v>
      </c>
      <c r="G97" s="60"/>
      <c r="H97" s="60"/>
      <c r="I97" s="60"/>
    </row>
    <row r="98" ht="15.75" customHeight="1">
      <c r="A98" s="55" t="str">
        <f t="shared" si="1"/>
        <v>0824GOLD</v>
      </c>
      <c r="B98" s="62">
        <f t="shared" ref="B98:D98" si="97">B97</f>
        <v>45518</v>
      </c>
      <c r="C98" s="63" t="str">
        <f t="shared" si="97"/>
        <v>GOLD</v>
      </c>
      <c r="D98" s="63" t="str">
        <f t="shared" si="97"/>
        <v>NY</v>
      </c>
      <c r="E98" s="51">
        <v>1.0</v>
      </c>
      <c r="F98" s="60">
        <f>IFERROR(__xludf.DUMMYFUNCTION("""COMPUTED_VALUE"""),97.0)</f>
        <v>97</v>
      </c>
      <c r="G98" s="60"/>
      <c r="H98" s="60"/>
      <c r="I98" s="60"/>
    </row>
    <row r="99" ht="15.75" customHeight="1">
      <c r="A99" s="55" t="str">
        <f t="shared" si="1"/>
        <v>0824GOLD</v>
      </c>
      <c r="B99" s="62">
        <f t="shared" ref="B99:D99" si="98">B98</f>
        <v>45518</v>
      </c>
      <c r="C99" s="63" t="str">
        <f t="shared" si="98"/>
        <v>GOLD</v>
      </c>
      <c r="D99" s="63" t="str">
        <f t="shared" si="98"/>
        <v>NY</v>
      </c>
      <c r="E99" s="51">
        <v>1.0</v>
      </c>
      <c r="F99" s="60">
        <f>IFERROR(__xludf.DUMMYFUNCTION("""COMPUTED_VALUE"""),98.0)</f>
        <v>98</v>
      </c>
      <c r="G99" s="60"/>
      <c r="H99" s="60"/>
      <c r="I99" s="60"/>
    </row>
    <row r="100" ht="15.75" customHeight="1">
      <c r="A100" s="55" t="str">
        <f t="shared" si="1"/>
        <v>0824GOLD</v>
      </c>
      <c r="B100" s="62">
        <f t="shared" ref="B100:D100" si="99">B99</f>
        <v>45518</v>
      </c>
      <c r="C100" s="63" t="str">
        <f t="shared" si="99"/>
        <v>GOLD</v>
      </c>
      <c r="D100" s="63" t="str">
        <f t="shared" si="99"/>
        <v>NY</v>
      </c>
      <c r="E100" s="51">
        <v>1.0</v>
      </c>
      <c r="F100" s="60">
        <f>IFERROR(__xludf.DUMMYFUNCTION("""COMPUTED_VALUE"""),99.0)</f>
        <v>99</v>
      </c>
      <c r="G100" s="60"/>
      <c r="H100" s="60"/>
      <c r="I100" s="60"/>
    </row>
    <row r="101" ht="15.75" customHeight="1">
      <c r="A101" s="55" t="str">
        <f t="shared" si="1"/>
        <v>0824GOLD</v>
      </c>
      <c r="B101" s="62">
        <f t="shared" ref="B101:D101" si="100">B100</f>
        <v>45518</v>
      </c>
      <c r="C101" s="63" t="str">
        <f t="shared" si="100"/>
        <v>GOLD</v>
      </c>
      <c r="D101" s="63" t="str">
        <f t="shared" si="100"/>
        <v>NY</v>
      </c>
      <c r="E101" s="51">
        <v>1.0</v>
      </c>
      <c r="F101" s="60">
        <f>IFERROR(__xludf.DUMMYFUNCTION("""COMPUTED_VALUE"""),100.0)</f>
        <v>100</v>
      </c>
      <c r="G101" s="60"/>
      <c r="H101" s="60"/>
      <c r="I101" s="60"/>
    </row>
    <row r="102" ht="15.75" customHeight="1">
      <c r="A102" s="55" t="str">
        <f t="shared" si="1"/>
        <v>0824GOLD</v>
      </c>
      <c r="B102" s="62">
        <f t="shared" ref="B102:D102" si="101">B101</f>
        <v>45518</v>
      </c>
      <c r="C102" s="63" t="str">
        <f t="shared" si="101"/>
        <v>GOLD</v>
      </c>
      <c r="D102" s="63" t="str">
        <f t="shared" si="101"/>
        <v>NY</v>
      </c>
      <c r="E102" s="51">
        <v>2.0</v>
      </c>
      <c r="F102" s="60">
        <f>IFERROR(__xludf.DUMMYFUNCTION("""COMPUTED_VALUE"""),1.0)</f>
        <v>1</v>
      </c>
      <c r="G102" s="60"/>
      <c r="H102" s="60">
        <f>IFERROR(__xludf.DUMMYFUNCTION("""COMPUTED_VALUE"""),95.26)</f>
        <v>95.26</v>
      </c>
      <c r="I102" s="60"/>
    </row>
    <row r="103" ht="15.75" customHeight="1">
      <c r="A103" s="55" t="str">
        <f t="shared" si="1"/>
        <v>0824GOLD</v>
      </c>
      <c r="B103" s="62">
        <f t="shared" ref="B103:D103" si="102">B102</f>
        <v>45518</v>
      </c>
      <c r="C103" s="63" t="str">
        <f t="shared" si="102"/>
        <v>GOLD</v>
      </c>
      <c r="D103" s="63" t="str">
        <f t="shared" si="102"/>
        <v>NY</v>
      </c>
      <c r="E103" s="51">
        <v>2.0</v>
      </c>
      <c r="F103" s="60">
        <f>IFERROR(__xludf.DUMMYFUNCTION("""COMPUTED_VALUE"""),2.0)</f>
        <v>2</v>
      </c>
      <c r="G103" s="60"/>
      <c r="H103" s="60">
        <f>IFERROR(__xludf.DUMMYFUNCTION("""COMPUTED_VALUE"""),57.96)</f>
        <v>57.96</v>
      </c>
      <c r="I103" s="60"/>
    </row>
    <row r="104" ht="15.75" customHeight="1">
      <c r="A104" s="55" t="str">
        <f t="shared" si="1"/>
        <v>0824GOLD</v>
      </c>
      <c r="B104" s="62">
        <f t="shared" ref="B104:D104" si="103">B103</f>
        <v>45518</v>
      </c>
      <c r="C104" s="63" t="str">
        <f t="shared" si="103"/>
        <v>GOLD</v>
      </c>
      <c r="D104" s="63" t="str">
        <f t="shared" si="103"/>
        <v>NY</v>
      </c>
      <c r="E104" s="51">
        <v>2.0</v>
      </c>
      <c r="F104" s="60">
        <f>IFERROR(__xludf.DUMMYFUNCTION("""COMPUTED_VALUE"""),3.0)</f>
        <v>3</v>
      </c>
      <c r="G104" s="60"/>
      <c r="H104" s="60">
        <f>IFERROR(__xludf.DUMMYFUNCTION("""COMPUTED_VALUE"""),56.32)</f>
        <v>56.32</v>
      </c>
      <c r="I104" s="60"/>
    </row>
    <row r="105" ht="15.75" customHeight="1">
      <c r="A105" s="55" t="str">
        <f t="shared" si="1"/>
        <v>0824GOLD</v>
      </c>
      <c r="B105" s="62">
        <f t="shared" ref="B105:D105" si="104">B104</f>
        <v>45518</v>
      </c>
      <c r="C105" s="63" t="str">
        <f t="shared" si="104"/>
        <v>GOLD</v>
      </c>
      <c r="D105" s="63" t="str">
        <f t="shared" si="104"/>
        <v>NY</v>
      </c>
      <c r="E105" s="51">
        <v>2.0</v>
      </c>
      <c r="F105" s="60">
        <f>IFERROR(__xludf.DUMMYFUNCTION("""COMPUTED_VALUE"""),4.0)</f>
        <v>4</v>
      </c>
      <c r="G105" s="60"/>
      <c r="H105" s="60">
        <f>IFERROR(__xludf.DUMMYFUNCTION("""COMPUTED_VALUE"""),57.43)</f>
        <v>57.43</v>
      </c>
      <c r="I105" s="60"/>
    </row>
    <row r="106" ht="15.75" customHeight="1">
      <c r="A106" s="55" t="str">
        <f t="shared" si="1"/>
        <v>0824GOLD</v>
      </c>
      <c r="B106" s="62">
        <f t="shared" ref="B106:D106" si="105">B105</f>
        <v>45518</v>
      </c>
      <c r="C106" s="63" t="str">
        <f t="shared" si="105"/>
        <v>GOLD</v>
      </c>
      <c r="D106" s="63" t="str">
        <f t="shared" si="105"/>
        <v>NY</v>
      </c>
      <c r="E106" s="51">
        <v>2.0</v>
      </c>
      <c r="F106" s="60">
        <f>IFERROR(__xludf.DUMMYFUNCTION("""COMPUTED_VALUE"""),5.0)</f>
        <v>5</v>
      </c>
      <c r="G106" s="60"/>
      <c r="H106" s="60">
        <f>IFERROR(__xludf.DUMMYFUNCTION("""COMPUTED_VALUE"""),42.2)</f>
        <v>42.2</v>
      </c>
      <c r="I106" s="60"/>
    </row>
    <row r="107" ht="15.75" customHeight="1">
      <c r="A107" s="55" t="str">
        <f t="shared" si="1"/>
        <v>0824GOLD</v>
      </c>
      <c r="B107" s="62">
        <f t="shared" ref="B107:D107" si="106">B106</f>
        <v>45518</v>
      </c>
      <c r="C107" s="63" t="str">
        <f t="shared" si="106"/>
        <v>GOLD</v>
      </c>
      <c r="D107" s="63" t="str">
        <f t="shared" si="106"/>
        <v>NY</v>
      </c>
      <c r="E107" s="51">
        <v>2.0</v>
      </c>
      <c r="F107" s="60">
        <f>IFERROR(__xludf.DUMMYFUNCTION("""COMPUTED_VALUE"""),6.0)</f>
        <v>6</v>
      </c>
      <c r="G107" s="60"/>
      <c r="H107" s="60">
        <f>IFERROR(__xludf.DUMMYFUNCTION("""COMPUTED_VALUE"""),52.6)</f>
        <v>52.6</v>
      </c>
      <c r="I107" s="60"/>
    </row>
    <row r="108" ht="15.75" customHeight="1">
      <c r="A108" s="55" t="str">
        <f t="shared" si="1"/>
        <v>0824GOLD</v>
      </c>
      <c r="B108" s="62">
        <f t="shared" ref="B108:D108" si="107">B107</f>
        <v>45518</v>
      </c>
      <c r="C108" s="63" t="str">
        <f t="shared" si="107"/>
        <v>GOLD</v>
      </c>
      <c r="D108" s="63" t="str">
        <f t="shared" si="107"/>
        <v>NY</v>
      </c>
      <c r="E108" s="51">
        <v>2.0</v>
      </c>
      <c r="F108" s="60">
        <f>IFERROR(__xludf.DUMMYFUNCTION("""COMPUTED_VALUE"""),7.0)</f>
        <v>7</v>
      </c>
      <c r="G108" s="60"/>
      <c r="H108" s="60">
        <f>IFERROR(__xludf.DUMMYFUNCTION("""COMPUTED_VALUE"""),61.03)</f>
        <v>61.03</v>
      </c>
      <c r="I108" s="60"/>
    </row>
    <row r="109" ht="15.75" customHeight="1">
      <c r="A109" s="55" t="str">
        <f t="shared" si="1"/>
        <v>0824GOLD</v>
      </c>
      <c r="B109" s="62">
        <f t="shared" ref="B109:D109" si="108">B108</f>
        <v>45518</v>
      </c>
      <c r="C109" s="63" t="str">
        <f t="shared" si="108"/>
        <v>GOLD</v>
      </c>
      <c r="D109" s="63" t="str">
        <f t="shared" si="108"/>
        <v>NY</v>
      </c>
      <c r="E109" s="51">
        <v>2.0</v>
      </c>
      <c r="F109" s="60">
        <f>IFERROR(__xludf.DUMMYFUNCTION("""COMPUTED_VALUE"""),8.0)</f>
        <v>8</v>
      </c>
      <c r="G109" s="60"/>
      <c r="H109" s="60">
        <f>IFERROR(__xludf.DUMMYFUNCTION("""COMPUTED_VALUE"""),51.55)</f>
        <v>51.55</v>
      </c>
      <c r="I109" s="60"/>
    </row>
    <row r="110" ht="15.75" customHeight="1">
      <c r="A110" s="55" t="str">
        <f t="shared" si="1"/>
        <v>0824GOLD</v>
      </c>
      <c r="B110" s="62">
        <f t="shared" ref="B110:D110" si="109">B109</f>
        <v>45518</v>
      </c>
      <c r="C110" s="63" t="str">
        <f t="shared" si="109"/>
        <v>GOLD</v>
      </c>
      <c r="D110" s="63" t="str">
        <f t="shared" si="109"/>
        <v>NY</v>
      </c>
      <c r="E110" s="51">
        <v>2.0</v>
      </c>
      <c r="F110" s="60">
        <f>IFERROR(__xludf.DUMMYFUNCTION("""COMPUTED_VALUE"""),9.0)</f>
        <v>9</v>
      </c>
      <c r="G110" s="60"/>
      <c r="H110" s="60">
        <f>IFERROR(__xludf.DUMMYFUNCTION("""COMPUTED_VALUE"""),43.38)</f>
        <v>43.38</v>
      </c>
      <c r="I110" s="60"/>
    </row>
    <row r="111" ht="15.75" customHeight="1">
      <c r="A111" s="55" t="str">
        <f t="shared" si="1"/>
        <v>0824GOLD</v>
      </c>
      <c r="B111" s="62">
        <f t="shared" ref="B111:D111" si="110">B110</f>
        <v>45518</v>
      </c>
      <c r="C111" s="63" t="str">
        <f t="shared" si="110"/>
        <v>GOLD</v>
      </c>
      <c r="D111" s="63" t="str">
        <f t="shared" si="110"/>
        <v>NY</v>
      </c>
      <c r="E111" s="51">
        <v>2.0</v>
      </c>
      <c r="F111" s="60">
        <f>IFERROR(__xludf.DUMMYFUNCTION("""COMPUTED_VALUE"""),10.0)</f>
        <v>10</v>
      </c>
      <c r="G111" s="60"/>
      <c r="H111" s="60">
        <f>IFERROR(__xludf.DUMMYFUNCTION("""COMPUTED_VALUE"""),62.6)</f>
        <v>62.6</v>
      </c>
      <c r="I111" s="60"/>
    </row>
    <row r="112" ht="15.75" customHeight="1">
      <c r="A112" s="55" t="str">
        <f t="shared" si="1"/>
        <v>0824GOLD</v>
      </c>
      <c r="B112" s="62">
        <f t="shared" ref="B112:D112" si="111">B111</f>
        <v>45518</v>
      </c>
      <c r="C112" s="63" t="str">
        <f t="shared" si="111"/>
        <v>GOLD</v>
      </c>
      <c r="D112" s="63" t="str">
        <f t="shared" si="111"/>
        <v>NY</v>
      </c>
      <c r="E112" s="51">
        <v>2.0</v>
      </c>
      <c r="F112" s="60">
        <f>IFERROR(__xludf.DUMMYFUNCTION("""COMPUTED_VALUE"""),11.0)</f>
        <v>11</v>
      </c>
      <c r="G112" s="60"/>
      <c r="H112" s="60">
        <f>IFERROR(__xludf.DUMMYFUNCTION("""COMPUTED_VALUE"""),67.77)</f>
        <v>67.77</v>
      </c>
      <c r="I112" s="60"/>
    </row>
    <row r="113" ht="15.75" customHeight="1">
      <c r="A113" s="55" t="str">
        <f t="shared" si="1"/>
        <v>0824GOLD</v>
      </c>
      <c r="B113" s="62">
        <f t="shared" ref="B113:D113" si="112">B112</f>
        <v>45518</v>
      </c>
      <c r="C113" s="63" t="str">
        <f t="shared" si="112"/>
        <v>GOLD</v>
      </c>
      <c r="D113" s="63" t="str">
        <f t="shared" si="112"/>
        <v>NY</v>
      </c>
      <c r="E113" s="51">
        <v>2.0</v>
      </c>
      <c r="F113" s="60">
        <f>IFERROR(__xludf.DUMMYFUNCTION("""COMPUTED_VALUE"""),12.0)</f>
        <v>12</v>
      </c>
      <c r="G113" s="60"/>
      <c r="H113" s="60">
        <f>IFERROR(__xludf.DUMMYFUNCTION("""COMPUTED_VALUE"""),69.93)</f>
        <v>69.93</v>
      </c>
      <c r="I113" s="60"/>
    </row>
    <row r="114" ht="15.75" customHeight="1">
      <c r="A114" s="55" t="str">
        <f t="shared" si="1"/>
        <v>0824GOLD</v>
      </c>
      <c r="B114" s="62">
        <f t="shared" ref="B114:D114" si="113">B113</f>
        <v>45518</v>
      </c>
      <c r="C114" s="63" t="str">
        <f t="shared" si="113"/>
        <v>GOLD</v>
      </c>
      <c r="D114" s="63" t="str">
        <f t="shared" si="113"/>
        <v>NY</v>
      </c>
      <c r="E114" s="51">
        <v>2.0</v>
      </c>
      <c r="F114" s="60">
        <f>IFERROR(__xludf.DUMMYFUNCTION("""COMPUTED_VALUE"""),13.0)</f>
        <v>13</v>
      </c>
      <c r="G114" s="60"/>
      <c r="H114" s="60">
        <f>IFERROR(__xludf.DUMMYFUNCTION("""COMPUTED_VALUE"""),41.22)</f>
        <v>41.22</v>
      </c>
      <c r="I114" s="60"/>
    </row>
    <row r="115" ht="15.75" customHeight="1">
      <c r="A115" s="55" t="str">
        <f t="shared" si="1"/>
        <v>0824GOLD</v>
      </c>
      <c r="B115" s="62">
        <f t="shared" ref="B115:D115" si="114">B114</f>
        <v>45518</v>
      </c>
      <c r="C115" s="63" t="str">
        <f t="shared" si="114"/>
        <v>GOLD</v>
      </c>
      <c r="D115" s="63" t="str">
        <f t="shared" si="114"/>
        <v>NY</v>
      </c>
      <c r="E115" s="51">
        <v>2.0</v>
      </c>
      <c r="F115" s="60">
        <f>IFERROR(__xludf.DUMMYFUNCTION("""COMPUTED_VALUE"""),14.0)</f>
        <v>14</v>
      </c>
      <c r="G115" s="60"/>
      <c r="H115" s="60">
        <f>IFERROR(__xludf.DUMMYFUNCTION("""COMPUTED_VALUE"""),63.1)</f>
        <v>63.1</v>
      </c>
      <c r="I115" s="60"/>
    </row>
    <row r="116" ht="15.75" customHeight="1">
      <c r="A116" s="55" t="str">
        <f t="shared" si="1"/>
        <v>0824GOLD</v>
      </c>
      <c r="B116" s="62">
        <f t="shared" ref="B116:D116" si="115">B115</f>
        <v>45518</v>
      </c>
      <c r="C116" s="63" t="str">
        <f t="shared" si="115"/>
        <v>GOLD</v>
      </c>
      <c r="D116" s="63" t="str">
        <f t="shared" si="115"/>
        <v>NY</v>
      </c>
      <c r="E116" s="51">
        <v>2.0</v>
      </c>
      <c r="F116" s="60">
        <f>IFERROR(__xludf.DUMMYFUNCTION("""COMPUTED_VALUE"""),15.0)</f>
        <v>15</v>
      </c>
      <c r="G116" s="60"/>
      <c r="H116" s="60">
        <f>IFERROR(__xludf.DUMMYFUNCTION("""COMPUTED_VALUE"""),41.2)</f>
        <v>41.2</v>
      </c>
      <c r="I116" s="60"/>
    </row>
    <row r="117" ht="15.75" customHeight="1">
      <c r="A117" s="55" t="str">
        <f t="shared" si="1"/>
        <v>0824GOLD</v>
      </c>
      <c r="B117" s="62">
        <f t="shared" ref="B117:D117" si="116">B116</f>
        <v>45518</v>
      </c>
      <c r="C117" s="63" t="str">
        <f t="shared" si="116"/>
        <v>GOLD</v>
      </c>
      <c r="D117" s="63" t="str">
        <f t="shared" si="116"/>
        <v>NY</v>
      </c>
      <c r="E117" s="51">
        <v>2.0</v>
      </c>
      <c r="F117" s="60">
        <f>IFERROR(__xludf.DUMMYFUNCTION("""COMPUTED_VALUE"""),16.0)</f>
        <v>16</v>
      </c>
      <c r="G117" s="60"/>
      <c r="H117" s="60">
        <f>IFERROR(__xludf.DUMMYFUNCTION("""COMPUTED_VALUE"""),54.65)</f>
        <v>54.65</v>
      </c>
      <c r="I117" s="60"/>
    </row>
    <row r="118" ht="15.75" customHeight="1">
      <c r="A118" s="55" t="str">
        <f t="shared" si="1"/>
        <v>0824GOLD</v>
      </c>
      <c r="B118" s="62">
        <f t="shared" ref="B118:D118" si="117">B117</f>
        <v>45518</v>
      </c>
      <c r="C118" s="63" t="str">
        <f t="shared" si="117"/>
        <v>GOLD</v>
      </c>
      <c r="D118" s="63" t="str">
        <f t="shared" si="117"/>
        <v>NY</v>
      </c>
      <c r="E118" s="51">
        <v>2.0</v>
      </c>
      <c r="F118" s="60">
        <f>IFERROR(__xludf.DUMMYFUNCTION("""COMPUTED_VALUE"""),17.0)</f>
        <v>17</v>
      </c>
      <c r="G118" s="60"/>
      <c r="H118" s="60">
        <f>IFERROR(__xludf.DUMMYFUNCTION("""COMPUTED_VALUE"""),67.73)</f>
        <v>67.73</v>
      </c>
      <c r="I118" s="60"/>
    </row>
    <row r="119" ht="15.75" customHeight="1">
      <c r="A119" s="55" t="str">
        <f t="shared" si="1"/>
        <v>0824GOLD</v>
      </c>
      <c r="B119" s="62">
        <f t="shared" ref="B119:D119" si="118">B118</f>
        <v>45518</v>
      </c>
      <c r="C119" s="63" t="str">
        <f t="shared" si="118"/>
        <v>GOLD</v>
      </c>
      <c r="D119" s="63" t="str">
        <f t="shared" si="118"/>
        <v>NY</v>
      </c>
      <c r="E119" s="51">
        <v>2.0</v>
      </c>
      <c r="F119" s="60">
        <f>IFERROR(__xludf.DUMMYFUNCTION("""COMPUTED_VALUE"""),18.0)</f>
        <v>18</v>
      </c>
      <c r="G119" s="60">
        <f>IFERROR(__xludf.DUMMYFUNCTION("""COMPUTED_VALUE"""),95.79)</f>
        <v>95.79</v>
      </c>
      <c r="H119" s="60"/>
      <c r="I119" s="60"/>
    </row>
    <row r="120" ht="15.75" customHeight="1">
      <c r="A120" s="55" t="str">
        <f t="shared" si="1"/>
        <v>0824GOLD</v>
      </c>
      <c r="B120" s="62">
        <f t="shared" ref="B120:D120" si="119">B119</f>
        <v>45518</v>
      </c>
      <c r="C120" s="63" t="str">
        <f t="shared" si="119"/>
        <v>GOLD</v>
      </c>
      <c r="D120" s="63" t="str">
        <f t="shared" si="119"/>
        <v>NY</v>
      </c>
      <c r="E120" s="51">
        <v>2.0</v>
      </c>
      <c r="F120" s="60">
        <f>IFERROR(__xludf.DUMMYFUNCTION("""COMPUTED_VALUE"""),19.0)</f>
        <v>19</v>
      </c>
      <c r="G120" s="60">
        <f>IFERROR(__xludf.DUMMYFUNCTION("""COMPUTED_VALUE"""),122.51)</f>
        <v>122.51</v>
      </c>
      <c r="H120" s="60"/>
      <c r="I120" s="60"/>
    </row>
    <row r="121" ht="15.75" customHeight="1">
      <c r="A121" s="55" t="str">
        <f t="shared" si="1"/>
        <v>0824GOLD</v>
      </c>
      <c r="B121" s="62">
        <f t="shared" ref="B121:D121" si="120">B120</f>
        <v>45518</v>
      </c>
      <c r="C121" s="63" t="str">
        <f t="shared" si="120"/>
        <v>GOLD</v>
      </c>
      <c r="D121" s="63" t="str">
        <f t="shared" si="120"/>
        <v>NY</v>
      </c>
      <c r="E121" s="51">
        <v>2.0</v>
      </c>
      <c r="F121" s="60">
        <f>IFERROR(__xludf.DUMMYFUNCTION("""COMPUTED_VALUE"""),20.0)</f>
        <v>20</v>
      </c>
      <c r="G121" s="60">
        <f>IFERROR(__xludf.DUMMYFUNCTION("""COMPUTED_VALUE"""),123.18)</f>
        <v>123.18</v>
      </c>
      <c r="H121" s="60"/>
      <c r="I121" s="60"/>
    </row>
    <row r="122" ht="15.75" customHeight="1">
      <c r="A122" s="55" t="str">
        <f t="shared" si="1"/>
        <v>0824GOLD</v>
      </c>
      <c r="B122" s="62">
        <f t="shared" ref="B122:D122" si="121">B121</f>
        <v>45518</v>
      </c>
      <c r="C122" s="63" t="str">
        <f t="shared" si="121"/>
        <v>GOLD</v>
      </c>
      <c r="D122" s="63" t="str">
        <f t="shared" si="121"/>
        <v>NY</v>
      </c>
      <c r="E122" s="51">
        <v>2.0</v>
      </c>
      <c r="F122" s="60">
        <f>IFERROR(__xludf.DUMMYFUNCTION("""COMPUTED_VALUE"""),21.0)</f>
        <v>21</v>
      </c>
      <c r="G122" s="60">
        <f>IFERROR(__xludf.DUMMYFUNCTION("""COMPUTED_VALUE"""),92.34)</f>
        <v>92.34</v>
      </c>
      <c r="H122" s="60"/>
      <c r="I122" s="60"/>
    </row>
    <row r="123" ht="15.75" customHeight="1">
      <c r="A123" s="55" t="str">
        <f t="shared" si="1"/>
        <v>0824GOLD</v>
      </c>
      <c r="B123" s="62">
        <f t="shared" ref="B123:D123" si="122">B122</f>
        <v>45518</v>
      </c>
      <c r="C123" s="63" t="str">
        <f t="shared" si="122"/>
        <v>GOLD</v>
      </c>
      <c r="D123" s="63" t="str">
        <f t="shared" si="122"/>
        <v>NY</v>
      </c>
      <c r="E123" s="51">
        <v>2.0</v>
      </c>
      <c r="F123" s="60">
        <f>IFERROR(__xludf.DUMMYFUNCTION("""COMPUTED_VALUE"""),22.0)</f>
        <v>22</v>
      </c>
      <c r="G123" s="60">
        <f>IFERROR(__xludf.DUMMYFUNCTION("""COMPUTED_VALUE"""),60.1)</f>
        <v>60.1</v>
      </c>
      <c r="H123" s="60"/>
      <c r="I123" s="60"/>
    </row>
    <row r="124" ht="15.75" customHeight="1">
      <c r="A124" s="55" t="str">
        <f t="shared" si="1"/>
        <v>0824GOLD</v>
      </c>
      <c r="B124" s="62">
        <f t="shared" ref="B124:D124" si="123">B123</f>
        <v>45518</v>
      </c>
      <c r="C124" s="63" t="str">
        <f t="shared" si="123"/>
        <v>GOLD</v>
      </c>
      <c r="D124" s="63" t="str">
        <f t="shared" si="123"/>
        <v>NY</v>
      </c>
      <c r="E124" s="51">
        <v>2.0</v>
      </c>
      <c r="F124" s="60">
        <f>IFERROR(__xludf.DUMMYFUNCTION("""COMPUTED_VALUE"""),23.0)</f>
        <v>23</v>
      </c>
      <c r="G124" s="60"/>
      <c r="H124" s="60">
        <f>IFERROR(__xludf.DUMMYFUNCTION("""COMPUTED_VALUE"""),42.84)</f>
        <v>42.84</v>
      </c>
      <c r="I124" s="60"/>
    </row>
    <row r="125" ht="15.75" customHeight="1">
      <c r="A125" s="55" t="str">
        <f t="shared" si="1"/>
        <v>0824GOLD</v>
      </c>
      <c r="B125" s="62">
        <f t="shared" ref="B125:D125" si="124">B124</f>
        <v>45518</v>
      </c>
      <c r="C125" s="63" t="str">
        <f t="shared" si="124"/>
        <v>GOLD</v>
      </c>
      <c r="D125" s="63" t="str">
        <f t="shared" si="124"/>
        <v>NY</v>
      </c>
      <c r="E125" s="51">
        <v>2.0</v>
      </c>
      <c r="F125" s="60">
        <f>IFERROR(__xludf.DUMMYFUNCTION("""COMPUTED_VALUE"""),24.0)</f>
        <v>24</v>
      </c>
      <c r="G125" s="60"/>
      <c r="H125" s="60"/>
      <c r="I125" s="60"/>
    </row>
    <row r="126" ht="15.75" customHeight="1">
      <c r="A126" s="55" t="str">
        <f t="shared" si="1"/>
        <v>0824GOLD</v>
      </c>
      <c r="B126" s="62">
        <f t="shared" ref="B126:D126" si="125">B125</f>
        <v>45518</v>
      </c>
      <c r="C126" s="63" t="str">
        <f t="shared" si="125"/>
        <v>GOLD</v>
      </c>
      <c r="D126" s="63" t="str">
        <f t="shared" si="125"/>
        <v>NY</v>
      </c>
      <c r="E126" s="51">
        <v>2.0</v>
      </c>
      <c r="F126" s="60">
        <f>IFERROR(__xludf.DUMMYFUNCTION("""COMPUTED_VALUE"""),25.0)</f>
        <v>25</v>
      </c>
      <c r="G126" s="60"/>
      <c r="H126" s="60"/>
      <c r="I126" s="60"/>
    </row>
    <row r="127" ht="15.75" customHeight="1">
      <c r="A127" s="55" t="str">
        <f t="shared" si="1"/>
        <v>0824GOLD</v>
      </c>
      <c r="B127" s="62">
        <f t="shared" ref="B127:D127" si="126">B126</f>
        <v>45518</v>
      </c>
      <c r="C127" s="63" t="str">
        <f t="shared" si="126"/>
        <v>GOLD</v>
      </c>
      <c r="D127" s="63" t="str">
        <f t="shared" si="126"/>
        <v>NY</v>
      </c>
      <c r="E127" s="51">
        <v>2.0</v>
      </c>
      <c r="F127" s="60">
        <f>IFERROR(__xludf.DUMMYFUNCTION("""COMPUTED_VALUE"""),26.0)</f>
        <v>26</v>
      </c>
      <c r="G127" s="60"/>
      <c r="H127" s="60"/>
      <c r="I127" s="60"/>
    </row>
    <row r="128" ht="15.75" customHeight="1">
      <c r="A128" s="55" t="str">
        <f t="shared" si="1"/>
        <v>0824GOLD</v>
      </c>
      <c r="B128" s="62">
        <f t="shared" ref="B128:D128" si="127">B127</f>
        <v>45518</v>
      </c>
      <c r="C128" s="63" t="str">
        <f t="shared" si="127"/>
        <v>GOLD</v>
      </c>
      <c r="D128" s="63" t="str">
        <f t="shared" si="127"/>
        <v>NY</v>
      </c>
      <c r="E128" s="51">
        <v>2.0</v>
      </c>
      <c r="F128" s="60">
        <f>IFERROR(__xludf.DUMMYFUNCTION("""COMPUTED_VALUE"""),27.0)</f>
        <v>27</v>
      </c>
      <c r="G128" s="60"/>
      <c r="H128" s="60"/>
      <c r="I128" s="60"/>
    </row>
    <row r="129" ht="15.75" customHeight="1">
      <c r="A129" s="55" t="str">
        <f t="shared" si="1"/>
        <v>0824GOLD</v>
      </c>
      <c r="B129" s="62">
        <f t="shared" ref="B129:D129" si="128">B128</f>
        <v>45518</v>
      </c>
      <c r="C129" s="63" t="str">
        <f t="shared" si="128"/>
        <v>GOLD</v>
      </c>
      <c r="D129" s="63" t="str">
        <f t="shared" si="128"/>
        <v>NY</v>
      </c>
      <c r="E129" s="51">
        <v>2.0</v>
      </c>
      <c r="F129" s="60">
        <f>IFERROR(__xludf.DUMMYFUNCTION("""COMPUTED_VALUE"""),28.0)</f>
        <v>28</v>
      </c>
      <c r="G129" s="60"/>
      <c r="H129" s="60"/>
      <c r="I129" s="60"/>
    </row>
    <row r="130" ht="15.75" customHeight="1">
      <c r="A130" s="55" t="str">
        <f t="shared" si="1"/>
        <v>0824GOLD</v>
      </c>
      <c r="B130" s="62">
        <f t="shared" ref="B130:D130" si="129">B129</f>
        <v>45518</v>
      </c>
      <c r="C130" s="63" t="str">
        <f t="shared" si="129"/>
        <v>GOLD</v>
      </c>
      <c r="D130" s="63" t="str">
        <f t="shared" si="129"/>
        <v>NY</v>
      </c>
      <c r="E130" s="51">
        <v>2.0</v>
      </c>
      <c r="F130" s="60">
        <f>IFERROR(__xludf.DUMMYFUNCTION("""COMPUTED_VALUE"""),29.0)</f>
        <v>29</v>
      </c>
      <c r="G130" s="60"/>
      <c r="H130" s="60"/>
      <c r="I130" s="60"/>
    </row>
    <row r="131" ht="15.75" customHeight="1">
      <c r="A131" s="55" t="str">
        <f t="shared" si="1"/>
        <v>0824GOLD</v>
      </c>
      <c r="B131" s="62">
        <f t="shared" ref="B131:D131" si="130">B130</f>
        <v>45518</v>
      </c>
      <c r="C131" s="63" t="str">
        <f t="shared" si="130"/>
        <v>GOLD</v>
      </c>
      <c r="D131" s="63" t="str">
        <f t="shared" si="130"/>
        <v>NY</v>
      </c>
      <c r="E131" s="51">
        <v>2.0</v>
      </c>
      <c r="F131" s="60">
        <f>IFERROR(__xludf.DUMMYFUNCTION("""COMPUTED_VALUE"""),30.0)</f>
        <v>30</v>
      </c>
      <c r="G131" s="60"/>
      <c r="H131" s="60"/>
      <c r="I131" s="60"/>
    </row>
    <row r="132" ht="15.75" customHeight="1">
      <c r="A132" s="55" t="str">
        <f t="shared" si="1"/>
        <v>0824GOLD</v>
      </c>
      <c r="B132" s="62">
        <f t="shared" ref="B132:D132" si="131">B131</f>
        <v>45518</v>
      </c>
      <c r="C132" s="63" t="str">
        <f t="shared" si="131"/>
        <v>GOLD</v>
      </c>
      <c r="D132" s="63" t="str">
        <f t="shared" si="131"/>
        <v>NY</v>
      </c>
      <c r="E132" s="51">
        <v>2.0</v>
      </c>
      <c r="F132" s="60">
        <f>IFERROR(__xludf.DUMMYFUNCTION("""COMPUTED_VALUE"""),31.0)</f>
        <v>31</v>
      </c>
      <c r="G132" s="60"/>
      <c r="H132" s="60"/>
      <c r="I132" s="60"/>
    </row>
    <row r="133" ht="15.75" customHeight="1">
      <c r="A133" s="55" t="str">
        <f t="shared" si="1"/>
        <v>0824GOLD</v>
      </c>
      <c r="B133" s="62">
        <f t="shared" ref="B133:D133" si="132">B132</f>
        <v>45518</v>
      </c>
      <c r="C133" s="63" t="str">
        <f t="shared" si="132"/>
        <v>GOLD</v>
      </c>
      <c r="D133" s="63" t="str">
        <f t="shared" si="132"/>
        <v>NY</v>
      </c>
      <c r="E133" s="51">
        <v>2.0</v>
      </c>
      <c r="F133" s="60">
        <f>IFERROR(__xludf.DUMMYFUNCTION("""COMPUTED_VALUE"""),32.0)</f>
        <v>32</v>
      </c>
      <c r="G133" s="60"/>
      <c r="H133" s="60"/>
      <c r="I133" s="60"/>
    </row>
    <row r="134" ht="15.75" customHeight="1">
      <c r="A134" s="55" t="str">
        <f t="shared" si="1"/>
        <v>0824GOLD</v>
      </c>
      <c r="B134" s="62">
        <f t="shared" ref="B134:D134" si="133">B133</f>
        <v>45518</v>
      </c>
      <c r="C134" s="63" t="str">
        <f t="shared" si="133"/>
        <v>GOLD</v>
      </c>
      <c r="D134" s="63" t="str">
        <f t="shared" si="133"/>
        <v>NY</v>
      </c>
      <c r="E134" s="51">
        <v>2.0</v>
      </c>
      <c r="F134" s="60">
        <f>IFERROR(__xludf.DUMMYFUNCTION("""COMPUTED_VALUE"""),33.0)</f>
        <v>33</v>
      </c>
      <c r="G134" s="60"/>
      <c r="H134" s="60"/>
      <c r="I134" s="60"/>
    </row>
    <row r="135" ht="15.75" customHeight="1">
      <c r="A135" s="55" t="str">
        <f t="shared" si="1"/>
        <v>0824GOLD</v>
      </c>
      <c r="B135" s="62">
        <f t="shared" ref="B135:D135" si="134">B134</f>
        <v>45518</v>
      </c>
      <c r="C135" s="63" t="str">
        <f t="shared" si="134"/>
        <v>GOLD</v>
      </c>
      <c r="D135" s="63" t="str">
        <f t="shared" si="134"/>
        <v>NY</v>
      </c>
      <c r="E135" s="51">
        <v>2.0</v>
      </c>
      <c r="F135" s="60">
        <f>IFERROR(__xludf.DUMMYFUNCTION("""COMPUTED_VALUE"""),34.0)</f>
        <v>34</v>
      </c>
      <c r="G135" s="60"/>
      <c r="H135" s="60"/>
      <c r="I135" s="60"/>
    </row>
    <row r="136" ht="15.75" customHeight="1">
      <c r="A136" s="55" t="str">
        <f t="shared" si="1"/>
        <v>0824GOLD</v>
      </c>
      <c r="B136" s="62">
        <f t="shared" ref="B136:D136" si="135">B135</f>
        <v>45518</v>
      </c>
      <c r="C136" s="63" t="str">
        <f t="shared" si="135"/>
        <v>GOLD</v>
      </c>
      <c r="D136" s="63" t="str">
        <f t="shared" si="135"/>
        <v>NY</v>
      </c>
      <c r="E136" s="51">
        <v>2.0</v>
      </c>
      <c r="F136" s="60">
        <f>IFERROR(__xludf.DUMMYFUNCTION("""COMPUTED_VALUE"""),35.0)</f>
        <v>35</v>
      </c>
      <c r="G136" s="60"/>
      <c r="H136" s="60"/>
      <c r="I136" s="60"/>
    </row>
    <row r="137" ht="15.75" customHeight="1">
      <c r="A137" s="55" t="str">
        <f t="shared" si="1"/>
        <v>0824GOLD</v>
      </c>
      <c r="B137" s="62">
        <f t="shared" ref="B137:D137" si="136">B136</f>
        <v>45518</v>
      </c>
      <c r="C137" s="63" t="str">
        <f t="shared" si="136"/>
        <v>GOLD</v>
      </c>
      <c r="D137" s="63" t="str">
        <f t="shared" si="136"/>
        <v>NY</v>
      </c>
      <c r="E137" s="51">
        <v>2.0</v>
      </c>
      <c r="F137" s="60">
        <f>IFERROR(__xludf.DUMMYFUNCTION("""COMPUTED_VALUE"""),36.0)</f>
        <v>36</v>
      </c>
      <c r="G137" s="60"/>
      <c r="H137" s="60"/>
      <c r="I137" s="60"/>
    </row>
    <row r="138" ht="15.75" customHeight="1">
      <c r="A138" s="55" t="str">
        <f t="shared" si="1"/>
        <v>0824GOLD</v>
      </c>
      <c r="B138" s="62">
        <f t="shared" ref="B138:D138" si="137">B137</f>
        <v>45518</v>
      </c>
      <c r="C138" s="63" t="str">
        <f t="shared" si="137"/>
        <v>GOLD</v>
      </c>
      <c r="D138" s="63" t="str">
        <f t="shared" si="137"/>
        <v>NY</v>
      </c>
      <c r="E138" s="51">
        <v>2.0</v>
      </c>
      <c r="F138" s="60">
        <f>IFERROR(__xludf.DUMMYFUNCTION("""COMPUTED_VALUE"""),37.0)</f>
        <v>37</v>
      </c>
      <c r="G138" s="60"/>
      <c r="H138" s="60"/>
      <c r="I138" s="60"/>
    </row>
    <row r="139" ht="15.75" customHeight="1">
      <c r="A139" s="55" t="str">
        <f t="shared" si="1"/>
        <v>0824GOLD</v>
      </c>
      <c r="B139" s="62">
        <f t="shared" ref="B139:D139" si="138">B138</f>
        <v>45518</v>
      </c>
      <c r="C139" s="63" t="str">
        <f t="shared" si="138"/>
        <v>GOLD</v>
      </c>
      <c r="D139" s="63" t="str">
        <f t="shared" si="138"/>
        <v>NY</v>
      </c>
      <c r="E139" s="51">
        <v>2.0</v>
      </c>
      <c r="F139" s="60">
        <f>IFERROR(__xludf.DUMMYFUNCTION("""COMPUTED_VALUE"""),38.0)</f>
        <v>38</v>
      </c>
      <c r="G139" s="60"/>
      <c r="H139" s="60"/>
      <c r="I139" s="60"/>
    </row>
    <row r="140" ht="15.75" customHeight="1">
      <c r="A140" s="55" t="str">
        <f t="shared" si="1"/>
        <v>0824GOLD</v>
      </c>
      <c r="B140" s="62">
        <f t="shared" ref="B140:D140" si="139">B139</f>
        <v>45518</v>
      </c>
      <c r="C140" s="63" t="str">
        <f t="shared" si="139"/>
        <v>GOLD</v>
      </c>
      <c r="D140" s="63" t="str">
        <f t="shared" si="139"/>
        <v>NY</v>
      </c>
      <c r="E140" s="51">
        <v>2.0</v>
      </c>
      <c r="F140" s="60">
        <f>IFERROR(__xludf.DUMMYFUNCTION("""COMPUTED_VALUE"""),39.0)</f>
        <v>39</v>
      </c>
      <c r="G140" s="60"/>
      <c r="H140" s="60"/>
      <c r="I140" s="60"/>
    </row>
    <row r="141" ht="15.75" customHeight="1">
      <c r="A141" s="55" t="str">
        <f t="shared" si="1"/>
        <v>0824GOLD</v>
      </c>
      <c r="B141" s="62">
        <f t="shared" ref="B141:D141" si="140">B140</f>
        <v>45518</v>
      </c>
      <c r="C141" s="63" t="str">
        <f t="shared" si="140"/>
        <v>GOLD</v>
      </c>
      <c r="D141" s="63" t="str">
        <f t="shared" si="140"/>
        <v>NY</v>
      </c>
      <c r="E141" s="51">
        <v>2.0</v>
      </c>
      <c r="F141" s="60">
        <f>IFERROR(__xludf.DUMMYFUNCTION("""COMPUTED_VALUE"""),40.0)</f>
        <v>40</v>
      </c>
      <c r="G141" s="60"/>
      <c r="H141" s="60"/>
      <c r="I141" s="60"/>
    </row>
    <row r="142" ht="15.75" customHeight="1">
      <c r="A142" s="55" t="str">
        <f t="shared" si="1"/>
        <v>0824GOLD</v>
      </c>
      <c r="B142" s="62">
        <f t="shared" ref="B142:D142" si="141">B141</f>
        <v>45518</v>
      </c>
      <c r="C142" s="63" t="str">
        <f t="shared" si="141"/>
        <v>GOLD</v>
      </c>
      <c r="D142" s="63" t="str">
        <f t="shared" si="141"/>
        <v>NY</v>
      </c>
      <c r="E142" s="51">
        <v>2.0</v>
      </c>
      <c r="F142" s="60">
        <f>IFERROR(__xludf.DUMMYFUNCTION("""COMPUTED_VALUE"""),41.0)</f>
        <v>41</v>
      </c>
      <c r="G142" s="60"/>
      <c r="H142" s="60"/>
      <c r="I142" s="60"/>
    </row>
    <row r="143" ht="15.75" customHeight="1">
      <c r="A143" s="55" t="str">
        <f t="shared" si="1"/>
        <v>0824GOLD</v>
      </c>
      <c r="B143" s="62">
        <f t="shared" ref="B143:D143" si="142">B142</f>
        <v>45518</v>
      </c>
      <c r="C143" s="63" t="str">
        <f t="shared" si="142"/>
        <v>GOLD</v>
      </c>
      <c r="D143" s="63" t="str">
        <f t="shared" si="142"/>
        <v>NY</v>
      </c>
      <c r="E143" s="51">
        <v>2.0</v>
      </c>
      <c r="F143" s="60">
        <f>IFERROR(__xludf.DUMMYFUNCTION("""COMPUTED_VALUE"""),42.0)</f>
        <v>42</v>
      </c>
      <c r="G143" s="60"/>
      <c r="H143" s="60"/>
      <c r="I143" s="60"/>
    </row>
    <row r="144" ht="15.75" customHeight="1">
      <c r="A144" s="55" t="str">
        <f t="shared" si="1"/>
        <v>0824GOLD</v>
      </c>
      <c r="B144" s="62">
        <f t="shared" ref="B144:D144" si="143">B143</f>
        <v>45518</v>
      </c>
      <c r="C144" s="63" t="str">
        <f t="shared" si="143"/>
        <v>GOLD</v>
      </c>
      <c r="D144" s="63" t="str">
        <f t="shared" si="143"/>
        <v>NY</v>
      </c>
      <c r="E144" s="51">
        <v>2.0</v>
      </c>
      <c r="F144" s="60">
        <f>IFERROR(__xludf.DUMMYFUNCTION("""COMPUTED_VALUE"""),43.0)</f>
        <v>43</v>
      </c>
      <c r="G144" s="60"/>
      <c r="H144" s="60"/>
      <c r="I144" s="60"/>
    </row>
    <row r="145" ht="15.75" customHeight="1">
      <c r="A145" s="55" t="str">
        <f t="shared" si="1"/>
        <v>0824GOLD</v>
      </c>
      <c r="B145" s="62">
        <f t="shared" ref="B145:D145" si="144">B144</f>
        <v>45518</v>
      </c>
      <c r="C145" s="63" t="str">
        <f t="shared" si="144"/>
        <v>GOLD</v>
      </c>
      <c r="D145" s="63" t="str">
        <f t="shared" si="144"/>
        <v>NY</v>
      </c>
      <c r="E145" s="51">
        <v>2.0</v>
      </c>
      <c r="F145" s="60">
        <f>IFERROR(__xludf.DUMMYFUNCTION("""COMPUTED_VALUE"""),44.0)</f>
        <v>44</v>
      </c>
      <c r="G145" s="60"/>
      <c r="H145" s="60"/>
      <c r="I145" s="60"/>
    </row>
    <row r="146" ht="15.75" customHeight="1">
      <c r="A146" s="55" t="str">
        <f t="shared" si="1"/>
        <v>0824GOLD</v>
      </c>
      <c r="B146" s="62">
        <f t="shared" ref="B146:D146" si="145">B145</f>
        <v>45518</v>
      </c>
      <c r="C146" s="63" t="str">
        <f t="shared" si="145"/>
        <v>GOLD</v>
      </c>
      <c r="D146" s="63" t="str">
        <f t="shared" si="145"/>
        <v>NY</v>
      </c>
      <c r="E146" s="51">
        <v>2.0</v>
      </c>
      <c r="F146" s="60">
        <f>IFERROR(__xludf.DUMMYFUNCTION("""COMPUTED_VALUE"""),45.0)</f>
        <v>45</v>
      </c>
      <c r="G146" s="60"/>
      <c r="H146" s="60"/>
      <c r="I146" s="60"/>
    </row>
    <row r="147" ht="15.75" customHeight="1">
      <c r="A147" s="55" t="str">
        <f t="shared" si="1"/>
        <v>0824GOLD</v>
      </c>
      <c r="B147" s="62">
        <f t="shared" ref="B147:D147" si="146">B146</f>
        <v>45518</v>
      </c>
      <c r="C147" s="63" t="str">
        <f t="shared" si="146"/>
        <v>GOLD</v>
      </c>
      <c r="D147" s="63" t="str">
        <f t="shared" si="146"/>
        <v>NY</v>
      </c>
      <c r="E147" s="51">
        <v>2.0</v>
      </c>
      <c r="F147" s="60">
        <f>IFERROR(__xludf.DUMMYFUNCTION("""COMPUTED_VALUE"""),46.0)</f>
        <v>46</v>
      </c>
      <c r="G147" s="60"/>
      <c r="H147" s="60"/>
      <c r="I147" s="60"/>
    </row>
    <row r="148" ht="15.75" customHeight="1">
      <c r="A148" s="55" t="str">
        <f t="shared" si="1"/>
        <v>0824GOLD</v>
      </c>
      <c r="B148" s="62">
        <f t="shared" ref="B148:D148" si="147">B147</f>
        <v>45518</v>
      </c>
      <c r="C148" s="63" t="str">
        <f t="shared" si="147"/>
        <v>GOLD</v>
      </c>
      <c r="D148" s="63" t="str">
        <f t="shared" si="147"/>
        <v>NY</v>
      </c>
      <c r="E148" s="51">
        <v>2.0</v>
      </c>
      <c r="F148" s="60">
        <f>IFERROR(__xludf.DUMMYFUNCTION("""COMPUTED_VALUE"""),47.0)</f>
        <v>47</v>
      </c>
      <c r="G148" s="60"/>
      <c r="H148" s="60"/>
      <c r="I148" s="60"/>
    </row>
    <row r="149" ht="15.75" customHeight="1">
      <c r="A149" s="55" t="str">
        <f t="shared" si="1"/>
        <v>0824GOLD</v>
      </c>
      <c r="B149" s="62">
        <f t="shared" ref="B149:D149" si="148">B148</f>
        <v>45518</v>
      </c>
      <c r="C149" s="63" t="str">
        <f t="shared" si="148"/>
        <v>GOLD</v>
      </c>
      <c r="D149" s="63" t="str">
        <f t="shared" si="148"/>
        <v>NY</v>
      </c>
      <c r="E149" s="51">
        <v>2.0</v>
      </c>
      <c r="F149" s="60">
        <f>IFERROR(__xludf.DUMMYFUNCTION("""COMPUTED_VALUE"""),48.0)</f>
        <v>48</v>
      </c>
      <c r="G149" s="60"/>
      <c r="H149" s="60"/>
      <c r="I149" s="60"/>
    </row>
    <row r="150" ht="15.75" customHeight="1">
      <c r="A150" s="55" t="str">
        <f t="shared" si="1"/>
        <v>0824GOLD</v>
      </c>
      <c r="B150" s="62">
        <f t="shared" ref="B150:D150" si="149">B149</f>
        <v>45518</v>
      </c>
      <c r="C150" s="63" t="str">
        <f t="shared" si="149"/>
        <v>GOLD</v>
      </c>
      <c r="D150" s="63" t="str">
        <f t="shared" si="149"/>
        <v>NY</v>
      </c>
      <c r="E150" s="51">
        <v>2.0</v>
      </c>
      <c r="F150" s="60">
        <f>IFERROR(__xludf.DUMMYFUNCTION("""COMPUTED_VALUE"""),49.0)</f>
        <v>49</v>
      </c>
      <c r="G150" s="60"/>
      <c r="H150" s="60"/>
      <c r="I150" s="60"/>
    </row>
    <row r="151" ht="15.75" customHeight="1">
      <c r="A151" s="55" t="str">
        <f t="shared" si="1"/>
        <v>0824GOLD</v>
      </c>
      <c r="B151" s="62">
        <f t="shared" ref="B151:D151" si="150">B150</f>
        <v>45518</v>
      </c>
      <c r="C151" s="63" t="str">
        <f t="shared" si="150"/>
        <v>GOLD</v>
      </c>
      <c r="D151" s="63" t="str">
        <f t="shared" si="150"/>
        <v>NY</v>
      </c>
      <c r="E151" s="51">
        <v>2.0</v>
      </c>
      <c r="F151" s="60">
        <f>IFERROR(__xludf.DUMMYFUNCTION("""COMPUTED_VALUE"""),50.0)</f>
        <v>50</v>
      </c>
      <c r="G151" s="60"/>
      <c r="H151" s="60"/>
      <c r="I151" s="60"/>
    </row>
    <row r="152" ht="15.75" customHeight="1">
      <c r="A152" s="55" t="str">
        <f t="shared" si="1"/>
        <v>0824GOLD</v>
      </c>
      <c r="B152" s="62">
        <f t="shared" ref="B152:D152" si="151">B151</f>
        <v>45518</v>
      </c>
      <c r="C152" s="63" t="str">
        <f t="shared" si="151"/>
        <v>GOLD</v>
      </c>
      <c r="D152" s="63" t="str">
        <f t="shared" si="151"/>
        <v>NY</v>
      </c>
      <c r="E152" s="51">
        <v>2.0</v>
      </c>
      <c r="F152" s="60">
        <f>IFERROR(__xludf.DUMMYFUNCTION("""COMPUTED_VALUE"""),51.0)</f>
        <v>51</v>
      </c>
      <c r="G152" s="60"/>
      <c r="H152" s="60"/>
      <c r="I152" s="60"/>
    </row>
    <row r="153" ht="15.75" customHeight="1">
      <c r="A153" s="55" t="str">
        <f t="shared" si="1"/>
        <v>0824GOLD</v>
      </c>
      <c r="B153" s="62">
        <f t="shared" ref="B153:D153" si="152">B152</f>
        <v>45518</v>
      </c>
      <c r="C153" s="63" t="str">
        <f t="shared" si="152"/>
        <v>GOLD</v>
      </c>
      <c r="D153" s="63" t="str">
        <f t="shared" si="152"/>
        <v>NY</v>
      </c>
      <c r="E153" s="51">
        <v>2.0</v>
      </c>
      <c r="F153" s="60">
        <f>IFERROR(__xludf.DUMMYFUNCTION("""COMPUTED_VALUE"""),52.0)</f>
        <v>52</v>
      </c>
      <c r="G153" s="60"/>
      <c r="H153" s="60"/>
      <c r="I153" s="60"/>
    </row>
    <row r="154" ht="15.75" customHeight="1">
      <c r="A154" s="55" t="str">
        <f t="shared" si="1"/>
        <v>0824GOLD</v>
      </c>
      <c r="B154" s="62">
        <f t="shared" ref="B154:D154" si="153">B153</f>
        <v>45518</v>
      </c>
      <c r="C154" s="63" t="str">
        <f t="shared" si="153"/>
        <v>GOLD</v>
      </c>
      <c r="D154" s="63" t="str">
        <f t="shared" si="153"/>
        <v>NY</v>
      </c>
      <c r="E154" s="51">
        <v>2.0</v>
      </c>
      <c r="F154" s="60">
        <f>IFERROR(__xludf.DUMMYFUNCTION("""COMPUTED_VALUE"""),53.0)</f>
        <v>53</v>
      </c>
      <c r="G154" s="60"/>
      <c r="H154" s="60"/>
      <c r="I154" s="60"/>
    </row>
    <row r="155" ht="15.75" customHeight="1">
      <c r="A155" s="55" t="str">
        <f t="shared" si="1"/>
        <v>0824GOLD</v>
      </c>
      <c r="B155" s="62">
        <f t="shared" ref="B155:D155" si="154">B154</f>
        <v>45518</v>
      </c>
      <c r="C155" s="63" t="str">
        <f t="shared" si="154"/>
        <v>GOLD</v>
      </c>
      <c r="D155" s="63" t="str">
        <f t="shared" si="154"/>
        <v>NY</v>
      </c>
      <c r="E155" s="51">
        <v>2.0</v>
      </c>
      <c r="F155" s="60">
        <f>IFERROR(__xludf.DUMMYFUNCTION("""COMPUTED_VALUE"""),54.0)</f>
        <v>54</v>
      </c>
      <c r="G155" s="60"/>
      <c r="H155" s="60"/>
      <c r="I155" s="60"/>
    </row>
    <row r="156" ht="15.75" customHeight="1">
      <c r="A156" s="55" t="str">
        <f t="shared" si="1"/>
        <v>0824GOLD</v>
      </c>
      <c r="B156" s="62">
        <f t="shared" ref="B156:D156" si="155">B155</f>
        <v>45518</v>
      </c>
      <c r="C156" s="63" t="str">
        <f t="shared" si="155"/>
        <v>GOLD</v>
      </c>
      <c r="D156" s="63" t="str">
        <f t="shared" si="155"/>
        <v>NY</v>
      </c>
      <c r="E156" s="51">
        <v>2.0</v>
      </c>
      <c r="F156" s="60">
        <f>IFERROR(__xludf.DUMMYFUNCTION("""COMPUTED_VALUE"""),55.0)</f>
        <v>55</v>
      </c>
      <c r="G156" s="60"/>
      <c r="H156" s="60"/>
      <c r="I156" s="60"/>
    </row>
    <row r="157" ht="15.75" customHeight="1">
      <c r="A157" s="55" t="str">
        <f t="shared" si="1"/>
        <v>0824GOLD</v>
      </c>
      <c r="B157" s="62">
        <f t="shared" ref="B157:D157" si="156">B156</f>
        <v>45518</v>
      </c>
      <c r="C157" s="63" t="str">
        <f t="shared" si="156"/>
        <v>GOLD</v>
      </c>
      <c r="D157" s="63" t="str">
        <f t="shared" si="156"/>
        <v>NY</v>
      </c>
      <c r="E157" s="51">
        <v>2.0</v>
      </c>
      <c r="F157" s="60">
        <f>IFERROR(__xludf.DUMMYFUNCTION("""COMPUTED_VALUE"""),56.0)</f>
        <v>56</v>
      </c>
      <c r="G157" s="60"/>
      <c r="H157" s="60"/>
      <c r="I157" s="60"/>
    </row>
    <row r="158" ht="15.75" customHeight="1">
      <c r="A158" s="55" t="str">
        <f t="shared" si="1"/>
        <v>0824GOLD</v>
      </c>
      <c r="B158" s="62">
        <f t="shared" ref="B158:D158" si="157">B157</f>
        <v>45518</v>
      </c>
      <c r="C158" s="63" t="str">
        <f t="shared" si="157"/>
        <v>GOLD</v>
      </c>
      <c r="D158" s="63" t="str">
        <f t="shared" si="157"/>
        <v>NY</v>
      </c>
      <c r="E158" s="51">
        <v>2.0</v>
      </c>
      <c r="F158" s="60">
        <f>IFERROR(__xludf.DUMMYFUNCTION("""COMPUTED_VALUE"""),57.0)</f>
        <v>57</v>
      </c>
      <c r="G158" s="60"/>
      <c r="H158" s="60"/>
      <c r="I158" s="60"/>
    </row>
    <row r="159" ht="15.75" customHeight="1">
      <c r="A159" s="55" t="str">
        <f t="shared" si="1"/>
        <v>0824GOLD</v>
      </c>
      <c r="B159" s="62">
        <f t="shared" ref="B159:D159" si="158">B158</f>
        <v>45518</v>
      </c>
      <c r="C159" s="63" t="str">
        <f t="shared" si="158"/>
        <v>GOLD</v>
      </c>
      <c r="D159" s="63" t="str">
        <f t="shared" si="158"/>
        <v>NY</v>
      </c>
      <c r="E159" s="51">
        <v>2.0</v>
      </c>
      <c r="F159" s="60">
        <f>IFERROR(__xludf.DUMMYFUNCTION("""COMPUTED_VALUE"""),58.0)</f>
        <v>58</v>
      </c>
      <c r="G159" s="60"/>
      <c r="H159" s="60"/>
      <c r="I159" s="60"/>
    </row>
    <row r="160" ht="15.75" customHeight="1">
      <c r="A160" s="55" t="str">
        <f t="shared" si="1"/>
        <v>0824GOLD</v>
      </c>
      <c r="B160" s="62">
        <f t="shared" ref="B160:D160" si="159">B159</f>
        <v>45518</v>
      </c>
      <c r="C160" s="63" t="str">
        <f t="shared" si="159"/>
        <v>GOLD</v>
      </c>
      <c r="D160" s="63" t="str">
        <f t="shared" si="159"/>
        <v>NY</v>
      </c>
      <c r="E160" s="51">
        <v>2.0</v>
      </c>
      <c r="F160" s="60">
        <f>IFERROR(__xludf.DUMMYFUNCTION("""COMPUTED_VALUE"""),59.0)</f>
        <v>59</v>
      </c>
      <c r="G160" s="60"/>
      <c r="H160" s="60"/>
      <c r="I160" s="60"/>
    </row>
    <row r="161" ht="15.75" customHeight="1">
      <c r="A161" s="55" t="str">
        <f t="shared" si="1"/>
        <v>0824GOLD</v>
      </c>
      <c r="B161" s="62">
        <f t="shared" ref="B161:D161" si="160">B160</f>
        <v>45518</v>
      </c>
      <c r="C161" s="63" t="str">
        <f t="shared" si="160"/>
        <v>GOLD</v>
      </c>
      <c r="D161" s="63" t="str">
        <f t="shared" si="160"/>
        <v>NY</v>
      </c>
      <c r="E161" s="51">
        <v>2.0</v>
      </c>
      <c r="F161" s="60">
        <f>IFERROR(__xludf.DUMMYFUNCTION("""COMPUTED_VALUE"""),60.0)</f>
        <v>60</v>
      </c>
      <c r="G161" s="60"/>
      <c r="H161" s="60"/>
      <c r="I161" s="60"/>
    </row>
    <row r="162" ht="15.75" customHeight="1">
      <c r="A162" s="55" t="str">
        <f t="shared" si="1"/>
        <v>0824GOLD</v>
      </c>
      <c r="B162" s="62">
        <f t="shared" ref="B162:D162" si="161">B161</f>
        <v>45518</v>
      </c>
      <c r="C162" s="63" t="str">
        <f t="shared" si="161"/>
        <v>GOLD</v>
      </c>
      <c r="D162" s="63" t="str">
        <f t="shared" si="161"/>
        <v>NY</v>
      </c>
      <c r="E162" s="51">
        <v>2.0</v>
      </c>
      <c r="F162" s="60">
        <f>IFERROR(__xludf.DUMMYFUNCTION("""COMPUTED_VALUE"""),61.0)</f>
        <v>61</v>
      </c>
      <c r="G162" s="60"/>
      <c r="H162" s="60"/>
      <c r="I162" s="60"/>
    </row>
    <row r="163" ht="15.75" customHeight="1">
      <c r="A163" s="55" t="str">
        <f t="shared" si="1"/>
        <v>0824GOLD</v>
      </c>
      <c r="B163" s="62">
        <f t="shared" ref="B163:D163" si="162">B162</f>
        <v>45518</v>
      </c>
      <c r="C163" s="63" t="str">
        <f t="shared" si="162"/>
        <v>GOLD</v>
      </c>
      <c r="D163" s="63" t="str">
        <f t="shared" si="162"/>
        <v>NY</v>
      </c>
      <c r="E163" s="51">
        <v>2.0</v>
      </c>
      <c r="F163" s="60">
        <f>IFERROR(__xludf.DUMMYFUNCTION("""COMPUTED_VALUE"""),62.0)</f>
        <v>62</v>
      </c>
      <c r="G163" s="60"/>
      <c r="H163" s="60"/>
      <c r="I163" s="60"/>
    </row>
    <row r="164" ht="15.75" customHeight="1">
      <c r="A164" s="55" t="str">
        <f t="shared" si="1"/>
        <v>0824GOLD</v>
      </c>
      <c r="B164" s="62">
        <f t="shared" ref="B164:D164" si="163">B163</f>
        <v>45518</v>
      </c>
      <c r="C164" s="63" t="str">
        <f t="shared" si="163"/>
        <v>GOLD</v>
      </c>
      <c r="D164" s="63" t="str">
        <f t="shared" si="163"/>
        <v>NY</v>
      </c>
      <c r="E164" s="51">
        <v>2.0</v>
      </c>
      <c r="F164" s="60">
        <f>IFERROR(__xludf.DUMMYFUNCTION("""COMPUTED_VALUE"""),63.0)</f>
        <v>63</v>
      </c>
      <c r="G164" s="60"/>
      <c r="H164" s="60"/>
      <c r="I164" s="60"/>
    </row>
    <row r="165" ht="15.75" customHeight="1">
      <c r="A165" s="55" t="str">
        <f t="shared" si="1"/>
        <v>0824GOLD</v>
      </c>
      <c r="B165" s="62">
        <f t="shared" ref="B165:D165" si="164">B164</f>
        <v>45518</v>
      </c>
      <c r="C165" s="63" t="str">
        <f t="shared" si="164"/>
        <v>GOLD</v>
      </c>
      <c r="D165" s="63" t="str">
        <f t="shared" si="164"/>
        <v>NY</v>
      </c>
      <c r="E165" s="51">
        <v>2.0</v>
      </c>
      <c r="F165" s="60">
        <f>IFERROR(__xludf.DUMMYFUNCTION("""COMPUTED_VALUE"""),64.0)</f>
        <v>64</v>
      </c>
      <c r="G165" s="60"/>
      <c r="H165" s="60"/>
      <c r="I165" s="60"/>
    </row>
    <row r="166" ht="15.75" customHeight="1">
      <c r="A166" s="55" t="str">
        <f t="shared" si="1"/>
        <v>0824GOLD</v>
      </c>
      <c r="B166" s="62">
        <f t="shared" ref="B166:D166" si="165">B165</f>
        <v>45518</v>
      </c>
      <c r="C166" s="63" t="str">
        <f t="shared" si="165"/>
        <v>GOLD</v>
      </c>
      <c r="D166" s="63" t="str">
        <f t="shared" si="165"/>
        <v>NY</v>
      </c>
      <c r="E166" s="51">
        <v>2.0</v>
      </c>
      <c r="F166" s="60">
        <f>IFERROR(__xludf.DUMMYFUNCTION("""COMPUTED_VALUE"""),65.0)</f>
        <v>65</v>
      </c>
      <c r="G166" s="60"/>
      <c r="H166" s="60"/>
      <c r="I166" s="60"/>
    </row>
    <row r="167" ht="15.75" customHeight="1">
      <c r="A167" s="55" t="str">
        <f t="shared" si="1"/>
        <v>0824GOLD</v>
      </c>
      <c r="B167" s="62">
        <f t="shared" ref="B167:D167" si="166">B166</f>
        <v>45518</v>
      </c>
      <c r="C167" s="63" t="str">
        <f t="shared" si="166"/>
        <v>GOLD</v>
      </c>
      <c r="D167" s="63" t="str">
        <f t="shared" si="166"/>
        <v>NY</v>
      </c>
      <c r="E167" s="51">
        <v>2.0</v>
      </c>
      <c r="F167" s="60">
        <f>IFERROR(__xludf.DUMMYFUNCTION("""COMPUTED_VALUE"""),66.0)</f>
        <v>66</v>
      </c>
      <c r="G167" s="60"/>
      <c r="H167" s="60"/>
      <c r="I167" s="60"/>
    </row>
    <row r="168" ht="15.75" customHeight="1">
      <c r="A168" s="55" t="str">
        <f t="shared" si="1"/>
        <v>0824GOLD</v>
      </c>
      <c r="B168" s="62">
        <f t="shared" ref="B168:D168" si="167">B167</f>
        <v>45518</v>
      </c>
      <c r="C168" s="63" t="str">
        <f t="shared" si="167"/>
        <v>GOLD</v>
      </c>
      <c r="D168" s="63" t="str">
        <f t="shared" si="167"/>
        <v>NY</v>
      </c>
      <c r="E168" s="51">
        <v>2.0</v>
      </c>
      <c r="F168" s="60">
        <f>IFERROR(__xludf.DUMMYFUNCTION("""COMPUTED_VALUE"""),67.0)</f>
        <v>67</v>
      </c>
      <c r="G168" s="60"/>
      <c r="H168" s="60"/>
      <c r="I168" s="60"/>
    </row>
    <row r="169" ht="15.75" customHeight="1">
      <c r="A169" s="55" t="str">
        <f t="shared" si="1"/>
        <v>0824GOLD</v>
      </c>
      <c r="B169" s="62">
        <f t="shared" ref="B169:D169" si="168">B168</f>
        <v>45518</v>
      </c>
      <c r="C169" s="63" t="str">
        <f t="shared" si="168"/>
        <v>GOLD</v>
      </c>
      <c r="D169" s="63" t="str">
        <f t="shared" si="168"/>
        <v>NY</v>
      </c>
      <c r="E169" s="51">
        <v>2.0</v>
      </c>
      <c r="F169" s="60">
        <f>IFERROR(__xludf.DUMMYFUNCTION("""COMPUTED_VALUE"""),68.0)</f>
        <v>68</v>
      </c>
      <c r="G169" s="60"/>
      <c r="H169" s="60"/>
      <c r="I169" s="60"/>
    </row>
    <row r="170" ht="15.75" customHeight="1">
      <c r="A170" s="55" t="str">
        <f t="shared" si="1"/>
        <v>0824GOLD</v>
      </c>
      <c r="B170" s="62">
        <f t="shared" ref="B170:D170" si="169">B169</f>
        <v>45518</v>
      </c>
      <c r="C170" s="63" t="str">
        <f t="shared" si="169"/>
        <v>GOLD</v>
      </c>
      <c r="D170" s="63" t="str">
        <f t="shared" si="169"/>
        <v>NY</v>
      </c>
      <c r="E170" s="51">
        <v>2.0</v>
      </c>
      <c r="F170" s="60">
        <f>IFERROR(__xludf.DUMMYFUNCTION("""COMPUTED_VALUE"""),69.0)</f>
        <v>69</v>
      </c>
      <c r="G170" s="60"/>
      <c r="H170" s="60"/>
      <c r="I170" s="60"/>
    </row>
    <row r="171" ht="15.75" customHeight="1">
      <c r="A171" s="55" t="str">
        <f t="shared" si="1"/>
        <v>0824GOLD</v>
      </c>
      <c r="B171" s="62">
        <f t="shared" ref="B171:D171" si="170">B170</f>
        <v>45518</v>
      </c>
      <c r="C171" s="63" t="str">
        <f t="shared" si="170"/>
        <v>GOLD</v>
      </c>
      <c r="D171" s="63" t="str">
        <f t="shared" si="170"/>
        <v>NY</v>
      </c>
      <c r="E171" s="51">
        <v>2.0</v>
      </c>
      <c r="F171" s="60">
        <f>IFERROR(__xludf.DUMMYFUNCTION("""COMPUTED_VALUE"""),70.0)</f>
        <v>70</v>
      </c>
      <c r="G171" s="60"/>
      <c r="H171" s="60"/>
      <c r="I171" s="60"/>
    </row>
    <row r="172" ht="15.75" customHeight="1">
      <c r="A172" s="55" t="str">
        <f t="shared" si="1"/>
        <v>0824GOLD</v>
      </c>
      <c r="B172" s="62">
        <f t="shared" ref="B172:D172" si="171">B171</f>
        <v>45518</v>
      </c>
      <c r="C172" s="63" t="str">
        <f t="shared" si="171"/>
        <v>GOLD</v>
      </c>
      <c r="D172" s="63" t="str">
        <f t="shared" si="171"/>
        <v>NY</v>
      </c>
      <c r="E172" s="51">
        <v>2.0</v>
      </c>
      <c r="F172" s="60">
        <f>IFERROR(__xludf.DUMMYFUNCTION("""COMPUTED_VALUE"""),71.0)</f>
        <v>71</v>
      </c>
      <c r="G172" s="60"/>
      <c r="H172" s="60"/>
      <c r="I172" s="60"/>
    </row>
    <row r="173" ht="15.75" customHeight="1">
      <c r="A173" s="55" t="str">
        <f t="shared" si="1"/>
        <v>0824GOLD</v>
      </c>
      <c r="B173" s="62">
        <f t="shared" ref="B173:D173" si="172">B172</f>
        <v>45518</v>
      </c>
      <c r="C173" s="63" t="str">
        <f t="shared" si="172"/>
        <v>GOLD</v>
      </c>
      <c r="D173" s="63" t="str">
        <f t="shared" si="172"/>
        <v>NY</v>
      </c>
      <c r="E173" s="51">
        <v>2.0</v>
      </c>
      <c r="F173" s="60">
        <f>IFERROR(__xludf.DUMMYFUNCTION("""COMPUTED_VALUE"""),72.0)</f>
        <v>72</v>
      </c>
      <c r="G173" s="60"/>
      <c r="H173" s="60"/>
      <c r="I173" s="60"/>
    </row>
    <row r="174" ht="15.75" customHeight="1">
      <c r="A174" s="55" t="str">
        <f t="shared" si="1"/>
        <v>0824GOLD</v>
      </c>
      <c r="B174" s="62">
        <f t="shared" ref="B174:D174" si="173">B173</f>
        <v>45518</v>
      </c>
      <c r="C174" s="63" t="str">
        <f t="shared" si="173"/>
        <v>GOLD</v>
      </c>
      <c r="D174" s="63" t="str">
        <f t="shared" si="173"/>
        <v>NY</v>
      </c>
      <c r="E174" s="51">
        <v>2.0</v>
      </c>
      <c r="F174" s="60">
        <f>IFERROR(__xludf.DUMMYFUNCTION("""COMPUTED_VALUE"""),73.0)</f>
        <v>73</v>
      </c>
      <c r="G174" s="60"/>
      <c r="H174" s="60"/>
      <c r="I174" s="60"/>
    </row>
    <row r="175" ht="15.75" customHeight="1">
      <c r="A175" s="55" t="str">
        <f t="shared" si="1"/>
        <v>0824GOLD</v>
      </c>
      <c r="B175" s="62">
        <f t="shared" ref="B175:D175" si="174">B174</f>
        <v>45518</v>
      </c>
      <c r="C175" s="63" t="str">
        <f t="shared" si="174"/>
        <v>GOLD</v>
      </c>
      <c r="D175" s="63" t="str">
        <f t="shared" si="174"/>
        <v>NY</v>
      </c>
      <c r="E175" s="51">
        <v>2.0</v>
      </c>
      <c r="F175" s="60">
        <f>IFERROR(__xludf.DUMMYFUNCTION("""COMPUTED_VALUE"""),74.0)</f>
        <v>74</v>
      </c>
      <c r="G175" s="60"/>
      <c r="H175" s="60"/>
      <c r="I175" s="60"/>
    </row>
    <row r="176" ht="15.75" customHeight="1">
      <c r="A176" s="55" t="str">
        <f t="shared" si="1"/>
        <v>0824GOLD</v>
      </c>
      <c r="B176" s="62">
        <f t="shared" ref="B176:D176" si="175">B175</f>
        <v>45518</v>
      </c>
      <c r="C176" s="63" t="str">
        <f t="shared" si="175"/>
        <v>GOLD</v>
      </c>
      <c r="D176" s="63" t="str">
        <f t="shared" si="175"/>
        <v>NY</v>
      </c>
      <c r="E176" s="51">
        <v>2.0</v>
      </c>
      <c r="F176" s="60">
        <f>IFERROR(__xludf.DUMMYFUNCTION("""COMPUTED_VALUE"""),75.0)</f>
        <v>75</v>
      </c>
      <c r="G176" s="60"/>
      <c r="H176" s="60"/>
      <c r="I176" s="60"/>
    </row>
    <row r="177" ht="15.75" customHeight="1">
      <c r="A177" s="55" t="str">
        <f t="shared" si="1"/>
        <v>0824GOLD</v>
      </c>
      <c r="B177" s="62">
        <f t="shared" ref="B177:D177" si="176">B176</f>
        <v>45518</v>
      </c>
      <c r="C177" s="63" t="str">
        <f t="shared" si="176"/>
        <v>GOLD</v>
      </c>
      <c r="D177" s="63" t="str">
        <f t="shared" si="176"/>
        <v>NY</v>
      </c>
      <c r="E177" s="51">
        <v>2.0</v>
      </c>
      <c r="F177" s="60">
        <f>IFERROR(__xludf.DUMMYFUNCTION("""COMPUTED_VALUE"""),76.0)</f>
        <v>76</v>
      </c>
      <c r="G177" s="60"/>
      <c r="H177" s="60"/>
      <c r="I177" s="60"/>
    </row>
    <row r="178" ht="15.75" customHeight="1">
      <c r="A178" s="55" t="str">
        <f t="shared" si="1"/>
        <v>0824GOLD</v>
      </c>
      <c r="B178" s="62">
        <f t="shared" ref="B178:D178" si="177">B177</f>
        <v>45518</v>
      </c>
      <c r="C178" s="63" t="str">
        <f t="shared" si="177"/>
        <v>GOLD</v>
      </c>
      <c r="D178" s="63" t="str">
        <f t="shared" si="177"/>
        <v>NY</v>
      </c>
      <c r="E178" s="51">
        <v>2.0</v>
      </c>
      <c r="F178" s="60">
        <f>IFERROR(__xludf.DUMMYFUNCTION("""COMPUTED_VALUE"""),77.0)</f>
        <v>77</v>
      </c>
      <c r="G178" s="60"/>
      <c r="H178" s="60"/>
      <c r="I178" s="60"/>
    </row>
    <row r="179" ht="15.75" customHeight="1">
      <c r="A179" s="55" t="str">
        <f t="shared" si="1"/>
        <v>0824GOLD</v>
      </c>
      <c r="B179" s="62">
        <f t="shared" ref="B179:D179" si="178">B178</f>
        <v>45518</v>
      </c>
      <c r="C179" s="63" t="str">
        <f t="shared" si="178"/>
        <v>GOLD</v>
      </c>
      <c r="D179" s="63" t="str">
        <f t="shared" si="178"/>
        <v>NY</v>
      </c>
      <c r="E179" s="51">
        <v>2.0</v>
      </c>
      <c r="F179" s="60">
        <f>IFERROR(__xludf.DUMMYFUNCTION("""COMPUTED_VALUE"""),78.0)</f>
        <v>78</v>
      </c>
      <c r="G179" s="60"/>
      <c r="H179" s="60"/>
      <c r="I179" s="60"/>
    </row>
    <row r="180" ht="15.75" customHeight="1">
      <c r="A180" s="55" t="str">
        <f t="shared" si="1"/>
        <v>0824GOLD</v>
      </c>
      <c r="B180" s="62">
        <f t="shared" ref="B180:D180" si="179">B179</f>
        <v>45518</v>
      </c>
      <c r="C180" s="63" t="str">
        <f t="shared" si="179"/>
        <v>GOLD</v>
      </c>
      <c r="D180" s="63" t="str">
        <f t="shared" si="179"/>
        <v>NY</v>
      </c>
      <c r="E180" s="51">
        <v>2.0</v>
      </c>
      <c r="F180" s="60">
        <f>IFERROR(__xludf.DUMMYFUNCTION("""COMPUTED_VALUE"""),79.0)</f>
        <v>79</v>
      </c>
      <c r="G180" s="60"/>
      <c r="H180" s="60"/>
      <c r="I180" s="60"/>
    </row>
    <row r="181" ht="15.75" customHeight="1">
      <c r="A181" s="55" t="str">
        <f t="shared" si="1"/>
        <v>0824GOLD</v>
      </c>
      <c r="B181" s="62">
        <f t="shared" ref="B181:D181" si="180">B180</f>
        <v>45518</v>
      </c>
      <c r="C181" s="63" t="str">
        <f t="shared" si="180"/>
        <v>GOLD</v>
      </c>
      <c r="D181" s="63" t="str">
        <f t="shared" si="180"/>
        <v>NY</v>
      </c>
      <c r="E181" s="51">
        <v>2.0</v>
      </c>
      <c r="F181" s="60">
        <f>IFERROR(__xludf.DUMMYFUNCTION("""COMPUTED_VALUE"""),80.0)</f>
        <v>80</v>
      </c>
      <c r="G181" s="60"/>
      <c r="H181" s="60"/>
      <c r="I181" s="60"/>
    </row>
    <row r="182" ht="15.75" customHeight="1">
      <c r="A182" s="55" t="str">
        <f t="shared" si="1"/>
        <v>0824GOLD</v>
      </c>
      <c r="B182" s="62">
        <f t="shared" ref="B182:D182" si="181">B181</f>
        <v>45518</v>
      </c>
      <c r="C182" s="63" t="str">
        <f t="shared" si="181"/>
        <v>GOLD</v>
      </c>
      <c r="D182" s="63" t="str">
        <f t="shared" si="181"/>
        <v>NY</v>
      </c>
      <c r="E182" s="51">
        <v>2.0</v>
      </c>
      <c r="F182" s="60">
        <f>IFERROR(__xludf.DUMMYFUNCTION("""COMPUTED_VALUE"""),81.0)</f>
        <v>81</v>
      </c>
      <c r="G182" s="60"/>
      <c r="H182" s="60"/>
      <c r="I182" s="60"/>
    </row>
    <row r="183" ht="15.75" customHeight="1">
      <c r="A183" s="55" t="str">
        <f t="shared" si="1"/>
        <v>0824GOLD</v>
      </c>
      <c r="B183" s="62">
        <f t="shared" ref="B183:D183" si="182">B182</f>
        <v>45518</v>
      </c>
      <c r="C183" s="63" t="str">
        <f t="shared" si="182"/>
        <v>GOLD</v>
      </c>
      <c r="D183" s="63" t="str">
        <f t="shared" si="182"/>
        <v>NY</v>
      </c>
      <c r="E183" s="51">
        <v>2.0</v>
      </c>
      <c r="F183" s="60">
        <f>IFERROR(__xludf.DUMMYFUNCTION("""COMPUTED_VALUE"""),82.0)</f>
        <v>82</v>
      </c>
      <c r="G183" s="60"/>
      <c r="H183" s="60"/>
      <c r="I183" s="60"/>
    </row>
    <row r="184" ht="15.75" customHeight="1">
      <c r="A184" s="55" t="str">
        <f t="shared" si="1"/>
        <v>0824GOLD</v>
      </c>
      <c r="B184" s="62">
        <f t="shared" ref="B184:D184" si="183">B183</f>
        <v>45518</v>
      </c>
      <c r="C184" s="63" t="str">
        <f t="shared" si="183"/>
        <v>GOLD</v>
      </c>
      <c r="D184" s="63" t="str">
        <f t="shared" si="183"/>
        <v>NY</v>
      </c>
      <c r="E184" s="51">
        <v>2.0</v>
      </c>
      <c r="F184" s="60">
        <f>IFERROR(__xludf.DUMMYFUNCTION("""COMPUTED_VALUE"""),83.0)</f>
        <v>83</v>
      </c>
      <c r="G184" s="60"/>
      <c r="H184" s="60"/>
      <c r="I184" s="60"/>
    </row>
    <row r="185" ht="15.75" customHeight="1">
      <c r="A185" s="55" t="str">
        <f t="shared" si="1"/>
        <v>0824GOLD</v>
      </c>
      <c r="B185" s="62">
        <f t="shared" ref="B185:D185" si="184">B184</f>
        <v>45518</v>
      </c>
      <c r="C185" s="63" t="str">
        <f t="shared" si="184"/>
        <v>GOLD</v>
      </c>
      <c r="D185" s="63" t="str">
        <f t="shared" si="184"/>
        <v>NY</v>
      </c>
      <c r="E185" s="51">
        <v>2.0</v>
      </c>
      <c r="F185" s="60">
        <f>IFERROR(__xludf.DUMMYFUNCTION("""COMPUTED_VALUE"""),84.0)</f>
        <v>84</v>
      </c>
      <c r="G185" s="60"/>
      <c r="H185" s="60"/>
      <c r="I185" s="60"/>
    </row>
    <row r="186" ht="15.75" customHeight="1">
      <c r="A186" s="55" t="str">
        <f t="shared" si="1"/>
        <v>0824GOLD</v>
      </c>
      <c r="B186" s="62">
        <f t="shared" ref="B186:D186" si="185">B185</f>
        <v>45518</v>
      </c>
      <c r="C186" s="63" t="str">
        <f t="shared" si="185"/>
        <v>GOLD</v>
      </c>
      <c r="D186" s="63" t="str">
        <f t="shared" si="185"/>
        <v>NY</v>
      </c>
      <c r="E186" s="51">
        <v>2.0</v>
      </c>
      <c r="F186" s="60">
        <f>IFERROR(__xludf.DUMMYFUNCTION("""COMPUTED_VALUE"""),85.0)</f>
        <v>85</v>
      </c>
      <c r="G186" s="60"/>
      <c r="H186" s="60"/>
      <c r="I186" s="60"/>
    </row>
    <row r="187" ht="15.75" customHeight="1">
      <c r="A187" s="55" t="str">
        <f t="shared" si="1"/>
        <v>0824GOLD</v>
      </c>
      <c r="B187" s="62">
        <f t="shared" ref="B187:D187" si="186">B186</f>
        <v>45518</v>
      </c>
      <c r="C187" s="63" t="str">
        <f t="shared" si="186"/>
        <v>GOLD</v>
      </c>
      <c r="D187" s="63" t="str">
        <f t="shared" si="186"/>
        <v>NY</v>
      </c>
      <c r="E187" s="51">
        <v>2.0</v>
      </c>
      <c r="F187" s="60">
        <f>IFERROR(__xludf.DUMMYFUNCTION("""COMPUTED_VALUE"""),86.0)</f>
        <v>86</v>
      </c>
      <c r="G187" s="60"/>
      <c r="H187" s="60"/>
      <c r="I187" s="60"/>
    </row>
    <row r="188" ht="15.75" customHeight="1">
      <c r="A188" s="55" t="str">
        <f t="shared" si="1"/>
        <v>0824GOLD</v>
      </c>
      <c r="B188" s="62">
        <f t="shared" ref="B188:D188" si="187">B187</f>
        <v>45518</v>
      </c>
      <c r="C188" s="63" t="str">
        <f t="shared" si="187"/>
        <v>GOLD</v>
      </c>
      <c r="D188" s="63" t="str">
        <f t="shared" si="187"/>
        <v>NY</v>
      </c>
      <c r="E188" s="51">
        <v>2.0</v>
      </c>
      <c r="F188" s="60">
        <f>IFERROR(__xludf.DUMMYFUNCTION("""COMPUTED_VALUE"""),87.0)</f>
        <v>87</v>
      </c>
      <c r="G188" s="60"/>
      <c r="H188" s="60"/>
      <c r="I188" s="60"/>
    </row>
    <row r="189" ht="15.75" customHeight="1">
      <c r="A189" s="55" t="str">
        <f t="shared" si="1"/>
        <v>0824GOLD</v>
      </c>
      <c r="B189" s="62">
        <f t="shared" ref="B189:D189" si="188">B188</f>
        <v>45518</v>
      </c>
      <c r="C189" s="63" t="str">
        <f t="shared" si="188"/>
        <v>GOLD</v>
      </c>
      <c r="D189" s="63" t="str">
        <f t="shared" si="188"/>
        <v>NY</v>
      </c>
      <c r="E189" s="51">
        <v>2.0</v>
      </c>
      <c r="F189" s="60">
        <f>IFERROR(__xludf.DUMMYFUNCTION("""COMPUTED_VALUE"""),88.0)</f>
        <v>88</v>
      </c>
      <c r="G189" s="60"/>
      <c r="H189" s="60"/>
      <c r="I189" s="60"/>
    </row>
    <row r="190" ht="15.75" customHeight="1">
      <c r="A190" s="55" t="str">
        <f t="shared" si="1"/>
        <v>0824GOLD</v>
      </c>
      <c r="B190" s="62">
        <f t="shared" ref="B190:D190" si="189">B189</f>
        <v>45518</v>
      </c>
      <c r="C190" s="63" t="str">
        <f t="shared" si="189"/>
        <v>GOLD</v>
      </c>
      <c r="D190" s="63" t="str">
        <f t="shared" si="189"/>
        <v>NY</v>
      </c>
      <c r="E190" s="51">
        <v>2.0</v>
      </c>
      <c r="F190" s="60">
        <f>IFERROR(__xludf.DUMMYFUNCTION("""COMPUTED_VALUE"""),89.0)</f>
        <v>89</v>
      </c>
      <c r="G190" s="60"/>
      <c r="H190" s="60"/>
      <c r="I190" s="60"/>
    </row>
    <row r="191" ht="15.75" customHeight="1">
      <c r="A191" s="55" t="str">
        <f t="shared" si="1"/>
        <v>0824GOLD</v>
      </c>
      <c r="B191" s="62">
        <f t="shared" ref="B191:D191" si="190">B190</f>
        <v>45518</v>
      </c>
      <c r="C191" s="63" t="str">
        <f t="shared" si="190"/>
        <v>GOLD</v>
      </c>
      <c r="D191" s="63" t="str">
        <f t="shared" si="190"/>
        <v>NY</v>
      </c>
      <c r="E191" s="51">
        <v>2.0</v>
      </c>
      <c r="F191" s="60">
        <f>IFERROR(__xludf.DUMMYFUNCTION("""COMPUTED_VALUE"""),90.0)</f>
        <v>90</v>
      </c>
      <c r="G191" s="60"/>
      <c r="H191" s="60"/>
      <c r="I191" s="60"/>
    </row>
    <row r="192" ht="15.75" customHeight="1">
      <c r="A192" s="55" t="str">
        <f t="shared" si="1"/>
        <v>0824GOLD</v>
      </c>
      <c r="B192" s="62">
        <f t="shared" ref="B192:D192" si="191">B191</f>
        <v>45518</v>
      </c>
      <c r="C192" s="63" t="str">
        <f t="shared" si="191"/>
        <v>GOLD</v>
      </c>
      <c r="D192" s="63" t="str">
        <f t="shared" si="191"/>
        <v>NY</v>
      </c>
      <c r="E192" s="51">
        <v>2.0</v>
      </c>
      <c r="F192" s="60">
        <f>IFERROR(__xludf.DUMMYFUNCTION("""COMPUTED_VALUE"""),91.0)</f>
        <v>91</v>
      </c>
      <c r="G192" s="60"/>
      <c r="H192" s="60"/>
      <c r="I192" s="60"/>
    </row>
    <row r="193" ht="15.75" customHeight="1">
      <c r="A193" s="55" t="str">
        <f t="shared" si="1"/>
        <v>0824GOLD</v>
      </c>
      <c r="B193" s="62">
        <f t="shared" ref="B193:D193" si="192">B192</f>
        <v>45518</v>
      </c>
      <c r="C193" s="63" t="str">
        <f t="shared" si="192"/>
        <v>GOLD</v>
      </c>
      <c r="D193" s="63" t="str">
        <f t="shared" si="192"/>
        <v>NY</v>
      </c>
      <c r="E193" s="51">
        <v>2.0</v>
      </c>
      <c r="F193" s="60">
        <f>IFERROR(__xludf.DUMMYFUNCTION("""COMPUTED_VALUE"""),92.0)</f>
        <v>92</v>
      </c>
      <c r="G193" s="60"/>
      <c r="H193" s="60"/>
      <c r="I193" s="60"/>
    </row>
    <row r="194" ht="15.75" customHeight="1">
      <c r="A194" s="55" t="str">
        <f t="shared" si="1"/>
        <v>0824GOLD</v>
      </c>
      <c r="B194" s="62">
        <f t="shared" ref="B194:D194" si="193">B193</f>
        <v>45518</v>
      </c>
      <c r="C194" s="63" t="str">
        <f t="shared" si="193"/>
        <v>GOLD</v>
      </c>
      <c r="D194" s="63" t="str">
        <f t="shared" si="193"/>
        <v>NY</v>
      </c>
      <c r="E194" s="51">
        <v>2.0</v>
      </c>
      <c r="F194" s="60">
        <f>IFERROR(__xludf.DUMMYFUNCTION("""COMPUTED_VALUE"""),93.0)</f>
        <v>93</v>
      </c>
      <c r="G194" s="60"/>
      <c r="H194" s="60"/>
      <c r="I194" s="60"/>
    </row>
    <row r="195" ht="15.75" customHeight="1">
      <c r="A195" s="55" t="str">
        <f t="shared" si="1"/>
        <v>0824GOLD</v>
      </c>
      <c r="B195" s="62">
        <f t="shared" ref="B195:D195" si="194">B194</f>
        <v>45518</v>
      </c>
      <c r="C195" s="63" t="str">
        <f t="shared" si="194"/>
        <v>GOLD</v>
      </c>
      <c r="D195" s="63" t="str">
        <f t="shared" si="194"/>
        <v>NY</v>
      </c>
      <c r="E195" s="51">
        <v>2.0</v>
      </c>
      <c r="F195" s="60">
        <f>IFERROR(__xludf.DUMMYFUNCTION("""COMPUTED_VALUE"""),94.0)</f>
        <v>94</v>
      </c>
      <c r="G195" s="60"/>
      <c r="H195" s="60"/>
      <c r="I195" s="60"/>
    </row>
    <row r="196" ht="15.75" customHeight="1">
      <c r="A196" s="55" t="str">
        <f t="shared" si="1"/>
        <v>0824GOLD</v>
      </c>
      <c r="B196" s="62">
        <f t="shared" ref="B196:D196" si="195">B195</f>
        <v>45518</v>
      </c>
      <c r="C196" s="63" t="str">
        <f t="shared" si="195"/>
        <v>GOLD</v>
      </c>
      <c r="D196" s="63" t="str">
        <f t="shared" si="195"/>
        <v>NY</v>
      </c>
      <c r="E196" s="51">
        <v>2.0</v>
      </c>
      <c r="F196" s="60">
        <f>IFERROR(__xludf.DUMMYFUNCTION("""COMPUTED_VALUE"""),95.0)</f>
        <v>95</v>
      </c>
      <c r="G196" s="60"/>
      <c r="H196" s="60"/>
      <c r="I196" s="60"/>
    </row>
    <row r="197" ht="15.75" customHeight="1">
      <c r="A197" s="55" t="str">
        <f t="shared" si="1"/>
        <v>0824GOLD</v>
      </c>
      <c r="B197" s="62">
        <f t="shared" ref="B197:D197" si="196">B196</f>
        <v>45518</v>
      </c>
      <c r="C197" s="63" t="str">
        <f t="shared" si="196"/>
        <v>GOLD</v>
      </c>
      <c r="D197" s="63" t="str">
        <f t="shared" si="196"/>
        <v>NY</v>
      </c>
      <c r="E197" s="51">
        <v>2.0</v>
      </c>
      <c r="F197" s="60">
        <f>IFERROR(__xludf.DUMMYFUNCTION("""COMPUTED_VALUE"""),96.0)</f>
        <v>96</v>
      </c>
      <c r="G197" s="60"/>
      <c r="H197" s="60"/>
      <c r="I197" s="60"/>
    </row>
    <row r="198" ht="15.75" customHeight="1">
      <c r="A198" s="55" t="str">
        <f t="shared" si="1"/>
        <v>0824GOLD</v>
      </c>
      <c r="B198" s="62">
        <f t="shared" ref="B198:D198" si="197">B197</f>
        <v>45518</v>
      </c>
      <c r="C198" s="63" t="str">
        <f t="shared" si="197"/>
        <v>GOLD</v>
      </c>
      <c r="D198" s="63" t="str">
        <f t="shared" si="197"/>
        <v>NY</v>
      </c>
      <c r="E198" s="51">
        <v>2.0</v>
      </c>
      <c r="F198" s="60">
        <f>IFERROR(__xludf.DUMMYFUNCTION("""COMPUTED_VALUE"""),97.0)</f>
        <v>97</v>
      </c>
      <c r="G198" s="60"/>
      <c r="H198" s="60"/>
      <c r="I198" s="60"/>
    </row>
    <row r="199" ht="15.75" customHeight="1">
      <c r="A199" s="55" t="str">
        <f t="shared" si="1"/>
        <v>0824GOLD</v>
      </c>
      <c r="B199" s="62">
        <f t="shared" ref="B199:D199" si="198">B198</f>
        <v>45518</v>
      </c>
      <c r="C199" s="63" t="str">
        <f t="shared" si="198"/>
        <v>GOLD</v>
      </c>
      <c r="D199" s="63" t="str">
        <f t="shared" si="198"/>
        <v>NY</v>
      </c>
      <c r="E199" s="51">
        <v>2.0</v>
      </c>
      <c r="F199" s="60">
        <f>IFERROR(__xludf.DUMMYFUNCTION("""COMPUTED_VALUE"""),98.0)</f>
        <v>98</v>
      </c>
      <c r="G199" s="60"/>
      <c r="H199" s="60"/>
      <c r="I199" s="60"/>
    </row>
    <row r="200" ht="15.75" customHeight="1">
      <c r="A200" s="55" t="str">
        <f t="shared" si="1"/>
        <v>0824GOLD</v>
      </c>
      <c r="B200" s="62">
        <f t="shared" ref="B200:D200" si="199">B199</f>
        <v>45518</v>
      </c>
      <c r="C200" s="63" t="str">
        <f t="shared" si="199"/>
        <v>GOLD</v>
      </c>
      <c r="D200" s="63" t="str">
        <f t="shared" si="199"/>
        <v>NY</v>
      </c>
      <c r="E200" s="51">
        <v>2.0</v>
      </c>
      <c r="F200" s="60">
        <f>IFERROR(__xludf.DUMMYFUNCTION("""COMPUTED_VALUE"""),99.0)</f>
        <v>99</v>
      </c>
      <c r="G200" s="60"/>
      <c r="H200" s="60"/>
      <c r="I200" s="60"/>
    </row>
    <row r="201" ht="15.75" customHeight="1">
      <c r="A201" s="55" t="str">
        <f t="shared" si="1"/>
        <v>0824GOLD</v>
      </c>
      <c r="B201" s="62">
        <f t="shared" ref="B201:D201" si="200">B200</f>
        <v>45518</v>
      </c>
      <c r="C201" s="63" t="str">
        <f t="shared" si="200"/>
        <v>GOLD</v>
      </c>
      <c r="D201" s="63" t="str">
        <f t="shared" si="200"/>
        <v>NY</v>
      </c>
      <c r="E201" s="51">
        <v>2.0</v>
      </c>
      <c r="F201" s="60">
        <f>IFERROR(__xludf.DUMMYFUNCTION("""COMPUTED_VALUE"""),100.0)</f>
        <v>100</v>
      </c>
      <c r="G201" s="60"/>
      <c r="H201" s="60"/>
      <c r="I201" s="60"/>
    </row>
    <row r="202" ht="15.75" customHeight="1">
      <c r="A202" s="55" t="str">
        <f t="shared" si="1"/>
        <v>0824GOLD</v>
      </c>
      <c r="B202" s="62">
        <f t="shared" ref="B202:D202" si="201">B201</f>
        <v>45518</v>
      </c>
      <c r="C202" s="63" t="str">
        <f t="shared" si="201"/>
        <v>GOLD</v>
      </c>
      <c r="D202" s="63" t="str">
        <f t="shared" si="201"/>
        <v>NY</v>
      </c>
      <c r="E202" s="51">
        <v>3.0</v>
      </c>
      <c r="F202" s="60">
        <f>IFERROR(__xludf.DUMMYFUNCTION("""COMPUTED_VALUE"""),1.0)</f>
        <v>1</v>
      </c>
      <c r="G202" s="60">
        <f>IFERROR(__xludf.DUMMYFUNCTION("""COMPUTED_VALUE"""),147.69)</f>
        <v>147.69</v>
      </c>
      <c r="H202" s="60"/>
      <c r="I202" s="60"/>
    </row>
    <row r="203" ht="15.75" customHeight="1">
      <c r="A203" s="55" t="str">
        <f t="shared" si="1"/>
        <v>0824GOLD</v>
      </c>
      <c r="B203" s="62">
        <f t="shared" ref="B203:D203" si="202">B202</f>
        <v>45518</v>
      </c>
      <c r="C203" s="63" t="str">
        <f t="shared" si="202"/>
        <v>GOLD</v>
      </c>
      <c r="D203" s="63" t="str">
        <f t="shared" si="202"/>
        <v>NY</v>
      </c>
      <c r="E203" s="51">
        <v>3.0</v>
      </c>
      <c r="F203" s="60">
        <f>IFERROR(__xludf.DUMMYFUNCTION("""COMPUTED_VALUE"""),2.0)</f>
        <v>2</v>
      </c>
      <c r="G203" s="60">
        <f>IFERROR(__xludf.DUMMYFUNCTION("""COMPUTED_VALUE"""),135.85)</f>
        <v>135.85</v>
      </c>
      <c r="H203" s="60"/>
      <c r="I203" s="60"/>
    </row>
    <row r="204" ht="15.75" customHeight="1">
      <c r="A204" s="55" t="str">
        <f t="shared" si="1"/>
        <v>0824GOLD</v>
      </c>
      <c r="B204" s="62">
        <f t="shared" ref="B204:D204" si="203">B203</f>
        <v>45518</v>
      </c>
      <c r="C204" s="63" t="str">
        <f t="shared" si="203"/>
        <v>GOLD</v>
      </c>
      <c r="D204" s="63" t="str">
        <f t="shared" si="203"/>
        <v>NY</v>
      </c>
      <c r="E204" s="51">
        <v>3.0</v>
      </c>
      <c r="F204" s="60">
        <f>IFERROR(__xludf.DUMMYFUNCTION("""COMPUTED_VALUE"""),3.0)</f>
        <v>3</v>
      </c>
      <c r="G204" s="60"/>
      <c r="H204" s="60">
        <f>IFERROR(__xludf.DUMMYFUNCTION("""COMPUTED_VALUE"""),69.87)</f>
        <v>69.87</v>
      </c>
      <c r="I204" s="60"/>
    </row>
    <row r="205" ht="15.75" customHeight="1">
      <c r="A205" s="55" t="str">
        <f t="shared" si="1"/>
        <v>0824GOLD</v>
      </c>
      <c r="B205" s="62">
        <f t="shared" ref="B205:D205" si="204">B204</f>
        <v>45518</v>
      </c>
      <c r="C205" s="63" t="str">
        <f t="shared" si="204"/>
        <v>GOLD</v>
      </c>
      <c r="D205" s="63" t="str">
        <f t="shared" si="204"/>
        <v>NY</v>
      </c>
      <c r="E205" s="51">
        <v>3.0</v>
      </c>
      <c r="F205" s="60">
        <f>IFERROR(__xludf.DUMMYFUNCTION("""COMPUTED_VALUE"""),4.0)</f>
        <v>4</v>
      </c>
      <c r="G205" s="60"/>
      <c r="H205" s="60">
        <f>IFERROR(__xludf.DUMMYFUNCTION("""COMPUTED_VALUE"""),65.0)</f>
        <v>65</v>
      </c>
      <c r="I205" s="60"/>
    </row>
    <row r="206" ht="15.75" customHeight="1">
      <c r="A206" s="55" t="str">
        <f t="shared" si="1"/>
        <v>0824GOLD</v>
      </c>
      <c r="B206" s="62">
        <f t="shared" ref="B206:D206" si="205">B205</f>
        <v>45518</v>
      </c>
      <c r="C206" s="63" t="str">
        <f t="shared" si="205"/>
        <v>GOLD</v>
      </c>
      <c r="D206" s="63" t="str">
        <f t="shared" si="205"/>
        <v>NY</v>
      </c>
      <c r="E206" s="51">
        <v>3.0</v>
      </c>
      <c r="F206" s="60">
        <f>IFERROR(__xludf.DUMMYFUNCTION("""COMPUTED_VALUE"""),5.0)</f>
        <v>5</v>
      </c>
      <c r="G206" s="60">
        <f>IFERROR(__xludf.DUMMYFUNCTION("""COMPUTED_VALUE"""),83.68)</f>
        <v>83.68</v>
      </c>
      <c r="H206" s="60"/>
      <c r="I206" s="60"/>
    </row>
    <row r="207" ht="15.75" customHeight="1">
      <c r="A207" s="55" t="str">
        <f t="shared" si="1"/>
        <v>0824GOLD</v>
      </c>
      <c r="B207" s="62">
        <f t="shared" ref="B207:D207" si="206">B206</f>
        <v>45518</v>
      </c>
      <c r="C207" s="63" t="str">
        <f t="shared" si="206"/>
        <v>GOLD</v>
      </c>
      <c r="D207" s="63" t="str">
        <f t="shared" si="206"/>
        <v>NY</v>
      </c>
      <c r="E207" s="51">
        <v>3.0</v>
      </c>
      <c r="F207" s="60">
        <f>IFERROR(__xludf.DUMMYFUNCTION("""COMPUTED_VALUE"""),6.0)</f>
        <v>6</v>
      </c>
      <c r="G207" s="60">
        <f>IFERROR(__xludf.DUMMYFUNCTION("""COMPUTED_VALUE"""),90.61)</f>
        <v>90.61</v>
      </c>
      <c r="H207" s="60"/>
      <c r="I207" s="60"/>
    </row>
    <row r="208" ht="15.75" customHeight="1">
      <c r="A208" s="55" t="str">
        <f t="shared" si="1"/>
        <v>0824GOLD</v>
      </c>
      <c r="B208" s="62">
        <f t="shared" ref="B208:D208" si="207">B207</f>
        <v>45518</v>
      </c>
      <c r="C208" s="63" t="str">
        <f t="shared" si="207"/>
        <v>GOLD</v>
      </c>
      <c r="D208" s="63" t="str">
        <f t="shared" si="207"/>
        <v>NY</v>
      </c>
      <c r="E208" s="51">
        <v>3.0</v>
      </c>
      <c r="F208" s="60">
        <f>IFERROR(__xludf.DUMMYFUNCTION("""COMPUTED_VALUE"""),7.0)</f>
        <v>7</v>
      </c>
      <c r="G208" s="60">
        <f>IFERROR(__xludf.DUMMYFUNCTION("""COMPUTED_VALUE"""),105.08)</f>
        <v>105.08</v>
      </c>
      <c r="H208" s="60"/>
      <c r="I208" s="60"/>
    </row>
    <row r="209" ht="15.75" customHeight="1">
      <c r="A209" s="55" t="str">
        <f t="shared" si="1"/>
        <v>0824GOLD</v>
      </c>
      <c r="B209" s="62">
        <f t="shared" ref="B209:D209" si="208">B208</f>
        <v>45518</v>
      </c>
      <c r="C209" s="63" t="str">
        <f t="shared" si="208"/>
        <v>GOLD</v>
      </c>
      <c r="D209" s="63" t="str">
        <f t="shared" si="208"/>
        <v>NY</v>
      </c>
      <c r="E209" s="51">
        <v>3.0</v>
      </c>
      <c r="F209" s="60">
        <f>IFERROR(__xludf.DUMMYFUNCTION("""COMPUTED_VALUE"""),8.0)</f>
        <v>8</v>
      </c>
      <c r="G209" s="60">
        <f>IFERROR(__xludf.DUMMYFUNCTION("""COMPUTED_VALUE"""),106.97)</f>
        <v>106.97</v>
      </c>
      <c r="H209" s="60"/>
      <c r="I209" s="60"/>
    </row>
    <row r="210" ht="15.75" customHeight="1">
      <c r="A210" s="55" t="str">
        <f t="shared" si="1"/>
        <v>0824GOLD</v>
      </c>
      <c r="B210" s="62">
        <f t="shared" ref="B210:D210" si="209">B209</f>
        <v>45518</v>
      </c>
      <c r="C210" s="63" t="str">
        <f t="shared" si="209"/>
        <v>GOLD</v>
      </c>
      <c r="D210" s="63" t="str">
        <f t="shared" si="209"/>
        <v>NY</v>
      </c>
      <c r="E210" s="51">
        <v>3.0</v>
      </c>
      <c r="F210" s="60">
        <f>IFERROR(__xludf.DUMMYFUNCTION("""COMPUTED_VALUE"""),9.0)</f>
        <v>9</v>
      </c>
      <c r="G210" s="60">
        <f>IFERROR(__xludf.DUMMYFUNCTION("""COMPUTED_VALUE"""),123.04)</f>
        <v>123.04</v>
      </c>
      <c r="H210" s="60"/>
      <c r="I210" s="60"/>
    </row>
    <row r="211" ht="15.75" customHeight="1">
      <c r="A211" s="55" t="str">
        <f t="shared" si="1"/>
        <v>0824GOLD</v>
      </c>
      <c r="B211" s="62">
        <f t="shared" ref="B211:D211" si="210">B210</f>
        <v>45518</v>
      </c>
      <c r="C211" s="63" t="str">
        <f t="shared" si="210"/>
        <v>GOLD</v>
      </c>
      <c r="D211" s="63" t="str">
        <f t="shared" si="210"/>
        <v>NY</v>
      </c>
      <c r="E211" s="51">
        <v>3.0</v>
      </c>
      <c r="F211" s="60">
        <f>IFERROR(__xludf.DUMMYFUNCTION("""COMPUTED_VALUE"""),10.0)</f>
        <v>10</v>
      </c>
      <c r="G211" s="60">
        <f>IFERROR(__xludf.DUMMYFUNCTION("""COMPUTED_VALUE"""),112.26)</f>
        <v>112.26</v>
      </c>
      <c r="H211" s="60"/>
      <c r="I211" s="60"/>
    </row>
    <row r="212" ht="15.75" customHeight="1">
      <c r="A212" s="55" t="str">
        <f t="shared" si="1"/>
        <v>0824GOLD</v>
      </c>
      <c r="B212" s="62">
        <f t="shared" ref="B212:D212" si="211">B211</f>
        <v>45518</v>
      </c>
      <c r="C212" s="63" t="str">
        <f t="shared" si="211"/>
        <v>GOLD</v>
      </c>
      <c r="D212" s="63" t="str">
        <f t="shared" si="211"/>
        <v>NY</v>
      </c>
      <c r="E212" s="51">
        <v>3.0</v>
      </c>
      <c r="F212" s="60">
        <f>IFERROR(__xludf.DUMMYFUNCTION("""COMPUTED_VALUE"""),11.0)</f>
        <v>11</v>
      </c>
      <c r="G212" s="60">
        <f>IFERROR(__xludf.DUMMYFUNCTION("""COMPUTED_VALUE"""),73.56)</f>
        <v>73.56</v>
      </c>
      <c r="H212" s="60"/>
      <c r="I212" s="60"/>
    </row>
    <row r="213" ht="15.75" customHeight="1">
      <c r="A213" s="55" t="str">
        <f t="shared" si="1"/>
        <v>0824GOLD</v>
      </c>
      <c r="B213" s="62">
        <f t="shared" ref="B213:D213" si="212">B212</f>
        <v>45518</v>
      </c>
      <c r="C213" s="63" t="str">
        <f t="shared" si="212"/>
        <v>GOLD</v>
      </c>
      <c r="D213" s="63" t="str">
        <f t="shared" si="212"/>
        <v>NY</v>
      </c>
      <c r="E213" s="51">
        <v>3.0</v>
      </c>
      <c r="F213" s="60">
        <f>IFERROR(__xludf.DUMMYFUNCTION("""COMPUTED_VALUE"""),12.0)</f>
        <v>12</v>
      </c>
      <c r="G213" s="60">
        <f>IFERROR(__xludf.DUMMYFUNCTION("""COMPUTED_VALUE"""),107.72)</f>
        <v>107.72</v>
      </c>
      <c r="H213" s="60"/>
      <c r="I213" s="60"/>
    </row>
    <row r="214" ht="15.75" customHeight="1">
      <c r="A214" s="55" t="str">
        <f t="shared" si="1"/>
        <v>0824GOLD</v>
      </c>
      <c r="B214" s="62">
        <f t="shared" ref="B214:D214" si="213">B213</f>
        <v>45518</v>
      </c>
      <c r="C214" s="63" t="str">
        <f t="shared" si="213"/>
        <v>GOLD</v>
      </c>
      <c r="D214" s="63" t="str">
        <f t="shared" si="213"/>
        <v>NY</v>
      </c>
      <c r="E214" s="51">
        <v>3.0</v>
      </c>
      <c r="F214" s="60">
        <f>IFERROR(__xludf.DUMMYFUNCTION("""COMPUTED_VALUE"""),13.0)</f>
        <v>13</v>
      </c>
      <c r="G214" s="60">
        <f>IFERROR(__xludf.DUMMYFUNCTION("""COMPUTED_VALUE"""),105.24)</f>
        <v>105.24</v>
      </c>
      <c r="H214" s="60"/>
      <c r="I214" s="60"/>
    </row>
    <row r="215" ht="15.75" customHeight="1">
      <c r="A215" s="55" t="str">
        <f t="shared" si="1"/>
        <v>0824GOLD</v>
      </c>
      <c r="B215" s="62">
        <f t="shared" ref="B215:D215" si="214">B214</f>
        <v>45518</v>
      </c>
      <c r="C215" s="63" t="str">
        <f t="shared" si="214"/>
        <v>GOLD</v>
      </c>
      <c r="D215" s="63" t="str">
        <f t="shared" si="214"/>
        <v>NY</v>
      </c>
      <c r="E215" s="51">
        <v>3.0</v>
      </c>
      <c r="F215" s="60">
        <f>IFERROR(__xludf.DUMMYFUNCTION("""COMPUTED_VALUE"""),14.0)</f>
        <v>14</v>
      </c>
      <c r="G215" s="60"/>
      <c r="H215" s="60">
        <f>IFERROR(__xludf.DUMMYFUNCTION("""COMPUTED_VALUE"""),93.03)</f>
        <v>93.03</v>
      </c>
      <c r="I215" s="60"/>
    </row>
    <row r="216" ht="15.75" customHeight="1">
      <c r="A216" s="55" t="str">
        <f t="shared" si="1"/>
        <v>0824GOLD</v>
      </c>
      <c r="B216" s="62">
        <f t="shared" ref="B216:D216" si="215">B215</f>
        <v>45518</v>
      </c>
      <c r="C216" s="63" t="str">
        <f t="shared" si="215"/>
        <v>GOLD</v>
      </c>
      <c r="D216" s="63" t="str">
        <f t="shared" si="215"/>
        <v>NY</v>
      </c>
      <c r="E216" s="51">
        <v>3.0</v>
      </c>
      <c r="F216" s="60">
        <f>IFERROR(__xludf.DUMMYFUNCTION("""COMPUTED_VALUE"""),15.0)</f>
        <v>15</v>
      </c>
      <c r="G216" s="60"/>
      <c r="H216" s="60">
        <f>IFERROR(__xludf.DUMMYFUNCTION("""COMPUTED_VALUE"""),51.98)</f>
        <v>51.98</v>
      </c>
      <c r="I216" s="60"/>
    </row>
    <row r="217" ht="15.75" customHeight="1">
      <c r="A217" s="55" t="str">
        <f t="shared" si="1"/>
        <v>0824GOLD</v>
      </c>
      <c r="B217" s="62">
        <f t="shared" ref="B217:D217" si="216">B216</f>
        <v>45518</v>
      </c>
      <c r="C217" s="63" t="str">
        <f t="shared" si="216"/>
        <v>GOLD</v>
      </c>
      <c r="D217" s="63" t="str">
        <f t="shared" si="216"/>
        <v>NY</v>
      </c>
      <c r="E217" s="51">
        <v>3.0</v>
      </c>
      <c r="F217" s="60">
        <f>IFERROR(__xludf.DUMMYFUNCTION("""COMPUTED_VALUE"""),16.0)</f>
        <v>16</v>
      </c>
      <c r="G217" s="60">
        <f>IFERROR(__xludf.DUMMYFUNCTION("""COMPUTED_VALUE"""),98.39)</f>
        <v>98.39</v>
      </c>
      <c r="H217" s="60"/>
      <c r="I217" s="60"/>
    </row>
    <row r="218" ht="15.75" customHeight="1">
      <c r="A218" s="55" t="str">
        <f t="shared" si="1"/>
        <v>0824GOLD</v>
      </c>
      <c r="B218" s="62">
        <f t="shared" ref="B218:D218" si="217">B217</f>
        <v>45518</v>
      </c>
      <c r="C218" s="63" t="str">
        <f t="shared" si="217"/>
        <v>GOLD</v>
      </c>
      <c r="D218" s="63" t="str">
        <f t="shared" si="217"/>
        <v>NY</v>
      </c>
      <c r="E218" s="51">
        <v>3.0</v>
      </c>
      <c r="F218" s="60">
        <f>IFERROR(__xludf.DUMMYFUNCTION("""COMPUTED_VALUE"""),17.0)</f>
        <v>17</v>
      </c>
      <c r="G218" s="60">
        <f>IFERROR(__xludf.DUMMYFUNCTION("""COMPUTED_VALUE"""),88.57)</f>
        <v>88.57</v>
      </c>
      <c r="H218" s="60"/>
      <c r="I218" s="60"/>
    </row>
    <row r="219" ht="15.75" customHeight="1">
      <c r="A219" s="55" t="str">
        <f t="shared" si="1"/>
        <v>0824GOLD</v>
      </c>
      <c r="B219" s="62">
        <f t="shared" ref="B219:D219" si="218">B218</f>
        <v>45518</v>
      </c>
      <c r="C219" s="63" t="str">
        <f t="shared" si="218"/>
        <v>GOLD</v>
      </c>
      <c r="D219" s="63" t="str">
        <f t="shared" si="218"/>
        <v>NY</v>
      </c>
      <c r="E219" s="51">
        <v>3.0</v>
      </c>
      <c r="F219" s="60">
        <f>IFERROR(__xludf.DUMMYFUNCTION("""COMPUTED_VALUE"""),18.0)</f>
        <v>18</v>
      </c>
      <c r="G219" s="60">
        <f>IFERROR(__xludf.DUMMYFUNCTION("""COMPUTED_VALUE"""),93.67)</f>
        <v>93.67</v>
      </c>
      <c r="H219" s="60"/>
      <c r="I219" s="60"/>
    </row>
    <row r="220" ht="15.75" customHeight="1">
      <c r="A220" s="55" t="str">
        <f t="shared" si="1"/>
        <v>0824GOLD</v>
      </c>
      <c r="B220" s="62">
        <f t="shared" ref="B220:D220" si="219">B219</f>
        <v>45518</v>
      </c>
      <c r="C220" s="63" t="str">
        <f t="shared" si="219"/>
        <v>GOLD</v>
      </c>
      <c r="D220" s="63" t="str">
        <f t="shared" si="219"/>
        <v>NY</v>
      </c>
      <c r="E220" s="51">
        <v>3.0</v>
      </c>
      <c r="F220" s="60">
        <f>IFERROR(__xludf.DUMMYFUNCTION("""COMPUTED_VALUE"""),19.0)</f>
        <v>19</v>
      </c>
      <c r="G220" s="60">
        <f>IFERROR(__xludf.DUMMYFUNCTION("""COMPUTED_VALUE"""),89.39)</f>
        <v>89.39</v>
      </c>
      <c r="H220" s="60"/>
      <c r="I220" s="60"/>
    </row>
    <row r="221" ht="15.75" customHeight="1">
      <c r="A221" s="55" t="str">
        <f t="shared" si="1"/>
        <v>0824GOLD</v>
      </c>
      <c r="B221" s="62">
        <f t="shared" ref="B221:D221" si="220">B220</f>
        <v>45518</v>
      </c>
      <c r="C221" s="63" t="str">
        <f t="shared" si="220"/>
        <v>GOLD</v>
      </c>
      <c r="D221" s="63" t="str">
        <f t="shared" si="220"/>
        <v>NY</v>
      </c>
      <c r="E221" s="51">
        <v>3.0</v>
      </c>
      <c r="F221" s="60">
        <f>IFERROR(__xludf.DUMMYFUNCTION("""COMPUTED_VALUE"""),20.0)</f>
        <v>20</v>
      </c>
      <c r="G221" s="60"/>
      <c r="H221" s="60">
        <f>IFERROR(__xludf.DUMMYFUNCTION("""COMPUTED_VALUE"""),43.69)</f>
        <v>43.69</v>
      </c>
      <c r="I221" s="60"/>
    </row>
    <row r="222" ht="15.75" customHeight="1">
      <c r="A222" s="55" t="str">
        <f t="shared" si="1"/>
        <v>0824GOLD</v>
      </c>
      <c r="B222" s="62">
        <f t="shared" ref="B222:D222" si="221">B221</f>
        <v>45518</v>
      </c>
      <c r="C222" s="63" t="str">
        <f t="shared" si="221"/>
        <v>GOLD</v>
      </c>
      <c r="D222" s="63" t="str">
        <f t="shared" si="221"/>
        <v>NY</v>
      </c>
      <c r="E222" s="51">
        <v>3.0</v>
      </c>
      <c r="F222" s="60">
        <f>IFERROR(__xludf.DUMMYFUNCTION("""COMPUTED_VALUE"""),21.0)</f>
        <v>21</v>
      </c>
      <c r="G222" s="60"/>
      <c r="H222" s="60">
        <f>IFERROR(__xludf.DUMMYFUNCTION("""COMPUTED_VALUE"""),32.38)</f>
        <v>32.38</v>
      </c>
      <c r="I222" s="60"/>
    </row>
    <row r="223" ht="15.75" customHeight="1">
      <c r="A223" s="55" t="str">
        <f t="shared" si="1"/>
        <v>0824GOLD</v>
      </c>
      <c r="B223" s="62">
        <f t="shared" ref="B223:D223" si="222">B222</f>
        <v>45518</v>
      </c>
      <c r="C223" s="63" t="str">
        <f t="shared" si="222"/>
        <v>GOLD</v>
      </c>
      <c r="D223" s="63" t="str">
        <f t="shared" si="222"/>
        <v>NY</v>
      </c>
      <c r="E223" s="51">
        <v>3.0</v>
      </c>
      <c r="F223" s="60">
        <f>IFERROR(__xludf.DUMMYFUNCTION("""COMPUTED_VALUE"""),22.0)</f>
        <v>22</v>
      </c>
      <c r="G223" s="60"/>
      <c r="H223" s="60">
        <f>IFERROR(__xludf.DUMMYFUNCTION("""COMPUTED_VALUE"""),24.96)</f>
        <v>24.96</v>
      </c>
      <c r="I223" s="60"/>
    </row>
    <row r="224" ht="15.75" customHeight="1">
      <c r="A224" s="55" t="str">
        <f t="shared" si="1"/>
        <v>0824GOLD</v>
      </c>
      <c r="B224" s="62">
        <f t="shared" ref="B224:D224" si="223">B223</f>
        <v>45518</v>
      </c>
      <c r="C224" s="63" t="str">
        <f t="shared" si="223"/>
        <v>GOLD</v>
      </c>
      <c r="D224" s="63" t="str">
        <f t="shared" si="223"/>
        <v>NY</v>
      </c>
      <c r="E224" s="51">
        <v>3.0</v>
      </c>
      <c r="F224" s="60">
        <f>IFERROR(__xludf.DUMMYFUNCTION("""COMPUTED_VALUE"""),23.0)</f>
        <v>23</v>
      </c>
      <c r="G224" s="60"/>
      <c r="H224" s="60">
        <f>IFERROR(__xludf.DUMMYFUNCTION("""COMPUTED_VALUE"""),53.08)</f>
        <v>53.08</v>
      </c>
      <c r="I224" s="60"/>
    </row>
    <row r="225" ht="15.75" customHeight="1">
      <c r="A225" s="55" t="str">
        <f t="shared" si="1"/>
        <v>0824GOLD</v>
      </c>
      <c r="B225" s="62">
        <f t="shared" ref="B225:D225" si="224">B224</f>
        <v>45518</v>
      </c>
      <c r="C225" s="63" t="str">
        <f t="shared" si="224"/>
        <v>GOLD</v>
      </c>
      <c r="D225" s="63" t="str">
        <f t="shared" si="224"/>
        <v>NY</v>
      </c>
      <c r="E225" s="51">
        <v>3.0</v>
      </c>
      <c r="F225" s="60">
        <f>IFERROR(__xludf.DUMMYFUNCTION("""COMPUTED_VALUE"""),24.0)</f>
        <v>24</v>
      </c>
      <c r="G225" s="60"/>
      <c r="H225" s="60">
        <f>IFERROR(__xludf.DUMMYFUNCTION("""COMPUTED_VALUE"""),61.5)</f>
        <v>61.5</v>
      </c>
      <c r="I225" s="60"/>
    </row>
    <row r="226" ht="15.75" customHeight="1">
      <c r="A226" s="55" t="str">
        <f t="shared" si="1"/>
        <v>0824GOLD</v>
      </c>
      <c r="B226" s="62">
        <f t="shared" ref="B226:D226" si="225">B225</f>
        <v>45518</v>
      </c>
      <c r="C226" s="63" t="str">
        <f t="shared" si="225"/>
        <v>GOLD</v>
      </c>
      <c r="D226" s="63" t="str">
        <f t="shared" si="225"/>
        <v>NY</v>
      </c>
      <c r="E226" s="51">
        <v>3.0</v>
      </c>
      <c r="F226" s="60">
        <f>IFERROR(__xludf.DUMMYFUNCTION("""COMPUTED_VALUE"""),25.0)</f>
        <v>25</v>
      </c>
      <c r="G226" s="60"/>
      <c r="H226" s="60">
        <f>IFERROR(__xludf.DUMMYFUNCTION("""COMPUTED_VALUE"""),47.63)</f>
        <v>47.63</v>
      </c>
      <c r="I226" s="60"/>
    </row>
    <row r="227" ht="15.75" customHeight="1">
      <c r="A227" s="55" t="str">
        <f t="shared" si="1"/>
        <v>0824GOLD</v>
      </c>
      <c r="B227" s="62">
        <f t="shared" ref="B227:D227" si="226">B226</f>
        <v>45518</v>
      </c>
      <c r="C227" s="63" t="str">
        <f t="shared" si="226"/>
        <v>GOLD</v>
      </c>
      <c r="D227" s="63" t="str">
        <f t="shared" si="226"/>
        <v>NY</v>
      </c>
      <c r="E227" s="51">
        <v>3.0</v>
      </c>
      <c r="F227" s="60">
        <f>IFERROR(__xludf.DUMMYFUNCTION("""COMPUTED_VALUE"""),26.0)</f>
        <v>26</v>
      </c>
      <c r="G227" s="60">
        <f>IFERROR(__xludf.DUMMYFUNCTION("""COMPUTED_VALUE"""),104.89)</f>
        <v>104.89</v>
      </c>
      <c r="H227" s="60"/>
      <c r="I227" s="60"/>
    </row>
    <row r="228" ht="15.75" customHeight="1">
      <c r="A228" s="55" t="str">
        <f t="shared" si="1"/>
        <v>0824GOLD</v>
      </c>
      <c r="B228" s="62">
        <f t="shared" ref="B228:D228" si="227">B227</f>
        <v>45518</v>
      </c>
      <c r="C228" s="63" t="str">
        <f t="shared" si="227"/>
        <v>GOLD</v>
      </c>
      <c r="D228" s="63" t="str">
        <f t="shared" si="227"/>
        <v>NY</v>
      </c>
      <c r="E228" s="51">
        <v>3.0</v>
      </c>
      <c r="F228" s="60">
        <f>IFERROR(__xludf.DUMMYFUNCTION("""COMPUTED_VALUE"""),27.0)</f>
        <v>27</v>
      </c>
      <c r="G228" s="60">
        <f>IFERROR(__xludf.DUMMYFUNCTION("""COMPUTED_VALUE"""),82.35)</f>
        <v>82.35</v>
      </c>
      <c r="H228" s="60"/>
      <c r="I228" s="60"/>
    </row>
    <row r="229" ht="15.75" customHeight="1">
      <c r="A229" s="55" t="str">
        <f t="shared" si="1"/>
        <v>0824GOLD</v>
      </c>
      <c r="B229" s="62">
        <f t="shared" ref="B229:D229" si="228">B228</f>
        <v>45518</v>
      </c>
      <c r="C229" s="63" t="str">
        <f t="shared" si="228"/>
        <v>GOLD</v>
      </c>
      <c r="D229" s="63" t="str">
        <f t="shared" si="228"/>
        <v>NY</v>
      </c>
      <c r="E229" s="51">
        <v>3.0</v>
      </c>
      <c r="F229" s="60">
        <f>IFERROR(__xludf.DUMMYFUNCTION("""COMPUTED_VALUE"""),28.0)</f>
        <v>28</v>
      </c>
      <c r="G229" s="60"/>
      <c r="H229" s="60">
        <f>IFERROR(__xludf.DUMMYFUNCTION("""COMPUTED_VALUE"""),74.12)</f>
        <v>74.12</v>
      </c>
      <c r="I229" s="60"/>
    </row>
    <row r="230" ht="15.75" customHeight="1">
      <c r="A230" s="55" t="str">
        <f t="shared" si="1"/>
        <v>0824GOLD</v>
      </c>
      <c r="B230" s="62">
        <f t="shared" ref="B230:D230" si="229">B229</f>
        <v>45518</v>
      </c>
      <c r="C230" s="63" t="str">
        <f t="shared" si="229"/>
        <v>GOLD</v>
      </c>
      <c r="D230" s="63" t="str">
        <f t="shared" si="229"/>
        <v>NY</v>
      </c>
      <c r="E230" s="51">
        <v>3.0</v>
      </c>
      <c r="F230" s="60">
        <f>IFERROR(__xludf.DUMMYFUNCTION("""COMPUTED_VALUE"""),29.0)</f>
        <v>29</v>
      </c>
      <c r="G230" s="60"/>
      <c r="H230" s="60">
        <f>IFERROR(__xludf.DUMMYFUNCTION("""COMPUTED_VALUE"""),108.83)</f>
        <v>108.83</v>
      </c>
      <c r="I230" s="60"/>
    </row>
    <row r="231" ht="15.75" customHeight="1">
      <c r="A231" s="55" t="str">
        <f t="shared" si="1"/>
        <v>0824GOLD</v>
      </c>
      <c r="B231" s="62">
        <f t="shared" ref="B231:D231" si="230">B230</f>
        <v>45518</v>
      </c>
      <c r="C231" s="63" t="str">
        <f t="shared" si="230"/>
        <v>GOLD</v>
      </c>
      <c r="D231" s="63" t="str">
        <f t="shared" si="230"/>
        <v>NY</v>
      </c>
      <c r="E231" s="51">
        <v>3.0</v>
      </c>
      <c r="F231" s="60">
        <f>IFERROR(__xludf.DUMMYFUNCTION("""COMPUTED_VALUE"""),30.0)</f>
        <v>30</v>
      </c>
      <c r="G231" s="60"/>
      <c r="H231" s="60">
        <f>IFERROR(__xludf.DUMMYFUNCTION("""COMPUTED_VALUE"""),59.3)</f>
        <v>59.3</v>
      </c>
      <c r="I231" s="60"/>
    </row>
    <row r="232" ht="15.75" customHeight="1">
      <c r="A232" s="55" t="str">
        <f t="shared" si="1"/>
        <v>0824GOLD</v>
      </c>
      <c r="B232" s="62">
        <f t="shared" ref="B232:D232" si="231">B231</f>
        <v>45518</v>
      </c>
      <c r="C232" s="63" t="str">
        <f t="shared" si="231"/>
        <v>GOLD</v>
      </c>
      <c r="D232" s="63" t="str">
        <f t="shared" si="231"/>
        <v>NY</v>
      </c>
      <c r="E232" s="51">
        <v>3.0</v>
      </c>
      <c r="F232" s="60">
        <f>IFERROR(__xludf.DUMMYFUNCTION("""COMPUTED_VALUE"""),31.0)</f>
        <v>31</v>
      </c>
      <c r="G232" s="60"/>
      <c r="H232" s="60"/>
      <c r="I232" s="60"/>
    </row>
    <row r="233" ht="15.75" customHeight="1">
      <c r="A233" s="55" t="str">
        <f t="shared" si="1"/>
        <v>0824GOLD</v>
      </c>
      <c r="B233" s="62">
        <f t="shared" ref="B233:D233" si="232">B232</f>
        <v>45518</v>
      </c>
      <c r="C233" s="63" t="str">
        <f t="shared" si="232"/>
        <v>GOLD</v>
      </c>
      <c r="D233" s="63" t="str">
        <f t="shared" si="232"/>
        <v>NY</v>
      </c>
      <c r="E233" s="51">
        <v>3.0</v>
      </c>
      <c r="F233" s="60">
        <f>IFERROR(__xludf.DUMMYFUNCTION("""COMPUTED_VALUE"""),32.0)</f>
        <v>32</v>
      </c>
      <c r="G233" s="60"/>
      <c r="H233" s="60"/>
      <c r="I233" s="60"/>
    </row>
    <row r="234" ht="15.75" customHeight="1">
      <c r="A234" s="55" t="str">
        <f t="shared" si="1"/>
        <v>0824GOLD</v>
      </c>
      <c r="B234" s="62">
        <f t="shared" ref="B234:D234" si="233">B233</f>
        <v>45518</v>
      </c>
      <c r="C234" s="63" t="str">
        <f t="shared" si="233"/>
        <v>GOLD</v>
      </c>
      <c r="D234" s="63" t="str">
        <f t="shared" si="233"/>
        <v>NY</v>
      </c>
      <c r="E234" s="51">
        <v>3.0</v>
      </c>
      <c r="F234" s="60">
        <f>IFERROR(__xludf.DUMMYFUNCTION("""COMPUTED_VALUE"""),33.0)</f>
        <v>33</v>
      </c>
      <c r="G234" s="60"/>
      <c r="H234" s="60"/>
      <c r="I234" s="60"/>
    </row>
    <row r="235" ht="15.75" customHeight="1">
      <c r="A235" s="55" t="str">
        <f t="shared" si="1"/>
        <v>0824GOLD</v>
      </c>
      <c r="B235" s="62">
        <f t="shared" ref="B235:D235" si="234">B234</f>
        <v>45518</v>
      </c>
      <c r="C235" s="63" t="str">
        <f t="shared" si="234"/>
        <v>GOLD</v>
      </c>
      <c r="D235" s="63" t="str">
        <f t="shared" si="234"/>
        <v>NY</v>
      </c>
      <c r="E235" s="51">
        <v>3.0</v>
      </c>
      <c r="F235" s="60">
        <f>IFERROR(__xludf.DUMMYFUNCTION("""COMPUTED_VALUE"""),34.0)</f>
        <v>34</v>
      </c>
      <c r="G235" s="60"/>
      <c r="H235" s="60"/>
      <c r="I235" s="60"/>
    </row>
    <row r="236" ht="15.75" customHeight="1">
      <c r="A236" s="55" t="str">
        <f t="shared" si="1"/>
        <v>0824GOLD</v>
      </c>
      <c r="B236" s="62">
        <f t="shared" ref="B236:D236" si="235">B235</f>
        <v>45518</v>
      </c>
      <c r="C236" s="63" t="str">
        <f t="shared" si="235"/>
        <v>GOLD</v>
      </c>
      <c r="D236" s="63" t="str">
        <f t="shared" si="235"/>
        <v>NY</v>
      </c>
      <c r="E236" s="51">
        <v>3.0</v>
      </c>
      <c r="F236" s="60">
        <f>IFERROR(__xludf.DUMMYFUNCTION("""COMPUTED_VALUE"""),35.0)</f>
        <v>35</v>
      </c>
      <c r="G236" s="60"/>
      <c r="H236" s="60"/>
      <c r="I236" s="60"/>
    </row>
    <row r="237" ht="15.75" customHeight="1">
      <c r="A237" s="55" t="str">
        <f t="shared" si="1"/>
        <v>0824GOLD</v>
      </c>
      <c r="B237" s="62">
        <f t="shared" ref="B237:D237" si="236">B236</f>
        <v>45518</v>
      </c>
      <c r="C237" s="63" t="str">
        <f t="shared" si="236"/>
        <v>GOLD</v>
      </c>
      <c r="D237" s="63" t="str">
        <f t="shared" si="236"/>
        <v>NY</v>
      </c>
      <c r="E237" s="51">
        <v>3.0</v>
      </c>
      <c r="F237" s="60">
        <f>IFERROR(__xludf.DUMMYFUNCTION("""COMPUTED_VALUE"""),36.0)</f>
        <v>36</v>
      </c>
      <c r="G237" s="60"/>
      <c r="H237" s="60"/>
      <c r="I237" s="60"/>
    </row>
    <row r="238" ht="15.75" customHeight="1">
      <c r="A238" s="55" t="str">
        <f t="shared" si="1"/>
        <v>0824GOLD</v>
      </c>
      <c r="B238" s="62">
        <f t="shared" ref="B238:D238" si="237">B237</f>
        <v>45518</v>
      </c>
      <c r="C238" s="63" t="str">
        <f t="shared" si="237"/>
        <v>GOLD</v>
      </c>
      <c r="D238" s="63" t="str">
        <f t="shared" si="237"/>
        <v>NY</v>
      </c>
      <c r="E238" s="51">
        <v>3.0</v>
      </c>
      <c r="F238" s="60">
        <f>IFERROR(__xludf.DUMMYFUNCTION("""COMPUTED_VALUE"""),37.0)</f>
        <v>37</v>
      </c>
      <c r="G238" s="60"/>
      <c r="H238" s="60"/>
      <c r="I238" s="60"/>
    </row>
    <row r="239" ht="15.75" customHeight="1">
      <c r="A239" s="55" t="str">
        <f t="shared" si="1"/>
        <v>0824GOLD</v>
      </c>
      <c r="B239" s="62">
        <f t="shared" ref="B239:D239" si="238">B238</f>
        <v>45518</v>
      </c>
      <c r="C239" s="63" t="str">
        <f t="shared" si="238"/>
        <v>GOLD</v>
      </c>
      <c r="D239" s="63" t="str">
        <f t="shared" si="238"/>
        <v>NY</v>
      </c>
      <c r="E239" s="51">
        <v>3.0</v>
      </c>
      <c r="F239" s="60">
        <f>IFERROR(__xludf.DUMMYFUNCTION("""COMPUTED_VALUE"""),38.0)</f>
        <v>38</v>
      </c>
      <c r="G239" s="60"/>
      <c r="H239" s="60"/>
      <c r="I239" s="60"/>
    </row>
    <row r="240" ht="15.75" customHeight="1">
      <c r="A240" s="55" t="str">
        <f t="shared" si="1"/>
        <v>0824GOLD</v>
      </c>
      <c r="B240" s="62">
        <f t="shared" ref="B240:D240" si="239">B239</f>
        <v>45518</v>
      </c>
      <c r="C240" s="63" t="str">
        <f t="shared" si="239"/>
        <v>GOLD</v>
      </c>
      <c r="D240" s="63" t="str">
        <f t="shared" si="239"/>
        <v>NY</v>
      </c>
      <c r="E240" s="51">
        <v>3.0</v>
      </c>
      <c r="F240" s="60">
        <f>IFERROR(__xludf.DUMMYFUNCTION("""COMPUTED_VALUE"""),39.0)</f>
        <v>39</v>
      </c>
      <c r="G240" s="60"/>
      <c r="H240" s="60"/>
      <c r="I240" s="60"/>
    </row>
    <row r="241" ht="15.75" customHeight="1">
      <c r="A241" s="55" t="str">
        <f t="shared" si="1"/>
        <v>0824GOLD</v>
      </c>
      <c r="B241" s="62">
        <f t="shared" ref="B241:D241" si="240">B240</f>
        <v>45518</v>
      </c>
      <c r="C241" s="63" t="str">
        <f t="shared" si="240"/>
        <v>GOLD</v>
      </c>
      <c r="D241" s="63" t="str">
        <f t="shared" si="240"/>
        <v>NY</v>
      </c>
      <c r="E241" s="51">
        <v>3.0</v>
      </c>
      <c r="F241" s="60">
        <f>IFERROR(__xludf.DUMMYFUNCTION("""COMPUTED_VALUE"""),40.0)</f>
        <v>40</v>
      </c>
      <c r="G241" s="60"/>
      <c r="H241" s="60"/>
      <c r="I241" s="60"/>
    </row>
    <row r="242" ht="15.75" customHeight="1">
      <c r="A242" s="55" t="str">
        <f t="shared" si="1"/>
        <v>0824GOLD</v>
      </c>
      <c r="B242" s="62">
        <f t="shared" ref="B242:D242" si="241">B241</f>
        <v>45518</v>
      </c>
      <c r="C242" s="63" t="str">
        <f t="shared" si="241"/>
        <v>GOLD</v>
      </c>
      <c r="D242" s="63" t="str">
        <f t="shared" si="241"/>
        <v>NY</v>
      </c>
      <c r="E242" s="51">
        <v>3.0</v>
      </c>
      <c r="F242" s="60">
        <f>IFERROR(__xludf.DUMMYFUNCTION("""COMPUTED_VALUE"""),41.0)</f>
        <v>41</v>
      </c>
      <c r="G242" s="60"/>
      <c r="H242" s="60"/>
      <c r="I242" s="60"/>
    </row>
    <row r="243" ht="15.75" customHeight="1">
      <c r="A243" s="55" t="str">
        <f t="shared" si="1"/>
        <v>0824GOLD</v>
      </c>
      <c r="B243" s="62">
        <f t="shared" ref="B243:D243" si="242">B242</f>
        <v>45518</v>
      </c>
      <c r="C243" s="63" t="str">
        <f t="shared" si="242"/>
        <v>GOLD</v>
      </c>
      <c r="D243" s="63" t="str">
        <f t="shared" si="242"/>
        <v>NY</v>
      </c>
      <c r="E243" s="51">
        <v>3.0</v>
      </c>
      <c r="F243" s="60">
        <f>IFERROR(__xludf.DUMMYFUNCTION("""COMPUTED_VALUE"""),42.0)</f>
        <v>42</v>
      </c>
      <c r="G243" s="60"/>
      <c r="H243" s="60"/>
      <c r="I243" s="60"/>
    </row>
    <row r="244" ht="15.75" customHeight="1">
      <c r="A244" s="55" t="str">
        <f t="shared" si="1"/>
        <v>0824GOLD</v>
      </c>
      <c r="B244" s="62">
        <f t="shared" ref="B244:D244" si="243">B243</f>
        <v>45518</v>
      </c>
      <c r="C244" s="63" t="str">
        <f t="shared" si="243"/>
        <v>GOLD</v>
      </c>
      <c r="D244" s="63" t="str">
        <f t="shared" si="243"/>
        <v>NY</v>
      </c>
      <c r="E244" s="51">
        <v>3.0</v>
      </c>
      <c r="F244" s="60">
        <f>IFERROR(__xludf.DUMMYFUNCTION("""COMPUTED_VALUE"""),43.0)</f>
        <v>43</v>
      </c>
      <c r="G244" s="60"/>
      <c r="H244" s="60"/>
      <c r="I244" s="60"/>
    </row>
    <row r="245" ht="15.75" customHeight="1">
      <c r="A245" s="55" t="str">
        <f t="shared" si="1"/>
        <v>0824GOLD</v>
      </c>
      <c r="B245" s="62">
        <f t="shared" ref="B245:D245" si="244">B244</f>
        <v>45518</v>
      </c>
      <c r="C245" s="63" t="str">
        <f t="shared" si="244"/>
        <v>GOLD</v>
      </c>
      <c r="D245" s="63" t="str">
        <f t="shared" si="244"/>
        <v>NY</v>
      </c>
      <c r="E245" s="51">
        <v>3.0</v>
      </c>
      <c r="F245" s="60">
        <f>IFERROR(__xludf.DUMMYFUNCTION("""COMPUTED_VALUE"""),44.0)</f>
        <v>44</v>
      </c>
      <c r="G245" s="60"/>
      <c r="H245" s="60"/>
      <c r="I245" s="60"/>
    </row>
    <row r="246" ht="15.75" customHeight="1">
      <c r="A246" s="55" t="str">
        <f t="shared" si="1"/>
        <v>0824GOLD</v>
      </c>
      <c r="B246" s="62">
        <f t="shared" ref="B246:D246" si="245">B245</f>
        <v>45518</v>
      </c>
      <c r="C246" s="63" t="str">
        <f t="shared" si="245"/>
        <v>GOLD</v>
      </c>
      <c r="D246" s="63" t="str">
        <f t="shared" si="245"/>
        <v>NY</v>
      </c>
      <c r="E246" s="51">
        <v>3.0</v>
      </c>
      <c r="F246" s="60">
        <f>IFERROR(__xludf.DUMMYFUNCTION("""COMPUTED_VALUE"""),45.0)</f>
        <v>45</v>
      </c>
      <c r="G246" s="60"/>
      <c r="H246" s="60"/>
      <c r="I246" s="60"/>
    </row>
    <row r="247" ht="15.75" customHeight="1">
      <c r="A247" s="55" t="str">
        <f t="shared" si="1"/>
        <v>0824GOLD</v>
      </c>
      <c r="B247" s="62">
        <f t="shared" ref="B247:D247" si="246">B246</f>
        <v>45518</v>
      </c>
      <c r="C247" s="63" t="str">
        <f t="shared" si="246"/>
        <v>GOLD</v>
      </c>
      <c r="D247" s="63" t="str">
        <f t="shared" si="246"/>
        <v>NY</v>
      </c>
      <c r="E247" s="51">
        <v>3.0</v>
      </c>
      <c r="F247" s="60">
        <f>IFERROR(__xludf.DUMMYFUNCTION("""COMPUTED_VALUE"""),46.0)</f>
        <v>46</v>
      </c>
      <c r="G247" s="60"/>
      <c r="H247" s="60"/>
      <c r="I247" s="60"/>
    </row>
    <row r="248" ht="15.75" customHeight="1">
      <c r="A248" s="55" t="str">
        <f t="shared" si="1"/>
        <v>0824GOLD</v>
      </c>
      <c r="B248" s="62">
        <f t="shared" ref="B248:D248" si="247">B247</f>
        <v>45518</v>
      </c>
      <c r="C248" s="63" t="str">
        <f t="shared" si="247"/>
        <v>GOLD</v>
      </c>
      <c r="D248" s="63" t="str">
        <f t="shared" si="247"/>
        <v>NY</v>
      </c>
      <c r="E248" s="51">
        <v>3.0</v>
      </c>
      <c r="F248" s="60">
        <f>IFERROR(__xludf.DUMMYFUNCTION("""COMPUTED_VALUE"""),47.0)</f>
        <v>47</v>
      </c>
      <c r="G248" s="60"/>
      <c r="H248" s="60"/>
      <c r="I248" s="60"/>
    </row>
    <row r="249" ht="15.75" customHeight="1">
      <c r="A249" s="55" t="str">
        <f t="shared" si="1"/>
        <v>0824GOLD</v>
      </c>
      <c r="B249" s="62">
        <f t="shared" ref="B249:D249" si="248">B248</f>
        <v>45518</v>
      </c>
      <c r="C249" s="63" t="str">
        <f t="shared" si="248"/>
        <v>GOLD</v>
      </c>
      <c r="D249" s="63" t="str">
        <f t="shared" si="248"/>
        <v>NY</v>
      </c>
      <c r="E249" s="51">
        <v>3.0</v>
      </c>
      <c r="F249" s="60">
        <f>IFERROR(__xludf.DUMMYFUNCTION("""COMPUTED_VALUE"""),48.0)</f>
        <v>48</v>
      </c>
      <c r="G249" s="60"/>
      <c r="H249" s="60"/>
      <c r="I249" s="60"/>
    </row>
    <row r="250" ht="15.75" customHeight="1">
      <c r="A250" s="55" t="str">
        <f t="shared" si="1"/>
        <v>0824GOLD</v>
      </c>
      <c r="B250" s="62">
        <f t="shared" ref="B250:D250" si="249">B249</f>
        <v>45518</v>
      </c>
      <c r="C250" s="63" t="str">
        <f t="shared" si="249"/>
        <v>GOLD</v>
      </c>
      <c r="D250" s="63" t="str">
        <f t="shared" si="249"/>
        <v>NY</v>
      </c>
      <c r="E250" s="51">
        <v>3.0</v>
      </c>
      <c r="F250" s="60">
        <f>IFERROR(__xludf.DUMMYFUNCTION("""COMPUTED_VALUE"""),49.0)</f>
        <v>49</v>
      </c>
      <c r="G250" s="60"/>
      <c r="H250" s="60"/>
      <c r="I250" s="60"/>
    </row>
    <row r="251" ht="15.75" customHeight="1">
      <c r="A251" s="55" t="str">
        <f t="shared" si="1"/>
        <v>0824GOLD</v>
      </c>
      <c r="B251" s="62">
        <f t="shared" ref="B251:D251" si="250">B250</f>
        <v>45518</v>
      </c>
      <c r="C251" s="63" t="str">
        <f t="shared" si="250"/>
        <v>GOLD</v>
      </c>
      <c r="D251" s="63" t="str">
        <f t="shared" si="250"/>
        <v>NY</v>
      </c>
      <c r="E251" s="51">
        <v>3.0</v>
      </c>
      <c r="F251" s="60">
        <f>IFERROR(__xludf.DUMMYFUNCTION("""COMPUTED_VALUE"""),50.0)</f>
        <v>50</v>
      </c>
      <c r="G251" s="60"/>
      <c r="H251" s="60"/>
      <c r="I251" s="60"/>
    </row>
    <row r="252" ht="15.75" customHeight="1">
      <c r="A252" s="55" t="str">
        <f t="shared" si="1"/>
        <v>0824GOLD</v>
      </c>
      <c r="B252" s="62">
        <f t="shared" ref="B252:D252" si="251">B251</f>
        <v>45518</v>
      </c>
      <c r="C252" s="63" t="str">
        <f t="shared" si="251"/>
        <v>GOLD</v>
      </c>
      <c r="D252" s="63" t="str">
        <f t="shared" si="251"/>
        <v>NY</v>
      </c>
      <c r="E252" s="51">
        <v>3.0</v>
      </c>
      <c r="F252" s="60">
        <f>IFERROR(__xludf.DUMMYFUNCTION("""COMPUTED_VALUE"""),51.0)</f>
        <v>51</v>
      </c>
      <c r="G252" s="60"/>
      <c r="H252" s="60"/>
      <c r="I252" s="60"/>
    </row>
    <row r="253" ht="15.75" customHeight="1">
      <c r="A253" s="55" t="str">
        <f t="shared" si="1"/>
        <v>0824GOLD</v>
      </c>
      <c r="B253" s="62">
        <f t="shared" ref="B253:D253" si="252">B252</f>
        <v>45518</v>
      </c>
      <c r="C253" s="63" t="str">
        <f t="shared" si="252"/>
        <v>GOLD</v>
      </c>
      <c r="D253" s="63" t="str">
        <f t="shared" si="252"/>
        <v>NY</v>
      </c>
      <c r="E253" s="51">
        <v>3.0</v>
      </c>
      <c r="F253" s="60">
        <f>IFERROR(__xludf.DUMMYFUNCTION("""COMPUTED_VALUE"""),52.0)</f>
        <v>52</v>
      </c>
      <c r="G253" s="60"/>
      <c r="H253" s="60"/>
      <c r="I253" s="60"/>
    </row>
    <row r="254" ht="15.75" customHeight="1">
      <c r="A254" s="55" t="str">
        <f t="shared" si="1"/>
        <v>0824GOLD</v>
      </c>
      <c r="B254" s="62">
        <f t="shared" ref="B254:D254" si="253">B253</f>
        <v>45518</v>
      </c>
      <c r="C254" s="63" t="str">
        <f t="shared" si="253"/>
        <v>GOLD</v>
      </c>
      <c r="D254" s="63" t="str">
        <f t="shared" si="253"/>
        <v>NY</v>
      </c>
      <c r="E254" s="51">
        <v>3.0</v>
      </c>
      <c r="F254" s="60">
        <f>IFERROR(__xludf.DUMMYFUNCTION("""COMPUTED_VALUE"""),53.0)</f>
        <v>53</v>
      </c>
      <c r="G254" s="60"/>
      <c r="H254" s="60"/>
      <c r="I254" s="60"/>
    </row>
    <row r="255" ht="15.75" customHeight="1">
      <c r="A255" s="55" t="str">
        <f t="shared" si="1"/>
        <v>0824GOLD</v>
      </c>
      <c r="B255" s="62">
        <f t="shared" ref="B255:D255" si="254">B254</f>
        <v>45518</v>
      </c>
      <c r="C255" s="63" t="str">
        <f t="shared" si="254"/>
        <v>GOLD</v>
      </c>
      <c r="D255" s="63" t="str">
        <f t="shared" si="254"/>
        <v>NY</v>
      </c>
      <c r="E255" s="51">
        <v>3.0</v>
      </c>
      <c r="F255" s="60">
        <f>IFERROR(__xludf.DUMMYFUNCTION("""COMPUTED_VALUE"""),54.0)</f>
        <v>54</v>
      </c>
      <c r="G255" s="60"/>
      <c r="H255" s="60"/>
      <c r="I255" s="60"/>
    </row>
    <row r="256" ht="15.75" customHeight="1">
      <c r="A256" s="55" t="str">
        <f t="shared" si="1"/>
        <v>0824GOLD</v>
      </c>
      <c r="B256" s="62">
        <f t="shared" ref="B256:D256" si="255">B255</f>
        <v>45518</v>
      </c>
      <c r="C256" s="63" t="str">
        <f t="shared" si="255"/>
        <v>GOLD</v>
      </c>
      <c r="D256" s="63" t="str">
        <f t="shared" si="255"/>
        <v>NY</v>
      </c>
      <c r="E256" s="51">
        <v>3.0</v>
      </c>
      <c r="F256" s="60">
        <f>IFERROR(__xludf.DUMMYFUNCTION("""COMPUTED_VALUE"""),55.0)</f>
        <v>55</v>
      </c>
      <c r="G256" s="60"/>
      <c r="H256" s="60"/>
      <c r="I256" s="60"/>
    </row>
    <row r="257" ht="15.75" customHeight="1">
      <c r="A257" s="55" t="str">
        <f t="shared" si="1"/>
        <v>0824GOLD</v>
      </c>
      <c r="B257" s="62">
        <f t="shared" ref="B257:D257" si="256">B256</f>
        <v>45518</v>
      </c>
      <c r="C257" s="63" t="str">
        <f t="shared" si="256"/>
        <v>GOLD</v>
      </c>
      <c r="D257" s="63" t="str">
        <f t="shared" si="256"/>
        <v>NY</v>
      </c>
      <c r="E257" s="51">
        <v>3.0</v>
      </c>
      <c r="F257" s="60">
        <f>IFERROR(__xludf.DUMMYFUNCTION("""COMPUTED_VALUE"""),56.0)</f>
        <v>56</v>
      </c>
      <c r="G257" s="60"/>
      <c r="H257" s="60"/>
      <c r="I257" s="60"/>
    </row>
    <row r="258" ht="15.75" customHeight="1">
      <c r="A258" s="55" t="str">
        <f t="shared" si="1"/>
        <v>0824GOLD</v>
      </c>
      <c r="B258" s="62">
        <f t="shared" ref="B258:D258" si="257">B257</f>
        <v>45518</v>
      </c>
      <c r="C258" s="63" t="str">
        <f t="shared" si="257"/>
        <v>GOLD</v>
      </c>
      <c r="D258" s="63" t="str">
        <f t="shared" si="257"/>
        <v>NY</v>
      </c>
      <c r="E258" s="51">
        <v>3.0</v>
      </c>
      <c r="F258" s="60">
        <f>IFERROR(__xludf.DUMMYFUNCTION("""COMPUTED_VALUE"""),57.0)</f>
        <v>57</v>
      </c>
      <c r="G258" s="60"/>
      <c r="H258" s="60"/>
      <c r="I258" s="60"/>
    </row>
    <row r="259" ht="15.75" customHeight="1">
      <c r="A259" s="55" t="str">
        <f t="shared" si="1"/>
        <v>0824GOLD</v>
      </c>
      <c r="B259" s="62">
        <f t="shared" ref="B259:D259" si="258">B258</f>
        <v>45518</v>
      </c>
      <c r="C259" s="63" t="str">
        <f t="shared" si="258"/>
        <v>GOLD</v>
      </c>
      <c r="D259" s="63" t="str">
        <f t="shared" si="258"/>
        <v>NY</v>
      </c>
      <c r="E259" s="51">
        <v>3.0</v>
      </c>
      <c r="F259" s="60">
        <f>IFERROR(__xludf.DUMMYFUNCTION("""COMPUTED_VALUE"""),58.0)</f>
        <v>58</v>
      </c>
      <c r="G259" s="60"/>
      <c r="H259" s="60"/>
      <c r="I259" s="60"/>
    </row>
    <row r="260" ht="15.75" customHeight="1">
      <c r="A260" s="55" t="str">
        <f t="shared" si="1"/>
        <v>0824GOLD</v>
      </c>
      <c r="B260" s="62">
        <f t="shared" ref="B260:D260" si="259">B259</f>
        <v>45518</v>
      </c>
      <c r="C260" s="63" t="str">
        <f t="shared" si="259"/>
        <v>GOLD</v>
      </c>
      <c r="D260" s="63" t="str">
        <f t="shared" si="259"/>
        <v>NY</v>
      </c>
      <c r="E260" s="51">
        <v>3.0</v>
      </c>
      <c r="F260" s="60">
        <f>IFERROR(__xludf.DUMMYFUNCTION("""COMPUTED_VALUE"""),59.0)</f>
        <v>59</v>
      </c>
      <c r="G260" s="60"/>
      <c r="H260" s="60"/>
      <c r="I260" s="60"/>
    </row>
    <row r="261" ht="15.75" customHeight="1">
      <c r="A261" s="55" t="str">
        <f t="shared" si="1"/>
        <v>0824GOLD</v>
      </c>
      <c r="B261" s="62">
        <f t="shared" ref="B261:D261" si="260">B260</f>
        <v>45518</v>
      </c>
      <c r="C261" s="63" t="str">
        <f t="shared" si="260"/>
        <v>GOLD</v>
      </c>
      <c r="D261" s="63" t="str">
        <f t="shared" si="260"/>
        <v>NY</v>
      </c>
      <c r="E261" s="51">
        <v>3.0</v>
      </c>
      <c r="F261" s="60">
        <f>IFERROR(__xludf.DUMMYFUNCTION("""COMPUTED_VALUE"""),60.0)</f>
        <v>60</v>
      </c>
      <c r="G261" s="60"/>
      <c r="H261" s="60"/>
      <c r="I261" s="60"/>
    </row>
    <row r="262" ht="15.75" customHeight="1">
      <c r="A262" s="55" t="str">
        <f t="shared" si="1"/>
        <v>0824GOLD</v>
      </c>
      <c r="B262" s="62">
        <f t="shared" ref="B262:D262" si="261">B261</f>
        <v>45518</v>
      </c>
      <c r="C262" s="63" t="str">
        <f t="shared" si="261"/>
        <v>GOLD</v>
      </c>
      <c r="D262" s="63" t="str">
        <f t="shared" si="261"/>
        <v>NY</v>
      </c>
      <c r="E262" s="51">
        <v>3.0</v>
      </c>
      <c r="F262" s="60">
        <f>IFERROR(__xludf.DUMMYFUNCTION("""COMPUTED_VALUE"""),61.0)</f>
        <v>61</v>
      </c>
      <c r="G262" s="60"/>
      <c r="H262" s="60"/>
      <c r="I262" s="60"/>
    </row>
    <row r="263" ht="15.75" customHeight="1">
      <c r="A263" s="55" t="str">
        <f t="shared" si="1"/>
        <v>0824GOLD</v>
      </c>
      <c r="B263" s="62">
        <f t="shared" ref="B263:D263" si="262">B262</f>
        <v>45518</v>
      </c>
      <c r="C263" s="63" t="str">
        <f t="shared" si="262"/>
        <v>GOLD</v>
      </c>
      <c r="D263" s="63" t="str">
        <f t="shared" si="262"/>
        <v>NY</v>
      </c>
      <c r="E263" s="51">
        <v>3.0</v>
      </c>
      <c r="F263" s="60">
        <f>IFERROR(__xludf.DUMMYFUNCTION("""COMPUTED_VALUE"""),62.0)</f>
        <v>62</v>
      </c>
      <c r="G263" s="60"/>
      <c r="H263" s="60"/>
      <c r="I263" s="60"/>
    </row>
    <row r="264" ht="15.75" customHeight="1">
      <c r="A264" s="55" t="str">
        <f t="shared" si="1"/>
        <v>0824GOLD</v>
      </c>
      <c r="B264" s="62">
        <f t="shared" ref="B264:D264" si="263">B263</f>
        <v>45518</v>
      </c>
      <c r="C264" s="63" t="str">
        <f t="shared" si="263"/>
        <v>GOLD</v>
      </c>
      <c r="D264" s="63" t="str">
        <f t="shared" si="263"/>
        <v>NY</v>
      </c>
      <c r="E264" s="51">
        <v>3.0</v>
      </c>
      <c r="F264" s="60">
        <f>IFERROR(__xludf.DUMMYFUNCTION("""COMPUTED_VALUE"""),63.0)</f>
        <v>63</v>
      </c>
      <c r="G264" s="60"/>
      <c r="H264" s="60"/>
      <c r="I264" s="60"/>
    </row>
    <row r="265" ht="15.75" customHeight="1">
      <c r="A265" s="55" t="str">
        <f t="shared" si="1"/>
        <v>0824GOLD</v>
      </c>
      <c r="B265" s="62">
        <f t="shared" ref="B265:D265" si="264">B264</f>
        <v>45518</v>
      </c>
      <c r="C265" s="63" t="str">
        <f t="shared" si="264"/>
        <v>GOLD</v>
      </c>
      <c r="D265" s="63" t="str">
        <f t="shared" si="264"/>
        <v>NY</v>
      </c>
      <c r="E265" s="51">
        <v>3.0</v>
      </c>
      <c r="F265" s="60">
        <f>IFERROR(__xludf.DUMMYFUNCTION("""COMPUTED_VALUE"""),64.0)</f>
        <v>64</v>
      </c>
      <c r="G265" s="60"/>
      <c r="H265" s="60"/>
      <c r="I265" s="60"/>
    </row>
    <row r="266" ht="15.75" customHeight="1">
      <c r="A266" s="55" t="str">
        <f t="shared" si="1"/>
        <v>0824GOLD</v>
      </c>
      <c r="B266" s="62">
        <f t="shared" ref="B266:D266" si="265">B265</f>
        <v>45518</v>
      </c>
      <c r="C266" s="63" t="str">
        <f t="shared" si="265"/>
        <v>GOLD</v>
      </c>
      <c r="D266" s="63" t="str">
        <f t="shared" si="265"/>
        <v>NY</v>
      </c>
      <c r="E266" s="51">
        <v>3.0</v>
      </c>
      <c r="F266" s="60">
        <f>IFERROR(__xludf.DUMMYFUNCTION("""COMPUTED_VALUE"""),65.0)</f>
        <v>65</v>
      </c>
      <c r="G266" s="60"/>
      <c r="H266" s="60"/>
      <c r="I266" s="60"/>
    </row>
    <row r="267" ht="15.75" customHeight="1">
      <c r="A267" s="55" t="str">
        <f t="shared" si="1"/>
        <v>0824GOLD</v>
      </c>
      <c r="B267" s="62">
        <f t="shared" ref="B267:D267" si="266">B266</f>
        <v>45518</v>
      </c>
      <c r="C267" s="63" t="str">
        <f t="shared" si="266"/>
        <v>GOLD</v>
      </c>
      <c r="D267" s="63" t="str">
        <f t="shared" si="266"/>
        <v>NY</v>
      </c>
      <c r="E267" s="51">
        <v>3.0</v>
      </c>
      <c r="F267" s="60">
        <f>IFERROR(__xludf.DUMMYFUNCTION("""COMPUTED_VALUE"""),66.0)</f>
        <v>66</v>
      </c>
      <c r="G267" s="60"/>
      <c r="H267" s="60"/>
      <c r="I267" s="60"/>
    </row>
    <row r="268" ht="15.75" customHeight="1">
      <c r="A268" s="55" t="str">
        <f t="shared" si="1"/>
        <v>0824GOLD</v>
      </c>
      <c r="B268" s="62">
        <f t="shared" ref="B268:D268" si="267">B267</f>
        <v>45518</v>
      </c>
      <c r="C268" s="63" t="str">
        <f t="shared" si="267"/>
        <v>GOLD</v>
      </c>
      <c r="D268" s="63" t="str">
        <f t="shared" si="267"/>
        <v>NY</v>
      </c>
      <c r="E268" s="51">
        <v>3.0</v>
      </c>
      <c r="F268" s="60">
        <f>IFERROR(__xludf.DUMMYFUNCTION("""COMPUTED_VALUE"""),67.0)</f>
        <v>67</v>
      </c>
      <c r="G268" s="60"/>
      <c r="H268" s="60"/>
      <c r="I268" s="60"/>
    </row>
    <row r="269" ht="15.75" customHeight="1">
      <c r="A269" s="55" t="str">
        <f t="shared" si="1"/>
        <v>0824GOLD</v>
      </c>
      <c r="B269" s="62">
        <f t="shared" ref="B269:D269" si="268">B268</f>
        <v>45518</v>
      </c>
      <c r="C269" s="63" t="str">
        <f t="shared" si="268"/>
        <v>GOLD</v>
      </c>
      <c r="D269" s="63" t="str">
        <f t="shared" si="268"/>
        <v>NY</v>
      </c>
      <c r="E269" s="51">
        <v>3.0</v>
      </c>
      <c r="F269" s="60">
        <f>IFERROR(__xludf.DUMMYFUNCTION("""COMPUTED_VALUE"""),68.0)</f>
        <v>68</v>
      </c>
      <c r="G269" s="60"/>
      <c r="H269" s="60"/>
      <c r="I269" s="60"/>
    </row>
    <row r="270" ht="15.75" customHeight="1">
      <c r="A270" s="55" t="str">
        <f t="shared" si="1"/>
        <v>0824GOLD</v>
      </c>
      <c r="B270" s="62">
        <f t="shared" ref="B270:D270" si="269">B269</f>
        <v>45518</v>
      </c>
      <c r="C270" s="63" t="str">
        <f t="shared" si="269"/>
        <v>GOLD</v>
      </c>
      <c r="D270" s="63" t="str">
        <f t="shared" si="269"/>
        <v>NY</v>
      </c>
      <c r="E270" s="51">
        <v>3.0</v>
      </c>
      <c r="F270" s="60">
        <f>IFERROR(__xludf.DUMMYFUNCTION("""COMPUTED_VALUE"""),69.0)</f>
        <v>69</v>
      </c>
      <c r="G270" s="60"/>
      <c r="H270" s="60"/>
      <c r="I270" s="60"/>
    </row>
    <row r="271" ht="15.75" customHeight="1">
      <c r="A271" s="55" t="str">
        <f t="shared" si="1"/>
        <v>0824GOLD</v>
      </c>
      <c r="B271" s="62">
        <f t="shared" ref="B271:D271" si="270">B270</f>
        <v>45518</v>
      </c>
      <c r="C271" s="63" t="str">
        <f t="shared" si="270"/>
        <v>GOLD</v>
      </c>
      <c r="D271" s="63" t="str">
        <f t="shared" si="270"/>
        <v>NY</v>
      </c>
      <c r="E271" s="51">
        <v>3.0</v>
      </c>
      <c r="F271" s="60">
        <f>IFERROR(__xludf.DUMMYFUNCTION("""COMPUTED_VALUE"""),70.0)</f>
        <v>70</v>
      </c>
      <c r="G271" s="60"/>
      <c r="H271" s="60"/>
      <c r="I271" s="60"/>
    </row>
    <row r="272" ht="15.75" customHeight="1">
      <c r="A272" s="55" t="str">
        <f t="shared" si="1"/>
        <v>0824GOLD</v>
      </c>
      <c r="B272" s="62">
        <f t="shared" ref="B272:D272" si="271">B271</f>
        <v>45518</v>
      </c>
      <c r="C272" s="63" t="str">
        <f t="shared" si="271"/>
        <v>GOLD</v>
      </c>
      <c r="D272" s="63" t="str">
        <f t="shared" si="271"/>
        <v>NY</v>
      </c>
      <c r="E272" s="51">
        <v>3.0</v>
      </c>
      <c r="F272" s="60">
        <f>IFERROR(__xludf.DUMMYFUNCTION("""COMPUTED_VALUE"""),71.0)</f>
        <v>71</v>
      </c>
      <c r="G272" s="60"/>
      <c r="H272" s="60"/>
      <c r="I272" s="60"/>
    </row>
    <row r="273" ht="15.75" customHeight="1">
      <c r="A273" s="55" t="str">
        <f t="shared" si="1"/>
        <v>0824GOLD</v>
      </c>
      <c r="B273" s="62">
        <f t="shared" ref="B273:D273" si="272">B272</f>
        <v>45518</v>
      </c>
      <c r="C273" s="63" t="str">
        <f t="shared" si="272"/>
        <v>GOLD</v>
      </c>
      <c r="D273" s="63" t="str">
        <f t="shared" si="272"/>
        <v>NY</v>
      </c>
      <c r="E273" s="51">
        <v>3.0</v>
      </c>
      <c r="F273" s="60">
        <f>IFERROR(__xludf.DUMMYFUNCTION("""COMPUTED_VALUE"""),72.0)</f>
        <v>72</v>
      </c>
      <c r="G273" s="60"/>
      <c r="H273" s="60"/>
      <c r="I273" s="60"/>
    </row>
    <row r="274" ht="15.75" customHeight="1">
      <c r="A274" s="55" t="str">
        <f t="shared" si="1"/>
        <v>0824GOLD</v>
      </c>
      <c r="B274" s="62">
        <f t="shared" ref="B274:D274" si="273">B273</f>
        <v>45518</v>
      </c>
      <c r="C274" s="63" t="str">
        <f t="shared" si="273"/>
        <v>GOLD</v>
      </c>
      <c r="D274" s="63" t="str">
        <f t="shared" si="273"/>
        <v>NY</v>
      </c>
      <c r="E274" s="51">
        <v>3.0</v>
      </c>
      <c r="F274" s="60">
        <f>IFERROR(__xludf.DUMMYFUNCTION("""COMPUTED_VALUE"""),73.0)</f>
        <v>73</v>
      </c>
      <c r="G274" s="60"/>
      <c r="H274" s="60"/>
      <c r="I274" s="60"/>
    </row>
    <row r="275" ht="15.75" customHeight="1">
      <c r="A275" s="55" t="str">
        <f t="shared" si="1"/>
        <v>0824GOLD</v>
      </c>
      <c r="B275" s="62">
        <f t="shared" ref="B275:D275" si="274">B274</f>
        <v>45518</v>
      </c>
      <c r="C275" s="63" t="str">
        <f t="shared" si="274"/>
        <v>GOLD</v>
      </c>
      <c r="D275" s="63" t="str">
        <f t="shared" si="274"/>
        <v>NY</v>
      </c>
      <c r="E275" s="51">
        <v>3.0</v>
      </c>
      <c r="F275" s="60">
        <f>IFERROR(__xludf.DUMMYFUNCTION("""COMPUTED_VALUE"""),74.0)</f>
        <v>74</v>
      </c>
      <c r="G275" s="60"/>
      <c r="H275" s="60"/>
      <c r="I275" s="60"/>
    </row>
    <row r="276" ht="15.75" customHeight="1">
      <c r="A276" s="55" t="str">
        <f t="shared" si="1"/>
        <v>0824GOLD</v>
      </c>
      <c r="B276" s="62">
        <f t="shared" ref="B276:D276" si="275">B275</f>
        <v>45518</v>
      </c>
      <c r="C276" s="63" t="str">
        <f t="shared" si="275"/>
        <v>GOLD</v>
      </c>
      <c r="D276" s="63" t="str">
        <f t="shared" si="275"/>
        <v>NY</v>
      </c>
      <c r="E276" s="51">
        <v>3.0</v>
      </c>
      <c r="F276" s="60">
        <f>IFERROR(__xludf.DUMMYFUNCTION("""COMPUTED_VALUE"""),75.0)</f>
        <v>75</v>
      </c>
      <c r="G276" s="60"/>
      <c r="H276" s="60"/>
      <c r="I276" s="60"/>
    </row>
    <row r="277" ht="15.75" customHeight="1">
      <c r="A277" s="55" t="str">
        <f t="shared" si="1"/>
        <v>0824GOLD</v>
      </c>
      <c r="B277" s="62">
        <f t="shared" ref="B277:D277" si="276">B276</f>
        <v>45518</v>
      </c>
      <c r="C277" s="63" t="str">
        <f t="shared" si="276"/>
        <v>GOLD</v>
      </c>
      <c r="D277" s="63" t="str">
        <f t="shared" si="276"/>
        <v>NY</v>
      </c>
      <c r="E277" s="51">
        <v>3.0</v>
      </c>
      <c r="F277" s="60">
        <f>IFERROR(__xludf.DUMMYFUNCTION("""COMPUTED_VALUE"""),76.0)</f>
        <v>76</v>
      </c>
      <c r="G277" s="60"/>
      <c r="H277" s="60"/>
      <c r="I277" s="60"/>
    </row>
    <row r="278" ht="15.75" customHeight="1">
      <c r="A278" s="55" t="str">
        <f t="shared" si="1"/>
        <v>0824GOLD</v>
      </c>
      <c r="B278" s="62">
        <f t="shared" ref="B278:D278" si="277">B277</f>
        <v>45518</v>
      </c>
      <c r="C278" s="63" t="str">
        <f t="shared" si="277"/>
        <v>GOLD</v>
      </c>
      <c r="D278" s="63" t="str">
        <f t="shared" si="277"/>
        <v>NY</v>
      </c>
      <c r="E278" s="51">
        <v>3.0</v>
      </c>
      <c r="F278" s="60">
        <f>IFERROR(__xludf.DUMMYFUNCTION("""COMPUTED_VALUE"""),77.0)</f>
        <v>77</v>
      </c>
      <c r="G278" s="60"/>
      <c r="H278" s="60"/>
      <c r="I278" s="60"/>
    </row>
    <row r="279" ht="15.75" customHeight="1">
      <c r="A279" s="55" t="str">
        <f t="shared" si="1"/>
        <v>0824GOLD</v>
      </c>
      <c r="B279" s="62">
        <f t="shared" ref="B279:D279" si="278">B278</f>
        <v>45518</v>
      </c>
      <c r="C279" s="63" t="str">
        <f t="shared" si="278"/>
        <v>GOLD</v>
      </c>
      <c r="D279" s="63" t="str">
        <f t="shared" si="278"/>
        <v>NY</v>
      </c>
      <c r="E279" s="51">
        <v>3.0</v>
      </c>
      <c r="F279" s="60">
        <f>IFERROR(__xludf.DUMMYFUNCTION("""COMPUTED_VALUE"""),78.0)</f>
        <v>78</v>
      </c>
      <c r="G279" s="60"/>
      <c r="H279" s="60"/>
      <c r="I279" s="60"/>
    </row>
    <row r="280" ht="15.75" customHeight="1">
      <c r="A280" s="55" t="str">
        <f t="shared" si="1"/>
        <v>0824GOLD</v>
      </c>
      <c r="B280" s="62">
        <f t="shared" ref="B280:D280" si="279">B279</f>
        <v>45518</v>
      </c>
      <c r="C280" s="63" t="str">
        <f t="shared" si="279"/>
        <v>GOLD</v>
      </c>
      <c r="D280" s="63" t="str">
        <f t="shared" si="279"/>
        <v>NY</v>
      </c>
      <c r="E280" s="51">
        <v>3.0</v>
      </c>
      <c r="F280" s="60">
        <f>IFERROR(__xludf.DUMMYFUNCTION("""COMPUTED_VALUE"""),79.0)</f>
        <v>79</v>
      </c>
      <c r="G280" s="60"/>
      <c r="H280" s="60"/>
      <c r="I280" s="60"/>
    </row>
    <row r="281" ht="15.75" customHeight="1">
      <c r="A281" s="55" t="str">
        <f t="shared" si="1"/>
        <v>0824GOLD</v>
      </c>
      <c r="B281" s="62">
        <f t="shared" ref="B281:D281" si="280">B280</f>
        <v>45518</v>
      </c>
      <c r="C281" s="63" t="str">
        <f t="shared" si="280"/>
        <v>GOLD</v>
      </c>
      <c r="D281" s="63" t="str">
        <f t="shared" si="280"/>
        <v>NY</v>
      </c>
      <c r="E281" s="51">
        <v>3.0</v>
      </c>
      <c r="F281" s="60">
        <f>IFERROR(__xludf.DUMMYFUNCTION("""COMPUTED_VALUE"""),80.0)</f>
        <v>80</v>
      </c>
      <c r="G281" s="60"/>
      <c r="H281" s="60"/>
      <c r="I281" s="60"/>
    </row>
    <row r="282" ht="15.75" customHeight="1">
      <c r="A282" s="55" t="str">
        <f t="shared" si="1"/>
        <v>0824GOLD</v>
      </c>
      <c r="B282" s="62">
        <f t="shared" ref="B282:D282" si="281">B281</f>
        <v>45518</v>
      </c>
      <c r="C282" s="63" t="str">
        <f t="shared" si="281"/>
        <v>GOLD</v>
      </c>
      <c r="D282" s="63" t="str">
        <f t="shared" si="281"/>
        <v>NY</v>
      </c>
      <c r="E282" s="51">
        <v>3.0</v>
      </c>
      <c r="F282" s="60">
        <f>IFERROR(__xludf.DUMMYFUNCTION("""COMPUTED_VALUE"""),81.0)</f>
        <v>81</v>
      </c>
      <c r="G282" s="60"/>
      <c r="H282" s="60"/>
      <c r="I282" s="60"/>
    </row>
    <row r="283" ht="15.75" customHeight="1">
      <c r="A283" s="55" t="str">
        <f t="shared" si="1"/>
        <v>0824GOLD</v>
      </c>
      <c r="B283" s="62">
        <f t="shared" ref="B283:D283" si="282">B282</f>
        <v>45518</v>
      </c>
      <c r="C283" s="63" t="str">
        <f t="shared" si="282"/>
        <v>GOLD</v>
      </c>
      <c r="D283" s="63" t="str">
        <f t="shared" si="282"/>
        <v>NY</v>
      </c>
      <c r="E283" s="51">
        <v>3.0</v>
      </c>
      <c r="F283" s="60">
        <f>IFERROR(__xludf.DUMMYFUNCTION("""COMPUTED_VALUE"""),82.0)</f>
        <v>82</v>
      </c>
      <c r="G283" s="60"/>
      <c r="H283" s="60"/>
      <c r="I283" s="60"/>
    </row>
    <row r="284" ht="15.75" customHeight="1">
      <c r="A284" s="55" t="str">
        <f t="shared" si="1"/>
        <v>0824GOLD</v>
      </c>
      <c r="B284" s="62">
        <f t="shared" ref="B284:D284" si="283">B283</f>
        <v>45518</v>
      </c>
      <c r="C284" s="63" t="str">
        <f t="shared" si="283"/>
        <v>GOLD</v>
      </c>
      <c r="D284" s="63" t="str">
        <f t="shared" si="283"/>
        <v>NY</v>
      </c>
      <c r="E284" s="51">
        <v>3.0</v>
      </c>
      <c r="F284" s="60">
        <f>IFERROR(__xludf.DUMMYFUNCTION("""COMPUTED_VALUE"""),83.0)</f>
        <v>83</v>
      </c>
      <c r="G284" s="60"/>
      <c r="H284" s="60"/>
      <c r="I284" s="60"/>
    </row>
    <row r="285" ht="15.75" customHeight="1">
      <c r="A285" s="55" t="str">
        <f t="shared" si="1"/>
        <v>0824GOLD</v>
      </c>
      <c r="B285" s="62">
        <f t="shared" ref="B285:D285" si="284">B284</f>
        <v>45518</v>
      </c>
      <c r="C285" s="63" t="str">
        <f t="shared" si="284"/>
        <v>GOLD</v>
      </c>
      <c r="D285" s="63" t="str">
        <f t="shared" si="284"/>
        <v>NY</v>
      </c>
      <c r="E285" s="51">
        <v>3.0</v>
      </c>
      <c r="F285" s="60">
        <f>IFERROR(__xludf.DUMMYFUNCTION("""COMPUTED_VALUE"""),84.0)</f>
        <v>84</v>
      </c>
      <c r="G285" s="60"/>
      <c r="H285" s="60"/>
      <c r="I285" s="60"/>
    </row>
    <row r="286" ht="15.75" customHeight="1">
      <c r="A286" s="55" t="str">
        <f t="shared" si="1"/>
        <v>0824GOLD</v>
      </c>
      <c r="B286" s="62">
        <f t="shared" ref="B286:D286" si="285">B285</f>
        <v>45518</v>
      </c>
      <c r="C286" s="63" t="str">
        <f t="shared" si="285"/>
        <v>GOLD</v>
      </c>
      <c r="D286" s="63" t="str">
        <f t="shared" si="285"/>
        <v>NY</v>
      </c>
      <c r="E286" s="51">
        <v>3.0</v>
      </c>
      <c r="F286" s="60">
        <f>IFERROR(__xludf.DUMMYFUNCTION("""COMPUTED_VALUE"""),85.0)</f>
        <v>85</v>
      </c>
      <c r="G286" s="60"/>
      <c r="H286" s="60"/>
      <c r="I286" s="60"/>
    </row>
    <row r="287" ht="15.75" customHeight="1">
      <c r="A287" s="55" t="str">
        <f t="shared" si="1"/>
        <v>0824GOLD</v>
      </c>
      <c r="B287" s="62">
        <f t="shared" ref="B287:D287" si="286">B286</f>
        <v>45518</v>
      </c>
      <c r="C287" s="63" t="str">
        <f t="shared" si="286"/>
        <v>GOLD</v>
      </c>
      <c r="D287" s="63" t="str">
        <f t="shared" si="286"/>
        <v>NY</v>
      </c>
      <c r="E287" s="51">
        <v>3.0</v>
      </c>
      <c r="F287" s="60">
        <f>IFERROR(__xludf.DUMMYFUNCTION("""COMPUTED_VALUE"""),86.0)</f>
        <v>86</v>
      </c>
      <c r="G287" s="60"/>
      <c r="H287" s="60"/>
      <c r="I287" s="60"/>
    </row>
    <row r="288" ht="15.75" customHeight="1">
      <c r="A288" s="55" t="str">
        <f t="shared" si="1"/>
        <v>0824GOLD</v>
      </c>
      <c r="B288" s="62">
        <f t="shared" ref="B288:D288" si="287">B287</f>
        <v>45518</v>
      </c>
      <c r="C288" s="63" t="str">
        <f t="shared" si="287"/>
        <v>GOLD</v>
      </c>
      <c r="D288" s="63" t="str">
        <f t="shared" si="287"/>
        <v>NY</v>
      </c>
      <c r="E288" s="51">
        <v>3.0</v>
      </c>
      <c r="F288" s="60">
        <f>IFERROR(__xludf.DUMMYFUNCTION("""COMPUTED_VALUE"""),87.0)</f>
        <v>87</v>
      </c>
      <c r="G288" s="60"/>
      <c r="H288" s="60"/>
      <c r="I288" s="60"/>
    </row>
    <row r="289" ht="15.75" customHeight="1">
      <c r="A289" s="55" t="str">
        <f t="shared" si="1"/>
        <v>0824GOLD</v>
      </c>
      <c r="B289" s="62">
        <f t="shared" ref="B289:D289" si="288">B288</f>
        <v>45518</v>
      </c>
      <c r="C289" s="63" t="str">
        <f t="shared" si="288"/>
        <v>GOLD</v>
      </c>
      <c r="D289" s="63" t="str">
        <f t="shared" si="288"/>
        <v>NY</v>
      </c>
      <c r="E289" s="51">
        <v>3.0</v>
      </c>
      <c r="F289" s="60">
        <f>IFERROR(__xludf.DUMMYFUNCTION("""COMPUTED_VALUE"""),88.0)</f>
        <v>88</v>
      </c>
      <c r="G289" s="60"/>
      <c r="H289" s="60"/>
      <c r="I289" s="60"/>
    </row>
    <row r="290" ht="15.75" customHeight="1">
      <c r="A290" s="55" t="str">
        <f t="shared" si="1"/>
        <v>0824GOLD</v>
      </c>
      <c r="B290" s="62">
        <f t="shared" ref="B290:D290" si="289">B289</f>
        <v>45518</v>
      </c>
      <c r="C290" s="63" t="str">
        <f t="shared" si="289"/>
        <v>GOLD</v>
      </c>
      <c r="D290" s="63" t="str">
        <f t="shared" si="289"/>
        <v>NY</v>
      </c>
      <c r="E290" s="51">
        <v>3.0</v>
      </c>
      <c r="F290" s="60">
        <f>IFERROR(__xludf.DUMMYFUNCTION("""COMPUTED_VALUE"""),89.0)</f>
        <v>89</v>
      </c>
      <c r="G290" s="60"/>
      <c r="H290" s="60"/>
      <c r="I290" s="60"/>
    </row>
    <row r="291" ht="15.75" customHeight="1">
      <c r="A291" s="55" t="str">
        <f t="shared" si="1"/>
        <v>0824GOLD</v>
      </c>
      <c r="B291" s="62">
        <f t="shared" ref="B291:D291" si="290">B290</f>
        <v>45518</v>
      </c>
      <c r="C291" s="63" t="str">
        <f t="shared" si="290"/>
        <v>GOLD</v>
      </c>
      <c r="D291" s="63" t="str">
        <f t="shared" si="290"/>
        <v>NY</v>
      </c>
      <c r="E291" s="51">
        <v>3.0</v>
      </c>
      <c r="F291" s="60">
        <f>IFERROR(__xludf.DUMMYFUNCTION("""COMPUTED_VALUE"""),90.0)</f>
        <v>90</v>
      </c>
      <c r="G291" s="60"/>
      <c r="H291" s="60"/>
      <c r="I291" s="60"/>
    </row>
    <row r="292" ht="15.75" customHeight="1">
      <c r="A292" s="55" t="str">
        <f t="shared" si="1"/>
        <v>0824GOLD</v>
      </c>
      <c r="B292" s="62">
        <f t="shared" ref="B292:D292" si="291">B291</f>
        <v>45518</v>
      </c>
      <c r="C292" s="63" t="str">
        <f t="shared" si="291"/>
        <v>GOLD</v>
      </c>
      <c r="D292" s="63" t="str">
        <f t="shared" si="291"/>
        <v>NY</v>
      </c>
      <c r="E292" s="51">
        <v>3.0</v>
      </c>
      <c r="F292" s="60">
        <f>IFERROR(__xludf.DUMMYFUNCTION("""COMPUTED_VALUE"""),91.0)</f>
        <v>91</v>
      </c>
      <c r="G292" s="60"/>
      <c r="H292" s="60"/>
      <c r="I292" s="60"/>
    </row>
    <row r="293" ht="15.75" customHeight="1">
      <c r="A293" s="55" t="str">
        <f t="shared" si="1"/>
        <v>0824GOLD</v>
      </c>
      <c r="B293" s="62">
        <f t="shared" ref="B293:D293" si="292">B292</f>
        <v>45518</v>
      </c>
      <c r="C293" s="63" t="str">
        <f t="shared" si="292"/>
        <v>GOLD</v>
      </c>
      <c r="D293" s="63" t="str">
        <f t="shared" si="292"/>
        <v>NY</v>
      </c>
      <c r="E293" s="51">
        <v>3.0</v>
      </c>
      <c r="F293" s="60">
        <f>IFERROR(__xludf.DUMMYFUNCTION("""COMPUTED_VALUE"""),92.0)</f>
        <v>92</v>
      </c>
      <c r="G293" s="60"/>
      <c r="H293" s="60"/>
      <c r="I293" s="60"/>
    </row>
    <row r="294" ht="15.75" customHeight="1">
      <c r="A294" s="55" t="str">
        <f t="shared" si="1"/>
        <v>0824GOLD</v>
      </c>
      <c r="B294" s="62">
        <f t="shared" ref="B294:D294" si="293">B293</f>
        <v>45518</v>
      </c>
      <c r="C294" s="63" t="str">
        <f t="shared" si="293"/>
        <v>GOLD</v>
      </c>
      <c r="D294" s="63" t="str">
        <f t="shared" si="293"/>
        <v>NY</v>
      </c>
      <c r="E294" s="51">
        <v>3.0</v>
      </c>
      <c r="F294" s="60">
        <f>IFERROR(__xludf.DUMMYFUNCTION("""COMPUTED_VALUE"""),93.0)</f>
        <v>93</v>
      </c>
      <c r="G294" s="60"/>
      <c r="H294" s="60"/>
      <c r="I294" s="60"/>
    </row>
    <row r="295" ht="15.75" customHeight="1">
      <c r="A295" s="55" t="str">
        <f t="shared" si="1"/>
        <v>0824GOLD</v>
      </c>
      <c r="B295" s="62">
        <f t="shared" ref="B295:D295" si="294">B294</f>
        <v>45518</v>
      </c>
      <c r="C295" s="63" t="str">
        <f t="shared" si="294"/>
        <v>GOLD</v>
      </c>
      <c r="D295" s="63" t="str">
        <f t="shared" si="294"/>
        <v>NY</v>
      </c>
      <c r="E295" s="51">
        <v>3.0</v>
      </c>
      <c r="F295" s="60">
        <f>IFERROR(__xludf.DUMMYFUNCTION("""COMPUTED_VALUE"""),94.0)</f>
        <v>94</v>
      </c>
      <c r="G295" s="60"/>
      <c r="H295" s="60"/>
      <c r="I295" s="60"/>
    </row>
    <row r="296" ht="15.75" customHeight="1">
      <c r="A296" s="55" t="str">
        <f t="shared" si="1"/>
        <v>0824GOLD</v>
      </c>
      <c r="B296" s="62">
        <f t="shared" ref="B296:D296" si="295">B295</f>
        <v>45518</v>
      </c>
      <c r="C296" s="63" t="str">
        <f t="shared" si="295"/>
        <v>GOLD</v>
      </c>
      <c r="D296" s="63" t="str">
        <f t="shared" si="295"/>
        <v>NY</v>
      </c>
      <c r="E296" s="51">
        <v>3.0</v>
      </c>
      <c r="F296" s="60">
        <f>IFERROR(__xludf.DUMMYFUNCTION("""COMPUTED_VALUE"""),95.0)</f>
        <v>95</v>
      </c>
      <c r="G296" s="60"/>
      <c r="H296" s="60"/>
      <c r="I296" s="60"/>
    </row>
    <row r="297" ht="15.75" customHeight="1">
      <c r="A297" s="55" t="str">
        <f t="shared" si="1"/>
        <v>0824GOLD</v>
      </c>
      <c r="B297" s="62">
        <f t="shared" ref="B297:D297" si="296">B296</f>
        <v>45518</v>
      </c>
      <c r="C297" s="63" t="str">
        <f t="shared" si="296"/>
        <v>GOLD</v>
      </c>
      <c r="D297" s="63" t="str">
        <f t="shared" si="296"/>
        <v>NY</v>
      </c>
      <c r="E297" s="51">
        <v>3.0</v>
      </c>
      <c r="F297" s="60">
        <f>IFERROR(__xludf.DUMMYFUNCTION("""COMPUTED_VALUE"""),96.0)</f>
        <v>96</v>
      </c>
      <c r="G297" s="60"/>
      <c r="H297" s="60"/>
      <c r="I297" s="60"/>
    </row>
    <row r="298" ht="15.75" customHeight="1">
      <c r="A298" s="55" t="str">
        <f t="shared" si="1"/>
        <v>0824GOLD</v>
      </c>
      <c r="B298" s="62">
        <f t="shared" ref="B298:D298" si="297">B297</f>
        <v>45518</v>
      </c>
      <c r="C298" s="63" t="str">
        <f t="shared" si="297"/>
        <v>GOLD</v>
      </c>
      <c r="D298" s="63" t="str">
        <f t="shared" si="297"/>
        <v>NY</v>
      </c>
      <c r="E298" s="51">
        <v>3.0</v>
      </c>
      <c r="F298" s="60">
        <f>IFERROR(__xludf.DUMMYFUNCTION("""COMPUTED_VALUE"""),97.0)</f>
        <v>97</v>
      </c>
      <c r="G298" s="60"/>
      <c r="H298" s="60"/>
      <c r="I298" s="60"/>
    </row>
    <row r="299" ht="15.75" customHeight="1">
      <c r="A299" s="55" t="str">
        <f t="shared" si="1"/>
        <v>0824GOLD</v>
      </c>
      <c r="B299" s="62">
        <f t="shared" ref="B299:D299" si="298">B298</f>
        <v>45518</v>
      </c>
      <c r="C299" s="63" t="str">
        <f t="shared" si="298"/>
        <v>GOLD</v>
      </c>
      <c r="D299" s="63" t="str">
        <f t="shared" si="298"/>
        <v>NY</v>
      </c>
      <c r="E299" s="51">
        <v>3.0</v>
      </c>
      <c r="F299" s="60">
        <f>IFERROR(__xludf.DUMMYFUNCTION("""COMPUTED_VALUE"""),98.0)</f>
        <v>98</v>
      </c>
      <c r="G299" s="60"/>
      <c r="H299" s="60"/>
      <c r="I299" s="60"/>
    </row>
    <row r="300" ht="15.75" customHeight="1">
      <c r="A300" s="55" t="str">
        <f t="shared" si="1"/>
        <v>0824GOLD</v>
      </c>
      <c r="B300" s="62">
        <f t="shared" ref="B300:D300" si="299">B299</f>
        <v>45518</v>
      </c>
      <c r="C300" s="63" t="str">
        <f t="shared" si="299"/>
        <v>GOLD</v>
      </c>
      <c r="D300" s="63" t="str">
        <f t="shared" si="299"/>
        <v>NY</v>
      </c>
      <c r="E300" s="51">
        <v>3.0</v>
      </c>
      <c r="F300" s="60">
        <f>IFERROR(__xludf.DUMMYFUNCTION("""COMPUTED_VALUE"""),99.0)</f>
        <v>99</v>
      </c>
      <c r="G300" s="60"/>
      <c r="H300" s="60"/>
      <c r="I300" s="60"/>
    </row>
    <row r="301" ht="15.75" customHeight="1">
      <c r="A301" s="55" t="str">
        <f t="shared" si="1"/>
        <v>0824GOLD</v>
      </c>
      <c r="B301" s="62">
        <f t="shared" ref="B301:D301" si="300">B300</f>
        <v>45518</v>
      </c>
      <c r="C301" s="63" t="str">
        <f t="shared" si="300"/>
        <v>GOLD</v>
      </c>
      <c r="D301" s="63" t="str">
        <f t="shared" si="300"/>
        <v>NY</v>
      </c>
      <c r="E301" s="51">
        <v>3.0</v>
      </c>
      <c r="F301" s="60">
        <f>IFERROR(__xludf.DUMMYFUNCTION("""COMPUTED_VALUE"""),100.0)</f>
        <v>100</v>
      </c>
      <c r="G301" s="60"/>
      <c r="H301" s="60"/>
      <c r="I301" s="60"/>
    </row>
    <row r="302" ht="15.75" customHeight="1">
      <c r="A302" s="55" t="str">
        <f t="shared" si="1"/>
        <v>0824GOLD</v>
      </c>
      <c r="B302" s="62">
        <f t="shared" ref="B302:D302" si="301">B301</f>
        <v>45518</v>
      </c>
      <c r="C302" s="63" t="str">
        <f t="shared" si="301"/>
        <v>GOLD</v>
      </c>
      <c r="D302" s="63" t="str">
        <f t="shared" si="301"/>
        <v>NY</v>
      </c>
      <c r="E302" s="51">
        <v>4.0</v>
      </c>
      <c r="F302" s="60">
        <f>IFERROR(__xludf.DUMMYFUNCTION("""COMPUTED_VALUE"""),1.0)</f>
        <v>1</v>
      </c>
      <c r="G302" s="60">
        <f>IFERROR(__xludf.DUMMYFUNCTION("""COMPUTED_VALUE"""),98.91)</f>
        <v>98.91</v>
      </c>
      <c r="H302" s="60"/>
      <c r="I302" s="60"/>
    </row>
    <row r="303" ht="15.75" customHeight="1">
      <c r="A303" s="55" t="str">
        <f t="shared" si="1"/>
        <v>0824GOLD</v>
      </c>
      <c r="B303" s="62">
        <f t="shared" ref="B303:D303" si="302">B302</f>
        <v>45518</v>
      </c>
      <c r="C303" s="63" t="str">
        <f t="shared" si="302"/>
        <v>GOLD</v>
      </c>
      <c r="D303" s="63" t="str">
        <f t="shared" si="302"/>
        <v>NY</v>
      </c>
      <c r="E303" s="51">
        <v>4.0</v>
      </c>
      <c r="F303" s="60">
        <f>IFERROR(__xludf.DUMMYFUNCTION("""COMPUTED_VALUE"""),2.0)</f>
        <v>2</v>
      </c>
      <c r="G303" s="60">
        <f>IFERROR(__xludf.DUMMYFUNCTION("""COMPUTED_VALUE"""),111.4)</f>
        <v>111.4</v>
      </c>
      <c r="H303" s="60"/>
      <c r="I303" s="60"/>
    </row>
    <row r="304" ht="15.75" customHeight="1">
      <c r="A304" s="55" t="str">
        <f t="shared" si="1"/>
        <v>0824GOLD</v>
      </c>
      <c r="B304" s="62">
        <f t="shared" ref="B304:D304" si="303">B303</f>
        <v>45518</v>
      </c>
      <c r="C304" s="63" t="str">
        <f t="shared" si="303"/>
        <v>GOLD</v>
      </c>
      <c r="D304" s="63" t="str">
        <f t="shared" si="303"/>
        <v>NY</v>
      </c>
      <c r="E304" s="51">
        <v>4.0</v>
      </c>
      <c r="F304" s="60">
        <f>IFERROR(__xludf.DUMMYFUNCTION("""COMPUTED_VALUE"""),3.0)</f>
        <v>3</v>
      </c>
      <c r="G304" s="60"/>
      <c r="H304" s="60">
        <f>IFERROR(__xludf.DUMMYFUNCTION("""COMPUTED_VALUE"""),42.06)</f>
        <v>42.06</v>
      </c>
      <c r="I304" s="60"/>
    </row>
    <row r="305" ht="15.75" customHeight="1">
      <c r="A305" s="55" t="str">
        <f t="shared" si="1"/>
        <v>0824GOLD</v>
      </c>
      <c r="B305" s="62">
        <f t="shared" ref="B305:D305" si="304">B304</f>
        <v>45518</v>
      </c>
      <c r="C305" s="63" t="str">
        <f t="shared" si="304"/>
        <v>GOLD</v>
      </c>
      <c r="D305" s="63" t="str">
        <f t="shared" si="304"/>
        <v>NY</v>
      </c>
      <c r="E305" s="51">
        <v>4.0</v>
      </c>
      <c r="F305" s="60">
        <f>IFERROR(__xludf.DUMMYFUNCTION("""COMPUTED_VALUE"""),4.0)</f>
        <v>4</v>
      </c>
      <c r="G305" s="60">
        <f>IFERROR(__xludf.DUMMYFUNCTION("""COMPUTED_VALUE"""),129.68)</f>
        <v>129.68</v>
      </c>
      <c r="H305" s="60"/>
      <c r="I305" s="60"/>
    </row>
    <row r="306" ht="15.75" customHeight="1">
      <c r="A306" s="55" t="str">
        <f t="shared" si="1"/>
        <v>0824GOLD</v>
      </c>
      <c r="B306" s="62">
        <f t="shared" ref="B306:D306" si="305">B305</f>
        <v>45518</v>
      </c>
      <c r="C306" s="63" t="str">
        <f t="shared" si="305"/>
        <v>GOLD</v>
      </c>
      <c r="D306" s="63" t="str">
        <f t="shared" si="305"/>
        <v>NY</v>
      </c>
      <c r="E306" s="51">
        <v>4.0</v>
      </c>
      <c r="F306" s="60">
        <f>IFERROR(__xludf.DUMMYFUNCTION("""COMPUTED_VALUE"""),5.0)</f>
        <v>5</v>
      </c>
      <c r="G306" s="60">
        <f>IFERROR(__xludf.DUMMYFUNCTION("""COMPUTED_VALUE"""),63.08)</f>
        <v>63.08</v>
      </c>
      <c r="H306" s="60"/>
      <c r="I306" s="60"/>
    </row>
    <row r="307" ht="15.75" customHeight="1">
      <c r="A307" s="55" t="str">
        <f t="shared" si="1"/>
        <v>0824GOLD</v>
      </c>
      <c r="B307" s="62">
        <f t="shared" ref="B307:D307" si="306">B306</f>
        <v>45518</v>
      </c>
      <c r="C307" s="63" t="str">
        <f t="shared" si="306"/>
        <v>GOLD</v>
      </c>
      <c r="D307" s="63" t="str">
        <f t="shared" si="306"/>
        <v>NY</v>
      </c>
      <c r="E307" s="51">
        <v>4.0</v>
      </c>
      <c r="F307" s="60">
        <f>IFERROR(__xludf.DUMMYFUNCTION("""COMPUTED_VALUE"""),6.0)</f>
        <v>6</v>
      </c>
      <c r="G307" s="60">
        <f>IFERROR(__xludf.DUMMYFUNCTION("""COMPUTED_VALUE"""),88.63)</f>
        <v>88.63</v>
      </c>
      <c r="H307" s="60"/>
      <c r="I307" s="60"/>
    </row>
    <row r="308" ht="15.75" customHeight="1">
      <c r="A308" s="55" t="str">
        <f t="shared" si="1"/>
        <v>0824GOLD</v>
      </c>
      <c r="B308" s="62">
        <f t="shared" ref="B308:D308" si="307">B307</f>
        <v>45518</v>
      </c>
      <c r="C308" s="63" t="str">
        <f t="shared" si="307"/>
        <v>GOLD</v>
      </c>
      <c r="D308" s="63" t="str">
        <f t="shared" si="307"/>
        <v>NY</v>
      </c>
      <c r="E308" s="51">
        <v>4.0</v>
      </c>
      <c r="F308" s="60">
        <f>IFERROR(__xludf.DUMMYFUNCTION("""COMPUTED_VALUE"""),7.0)</f>
        <v>7</v>
      </c>
      <c r="G308" s="60">
        <f>IFERROR(__xludf.DUMMYFUNCTION("""COMPUTED_VALUE"""),74.06)</f>
        <v>74.06</v>
      </c>
      <c r="H308" s="60"/>
      <c r="I308" s="60"/>
    </row>
    <row r="309" ht="15.75" customHeight="1">
      <c r="A309" s="55" t="str">
        <f t="shared" si="1"/>
        <v>0824GOLD</v>
      </c>
      <c r="B309" s="62">
        <f t="shared" ref="B309:D309" si="308">B308</f>
        <v>45518</v>
      </c>
      <c r="C309" s="63" t="str">
        <f t="shared" si="308"/>
        <v>GOLD</v>
      </c>
      <c r="D309" s="63" t="str">
        <f t="shared" si="308"/>
        <v>NY</v>
      </c>
      <c r="E309" s="51">
        <v>4.0</v>
      </c>
      <c r="F309" s="60">
        <f>IFERROR(__xludf.DUMMYFUNCTION("""COMPUTED_VALUE"""),8.0)</f>
        <v>8</v>
      </c>
      <c r="G309" s="60">
        <f>IFERROR(__xludf.DUMMYFUNCTION("""COMPUTED_VALUE"""),91.28)</f>
        <v>91.28</v>
      </c>
      <c r="H309" s="60"/>
      <c r="I309" s="60"/>
    </row>
    <row r="310" ht="15.75" customHeight="1">
      <c r="A310" s="55" t="str">
        <f t="shared" si="1"/>
        <v>0824GOLD</v>
      </c>
      <c r="B310" s="62">
        <f t="shared" ref="B310:D310" si="309">B309</f>
        <v>45518</v>
      </c>
      <c r="C310" s="63" t="str">
        <f t="shared" si="309"/>
        <v>GOLD</v>
      </c>
      <c r="D310" s="63" t="str">
        <f t="shared" si="309"/>
        <v>NY</v>
      </c>
      <c r="E310" s="51">
        <v>4.0</v>
      </c>
      <c r="F310" s="60">
        <f>IFERROR(__xludf.DUMMYFUNCTION("""COMPUTED_VALUE"""),9.0)</f>
        <v>9</v>
      </c>
      <c r="G310" s="60"/>
      <c r="H310" s="60">
        <f>IFERROR(__xludf.DUMMYFUNCTION("""COMPUTED_VALUE"""),96.28)</f>
        <v>96.28</v>
      </c>
      <c r="I310" s="60"/>
    </row>
    <row r="311" ht="15.75" customHeight="1">
      <c r="A311" s="55" t="str">
        <f t="shared" si="1"/>
        <v>0824GOLD</v>
      </c>
      <c r="B311" s="62">
        <f t="shared" ref="B311:D311" si="310">B310</f>
        <v>45518</v>
      </c>
      <c r="C311" s="63" t="str">
        <f t="shared" si="310"/>
        <v>GOLD</v>
      </c>
      <c r="D311" s="63" t="str">
        <f t="shared" si="310"/>
        <v>NY</v>
      </c>
      <c r="E311" s="51">
        <v>4.0</v>
      </c>
      <c r="F311" s="60">
        <f>IFERROR(__xludf.DUMMYFUNCTION("""COMPUTED_VALUE"""),10.0)</f>
        <v>10</v>
      </c>
      <c r="G311" s="60"/>
      <c r="H311" s="60">
        <f>IFERROR(__xludf.DUMMYFUNCTION("""COMPUTED_VALUE"""),40.27)</f>
        <v>40.27</v>
      </c>
      <c r="I311" s="60"/>
    </row>
    <row r="312" ht="15.75" customHeight="1">
      <c r="A312" s="55" t="str">
        <f t="shared" si="1"/>
        <v>0824GOLD</v>
      </c>
      <c r="B312" s="62">
        <f t="shared" ref="B312:D312" si="311">B311</f>
        <v>45518</v>
      </c>
      <c r="C312" s="63" t="str">
        <f t="shared" si="311"/>
        <v>GOLD</v>
      </c>
      <c r="D312" s="63" t="str">
        <f t="shared" si="311"/>
        <v>NY</v>
      </c>
      <c r="E312" s="51">
        <v>4.0</v>
      </c>
      <c r="F312" s="60">
        <f>IFERROR(__xludf.DUMMYFUNCTION("""COMPUTED_VALUE"""),11.0)</f>
        <v>11</v>
      </c>
      <c r="G312" s="60"/>
      <c r="H312" s="60">
        <f>IFERROR(__xludf.DUMMYFUNCTION("""COMPUTED_VALUE"""),52.22)</f>
        <v>52.22</v>
      </c>
      <c r="I312" s="60"/>
    </row>
    <row r="313" ht="15.75" customHeight="1">
      <c r="A313" s="55" t="str">
        <f t="shared" si="1"/>
        <v>0824GOLD</v>
      </c>
      <c r="B313" s="62">
        <f t="shared" ref="B313:D313" si="312">B312</f>
        <v>45518</v>
      </c>
      <c r="C313" s="63" t="str">
        <f t="shared" si="312"/>
        <v>GOLD</v>
      </c>
      <c r="D313" s="63" t="str">
        <f t="shared" si="312"/>
        <v>NY</v>
      </c>
      <c r="E313" s="51">
        <v>4.0</v>
      </c>
      <c r="F313" s="60">
        <f>IFERROR(__xludf.DUMMYFUNCTION("""COMPUTED_VALUE"""),12.0)</f>
        <v>12</v>
      </c>
      <c r="G313" s="60">
        <f>IFERROR(__xludf.DUMMYFUNCTION("""COMPUTED_VALUE"""),95.89)</f>
        <v>95.89</v>
      </c>
      <c r="H313" s="60"/>
      <c r="I313" s="60"/>
    </row>
    <row r="314" ht="15.75" customHeight="1">
      <c r="A314" s="55" t="str">
        <f t="shared" si="1"/>
        <v>0824GOLD</v>
      </c>
      <c r="B314" s="62">
        <f t="shared" ref="B314:D314" si="313">B313</f>
        <v>45518</v>
      </c>
      <c r="C314" s="63" t="str">
        <f t="shared" si="313"/>
        <v>GOLD</v>
      </c>
      <c r="D314" s="63" t="str">
        <f t="shared" si="313"/>
        <v>NY</v>
      </c>
      <c r="E314" s="51">
        <v>4.0</v>
      </c>
      <c r="F314" s="60">
        <f>IFERROR(__xludf.DUMMYFUNCTION("""COMPUTED_VALUE"""),13.0)</f>
        <v>13</v>
      </c>
      <c r="G314" s="60">
        <f>IFERROR(__xludf.DUMMYFUNCTION("""COMPUTED_VALUE"""),59.53)</f>
        <v>59.53</v>
      </c>
      <c r="H314" s="60"/>
      <c r="I314" s="60"/>
    </row>
    <row r="315" ht="15.75" customHeight="1">
      <c r="A315" s="55" t="str">
        <f t="shared" si="1"/>
        <v>0824GOLD</v>
      </c>
      <c r="B315" s="62">
        <f t="shared" ref="B315:D315" si="314">B314</f>
        <v>45518</v>
      </c>
      <c r="C315" s="63" t="str">
        <f t="shared" si="314"/>
        <v>GOLD</v>
      </c>
      <c r="D315" s="63" t="str">
        <f t="shared" si="314"/>
        <v>NY</v>
      </c>
      <c r="E315" s="51">
        <v>4.0</v>
      </c>
      <c r="F315" s="60">
        <f>IFERROR(__xludf.DUMMYFUNCTION("""COMPUTED_VALUE"""),14.0)</f>
        <v>14</v>
      </c>
      <c r="G315" s="60">
        <f>IFERROR(__xludf.DUMMYFUNCTION("""COMPUTED_VALUE"""),118.94)</f>
        <v>118.94</v>
      </c>
      <c r="H315" s="60"/>
      <c r="I315" s="60"/>
    </row>
    <row r="316" ht="15.75" customHeight="1">
      <c r="A316" s="55" t="str">
        <f t="shared" si="1"/>
        <v>0824GOLD</v>
      </c>
      <c r="B316" s="62">
        <f t="shared" ref="B316:D316" si="315">B315</f>
        <v>45518</v>
      </c>
      <c r="C316" s="63" t="str">
        <f t="shared" si="315"/>
        <v>GOLD</v>
      </c>
      <c r="D316" s="63" t="str">
        <f t="shared" si="315"/>
        <v>NY</v>
      </c>
      <c r="E316" s="51">
        <v>4.0</v>
      </c>
      <c r="F316" s="60">
        <f>IFERROR(__xludf.DUMMYFUNCTION("""COMPUTED_VALUE"""),15.0)</f>
        <v>15</v>
      </c>
      <c r="G316" s="60"/>
      <c r="H316" s="60">
        <f>IFERROR(__xludf.DUMMYFUNCTION("""COMPUTED_VALUE"""),76.13)</f>
        <v>76.13</v>
      </c>
      <c r="I316" s="60"/>
    </row>
    <row r="317" ht="15.75" customHeight="1">
      <c r="A317" s="55" t="str">
        <f t="shared" si="1"/>
        <v>0824GOLD</v>
      </c>
      <c r="B317" s="62">
        <f t="shared" ref="B317:D317" si="316">B316</f>
        <v>45518</v>
      </c>
      <c r="C317" s="63" t="str">
        <f t="shared" si="316"/>
        <v>GOLD</v>
      </c>
      <c r="D317" s="63" t="str">
        <f t="shared" si="316"/>
        <v>NY</v>
      </c>
      <c r="E317" s="51">
        <v>4.0</v>
      </c>
      <c r="F317" s="60">
        <f>IFERROR(__xludf.DUMMYFUNCTION("""COMPUTED_VALUE"""),16.0)</f>
        <v>16</v>
      </c>
      <c r="G317" s="60"/>
      <c r="H317" s="60">
        <f>IFERROR(__xludf.DUMMYFUNCTION("""COMPUTED_VALUE"""),45.73)</f>
        <v>45.73</v>
      </c>
      <c r="I317" s="60"/>
    </row>
    <row r="318" ht="15.75" customHeight="1">
      <c r="A318" s="55" t="str">
        <f t="shared" si="1"/>
        <v>0824GOLD</v>
      </c>
      <c r="B318" s="62">
        <f t="shared" ref="B318:D318" si="317">B317</f>
        <v>45518</v>
      </c>
      <c r="C318" s="63" t="str">
        <f t="shared" si="317"/>
        <v>GOLD</v>
      </c>
      <c r="D318" s="63" t="str">
        <f t="shared" si="317"/>
        <v>NY</v>
      </c>
      <c r="E318" s="51">
        <v>4.0</v>
      </c>
      <c r="F318" s="60">
        <f>IFERROR(__xludf.DUMMYFUNCTION("""COMPUTED_VALUE"""),17.0)</f>
        <v>17</v>
      </c>
      <c r="G318" s="60">
        <f>IFERROR(__xludf.DUMMYFUNCTION("""COMPUTED_VALUE"""),123.14)</f>
        <v>123.14</v>
      </c>
      <c r="H318" s="60"/>
      <c r="I318" s="60"/>
    </row>
    <row r="319" ht="15.75" customHeight="1">
      <c r="A319" s="55" t="str">
        <f t="shared" si="1"/>
        <v>0824GOLD</v>
      </c>
      <c r="B319" s="62">
        <f t="shared" ref="B319:D319" si="318">B318</f>
        <v>45518</v>
      </c>
      <c r="C319" s="63" t="str">
        <f t="shared" si="318"/>
        <v>GOLD</v>
      </c>
      <c r="D319" s="63" t="str">
        <f t="shared" si="318"/>
        <v>NY</v>
      </c>
      <c r="E319" s="51">
        <v>4.0</v>
      </c>
      <c r="F319" s="60">
        <f>IFERROR(__xludf.DUMMYFUNCTION("""COMPUTED_VALUE"""),18.0)</f>
        <v>18</v>
      </c>
      <c r="G319" s="60">
        <f>IFERROR(__xludf.DUMMYFUNCTION("""COMPUTED_VALUE"""),125.85)</f>
        <v>125.85</v>
      </c>
      <c r="H319" s="60"/>
      <c r="I319" s="60"/>
    </row>
    <row r="320" ht="15.75" customHeight="1">
      <c r="A320" s="55" t="str">
        <f t="shared" si="1"/>
        <v>0824GOLD</v>
      </c>
      <c r="B320" s="62">
        <f t="shared" ref="B320:D320" si="319">B319</f>
        <v>45518</v>
      </c>
      <c r="C320" s="63" t="str">
        <f t="shared" si="319"/>
        <v>GOLD</v>
      </c>
      <c r="D320" s="63" t="str">
        <f t="shared" si="319"/>
        <v>NY</v>
      </c>
      <c r="E320" s="51">
        <v>4.0</v>
      </c>
      <c r="F320" s="60">
        <f>IFERROR(__xludf.DUMMYFUNCTION("""COMPUTED_VALUE"""),19.0)</f>
        <v>19</v>
      </c>
      <c r="G320" s="60"/>
      <c r="H320" s="60">
        <f>IFERROR(__xludf.DUMMYFUNCTION("""COMPUTED_VALUE"""),75.69)</f>
        <v>75.69</v>
      </c>
      <c r="I320" s="60"/>
    </row>
    <row r="321" ht="15.75" customHeight="1">
      <c r="A321" s="55" t="str">
        <f t="shared" si="1"/>
        <v>0824GOLD</v>
      </c>
      <c r="B321" s="62">
        <f t="shared" ref="B321:D321" si="320">B320</f>
        <v>45518</v>
      </c>
      <c r="C321" s="63" t="str">
        <f t="shared" si="320"/>
        <v>GOLD</v>
      </c>
      <c r="D321" s="63" t="str">
        <f t="shared" si="320"/>
        <v>NY</v>
      </c>
      <c r="E321" s="51">
        <v>4.0</v>
      </c>
      <c r="F321" s="60">
        <f>IFERROR(__xludf.DUMMYFUNCTION("""COMPUTED_VALUE"""),20.0)</f>
        <v>20</v>
      </c>
      <c r="G321" s="60"/>
      <c r="H321" s="60">
        <f>IFERROR(__xludf.DUMMYFUNCTION("""COMPUTED_VALUE"""),37.97)</f>
        <v>37.97</v>
      </c>
      <c r="I321" s="60"/>
    </row>
    <row r="322" ht="15.75" customHeight="1">
      <c r="A322" s="55" t="str">
        <f t="shared" si="1"/>
        <v>0824GOLD</v>
      </c>
      <c r="B322" s="62">
        <f t="shared" ref="B322:D322" si="321">B321</f>
        <v>45518</v>
      </c>
      <c r="C322" s="63" t="str">
        <f t="shared" si="321"/>
        <v>GOLD</v>
      </c>
      <c r="D322" s="63" t="str">
        <f t="shared" si="321"/>
        <v>NY</v>
      </c>
      <c r="E322" s="51">
        <v>4.0</v>
      </c>
      <c r="F322" s="60">
        <f>IFERROR(__xludf.DUMMYFUNCTION("""COMPUTED_VALUE"""),21.0)</f>
        <v>21</v>
      </c>
      <c r="G322" s="60"/>
      <c r="H322" s="60">
        <f>IFERROR(__xludf.DUMMYFUNCTION("""COMPUTED_VALUE"""),43.2)</f>
        <v>43.2</v>
      </c>
      <c r="I322" s="60"/>
    </row>
    <row r="323" ht="15.75" customHeight="1">
      <c r="A323" s="55" t="str">
        <f t="shared" si="1"/>
        <v>0824GOLD</v>
      </c>
      <c r="B323" s="62">
        <f t="shared" ref="B323:D323" si="322">B322</f>
        <v>45518</v>
      </c>
      <c r="C323" s="63" t="str">
        <f t="shared" si="322"/>
        <v>GOLD</v>
      </c>
      <c r="D323" s="63" t="str">
        <f t="shared" si="322"/>
        <v>NY</v>
      </c>
      <c r="E323" s="51">
        <v>4.0</v>
      </c>
      <c r="F323" s="60">
        <f>IFERROR(__xludf.DUMMYFUNCTION("""COMPUTED_VALUE"""),22.0)</f>
        <v>22</v>
      </c>
      <c r="G323" s="60">
        <f>IFERROR(__xludf.DUMMYFUNCTION("""COMPUTED_VALUE"""),120.45)</f>
        <v>120.45</v>
      </c>
      <c r="H323" s="60"/>
      <c r="I323" s="60"/>
    </row>
    <row r="324" ht="15.75" customHeight="1">
      <c r="A324" s="55" t="str">
        <f t="shared" si="1"/>
        <v>0824GOLD</v>
      </c>
      <c r="B324" s="62">
        <f t="shared" ref="B324:D324" si="323">B323</f>
        <v>45518</v>
      </c>
      <c r="C324" s="63" t="str">
        <f t="shared" si="323"/>
        <v>GOLD</v>
      </c>
      <c r="D324" s="63" t="str">
        <f t="shared" si="323"/>
        <v>NY</v>
      </c>
      <c r="E324" s="51">
        <v>4.0</v>
      </c>
      <c r="F324" s="60">
        <f>IFERROR(__xludf.DUMMYFUNCTION("""COMPUTED_VALUE"""),23.0)</f>
        <v>23</v>
      </c>
      <c r="G324" s="60"/>
      <c r="H324" s="60">
        <f>IFERROR(__xludf.DUMMYFUNCTION("""COMPUTED_VALUE"""),71.8)</f>
        <v>71.8</v>
      </c>
      <c r="I324" s="60"/>
    </row>
    <row r="325" ht="15.75" customHeight="1">
      <c r="A325" s="55" t="str">
        <f t="shared" si="1"/>
        <v>0824GOLD</v>
      </c>
      <c r="B325" s="62">
        <f t="shared" ref="B325:D325" si="324">B324</f>
        <v>45518</v>
      </c>
      <c r="C325" s="63" t="str">
        <f t="shared" si="324"/>
        <v>GOLD</v>
      </c>
      <c r="D325" s="63" t="str">
        <f t="shared" si="324"/>
        <v>NY</v>
      </c>
      <c r="E325" s="51">
        <v>4.0</v>
      </c>
      <c r="F325" s="60">
        <f>IFERROR(__xludf.DUMMYFUNCTION("""COMPUTED_VALUE"""),24.0)</f>
        <v>24</v>
      </c>
      <c r="G325" s="60"/>
      <c r="H325" s="60">
        <f>IFERROR(__xludf.DUMMYFUNCTION("""COMPUTED_VALUE"""),53.54)</f>
        <v>53.54</v>
      </c>
      <c r="I325" s="60"/>
    </row>
    <row r="326" ht="15.75" customHeight="1">
      <c r="A326" s="55" t="str">
        <f t="shared" si="1"/>
        <v>0824GOLD</v>
      </c>
      <c r="B326" s="62">
        <f t="shared" ref="B326:D326" si="325">B325</f>
        <v>45518</v>
      </c>
      <c r="C326" s="63" t="str">
        <f t="shared" si="325"/>
        <v>GOLD</v>
      </c>
      <c r="D326" s="63" t="str">
        <f t="shared" si="325"/>
        <v>NY</v>
      </c>
      <c r="E326" s="51">
        <v>4.0</v>
      </c>
      <c r="F326" s="60">
        <f>IFERROR(__xludf.DUMMYFUNCTION("""COMPUTED_VALUE"""),25.0)</f>
        <v>25</v>
      </c>
      <c r="G326" s="60">
        <f>IFERROR(__xludf.DUMMYFUNCTION("""COMPUTED_VALUE"""),77.47)</f>
        <v>77.47</v>
      </c>
      <c r="H326" s="60"/>
      <c r="I326" s="60"/>
    </row>
    <row r="327" ht="15.75" customHeight="1">
      <c r="A327" s="55" t="str">
        <f t="shared" si="1"/>
        <v>0824GOLD</v>
      </c>
      <c r="B327" s="62">
        <f t="shared" ref="B327:D327" si="326">B326</f>
        <v>45518</v>
      </c>
      <c r="C327" s="63" t="str">
        <f t="shared" si="326"/>
        <v>GOLD</v>
      </c>
      <c r="D327" s="63" t="str">
        <f t="shared" si="326"/>
        <v>NY</v>
      </c>
      <c r="E327" s="51">
        <v>4.0</v>
      </c>
      <c r="F327" s="60">
        <f>IFERROR(__xludf.DUMMYFUNCTION("""COMPUTED_VALUE"""),26.0)</f>
        <v>26</v>
      </c>
      <c r="G327" s="60">
        <f>IFERROR(__xludf.DUMMYFUNCTION("""COMPUTED_VALUE"""),136.48)</f>
        <v>136.48</v>
      </c>
      <c r="H327" s="60"/>
      <c r="I327" s="60"/>
    </row>
    <row r="328" ht="15.75" customHeight="1">
      <c r="A328" s="55" t="str">
        <f t="shared" si="1"/>
        <v>0824GOLD</v>
      </c>
      <c r="B328" s="62">
        <f t="shared" ref="B328:D328" si="327">B327</f>
        <v>45518</v>
      </c>
      <c r="C328" s="63" t="str">
        <f t="shared" si="327"/>
        <v>GOLD</v>
      </c>
      <c r="D328" s="63" t="str">
        <f t="shared" si="327"/>
        <v>NY</v>
      </c>
      <c r="E328" s="51">
        <v>4.0</v>
      </c>
      <c r="F328" s="60">
        <f>IFERROR(__xludf.DUMMYFUNCTION("""COMPUTED_VALUE"""),27.0)</f>
        <v>27</v>
      </c>
      <c r="G328" s="60">
        <f>IFERROR(__xludf.DUMMYFUNCTION("""COMPUTED_VALUE"""),100.3)</f>
        <v>100.3</v>
      </c>
      <c r="H328" s="60"/>
      <c r="I328" s="60"/>
    </row>
    <row r="329" ht="15.75" customHeight="1">
      <c r="A329" s="55" t="str">
        <f t="shared" si="1"/>
        <v>0824GOLD</v>
      </c>
      <c r="B329" s="62">
        <f t="shared" ref="B329:D329" si="328">B328</f>
        <v>45518</v>
      </c>
      <c r="C329" s="63" t="str">
        <f t="shared" si="328"/>
        <v>GOLD</v>
      </c>
      <c r="D329" s="63" t="str">
        <f t="shared" si="328"/>
        <v>NY</v>
      </c>
      <c r="E329" s="51">
        <v>4.0</v>
      </c>
      <c r="F329" s="60">
        <f>IFERROR(__xludf.DUMMYFUNCTION("""COMPUTED_VALUE"""),28.0)</f>
        <v>28</v>
      </c>
      <c r="G329" s="60">
        <f>IFERROR(__xludf.DUMMYFUNCTION("""COMPUTED_VALUE"""),89.16)</f>
        <v>89.16</v>
      </c>
      <c r="H329" s="60"/>
      <c r="I329" s="60"/>
    </row>
    <row r="330" ht="15.75" customHeight="1">
      <c r="A330" s="55" t="str">
        <f t="shared" si="1"/>
        <v>0824GOLD</v>
      </c>
      <c r="B330" s="62">
        <f t="shared" ref="B330:D330" si="329">B329</f>
        <v>45518</v>
      </c>
      <c r="C330" s="63" t="str">
        <f t="shared" si="329"/>
        <v>GOLD</v>
      </c>
      <c r="D330" s="63" t="str">
        <f t="shared" si="329"/>
        <v>NY</v>
      </c>
      <c r="E330" s="51">
        <v>4.0</v>
      </c>
      <c r="F330" s="60">
        <f>IFERROR(__xludf.DUMMYFUNCTION("""COMPUTED_VALUE"""),29.0)</f>
        <v>29</v>
      </c>
      <c r="G330" s="60">
        <f>IFERROR(__xludf.DUMMYFUNCTION("""COMPUTED_VALUE"""),35.46)</f>
        <v>35.46</v>
      </c>
      <c r="H330" s="60"/>
      <c r="I330" s="60"/>
    </row>
    <row r="331" ht="15.75" customHeight="1">
      <c r="A331" s="55" t="str">
        <f t="shared" si="1"/>
        <v>0824GOLD</v>
      </c>
      <c r="B331" s="62">
        <f t="shared" ref="B331:D331" si="330">B330</f>
        <v>45518</v>
      </c>
      <c r="C331" s="63" t="str">
        <f t="shared" si="330"/>
        <v>GOLD</v>
      </c>
      <c r="D331" s="63" t="str">
        <f t="shared" si="330"/>
        <v>NY</v>
      </c>
      <c r="E331" s="51">
        <v>4.0</v>
      </c>
      <c r="F331" s="60">
        <f>IFERROR(__xludf.DUMMYFUNCTION("""COMPUTED_VALUE"""),30.0)</f>
        <v>30</v>
      </c>
      <c r="G331" s="60"/>
      <c r="H331" s="60">
        <f>IFERROR(__xludf.DUMMYFUNCTION("""COMPUTED_VALUE"""),46.61)</f>
        <v>46.61</v>
      </c>
      <c r="I331" s="60"/>
    </row>
    <row r="332" ht="15.75" customHeight="1">
      <c r="A332" s="55" t="str">
        <f t="shared" si="1"/>
        <v>0824GOLD</v>
      </c>
      <c r="B332" s="62">
        <f t="shared" ref="B332:D332" si="331">B331</f>
        <v>45518</v>
      </c>
      <c r="C332" s="63" t="str">
        <f t="shared" si="331"/>
        <v>GOLD</v>
      </c>
      <c r="D332" s="63" t="str">
        <f t="shared" si="331"/>
        <v>NY</v>
      </c>
      <c r="E332" s="51">
        <v>4.0</v>
      </c>
      <c r="F332" s="60">
        <f>IFERROR(__xludf.DUMMYFUNCTION("""COMPUTED_VALUE"""),31.0)</f>
        <v>31</v>
      </c>
      <c r="G332" s="60"/>
      <c r="H332" s="60">
        <f>IFERROR(__xludf.DUMMYFUNCTION("""COMPUTED_VALUE"""),88.36)</f>
        <v>88.36</v>
      </c>
      <c r="I332" s="60"/>
    </row>
    <row r="333" ht="15.75" customHeight="1">
      <c r="A333" s="55" t="str">
        <f t="shared" si="1"/>
        <v>0824GOLD</v>
      </c>
      <c r="B333" s="62">
        <f t="shared" ref="B333:D333" si="332">B332</f>
        <v>45518</v>
      </c>
      <c r="C333" s="63" t="str">
        <f t="shared" si="332"/>
        <v>GOLD</v>
      </c>
      <c r="D333" s="63" t="str">
        <f t="shared" si="332"/>
        <v>NY</v>
      </c>
      <c r="E333" s="51">
        <v>4.0</v>
      </c>
      <c r="F333" s="60">
        <f>IFERROR(__xludf.DUMMYFUNCTION("""COMPUTED_VALUE"""),32.0)</f>
        <v>32</v>
      </c>
      <c r="G333" s="60"/>
      <c r="H333" s="60">
        <f>IFERROR(__xludf.DUMMYFUNCTION("""COMPUTED_VALUE"""),61.06)</f>
        <v>61.06</v>
      </c>
      <c r="I333" s="60"/>
    </row>
    <row r="334" ht="15.75" customHeight="1">
      <c r="A334" s="55" t="str">
        <f t="shared" si="1"/>
        <v>0824GOLD</v>
      </c>
      <c r="B334" s="62">
        <f t="shared" ref="B334:D334" si="333">B333</f>
        <v>45518</v>
      </c>
      <c r="C334" s="63" t="str">
        <f t="shared" si="333"/>
        <v>GOLD</v>
      </c>
      <c r="D334" s="63" t="str">
        <f t="shared" si="333"/>
        <v>NY</v>
      </c>
      <c r="E334" s="51">
        <v>4.0</v>
      </c>
      <c r="F334" s="60">
        <f>IFERROR(__xludf.DUMMYFUNCTION("""COMPUTED_VALUE"""),33.0)</f>
        <v>33</v>
      </c>
      <c r="G334" s="60"/>
      <c r="H334" s="60">
        <f>IFERROR(__xludf.DUMMYFUNCTION("""COMPUTED_VALUE"""),63.45)</f>
        <v>63.45</v>
      </c>
      <c r="I334" s="60"/>
    </row>
    <row r="335" ht="15.75" customHeight="1">
      <c r="A335" s="55" t="str">
        <f t="shared" si="1"/>
        <v>0824GOLD</v>
      </c>
      <c r="B335" s="62">
        <f t="shared" ref="B335:D335" si="334">B334</f>
        <v>45518</v>
      </c>
      <c r="C335" s="63" t="str">
        <f t="shared" si="334"/>
        <v>GOLD</v>
      </c>
      <c r="D335" s="63" t="str">
        <f t="shared" si="334"/>
        <v>NY</v>
      </c>
      <c r="E335" s="51">
        <v>4.0</v>
      </c>
      <c r="F335" s="60">
        <f>IFERROR(__xludf.DUMMYFUNCTION("""COMPUTED_VALUE"""),34.0)</f>
        <v>34</v>
      </c>
      <c r="G335" s="60">
        <f>IFERROR(__xludf.DUMMYFUNCTION("""COMPUTED_VALUE"""),81.34)</f>
        <v>81.34</v>
      </c>
      <c r="H335" s="60"/>
      <c r="I335" s="60"/>
    </row>
    <row r="336" ht="15.75" customHeight="1">
      <c r="A336" s="55" t="str">
        <f t="shared" si="1"/>
        <v>0824GOLD</v>
      </c>
      <c r="B336" s="62">
        <f t="shared" ref="B336:D336" si="335">B335</f>
        <v>45518</v>
      </c>
      <c r="C336" s="63" t="str">
        <f t="shared" si="335"/>
        <v>GOLD</v>
      </c>
      <c r="D336" s="63" t="str">
        <f t="shared" si="335"/>
        <v>NY</v>
      </c>
      <c r="E336" s="51">
        <v>4.0</v>
      </c>
      <c r="F336" s="60">
        <f>IFERROR(__xludf.DUMMYFUNCTION("""COMPUTED_VALUE"""),35.0)</f>
        <v>35</v>
      </c>
      <c r="G336" s="60">
        <f>IFERROR(__xludf.DUMMYFUNCTION("""COMPUTED_VALUE"""),104.66)</f>
        <v>104.66</v>
      </c>
      <c r="H336" s="60"/>
      <c r="I336" s="60"/>
    </row>
    <row r="337" ht="15.75" customHeight="1">
      <c r="A337" s="55" t="str">
        <f t="shared" si="1"/>
        <v>0824GOLD</v>
      </c>
      <c r="B337" s="62">
        <f t="shared" ref="B337:D337" si="336">B336</f>
        <v>45518</v>
      </c>
      <c r="C337" s="63" t="str">
        <f t="shared" si="336"/>
        <v>GOLD</v>
      </c>
      <c r="D337" s="63" t="str">
        <f t="shared" si="336"/>
        <v>NY</v>
      </c>
      <c r="E337" s="51">
        <v>4.0</v>
      </c>
      <c r="F337" s="60">
        <f>IFERROR(__xludf.DUMMYFUNCTION("""COMPUTED_VALUE"""),36.0)</f>
        <v>36</v>
      </c>
      <c r="G337" s="60"/>
      <c r="H337" s="60">
        <f>IFERROR(__xludf.DUMMYFUNCTION("""COMPUTED_VALUE"""),61.93)</f>
        <v>61.93</v>
      </c>
      <c r="I337" s="60"/>
    </row>
    <row r="338" ht="15.75" customHeight="1">
      <c r="A338" s="55" t="str">
        <f t="shared" si="1"/>
        <v>0824GOLD</v>
      </c>
      <c r="B338" s="62">
        <f t="shared" ref="B338:D338" si="337">B337</f>
        <v>45518</v>
      </c>
      <c r="C338" s="63" t="str">
        <f t="shared" si="337"/>
        <v>GOLD</v>
      </c>
      <c r="D338" s="63" t="str">
        <f t="shared" si="337"/>
        <v>NY</v>
      </c>
      <c r="E338" s="51">
        <v>4.0</v>
      </c>
      <c r="F338" s="60">
        <f>IFERROR(__xludf.DUMMYFUNCTION("""COMPUTED_VALUE"""),37.0)</f>
        <v>37</v>
      </c>
      <c r="G338" s="60"/>
      <c r="H338" s="60">
        <f>IFERROR(__xludf.DUMMYFUNCTION("""COMPUTED_VALUE"""),53.61)</f>
        <v>53.61</v>
      </c>
      <c r="I338" s="60"/>
    </row>
    <row r="339" ht="15.75" customHeight="1">
      <c r="A339" s="55" t="str">
        <f t="shared" si="1"/>
        <v>0824GOLD</v>
      </c>
      <c r="B339" s="62">
        <f t="shared" ref="B339:D339" si="338">B338</f>
        <v>45518</v>
      </c>
      <c r="C339" s="63" t="str">
        <f t="shared" si="338"/>
        <v>GOLD</v>
      </c>
      <c r="D339" s="63" t="str">
        <f t="shared" si="338"/>
        <v>NY</v>
      </c>
      <c r="E339" s="51">
        <v>4.0</v>
      </c>
      <c r="F339" s="60">
        <f>IFERROR(__xludf.DUMMYFUNCTION("""COMPUTED_VALUE"""),38.0)</f>
        <v>38</v>
      </c>
      <c r="G339" s="60"/>
      <c r="H339" s="60">
        <f>IFERROR(__xludf.DUMMYFUNCTION("""COMPUTED_VALUE"""),67.6)</f>
        <v>67.6</v>
      </c>
      <c r="I339" s="60"/>
    </row>
    <row r="340" ht="15.75" customHeight="1">
      <c r="A340" s="55" t="str">
        <f t="shared" si="1"/>
        <v>0824GOLD</v>
      </c>
      <c r="B340" s="62">
        <f t="shared" ref="B340:D340" si="339">B339</f>
        <v>45518</v>
      </c>
      <c r="C340" s="63" t="str">
        <f t="shared" si="339"/>
        <v>GOLD</v>
      </c>
      <c r="D340" s="63" t="str">
        <f t="shared" si="339"/>
        <v>NY</v>
      </c>
      <c r="E340" s="51">
        <v>4.0</v>
      </c>
      <c r="F340" s="60">
        <f>IFERROR(__xludf.DUMMYFUNCTION("""COMPUTED_VALUE"""),39.0)</f>
        <v>39</v>
      </c>
      <c r="G340" s="60">
        <f>IFERROR(__xludf.DUMMYFUNCTION("""COMPUTED_VALUE"""),61.54)</f>
        <v>61.54</v>
      </c>
      <c r="H340" s="60"/>
      <c r="I340" s="60"/>
    </row>
    <row r="341" ht="15.75" customHeight="1">
      <c r="A341" s="55" t="str">
        <f t="shared" si="1"/>
        <v>0824GOLD</v>
      </c>
      <c r="B341" s="62">
        <f t="shared" ref="B341:D341" si="340">B340</f>
        <v>45518</v>
      </c>
      <c r="C341" s="63" t="str">
        <f t="shared" si="340"/>
        <v>GOLD</v>
      </c>
      <c r="D341" s="63" t="str">
        <f t="shared" si="340"/>
        <v>NY</v>
      </c>
      <c r="E341" s="51">
        <v>4.0</v>
      </c>
      <c r="F341" s="60">
        <f>IFERROR(__xludf.DUMMYFUNCTION("""COMPUTED_VALUE"""),40.0)</f>
        <v>40</v>
      </c>
      <c r="G341" s="60">
        <f>IFERROR(__xludf.DUMMYFUNCTION("""COMPUTED_VALUE"""),102.19)</f>
        <v>102.19</v>
      </c>
      <c r="H341" s="60"/>
      <c r="I341" s="60"/>
    </row>
    <row r="342" ht="15.75" customHeight="1">
      <c r="A342" s="55" t="str">
        <f t="shared" si="1"/>
        <v>0824GOLD</v>
      </c>
      <c r="B342" s="62">
        <f t="shared" ref="B342:D342" si="341">B341</f>
        <v>45518</v>
      </c>
      <c r="C342" s="63" t="str">
        <f t="shared" si="341"/>
        <v>GOLD</v>
      </c>
      <c r="D342" s="63" t="str">
        <f t="shared" si="341"/>
        <v>NY</v>
      </c>
      <c r="E342" s="51">
        <v>4.0</v>
      </c>
      <c r="F342" s="60">
        <f>IFERROR(__xludf.DUMMYFUNCTION("""COMPUTED_VALUE"""),41.0)</f>
        <v>41</v>
      </c>
      <c r="G342" s="60">
        <f>IFERROR(__xludf.DUMMYFUNCTION("""COMPUTED_VALUE"""),99.69)</f>
        <v>99.69</v>
      </c>
      <c r="H342" s="60"/>
      <c r="I342" s="60"/>
    </row>
    <row r="343" ht="15.75" customHeight="1">
      <c r="A343" s="55" t="str">
        <f t="shared" si="1"/>
        <v>0824GOLD</v>
      </c>
      <c r="B343" s="62">
        <f t="shared" ref="B343:D343" si="342">B342</f>
        <v>45518</v>
      </c>
      <c r="C343" s="63" t="str">
        <f t="shared" si="342"/>
        <v>GOLD</v>
      </c>
      <c r="D343" s="63" t="str">
        <f t="shared" si="342"/>
        <v>NY</v>
      </c>
      <c r="E343" s="51">
        <v>4.0</v>
      </c>
      <c r="F343" s="60">
        <f>IFERROR(__xludf.DUMMYFUNCTION("""COMPUTED_VALUE"""),42.0)</f>
        <v>42</v>
      </c>
      <c r="G343" s="60">
        <f>IFERROR(__xludf.DUMMYFUNCTION("""COMPUTED_VALUE"""),62.19)</f>
        <v>62.19</v>
      </c>
      <c r="H343" s="60"/>
      <c r="I343" s="60"/>
    </row>
    <row r="344" ht="15.75" customHeight="1">
      <c r="A344" s="55" t="str">
        <f t="shared" si="1"/>
        <v>0824GOLD</v>
      </c>
      <c r="B344" s="62">
        <f t="shared" ref="B344:D344" si="343">B343</f>
        <v>45518</v>
      </c>
      <c r="C344" s="63" t="str">
        <f t="shared" si="343"/>
        <v>GOLD</v>
      </c>
      <c r="D344" s="63" t="str">
        <f t="shared" si="343"/>
        <v>NY</v>
      </c>
      <c r="E344" s="51">
        <v>4.0</v>
      </c>
      <c r="F344" s="60">
        <f>IFERROR(__xludf.DUMMYFUNCTION("""COMPUTED_VALUE"""),43.0)</f>
        <v>43</v>
      </c>
      <c r="G344" s="60"/>
      <c r="H344" s="60">
        <f>IFERROR(__xludf.DUMMYFUNCTION("""COMPUTED_VALUE"""),71.2)</f>
        <v>71.2</v>
      </c>
      <c r="I344" s="60"/>
    </row>
    <row r="345" ht="15.75" customHeight="1">
      <c r="A345" s="55" t="str">
        <f t="shared" si="1"/>
        <v>0824GOLD</v>
      </c>
      <c r="B345" s="62">
        <f t="shared" ref="B345:D345" si="344">B344</f>
        <v>45518</v>
      </c>
      <c r="C345" s="63" t="str">
        <f t="shared" si="344"/>
        <v>GOLD</v>
      </c>
      <c r="D345" s="63" t="str">
        <f t="shared" si="344"/>
        <v>NY</v>
      </c>
      <c r="E345" s="51">
        <v>4.0</v>
      </c>
      <c r="F345" s="60">
        <f>IFERROR(__xludf.DUMMYFUNCTION("""COMPUTED_VALUE"""),44.0)</f>
        <v>44</v>
      </c>
      <c r="G345" s="60">
        <f>IFERROR(__xludf.DUMMYFUNCTION("""COMPUTED_VALUE"""),59.19)</f>
        <v>59.19</v>
      </c>
      <c r="H345" s="60"/>
      <c r="I345" s="60"/>
    </row>
    <row r="346" ht="15.75" customHeight="1">
      <c r="A346" s="55" t="str">
        <f t="shared" si="1"/>
        <v>0824GOLD</v>
      </c>
      <c r="B346" s="62">
        <f t="shared" ref="B346:D346" si="345">B345</f>
        <v>45518</v>
      </c>
      <c r="C346" s="63" t="str">
        <f t="shared" si="345"/>
        <v>GOLD</v>
      </c>
      <c r="D346" s="63" t="str">
        <f t="shared" si="345"/>
        <v>NY</v>
      </c>
      <c r="E346" s="51">
        <v>4.0</v>
      </c>
      <c r="F346" s="60">
        <f>IFERROR(__xludf.DUMMYFUNCTION("""COMPUTED_VALUE"""),45.0)</f>
        <v>45</v>
      </c>
      <c r="G346" s="60"/>
      <c r="H346" s="60">
        <f>IFERROR(__xludf.DUMMYFUNCTION("""COMPUTED_VALUE"""),100.96)</f>
        <v>100.96</v>
      </c>
      <c r="I346" s="60"/>
    </row>
    <row r="347" ht="15.75" customHeight="1">
      <c r="A347" s="55" t="str">
        <f t="shared" si="1"/>
        <v>0824GOLD</v>
      </c>
      <c r="B347" s="62">
        <f t="shared" ref="B347:D347" si="346">B346</f>
        <v>45518</v>
      </c>
      <c r="C347" s="63" t="str">
        <f t="shared" si="346"/>
        <v>GOLD</v>
      </c>
      <c r="D347" s="63" t="str">
        <f t="shared" si="346"/>
        <v>NY</v>
      </c>
      <c r="E347" s="51">
        <v>4.0</v>
      </c>
      <c r="F347" s="60">
        <f>IFERROR(__xludf.DUMMYFUNCTION("""COMPUTED_VALUE"""),46.0)</f>
        <v>46</v>
      </c>
      <c r="G347" s="60"/>
      <c r="H347" s="60">
        <f>IFERROR(__xludf.DUMMYFUNCTION("""COMPUTED_VALUE"""),52.83)</f>
        <v>52.83</v>
      </c>
      <c r="I347" s="60"/>
    </row>
    <row r="348" ht="15.75" customHeight="1">
      <c r="A348" s="55" t="str">
        <f t="shared" si="1"/>
        <v>0824GOLD</v>
      </c>
      <c r="B348" s="62">
        <f t="shared" ref="B348:D348" si="347">B347</f>
        <v>45518</v>
      </c>
      <c r="C348" s="63" t="str">
        <f t="shared" si="347"/>
        <v>GOLD</v>
      </c>
      <c r="D348" s="63" t="str">
        <f t="shared" si="347"/>
        <v>NY</v>
      </c>
      <c r="E348" s="51">
        <v>4.0</v>
      </c>
      <c r="F348" s="60">
        <f>IFERROR(__xludf.DUMMYFUNCTION("""COMPUTED_VALUE"""),47.0)</f>
        <v>47</v>
      </c>
      <c r="G348" s="60">
        <f>IFERROR(__xludf.DUMMYFUNCTION("""COMPUTED_VALUE"""),129.7)</f>
        <v>129.7</v>
      </c>
      <c r="H348" s="60"/>
      <c r="I348" s="60"/>
    </row>
    <row r="349" ht="15.75" customHeight="1">
      <c r="A349" s="55" t="str">
        <f t="shared" si="1"/>
        <v>0824GOLD</v>
      </c>
      <c r="B349" s="62">
        <f t="shared" ref="B349:D349" si="348">B348</f>
        <v>45518</v>
      </c>
      <c r="C349" s="63" t="str">
        <f t="shared" si="348"/>
        <v>GOLD</v>
      </c>
      <c r="D349" s="63" t="str">
        <f t="shared" si="348"/>
        <v>NY</v>
      </c>
      <c r="E349" s="51">
        <v>4.0</v>
      </c>
      <c r="F349" s="60">
        <f>IFERROR(__xludf.DUMMYFUNCTION("""COMPUTED_VALUE"""),48.0)</f>
        <v>48</v>
      </c>
      <c r="G349" s="60">
        <f>IFERROR(__xludf.DUMMYFUNCTION("""COMPUTED_VALUE"""),140.18)</f>
        <v>140.18</v>
      </c>
      <c r="H349" s="60"/>
      <c r="I349" s="60"/>
    </row>
    <row r="350" ht="15.75" customHeight="1">
      <c r="A350" s="55" t="str">
        <f t="shared" si="1"/>
        <v>0824GOLD</v>
      </c>
      <c r="B350" s="62">
        <f t="shared" ref="B350:D350" si="349">B349</f>
        <v>45518</v>
      </c>
      <c r="C350" s="63" t="str">
        <f t="shared" si="349"/>
        <v>GOLD</v>
      </c>
      <c r="D350" s="63" t="str">
        <f t="shared" si="349"/>
        <v>NY</v>
      </c>
      <c r="E350" s="51">
        <v>4.0</v>
      </c>
      <c r="F350" s="60">
        <f>IFERROR(__xludf.DUMMYFUNCTION("""COMPUTED_VALUE"""),49.0)</f>
        <v>49</v>
      </c>
      <c r="G350" s="60">
        <f>IFERROR(__xludf.DUMMYFUNCTION("""COMPUTED_VALUE"""),135.61)</f>
        <v>135.61</v>
      </c>
      <c r="H350" s="60"/>
      <c r="I350" s="60"/>
    </row>
    <row r="351" ht="15.75" customHeight="1">
      <c r="A351" s="55" t="str">
        <f t="shared" si="1"/>
        <v>0824GOLD</v>
      </c>
      <c r="B351" s="62">
        <f t="shared" ref="B351:D351" si="350">B350</f>
        <v>45518</v>
      </c>
      <c r="C351" s="63" t="str">
        <f t="shared" si="350"/>
        <v>GOLD</v>
      </c>
      <c r="D351" s="63" t="str">
        <f t="shared" si="350"/>
        <v>NY</v>
      </c>
      <c r="E351" s="51">
        <v>4.0</v>
      </c>
      <c r="F351" s="60">
        <f>IFERROR(__xludf.DUMMYFUNCTION("""COMPUTED_VALUE"""),50.0)</f>
        <v>50</v>
      </c>
      <c r="G351" s="60"/>
      <c r="H351" s="60">
        <f>IFERROR(__xludf.DUMMYFUNCTION("""COMPUTED_VALUE"""),100.98)</f>
        <v>100.98</v>
      </c>
      <c r="I351" s="60"/>
    </row>
    <row r="352" ht="15.75" customHeight="1">
      <c r="A352" s="55" t="str">
        <f t="shared" si="1"/>
        <v>0824GOLD</v>
      </c>
      <c r="B352" s="62">
        <f t="shared" ref="B352:D352" si="351">B351</f>
        <v>45518</v>
      </c>
      <c r="C352" s="63" t="str">
        <f t="shared" si="351"/>
        <v>GOLD</v>
      </c>
      <c r="D352" s="63" t="str">
        <f t="shared" si="351"/>
        <v>NY</v>
      </c>
      <c r="E352" s="51">
        <v>4.0</v>
      </c>
      <c r="F352" s="60">
        <f>IFERROR(__xludf.DUMMYFUNCTION("""COMPUTED_VALUE"""),51.0)</f>
        <v>51</v>
      </c>
      <c r="G352" s="60">
        <f>IFERROR(__xludf.DUMMYFUNCTION("""COMPUTED_VALUE"""),101.52)</f>
        <v>101.52</v>
      </c>
      <c r="H352" s="60"/>
      <c r="I352" s="60"/>
    </row>
    <row r="353" ht="15.75" customHeight="1">
      <c r="A353" s="55" t="str">
        <f t="shared" si="1"/>
        <v>0824GOLD</v>
      </c>
      <c r="B353" s="62">
        <f t="shared" ref="B353:D353" si="352">B352</f>
        <v>45518</v>
      </c>
      <c r="C353" s="63" t="str">
        <f t="shared" si="352"/>
        <v>GOLD</v>
      </c>
      <c r="D353" s="63" t="str">
        <f t="shared" si="352"/>
        <v>NY</v>
      </c>
      <c r="E353" s="51">
        <v>4.0</v>
      </c>
      <c r="F353" s="60">
        <f>IFERROR(__xludf.DUMMYFUNCTION("""COMPUTED_VALUE"""),52.0)</f>
        <v>52</v>
      </c>
      <c r="G353" s="60">
        <f>IFERROR(__xludf.DUMMYFUNCTION("""COMPUTED_VALUE"""),110.86)</f>
        <v>110.86</v>
      </c>
      <c r="H353" s="60"/>
      <c r="I353" s="60"/>
    </row>
    <row r="354" ht="15.75" customHeight="1">
      <c r="A354" s="55" t="str">
        <f t="shared" si="1"/>
        <v>0824GOLD</v>
      </c>
      <c r="B354" s="62">
        <f t="shared" ref="B354:D354" si="353">B353</f>
        <v>45518</v>
      </c>
      <c r="C354" s="63" t="str">
        <f t="shared" si="353"/>
        <v>GOLD</v>
      </c>
      <c r="D354" s="63" t="str">
        <f t="shared" si="353"/>
        <v>NY</v>
      </c>
      <c r="E354" s="51">
        <v>4.0</v>
      </c>
      <c r="F354" s="60">
        <f>IFERROR(__xludf.DUMMYFUNCTION("""COMPUTED_VALUE"""),53.0)</f>
        <v>53</v>
      </c>
      <c r="G354" s="60">
        <f>IFERROR(__xludf.DUMMYFUNCTION("""COMPUTED_VALUE"""),124.73)</f>
        <v>124.73</v>
      </c>
      <c r="H354" s="60"/>
      <c r="I354" s="60"/>
    </row>
    <row r="355" ht="15.75" customHeight="1">
      <c r="A355" s="55" t="str">
        <f t="shared" si="1"/>
        <v>0824GOLD</v>
      </c>
      <c r="B355" s="62">
        <f t="shared" ref="B355:D355" si="354">B354</f>
        <v>45518</v>
      </c>
      <c r="C355" s="63" t="str">
        <f t="shared" si="354"/>
        <v>GOLD</v>
      </c>
      <c r="D355" s="63" t="str">
        <f t="shared" si="354"/>
        <v>NY</v>
      </c>
      <c r="E355" s="51">
        <v>4.0</v>
      </c>
      <c r="F355" s="60">
        <f>IFERROR(__xludf.DUMMYFUNCTION("""COMPUTED_VALUE"""),54.0)</f>
        <v>54</v>
      </c>
      <c r="G355" s="60"/>
      <c r="H355" s="60">
        <f>IFERROR(__xludf.DUMMYFUNCTION("""COMPUTED_VALUE"""),56.38)</f>
        <v>56.38</v>
      </c>
      <c r="I355" s="60"/>
    </row>
    <row r="356" ht="15.75" customHeight="1">
      <c r="A356" s="55" t="str">
        <f t="shared" si="1"/>
        <v>0824GOLD</v>
      </c>
      <c r="B356" s="62">
        <f t="shared" ref="B356:D356" si="355">B355</f>
        <v>45518</v>
      </c>
      <c r="C356" s="63" t="str">
        <f t="shared" si="355"/>
        <v>GOLD</v>
      </c>
      <c r="D356" s="63" t="str">
        <f t="shared" si="355"/>
        <v>NY</v>
      </c>
      <c r="E356" s="51">
        <v>4.0</v>
      </c>
      <c r="F356" s="60">
        <f>IFERROR(__xludf.DUMMYFUNCTION("""COMPUTED_VALUE"""),55.0)</f>
        <v>55</v>
      </c>
      <c r="G356" s="60">
        <f>IFERROR(__xludf.DUMMYFUNCTION("""COMPUTED_VALUE"""),81.39)</f>
        <v>81.39</v>
      </c>
      <c r="H356" s="60"/>
      <c r="I356" s="60"/>
    </row>
    <row r="357" ht="15.75" customHeight="1">
      <c r="A357" s="55" t="str">
        <f t="shared" si="1"/>
        <v>0824GOLD</v>
      </c>
      <c r="B357" s="62">
        <f t="shared" ref="B357:D357" si="356">B356</f>
        <v>45518</v>
      </c>
      <c r="C357" s="63" t="str">
        <f t="shared" si="356"/>
        <v>GOLD</v>
      </c>
      <c r="D357" s="63" t="str">
        <f t="shared" si="356"/>
        <v>NY</v>
      </c>
      <c r="E357" s="51">
        <v>4.0</v>
      </c>
      <c r="F357" s="60">
        <f>IFERROR(__xludf.DUMMYFUNCTION("""COMPUTED_VALUE"""),56.0)</f>
        <v>56</v>
      </c>
      <c r="G357" s="60">
        <f>IFERROR(__xludf.DUMMYFUNCTION("""COMPUTED_VALUE"""),68.06)</f>
        <v>68.06</v>
      </c>
      <c r="H357" s="60"/>
      <c r="I357" s="60"/>
    </row>
    <row r="358" ht="15.75" customHeight="1">
      <c r="A358" s="55" t="str">
        <f t="shared" si="1"/>
        <v>0824GOLD</v>
      </c>
      <c r="B358" s="62">
        <f t="shared" ref="B358:D358" si="357">B357</f>
        <v>45518</v>
      </c>
      <c r="C358" s="63" t="str">
        <f t="shared" si="357"/>
        <v>GOLD</v>
      </c>
      <c r="D358" s="63" t="str">
        <f t="shared" si="357"/>
        <v>NY</v>
      </c>
      <c r="E358" s="51">
        <v>4.0</v>
      </c>
      <c r="F358" s="60">
        <f>IFERROR(__xludf.DUMMYFUNCTION("""COMPUTED_VALUE"""),57.0)</f>
        <v>57</v>
      </c>
      <c r="G358" s="60">
        <f>IFERROR(__xludf.DUMMYFUNCTION("""COMPUTED_VALUE"""),92.72)</f>
        <v>92.72</v>
      </c>
      <c r="H358" s="60"/>
      <c r="I358" s="60"/>
    </row>
    <row r="359" ht="15.75" customHeight="1">
      <c r="A359" s="55" t="str">
        <f t="shared" si="1"/>
        <v>0824GOLD</v>
      </c>
      <c r="B359" s="62">
        <f t="shared" ref="B359:D359" si="358">B358</f>
        <v>45518</v>
      </c>
      <c r="C359" s="63" t="str">
        <f t="shared" si="358"/>
        <v>GOLD</v>
      </c>
      <c r="D359" s="63" t="str">
        <f t="shared" si="358"/>
        <v>NY</v>
      </c>
      <c r="E359" s="51">
        <v>4.0</v>
      </c>
      <c r="F359" s="60">
        <f>IFERROR(__xludf.DUMMYFUNCTION("""COMPUTED_VALUE"""),58.0)</f>
        <v>58</v>
      </c>
      <c r="G359" s="60">
        <f>IFERROR(__xludf.DUMMYFUNCTION("""COMPUTED_VALUE"""),74.22)</f>
        <v>74.22</v>
      </c>
      <c r="H359" s="60"/>
      <c r="I359" s="60"/>
    </row>
    <row r="360" ht="15.75" customHeight="1">
      <c r="A360" s="55" t="str">
        <f t="shared" si="1"/>
        <v>0824GOLD</v>
      </c>
      <c r="B360" s="62">
        <f t="shared" ref="B360:D360" si="359">B359</f>
        <v>45518</v>
      </c>
      <c r="C360" s="63" t="str">
        <f t="shared" si="359"/>
        <v>GOLD</v>
      </c>
      <c r="D360" s="63" t="str">
        <f t="shared" si="359"/>
        <v>NY</v>
      </c>
      <c r="E360" s="51">
        <v>4.0</v>
      </c>
      <c r="F360" s="60">
        <f>IFERROR(__xludf.DUMMYFUNCTION("""COMPUTED_VALUE"""),59.0)</f>
        <v>59</v>
      </c>
      <c r="G360" s="60">
        <f>IFERROR(__xludf.DUMMYFUNCTION("""COMPUTED_VALUE"""),74.22)</f>
        <v>74.22</v>
      </c>
      <c r="H360" s="60"/>
      <c r="I360" s="60"/>
    </row>
    <row r="361" ht="15.75" customHeight="1">
      <c r="A361" s="55" t="str">
        <f t="shared" si="1"/>
        <v>0824GOLD</v>
      </c>
      <c r="B361" s="62">
        <f t="shared" ref="B361:D361" si="360">B360</f>
        <v>45518</v>
      </c>
      <c r="C361" s="63" t="str">
        <f t="shared" si="360"/>
        <v>GOLD</v>
      </c>
      <c r="D361" s="63" t="str">
        <f t="shared" si="360"/>
        <v>NY</v>
      </c>
      <c r="E361" s="51">
        <v>4.0</v>
      </c>
      <c r="F361" s="60">
        <f>IFERROR(__xludf.DUMMYFUNCTION("""COMPUTED_VALUE"""),60.0)</f>
        <v>60</v>
      </c>
      <c r="G361" s="60">
        <f>IFERROR(__xludf.DUMMYFUNCTION("""COMPUTED_VALUE"""),113.58)</f>
        <v>113.58</v>
      </c>
      <c r="H361" s="60"/>
      <c r="I361" s="60"/>
    </row>
    <row r="362" ht="15.75" customHeight="1">
      <c r="A362" s="55" t="str">
        <f t="shared" si="1"/>
        <v>0824GOLD</v>
      </c>
      <c r="B362" s="62">
        <f t="shared" ref="B362:D362" si="361">B361</f>
        <v>45518</v>
      </c>
      <c r="C362" s="63" t="str">
        <f t="shared" si="361"/>
        <v>GOLD</v>
      </c>
      <c r="D362" s="63" t="str">
        <f t="shared" si="361"/>
        <v>NY</v>
      </c>
      <c r="E362" s="51">
        <v>4.0</v>
      </c>
      <c r="F362" s="60">
        <f>IFERROR(__xludf.DUMMYFUNCTION("""COMPUTED_VALUE"""),61.0)</f>
        <v>61</v>
      </c>
      <c r="G362" s="60">
        <f>IFERROR(__xludf.DUMMYFUNCTION("""COMPUTED_VALUE"""),82.91)</f>
        <v>82.91</v>
      </c>
      <c r="H362" s="60"/>
      <c r="I362" s="60"/>
    </row>
    <row r="363" ht="15.75" customHeight="1">
      <c r="A363" s="55" t="str">
        <f t="shared" si="1"/>
        <v>0824GOLD</v>
      </c>
      <c r="B363" s="62">
        <f t="shared" ref="B363:D363" si="362">B362</f>
        <v>45518</v>
      </c>
      <c r="C363" s="63" t="str">
        <f t="shared" si="362"/>
        <v>GOLD</v>
      </c>
      <c r="D363" s="63" t="str">
        <f t="shared" si="362"/>
        <v>NY</v>
      </c>
      <c r="E363" s="51">
        <v>4.0</v>
      </c>
      <c r="F363" s="60">
        <f>IFERROR(__xludf.DUMMYFUNCTION("""COMPUTED_VALUE"""),62.0)</f>
        <v>62</v>
      </c>
      <c r="G363" s="60"/>
      <c r="H363" s="60">
        <f>IFERROR(__xludf.DUMMYFUNCTION("""COMPUTED_VALUE"""),71.19)</f>
        <v>71.19</v>
      </c>
      <c r="I363" s="60"/>
    </row>
    <row r="364" ht="15.75" customHeight="1">
      <c r="A364" s="55" t="str">
        <f t="shared" si="1"/>
        <v>0824GOLD</v>
      </c>
      <c r="B364" s="62">
        <f t="shared" ref="B364:D364" si="363">B363</f>
        <v>45518</v>
      </c>
      <c r="C364" s="63" t="str">
        <f t="shared" si="363"/>
        <v>GOLD</v>
      </c>
      <c r="D364" s="63" t="str">
        <f t="shared" si="363"/>
        <v>NY</v>
      </c>
      <c r="E364" s="51">
        <v>4.0</v>
      </c>
      <c r="F364" s="60">
        <f>IFERROR(__xludf.DUMMYFUNCTION("""COMPUTED_VALUE"""),63.0)</f>
        <v>63</v>
      </c>
      <c r="G364" s="60"/>
      <c r="H364" s="60">
        <f>IFERROR(__xludf.DUMMYFUNCTION("""COMPUTED_VALUE"""),75.59)</f>
        <v>75.59</v>
      </c>
      <c r="I364" s="60"/>
    </row>
    <row r="365" ht="15.75" customHeight="1">
      <c r="A365" s="55" t="str">
        <f t="shared" si="1"/>
        <v>0824GOLD</v>
      </c>
      <c r="B365" s="62">
        <f t="shared" ref="B365:D365" si="364">B364</f>
        <v>45518</v>
      </c>
      <c r="C365" s="63" t="str">
        <f t="shared" si="364"/>
        <v>GOLD</v>
      </c>
      <c r="D365" s="63" t="str">
        <f t="shared" si="364"/>
        <v>NY</v>
      </c>
      <c r="E365" s="51">
        <v>4.0</v>
      </c>
      <c r="F365" s="60">
        <f>IFERROR(__xludf.DUMMYFUNCTION("""COMPUTED_VALUE"""),64.0)</f>
        <v>64</v>
      </c>
      <c r="G365" s="60"/>
      <c r="H365" s="60">
        <f>IFERROR(__xludf.DUMMYFUNCTION("""COMPUTED_VALUE"""),74.23)</f>
        <v>74.23</v>
      </c>
      <c r="I365" s="60"/>
    </row>
    <row r="366" ht="15.75" customHeight="1">
      <c r="A366" s="55" t="str">
        <f t="shared" si="1"/>
        <v>0824GOLD</v>
      </c>
      <c r="B366" s="62">
        <f t="shared" ref="B366:D366" si="365">B365</f>
        <v>45518</v>
      </c>
      <c r="C366" s="63" t="str">
        <f t="shared" si="365"/>
        <v>GOLD</v>
      </c>
      <c r="D366" s="63" t="str">
        <f t="shared" si="365"/>
        <v>NY</v>
      </c>
      <c r="E366" s="51">
        <v>4.0</v>
      </c>
      <c r="F366" s="60">
        <f>IFERROR(__xludf.DUMMYFUNCTION("""COMPUTED_VALUE"""),65.0)</f>
        <v>65</v>
      </c>
      <c r="G366" s="60"/>
      <c r="H366" s="60">
        <f>IFERROR(__xludf.DUMMYFUNCTION("""COMPUTED_VALUE"""),74.23)</f>
        <v>74.23</v>
      </c>
      <c r="I366" s="60"/>
    </row>
    <row r="367" ht="15.75" customHeight="1">
      <c r="A367" s="55" t="str">
        <f t="shared" si="1"/>
        <v>0824GOLD</v>
      </c>
      <c r="B367" s="62">
        <f t="shared" ref="B367:D367" si="366">B366</f>
        <v>45518</v>
      </c>
      <c r="C367" s="63" t="str">
        <f t="shared" si="366"/>
        <v>GOLD</v>
      </c>
      <c r="D367" s="63" t="str">
        <f t="shared" si="366"/>
        <v>NY</v>
      </c>
      <c r="E367" s="51">
        <v>4.0</v>
      </c>
      <c r="F367" s="60">
        <f>IFERROR(__xludf.DUMMYFUNCTION("""COMPUTED_VALUE"""),66.0)</f>
        <v>66</v>
      </c>
      <c r="G367" s="60"/>
      <c r="H367" s="60">
        <f>IFERROR(__xludf.DUMMYFUNCTION("""COMPUTED_VALUE"""),45.07)</f>
        <v>45.07</v>
      </c>
      <c r="I367" s="60"/>
    </row>
    <row r="368" ht="15.75" customHeight="1">
      <c r="A368" s="55" t="str">
        <f t="shared" si="1"/>
        <v>0824GOLD</v>
      </c>
      <c r="B368" s="62">
        <f t="shared" ref="B368:D368" si="367">B367</f>
        <v>45518</v>
      </c>
      <c r="C368" s="63" t="str">
        <f t="shared" si="367"/>
        <v>GOLD</v>
      </c>
      <c r="D368" s="63" t="str">
        <f t="shared" si="367"/>
        <v>NY</v>
      </c>
      <c r="E368" s="51">
        <v>4.0</v>
      </c>
      <c r="F368" s="60">
        <f>IFERROR(__xludf.DUMMYFUNCTION("""COMPUTED_VALUE"""),67.0)</f>
        <v>67</v>
      </c>
      <c r="G368" s="60">
        <f>IFERROR(__xludf.DUMMYFUNCTION("""COMPUTED_VALUE"""),115.11)</f>
        <v>115.11</v>
      </c>
      <c r="H368" s="60"/>
      <c r="I368" s="60"/>
    </row>
    <row r="369" ht="15.75" customHeight="1">
      <c r="A369" s="55" t="str">
        <f t="shared" si="1"/>
        <v>0824GOLD</v>
      </c>
      <c r="B369" s="62">
        <f t="shared" ref="B369:D369" si="368">B368</f>
        <v>45518</v>
      </c>
      <c r="C369" s="63" t="str">
        <f t="shared" si="368"/>
        <v>GOLD</v>
      </c>
      <c r="D369" s="63" t="str">
        <f t="shared" si="368"/>
        <v>NY</v>
      </c>
      <c r="E369" s="51">
        <v>4.0</v>
      </c>
      <c r="F369" s="60">
        <f>IFERROR(__xludf.DUMMYFUNCTION("""COMPUTED_VALUE"""),68.0)</f>
        <v>68</v>
      </c>
      <c r="G369" s="60">
        <f>IFERROR(__xludf.DUMMYFUNCTION("""COMPUTED_VALUE"""),63.99)</f>
        <v>63.99</v>
      </c>
      <c r="H369" s="60"/>
      <c r="I369" s="60"/>
    </row>
    <row r="370" ht="15.75" customHeight="1">
      <c r="A370" s="55" t="str">
        <f t="shared" si="1"/>
        <v>0824GOLD</v>
      </c>
      <c r="B370" s="62">
        <f t="shared" ref="B370:D370" si="369">B369</f>
        <v>45518</v>
      </c>
      <c r="C370" s="63" t="str">
        <f t="shared" si="369"/>
        <v>GOLD</v>
      </c>
      <c r="D370" s="63" t="str">
        <f t="shared" si="369"/>
        <v>NY</v>
      </c>
      <c r="E370" s="51">
        <v>4.0</v>
      </c>
      <c r="F370" s="60">
        <f>IFERROR(__xludf.DUMMYFUNCTION("""COMPUTED_VALUE"""),69.0)</f>
        <v>69</v>
      </c>
      <c r="G370" s="60">
        <f>IFERROR(__xludf.DUMMYFUNCTION("""COMPUTED_VALUE"""),74.23)</f>
        <v>74.23</v>
      </c>
      <c r="H370" s="60"/>
      <c r="I370" s="60"/>
    </row>
    <row r="371" ht="15.75" customHeight="1">
      <c r="A371" s="55" t="str">
        <f t="shared" si="1"/>
        <v>0824GOLD</v>
      </c>
      <c r="B371" s="62">
        <f t="shared" ref="B371:D371" si="370">B370</f>
        <v>45518</v>
      </c>
      <c r="C371" s="63" t="str">
        <f t="shared" si="370"/>
        <v>GOLD</v>
      </c>
      <c r="D371" s="63" t="str">
        <f t="shared" si="370"/>
        <v>NY</v>
      </c>
      <c r="E371" s="51">
        <v>4.0</v>
      </c>
      <c r="F371" s="60">
        <f>IFERROR(__xludf.DUMMYFUNCTION("""COMPUTED_VALUE"""),70.0)</f>
        <v>70</v>
      </c>
      <c r="G371" s="60">
        <f>IFERROR(__xludf.DUMMYFUNCTION("""COMPUTED_VALUE"""),97.06)</f>
        <v>97.06</v>
      </c>
      <c r="H371" s="60"/>
      <c r="I371" s="60"/>
    </row>
    <row r="372" ht="15.75" customHeight="1">
      <c r="A372" s="55" t="str">
        <f t="shared" si="1"/>
        <v>0824GOLD</v>
      </c>
      <c r="B372" s="62">
        <f t="shared" ref="B372:D372" si="371">B371</f>
        <v>45518</v>
      </c>
      <c r="C372" s="63" t="str">
        <f t="shared" si="371"/>
        <v>GOLD</v>
      </c>
      <c r="D372" s="63" t="str">
        <f t="shared" si="371"/>
        <v>NY</v>
      </c>
      <c r="E372" s="51">
        <v>4.0</v>
      </c>
      <c r="F372" s="60">
        <f>IFERROR(__xludf.DUMMYFUNCTION("""COMPUTED_VALUE"""),71.0)</f>
        <v>71</v>
      </c>
      <c r="G372" s="60">
        <f>IFERROR(__xludf.DUMMYFUNCTION("""COMPUTED_VALUE"""),91.24)</f>
        <v>91.24</v>
      </c>
      <c r="H372" s="60"/>
      <c r="I372" s="60"/>
    </row>
    <row r="373" ht="15.75" customHeight="1">
      <c r="A373" s="55" t="str">
        <f t="shared" si="1"/>
        <v>0824GOLD</v>
      </c>
      <c r="B373" s="62">
        <f t="shared" ref="B373:D373" si="372">B372</f>
        <v>45518</v>
      </c>
      <c r="C373" s="63" t="str">
        <f t="shared" si="372"/>
        <v>GOLD</v>
      </c>
      <c r="D373" s="63" t="str">
        <f t="shared" si="372"/>
        <v>NY</v>
      </c>
      <c r="E373" s="51">
        <v>4.0</v>
      </c>
      <c r="F373" s="60">
        <f>IFERROR(__xludf.DUMMYFUNCTION("""COMPUTED_VALUE"""),72.0)</f>
        <v>72</v>
      </c>
      <c r="G373" s="60">
        <f>IFERROR(__xludf.DUMMYFUNCTION("""COMPUTED_VALUE"""),123.66)</f>
        <v>123.66</v>
      </c>
      <c r="H373" s="60"/>
      <c r="I373" s="60"/>
    </row>
    <row r="374" ht="15.75" customHeight="1">
      <c r="A374" s="55" t="str">
        <f t="shared" si="1"/>
        <v>0824GOLD</v>
      </c>
      <c r="B374" s="62">
        <f t="shared" ref="B374:D374" si="373">B373</f>
        <v>45518</v>
      </c>
      <c r="C374" s="63" t="str">
        <f t="shared" si="373"/>
        <v>GOLD</v>
      </c>
      <c r="D374" s="63" t="str">
        <f t="shared" si="373"/>
        <v>NY</v>
      </c>
      <c r="E374" s="51">
        <v>4.0</v>
      </c>
      <c r="F374" s="60">
        <f>IFERROR(__xludf.DUMMYFUNCTION("""COMPUTED_VALUE"""),73.0)</f>
        <v>73</v>
      </c>
      <c r="G374" s="60"/>
      <c r="H374" s="60">
        <f>IFERROR(__xludf.DUMMYFUNCTION("""COMPUTED_VALUE"""),77.15)</f>
        <v>77.15</v>
      </c>
      <c r="I374" s="60"/>
    </row>
    <row r="375" ht="15.75" customHeight="1">
      <c r="A375" s="55" t="str">
        <f t="shared" si="1"/>
        <v>0824GOLD</v>
      </c>
      <c r="B375" s="62">
        <f t="shared" ref="B375:D375" si="374">B374</f>
        <v>45518</v>
      </c>
      <c r="C375" s="63" t="str">
        <f t="shared" si="374"/>
        <v>GOLD</v>
      </c>
      <c r="D375" s="63" t="str">
        <f t="shared" si="374"/>
        <v>NY</v>
      </c>
      <c r="E375" s="51">
        <v>4.0</v>
      </c>
      <c r="F375" s="60">
        <f>IFERROR(__xludf.DUMMYFUNCTION("""COMPUTED_VALUE"""),74.0)</f>
        <v>74</v>
      </c>
      <c r="G375" s="60"/>
      <c r="H375" s="60">
        <f>IFERROR(__xludf.DUMMYFUNCTION("""COMPUTED_VALUE"""),77.51)</f>
        <v>77.51</v>
      </c>
      <c r="I375" s="60"/>
    </row>
    <row r="376" ht="15.75" customHeight="1">
      <c r="A376" s="55" t="str">
        <f t="shared" si="1"/>
        <v>0824GOLD</v>
      </c>
      <c r="B376" s="62">
        <f t="shared" ref="B376:D376" si="375">B375</f>
        <v>45518</v>
      </c>
      <c r="C376" s="63" t="str">
        <f t="shared" si="375"/>
        <v>GOLD</v>
      </c>
      <c r="D376" s="63" t="str">
        <f t="shared" si="375"/>
        <v>NY</v>
      </c>
      <c r="E376" s="51">
        <v>4.0</v>
      </c>
      <c r="F376" s="60">
        <f>IFERROR(__xludf.DUMMYFUNCTION("""COMPUTED_VALUE"""),75.0)</f>
        <v>75</v>
      </c>
      <c r="G376" s="60">
        <f>IFERROR(__xludf.DUMMYFUNCTION("""COMPUTED_VALUE"""),61.58)</f>
        <v>61.58</v>
      </c>
      <c r="H376" s="60"/>
      <c r="I376" s="60"/>
    </row>
    <row r="377" ht="15.75" customHeight="1">
      <c r="A377" s="55" t="str">
        <f t="shared" si="1"/>
        <v>0824GOLD</v>
      </c>
      <c r="B377" s="62">
        <f t="shared" ref="B377:D377" si="376">B376</f>
        <v>45518</v>
      </c>
      <c r="C377" s="63" t="str">
        <f t="shared" si="376"/>
        <v>GOLD</v>
      </c>
      <c r="D377" s="63" t="str">
        <f t="shared" si="376"/>
        <v>NY</v>
      </c>
      <c r="E377" s="51">
        <v>4.0</v>
      </c>
      <c r="F377" s="60">
        <f>IFERROR(__xludf.DUMMYFUNCTION("""COMPUTED_VALUE"""),76.0)</f>
        <v>76</v>
      </c>
      <c r="G377" s="60">
        <f>IFERROR(__xludf.DUMMYFUNCTION("""COMPUTED_VALUE"""),129.62)</f>
        <v>129.62</v>
      </c>
      <c r="H377" s="60"/>
      <c r="I377" s="60"/>
    </row>
    <row r="378" ht="15.75" customHeight="1">
      <c r="A378" s="55" t="str">
        <f t="shared" si="1"/>
        <v>0824GOLD</v>
      </c>
      <c r="B378" s="62">
        <f t="shared" ref="B378:D378" si="377">B377</f>
        <v>45518</v>
      </c>
      <c r="C378" s="63" t="str">
        <f t="shared" si="377"/>
        <v>GOLD</v>
      </c>
      <c r="D378" s="63" t="str">
        <f t="shared" si="377"/>
        <v>NY</v>
      </c>
      <c r="E378" s="51">
        <v>4.0</v>
      </c>
      <c r="F378" s="60">
        <f>IFERROR(__xludf.DUMMYFUNCTION("""COMPUTED_VALUE"""),77.0)</f>
        <v>77</v>
      </c>
      <c r="G378" s="60"/>
      <c r="H378" s="60">
        <f>IFERROR(__xludf.DUMMYFUNCTION("""COMPUTED_VALUE"""),40.99)</f>
        <v>40.99</v>
      </c>
      <c r="I378" s="60"/>
    </row>
    <row r="379" ht="15.75" customHeight="1">
      <c r="A379" s="55" t="str">
        <f t="shared" si="1"/>
        <v>0824GOLD</v>
      </c>
      <c r="B379" s="62">
        <f t="shared" ref="B379:D379" si="378">B378</f>
        <v>45518</v>
      </c>
      <c r="C379" s="63" t="str">
        <f t="shared" si="378"/>
        <v>GOLD</v>
      </c>
      <c r="D379" s="63" t="str">
        <f t="shared" si="378"/>
        <v>NY</v>
      </c>
      <c r="E379" s="51">
        <v>4.0</v>
      </c>
      <c r="F379" s="60">
        <f>IFERROR(__xludf.DUMMYFUNCTION("""COMPUTED_VALUE"""),78.0)</f>
        <v>78</v>
      </c>
      <c r="G379" s="60">
        <f>IFERROR(__xludf.DUMMYFUNCTION("""COMPUTED_VALUE"""),141.21)</f>
        <v>141.21</v>
      </c>
      <c r="H379" s="60"/>
      <c r="I379" s="60"/>
    </row>
    <row r="380" ht="15.75" customHeight="1">
      <c r="A380" s="55" t="str">
        <f t="shared" si="1"/>
        <v>0824GOLD</v>
      </c>
      <c r="B380" s="62">
        <f t="shared" ref="B380:D380" si="379">B379</f>
        <v>45518</v>
      </c>
      <c r="C380" s="63" t="str">
        <f t="shared" si="379"/>
        <v>GOLD</v>
      </c>
      <c r="D380" s="63" t="str">
        <f t="shared" si="379"/>
        <v>NY</v>
      </c>
      <c r="E380" s="51">
        <v>4.0</v>
      </c>
      <c r="F380" s="60">
        <f>IFERROR(__xludf.DUMMYFUNCTION("""COMPUTED_VALUE"""),79.0)</f>
        <v>79</v>
      </c>
      <c r="G380" s="60">
        <f>IFERROR(__xludf.DUMMYFUNCTION("""COMPUTED_VALUE"""),158.44)</f>
        <v>158.44</v>
      </c>
      <c r="H380" s="60"/>
      <c r="I380" s="60"/>
    </row>
    <row r="381" ht="15.75" customHeight="1">
      <c r="A381" s="55" t="str">
        <f t="shared" si="1"/>
        <v>0824GOLD</v>
      </c>
      <c r="B381" s="62">
        <f t="shared" ref="B381:D381" si="380">B380</f>
        <v>45518</v>
      </c>
      <c r="C381" s="63" t="str">
        <f t="shared" si="380"/>
        <v>GOLD</v>
      </c>
      <c r="D381" s="63" t="str">
        <f t="shared" si="380"/>
        <v>NY</v>
      </c>
      <c r="E381" s="51">
        <v>4.0</v>
      </c>
      <c r="F381" s="60">
        <f>IFERROR(__xludf.DUMMYFUNCTION("""COMPUTED_VALUE"""),80.0)</f>
        <v>80</v>
      </c>
      <c r="G381" s="60"/>
      <c r="H381" s="60">
        <f>IFERROR(__xludf.DUMMYFUNCTION("""COMPUTED_VALUE"""),93.64)</f>
        <v>93.64</v>
      </c>
      <c r="I381" s="60"/>
    </row>
    <row r="382" ht="15.75" customHeight="1">
      <c r="A382" s="55" t="str">
        <f t="shared" si="1"/>
        <v>0824GOLD</v>
      </c>
      <c r="B382" s="62">
        <f t="shared" ref="B382:D382" si="381">B381</f>
        <v>45518</v>
      </c>
      <c r="C382" s="63" t="str">
        <f t="shared" si="381"/>
        <v>GOLD</v>
      </c>
      <c r="D382" s="63" t="str">
        <f t="shared" si="381"/>
        <v>NY</v>
      </c>
      <c r="E382" s="51">
        <v>4.0</v>
      </c>
      <c r="F382" s="60">
        <f>IFERROR(__xludf.DUMMYFUNCTION("""COMPUTED_VALUE"""),81.0)</f>
        <v>81</v>
      </c>
      <c r="G382" s="60"/>
      <c r="H382" s="60">
        <f>IFERROR(__xludf.DUMMYFUNCTION("""COMPUTED_VALUE"""),90.76)</f>
        <v>90.76</v>
      </c>
      <c r="I382" s="60"/>
    </row>
    <row r="383" ht="15.75" customHeight="1">
      <c r="A383" s="55" t="str">
        <f t="shared" si="1"/>
        <v>0824GOLD</v>
      </c>
      <c r="B383" s="62">
        <f t="shared" ref="B383:D383" si="382">B382</f>
        <v>45518</v>
      </c>
      <c r="C383" s="63" t="str">
        <f t="shared" si="382"/>
        <v>GOLD</v>
      </c>
      <c r="D383" s="63" t="str">
        <f t="shared" si="382"/>
        <v>NY</v>
      </c>
      <c r="E383" s="51">
        <v>4.0</v>
      </c>
      <c r="F383" s="60">
        <f>IFERROR(__xludf.DUMMYFUNCTION("""COMPUTED_VALUE"""),82.0)</f>
        <v>82</v>
      </c>
      <c r="G383" s="60"/>
      <c r="H383" s="60">
        <f>IFERROR(__xludf.DUMMYFUNCTION("""COMPUTED_VALUE"""),53.72)</f>
        <v>53.72</v>
      </c>
      <c r="I383" s="60"/>
    </row>
    <row r="384" ht="15.75" customHeight="1">
      <c r="A384" s="55" t="str">
        <f t="shared" si="1"/>
        <v>0824GOLD</v>
      </c>
      <c r="B384" s="62">
        <f t="shared" ref="B384:D384" si="383">B383</f>
        <v>45518</v>
      </c>
      <c r="C384" s="63" t="str">
        <f t="shared" si="383"/>
        <v>GOLD</v>
      </c>
      <c r="D384" s="63" t="str">
        <f t="shared" si="383"/>
        <v>NY</v>
      </c>
      <c r="E384" s="51">
        <v>4.0</v>
      </c>
      <c r="F384" s="60">
        <f>IFERROR(__xludf.DUMMYFUNCTION("""COMPUTED_VALUE"""),83.0)</f>
        <v>83</v>
      </c>
      <c r="G384" s="60"/>
      <c r="H384" s="60">
        <f>IFERROR(__xludf.DUMMYFUNCTION("""COMPUTED_VALUE"""),37.06)</f>
        <v>37.06</v>
      </c>
      <c r="I384" s="60"/>
    </row>
    <row r="385" ht="15.75" customHeight="1">
      <c r="A385" s="55" t="str">
        <f t="shared" si="1"/>
        <v>0824GOLD</v>
      </c>
      <c r="B385" s="62">
        <f t="shared" ref="B385:D385" si="384">B384</f>
        <v>45518</v>
      </c>
      <c r="C385" s="63" t="str">
        <f t="shared" si="384"/>
        <v>GOLD</v>
      </c>
      <c r="D385" s="63" t="str">
        <f t="shared" si="384"/>
        <v>NY</v>
      </c>
      <c r="E385" s="51">
        <v>4.0</v>
      </c>
      <c r="F385" s="60">
        <f>IFERROR(__xludf.DUMMYFUNCTION("""COMPUTED_VALUE"""),84.0)</f>
        <v>84</v>
      </c>
      <c r="G385" s="60">
        <f>IFERROR(__xludf.DUMMYFUNCTION("""COMPUTED_VALUE"""),116.53)</f>
        <v>116.53</v>
      </c>
      <c r="H385" s="60"/>
      <c r="I385" s="60"/>
    </row>
    <row r="386" ht="15.75" customHeight="1">
      <c r="A386" s="55" t="str">
        <f t="shared" si="1"/>
        <v>0824GOLD</v>
      </c>
      <c r="B386" s="62">
        <f t="shared" ref="B386:D386" si="385">B385</f>
        <v>45518</v>
      </c>
      <c r="C386" s="63" t="str">
        <f t="shared" si="385"/>
        <v>GOLD</v>
      </c>
      <c r="D386" s="63" t="str">
        <f t="shared" si="385"/>
        <v>NY</v>
      </c>
      <c r="E386" s="51">
        <v>4.0</v>
      </c>
      <c r="F386" s="60">
        <f>IFERROR(__xludf.DUMMYFUNCTION("""COMPUTED_VALUE"""),85.0)</f>
        <v>85</v>
      </c>
      <c r="G386" s="60">
        <f>IFERROR(__xludf.DUMMYFUNCTION("""COMPUTED_VALUE"""),113.41)</f>
        <v>113.41</v>
      </c>
      <c r="H386" s="60"/>
      <c r="I386" s="60"/>
    </row>
    <row r="387" ht="15.75" customHeight="1">
      <c r="A387" s="55" t="str">
        <f t="shared" si="1"/>
        <v>0824GOLD</v>
      </c>
      <c r="B387" s="62">
        <f t="shared" ref="B387:D387" si="386">B386</f>
        <v>45518</v>
      </c>
      <c r="C387" s="63" t="str">
        <f t="shared" si="386"/>
        <v>GOLD</v>
      </c>
      <c r="D387" s="63" t="str">
        <f t="shared" si="386"/>
        <v>NY</v>
      </c>
      <c r="E387" s="51">
        <v>4.0</v>
      </c>
      <c r="F387" s="60">
        <f>IFERROR(__xludf.DUMMYFUNCTION("""COMPUTED_VALUE"""),86.0)</f>
        <v>86</v>
      </c>
      <c r="G387" s="60"/>
      <c r="H387" s="60">
        <f>IFERROR(__xludf.DUMMYFUNCTION("""COMPUTED_VALUE"""),66.39)</f>
        <v>66.39</v>
      </c>
      <c r="I387" s="60"/>
    </row>
    <row r="388" ht="15.75" customHeight="1">
      <c r="A388" s="55" t="str">
        <f t="shared" si="1"/>
        <v>0824GOLD</v>
      </c>
      <c r="B388" s="62">
        <f t="shared" ref="B388:D388" si="387">B387</f>
        <v>45518</v>
      </c>
      <c r="C388" s="63" t="str">
        <f t="shared" si="387"/>
        <v>GOLD</v>
      </c>
      <c r="D388" s="63" t="str">
        <f t="shared" si="387"/>
        <v>NY</v>
      </c>
      <c r="E388" s="51">
        <v>4.0</v>
      </c>
      <c r="F388" s="60">
        <f>IFERROR(__xludf.DUMMYFUNCTION("""COMPUTED_VALUE"""),87.0)</f>
        <v>87</v>
      </c>
      <c r="G388" s="60"/>
      <c r="H388" s="60">
        <f>IFERROR(__xludf.DUMMYFUNCTION("""COMPUTED_VALUE"""),57.03)</f>
        <v>57.03</v>
      </c>
      <c r="I388" s="60"/>
    </row>
    <row r="389" ht="15.75" customHeight="1">
      <c r="A389" s="55" t="str">
        <f t="shared" si="1"/>
        <v>0824GOLD</v>
      </c>
      <c r="B389" s="62">
        <f t="shared" ref="B389:D389" si="388">B388</f>
        <v>45518</v>
      </c>
      <c r="C389" s="63" t="str">
        <f t="shared" si="388"/>
        <v>GOLD</v>
      </c>
      <c r="D389" s="63" t="str">
        <f t="shared" si="388"/>
        <v>NY</v>
      </c>
      <c r="E389" s="51">
        <v>4.0</v>
      </c>
      <c r="F389" s="60">
        <f>IFERROR(__xludf.DUMMYFUNCTION("""COMPUTED_VALUE"""),88.0)</f>
        <v>88</v>
      </c>
      <c r="G389" s="60"/>
      <c r="H389" s="60">
        <f>IFERROR(__xludf.DUMMYFUNCTION("""COMPUTED_VALUE"""),63.92)</f>
        <v>63.92</v>
      </c>
      <c r="I389" s="60"/>
    </row>
    <row r="390" ht="15.75" customHeight="1">
      <c r="A390" s="55" t="str">
        <f t="shared" si="1"/>
        <v>0824GOLD</v>
      </c>
      <c r="B390" s="62">
        <f t="shared" ref="B390:D390" si="389">B389</f>
        <v>45518</v>
      </c>
      <c r="C390" s="63" t="str">
        <f t="shared" si="389"/>
        <v>GOLD</v>
      </c>
      <c r="D390" s="63" t="str">
        <f t="shared" si="389"/>
        <v>NY</v>
      </c>
      <c r="E390" s="51">
        <v>4.0</v>
      </c>
      <c r="F390" s="60">
        <f>IFERROR(__xludf.DUMMYFUNCTION("""COMPUTED_VALUE"""),89.0)</f>
        <v>89</v>
      </c>
      <c r="G390" s="60"/>
      <c r="H390" s="60">
        <f>IFERROR(__xludf.DUMMYFUNCTION("""COMPUTED_VALUE"""),84.76)</f>
        <v>84.76</v>
      </c>
      <c r="I390" s="60"/>
    </row>
    <row r="391" ht="15.75" customHeight="1">
      <c r="A391" s="55" t="str">
        <f t="shared" si="1"/>
        <v>0824GOLD</v>
      </c>
      <c r="B391" s="62">
        <f t="shared" ref="B391:D391" si="390">B390</f>
        <v>45518</v>
      </c>
      <c r="C391" s="63" t="str">
        <f t="shared" si="390"/>
        <v>GOLD</v>
      </c>
      <c r="D391" s="63" t="str">
        <f t="shared" si="390"/>
        <v>NY</v>
      </c>
      <c r="E391" s="51">
        <v>4.0</v>
      </c>
      <c r="F391" s="60">
        <f>IFERROR(__xludf.DUMMYFUNCTION("""COMPUTED_VALUE"""),90.0)</f>
        <v>90</v>
      </c>
      <c r="G391" s="60"/>
      <c r="H391" s="60">
        <f>IFERROR(__xludf.DUMMYFUNCTION("""COMPUTED_VALUE"""),33.06)</f>
        <v>33.06</v>
      </c>
      <c r="I391" s="60"/>
    </row>
    <row r="392" ht="15.75" customHeight="1">
      <c r="A392" s="55" t="str">
        <f t="shared" si="1"/>
        <v>0824GOLD</v>
      </c>
      <c r="B392" s="62">
        <f t="shared" ref="B392:D392" si="391">B391</f>
        <v>45518</v>
      </c>
      <c r="C392" s="63" t="str">
        <f t="shared" si="391"/>
        <v>GOLD</v>
      </c>
      <c r="D392" s="63" t="str">
        <f t="shared" si="391"/>
        <v>NY</v>
      </c>
      <c r="E392" s="51">
        <v>4.0</v>
      </c>
      <c r="F392" s="60">
        <f>IFERROR(__xludf.DUMMYFUNCTION("""COMPUTED_VALUE"""),91.0)</f>
        <v>91</v>
      </c>
      <c r="G392" s="60"/>
      <c r="H392" s="60">
        <f>IFERROR(__xludf.DUMMYFUNCTION("""COMPUTED_VALUE"""),54.96)</f>
        <v>54.96</v>
      </c>
      <c r="I392" s="60"/>
    </row>
    <row r="393" ht="15.75" customHeight="1">
      <c r="A393" s="55" t="str">
        <f t="shared" si="1"/>
        <v>0824GOLD</v>
      </c>
      <c r="B393" s="62">
        <f t="shared" ref="B393:D393" si="392">B392</f>
        <v>45518</v>
      </c>
      <c r="C393" s="63" t="str">
        <f t="shared" si="392"/>
        <v>GOLD</v>
      </c>
      <c r="D393" s="63" t="str">
        <f t="shared" si="392"/>
        <v>NY</v>
      </c>
      <c r="E393" s="51">
        <v>4.0</v>
      </c>
      <c r="F393" s="60">
        <f>IFERROR(__xludf.DUMMYFUNCTION("""COMPUTED_VALUE"""),92.0)</f>
        <v>92</v>
      </c>
      <c r="G393" s="60">
        <f>IFERROR(__xludf.DUMMYFUNCTION("""COMPUTED_VALUE"""),118.96)</f>
        <v>118.96</v>
      </c>
      <c r="H393" s="60"/>
      <c r="I393" s="60"/>
    </row>
    <row r="394" ht="15.75" customHeight="1">
      <c r="A394" s="55" t="str">
        <f t="shared" si="1"/>
        <v>0824GOLD</v>
      </c>
      <c r="B394" s="62">
        <f t="shared" ref="B394:D394" si="393">B393</f>
        <v>45518</v>
      </c>
      <c r="C394" s="63" t="str">
        <f t="shared" si="393"/>
        <v>GOLD</v>
      </c>
      <c r="D394" s="63" t="str">
        <f t="shared" si="393"/>
        <v>NY</v>
      </c>
      <c r="E394" s="51">
        <v>4.0</v>
      </c>
      <c r="F394" s="60">
        <f>IFERROR(__xludf.DUMMYFUNCTION("""COMPUTED_VALUE"""),93.0)</f>
        <v>93</v>
      </c>
      <c r="G394" s="60"/>
      <c r="H394" s="60">
        <f>IFERROR(__xludf.DUMMYFUNCTION("""COMPUTED_VALUE"""),104.56)</f>
        <v>104.56</v>
      </c>
      <c r="I394" s="60"/>
    </row>
    <row r="395" ht="15.75" customHeight="1">
      <c r="A395" s="55" t="str">
        <f t="shared" si="1"/>
        <v>0824GOLD</v>
      </c>
      <c r="B395" s="62">
        <f t="shared" ref="B395:D395" si="394">B394</f>
        <v>45518</v>
      </c>
      <c r="C395" s="63" t="str">
        <f t="shared" si="394"/>
        <v>GOLD</v>
      </c>
      <c r="D395" s="63" t="str">
        <f t="shared" si="394"/>
        <v>NY</v>
      </c>
      <c r="E395" s="51">
        <v>4.0</v>
      </c>
      <c r="F395" s="60">
        <f>IFERROR(__xludf.DUMMYFUNCTION("""COMPUTED_VALUE"""),94.0)</f>
        <v>94</v>
      </c>
      <c r="G395" s="60">
        <f>IFERROR(__xludf.DUMMYFUNCTION("""COMPUTED_VALUE"""),96.63)</f>
        <v>96.63</v>
      </c>
      <c r="H395" s="60"/>
      <c r="I395" s="60"/>
    </row>
    <row r="396" ht="15.75" customHeight="1">
      <c r="A396" s="55" t="str">
        <f t="shared" si="1"/>
        <v>0824GOLD</v>
      </c>
      <c r="B396" s="62">
        <f t="shared" ref="B396:D396" si="395">B395</f>
        <v>45518</v>
      </c>
      <c r="C396" s="63" t="str">
        <f t="shared" si="395"/>
        <v>GOLD</v>
      </c>
      <c r="D396" s="63" t="str">
        <f t="shared" si="395"/>
        <v>NY</v>
      </c>
      <c r="E396" s="51">
        <v>4.0</v>
      </c>
      <c r="F396" s="60">
        <f>IFERROR(__xludf.DUMMYFUNCTION("""COMPUTED_VALUE"""),95.0)</f>
        <v>95</v>
      </c>
      <c r="G396" s="60">
        <f>IFERROR(__xludf.DUMMYFUNCTION("""COMPUTED_VALUE"""),135.7)</f>
        <v>135.7</v>
      </c>
      <c r="H396" s="60"/>
      <c r="I396" s="60"/>
    </row>
    <row r="397" ht="15.75" customHeight="1">
      <c r="A397" s="55" t="str">
        <f t="shared" si="1"/>
        <v>0824GOLD</v>
      </c>
      <c r="B397" s="62">
        <f t="shared" ref="B397:D397" si="396">B396</f>
        <v>45518</v>
      </c>
      <c r="C397" s="63" t="str">
        <f t="shared" si="396"/>
        <v>GOLD</v>
      </c>
      <c r="D397" s="63" t="str">
        <f t="shared" si="396"/>
        <v>NY</v>
      </c>
      <c r="E397" s="51">
        <v>4.0</v>
      </c>
      <c r="F397" s="60">
        <f>IFERROR(__xludf.DUMMYFUNCTION("""COMPUTED_VALUE"""),96.0)</f>
        <v>96</v>
      </c>
      <c r="G397" s="60">
        <f>IFERROR(__xludf.DUMMYFUNCTION("""COMPUTED_VALUE"""),128.96)</f>
        <v>128.96</v>
      </c>
      <c r="H397" s="60"/>
      <c r="I397" s="60"/>
    </row>
    <row r="398" ht="15.75" customHeight="1">
      <c r="A398" s="55" t="str">
        <f t="shared" si="1"/>
        <v>0824GOLD</v>
      </c>
      <c r="B398" s="62">
        <f t="shared" ref="B398:D398" si="397">B397</f>
        <v>45518</v>
      </c>
      <c r="C398" s="63" t="str">
        <f t="shared" si="397"/>
        <v>GOLD</v>
      </c>
      <c r="D398" s="63" t="str">
        <f t="shared" si="397"/>
        <v>NY</v>
      </c>
      <c r="E398" s="51">
        <v>4.0</v>
      </c>
      <c r="F398" s="60">
        <f>IFERROR(__xludf.DUMMYFUNCTION("""COMPUTED_VALUE"""),97.0)</f>
        <v>97</v>
      </c>
      <c r="G398" s="60"/>
      <c r="H398" s="60"/>
      <c r="I398" s="60"/>
    </row>
    <row r="399" ht="15.75" customHeight="1">
      <c r="A399" s="55" t="str">
        <f t="shared" si="1"/>
        <v>0824GOLD</v>
      </c>
      <c r="B399" s="62">
        <f t="shared" ref="B399:D399" si="398">B398</f>
        <v>45518</v>
      </c>
      <c r="C399" s="63" t="str">
        <f t="shared" si="398"/>
        <v>GOLD</v>
      </c>
      <c r="D399" s="63" t="str">
        <f t="shared" si="398"/>
        <v>NY</v>
      </c>
      <c r="E399" s="51">
        <v>4.0</v>
      </c>
      <c r="F399" s="60">
        <f>IFERROR(__xludf.DUMMYFUNCTION("""COMPUTED_VALUE"""),98.0)</f>
        <v>98</v>
      </c>
      <c r="G399" s="60"/>
      <c r="H399" s="60"/>
      <c r="I399" s="60"/>
    </row>
    <row r="400" ht="15.75" customHeight="1">
      <c r="A400" s="55" t="str">
        <f t="shared" si="1"/>
        <v>0824GOLD</v>
      </c>
      <c r="B400" s="62">
        <f t="shared" ref="B400:D400" si="399">B399</f>
        <v>45518</v>
      </c>
      <c r="C400" s="63" t="str">
        <f t="shared" si="399"/>
        <v>GOLD</v>
      </c>
      <c r="D400" s="63" t="str">
        <f t="shared" si="399"/>
        <v>NY</v>
      </c>
      <c r="E400" s="51">
        <v>4.0</v>
      </c>
      <c r="F400" s="60">
        <f>IFERROR(__xludf.DUMMYFUNCTION("""COMPUTED_VALUE"""),99.0)</f>
        <v>99</v>
      </c>
      <c r="G400" s="60"/>
      <c r="H400" s="60"/>
      <c r="I400" s="60"/>
    </row>
    <row r="401" ht="15.75" customHeight="1">
      <c r="A401" s="55" t="str">
        <f t="shared" si="1"/>
        <v>0824GOLD</v>
      </c>
      <c r="B401" s="62">
        <f t="shared" ref="B401:D401" si="400">B400</f>
        <v>45518</v>
      </c>
      <c r="C401" s="63" t="str">
        <f t="shared" si="400"/>
        <v>GOLD</v>
      </c>
      <c r="D401" s="63" t="str">
        <f t="shared" si="400"/>
        <v>NY</v>
      </c>
      <c r="E401" s="51">
        <v>4.0</v>
      </c>
      <c r="F401" s="60">
        <f>IFERROR(__xludf.DUMMYFUNCTION("""COMPUTED_VALUE"""),100.0)</f>
        <v>100</v>
      </c>
      <c r="G401" s="60"/>
      <c r="H401" s="60"/>
      <c r="I401" s="60"/>
    </row>
    <row r="402" ht="15.75" customHeight="1">
      <c r="A402" s="55" t="str">
        <f t="shared" si="1"/>
        <v>0824GOLD</v>
      </c>
      <c r="B402" s="62">
        <f t="shared" ref="B402:D402" si="401">B401</f>
        <v>45518</v>
      </c>
      <c r="C402" s="63" t="str">
        <f t="shared" si="401"/>
        <v>GOLD</v>
      </c>
      <c r="D402" s="63" t="str">
        <f t="shared" si="401"/>
        <v>NY</v>
      </c>
      <c r="E402" s="64">
        <v>5.0</v>
      </c>
      <c r="F402" s="51">
        <f>IFERROR(__xludf.DUMMYFUNCTION("""COMPUTED_VALUE"""),1.0)</f>
        <v>1</v>
      </c>
      <c r="G402" s="51">
        <f>IFERROR(__xludf.DUMMYFUNCTION("""COMPUTED_VALUE"""),71.26)</f>
        <v>71.26</v>
      </c>
      <c r="H402" s="51"/>
      <c r="I402" s="51"/>
    </row>
    <row r="403" ht="15.75" customHeight="1">
      <c r="A403" s="55" t="str">
        <f t="shared" si="1"/>
        <v>0824GOLD</v>
      </c>
      <c r="B403" s="62">
        <f t="shared" ref="B403:D403" si="402">B402</f>
        <v>45518</v>
      </c>
      <c r="C403" s="63" t="str">
        <f t="shared" si="402"/>
        <v>GOLD</v>
      </c>
      <c r="D403" s="63" t="str">
        <f t="shared" si="402"/>
        <v>NY</v>
      </c>
      <c r="E403" s="64">
        <v>5.0</v>
      </c>
      <c r="F403" s="51">
        <f>IFERROR(__xludf.DUMMYFUNCTION("""COMPUTED_VALUE"""),2.0)</f>
        <v>2</v>
      </c>
      <c r="G403" s="51">
        <f>IFERROR(__xludf.DUMMYFUNCTION("""COMPUTED_VALUE"""),85.92)</f>
        <v>85.92</v>
      </c>
      <c r="H403" s="51"/>
      <c r="I403" s="51"/>
    </row>
    <row r="404" ht="15.75" customHeight="1">
      <c r="A404" s="55" t="str">
        <f t="shared" si="1"/>
        <v>0824GOLD</v>
      </c>
      <c r="B404" s="62">
        <f t="shared" ref="B404:D404" si="403">B403</f>
        <v>45518</v>
      </c>
      <c r="C404" s="63" t="str">
        <f t="shared" si="403"/>
        <v>GOLD</v>
      </c>
      <c r="D404" s="63" t="str">
        <f t="shared" si="403"/>
        <v>NY</v>
      </c>
      <c r="E404" s="64">
        <v>5.0</v>
      </c>
      <c r="F404" s="51">
        <f>IFERROR(__xludf.DUMMYFUNCTION("""COMPUTED_VALUE"""),3.0)</f>
        <v>3</v>
      </c>
      <c r="G404" s="51"/>
      <c r="H404" s="51">
        <f>IFERROR(__xludf.DUMMYFUNCTION("""COMPUTED_VALUE"""),43.36)</f>
        <v>43.36</v>
      </c>
      <c r="I404" s="51"/>
    </row>
    <row r="405" ht="15.75" customHeight="1">
      <c r="A405" s="55" t="str">
        <f t="shared" si="1"/>
        <v>0824GOLD</v>
      </c>
      <c r="B405" s="62">
        <f t="shared" ref="B405:D405" si="404">B404</f>
        <v>45518</v>
      </c>
      <c r="C405" s="63" t="str">
        <f t="shared" si="404"/>
        <v>GOLD</v>
      </c>
      <c r="D405" s="63" t="str">
        <f t="shared" si="404"/>
        <v>NY</v>
      </c>
      <c r="E405" s="64">
        <v>5.0</v>
      </c>
      <c r="F405" s="51">
        <f>IFERROR(__xludf.DUMMYFUNCTION("""COMPUTED_VALUE"""),4.0)</f>
        <v>4</v>
      </c>
      <c r="G405" s="51">
        <f>IFERROR(__xludf.DUMMYFUNCTION("""COMPUTED_VALUE"""),114.9)</f>
        <v>114.9</v>
      </c>
      <c r="H405" s="51"/>
      <c r="I405" s="51"/>
    </row>
    <row r="406" ht="15.75" customHeight="1">
      <c r="A406" s="55" t="str">
        <f t="shared" si="1"/>
        <v>0824GOLD</v>
      </c>
      <c r="B406" s="62">
        <f t="shared" ref="B406:D406" si="405">B405</f>
        <v>45518</v>
      </c>
      <c r="C406" s="63" t="str">
        <f t="shared" si="405"/>
        <v>GOLD</v>
      </c>
      <c r="D406" s="63" t="str">
        <f t="shared" si="405"/>
        <v>NY</v>
      </c>
      <c r="E406" s="64">
        <v>5.0</v>
      </c>
      <c r="F406" s="51">
        <f>IFERROR(__xludf.DUMMYFUNCTION("""COMPUTED_VALUE"""),5.0)</f>
        <v>5</v>
      </c>
      <c r="G406" s="51"/>
      <c r="H406" s="51">
        <f>IFERROR(__xludf.DUMMYFUNCTION("""COMPUTED_VALUE"""),48.27)</f>
        <v>48.27</v>
      </c>
      <c r="I406" s="51"/>
    </row>
    <row r="407" ht="15.75" customHeight="1">
      <c r="A407" s="55" t="str">
        <f t="shared" si="1"/>
        <v>0824GOLD</v>
      </c>
      <c r="B407" s="62">
        <f t="shared" ref="B407:D407" si="406">B406</f>
        <v>45518</v>
      </c>
      <c r="C407" s="63" t="str">
        <f t="shared" si="406"/>
        <v>GOLD</v>
      </c>
      <c r="D407" s="63" t="str">
        <f t="shared" si="406"/>
        <v>NY</v>
      </c>
      <c r="E407" s="64">
        <v>5.0</v>
      </c>
      <c r="F407" s="51">
        <f>IFERROR(__xludf.DUMMYFUNCTION("""COMPUTED_VALUE"""),6.0)</f>
        <v>6</v>
      </c>
      <c r="G407" s="51"/>
      <c r="H407" s="51">
        <f>IFERROR(__xludf.DUMMYFUNCTION("""COMPUTED_VALUE"""),43.13)</f>
        <v>43.13</v>
      </c>
      <c r="I407" s="51"/>
    </row>
    <row r="408" ht="15.75" customHeight="1">
      <c r="A408" s="55" t="str">
        <f t="shared" si="1"/>
        <v>0824GOLD</v>
      </c>
      <c r="B408" s="62">
        <f t="shared" ref="B408:D408" si="407">B407</f>
        <v>45518</v>
      </c>
      <c r="C408" s="63" t="str">
        <f t="shared" si="407"/>
        <v>GOLD</v>
      </c>
      <c r="D408" s="63" t="str">
        <f t="shared" si="407"/>
        <v>NY</v>
      </c>
      <c r="E408" s="64">
        <v>5.0</v>
      </c>
      <c r="F408" s="51">
        <f>IFERROR(__xludf.DUMMYFUNCTION("""COMPUTED_VALUE"""),7.0)</f>
        <v>7</v>
      </c>
      <c r="G408" s="51"/>
      <c r="H408" s="51">
        <f>IFERROR(__xludf.DUMMYFUNCTION("""COMPUTED_VALUE"""),39.84)</f>
        <v>39.84</v>
      </c>
      <c r="I408" s="51"/>
    </row>
    <row r="409" ht="15.75" customHeight="1">
      <c r="A409" s="55" t="str">
        <f t="shared" si="1"/>
        <v>0824GOLD</v>
      </c>
      <c r="B409" s="62">
        <f t="shared" ref="B409:D409" si="408">B408</f>
        <v>45518</v>
      </c>
      <c r="C409" s="63" t="str">
        <f t="shared" si="408"/>
        <v>GOLD</v>
      </c>
      <c r="D409" s="63" t="str">
        <f t="shared" si="408"/>
        <v>NY</v>
      </c>
      <c r="E409" s="64">
        <v>5.0</v>
      </c>
      <c r="F409" s="51">
        <f>IFERROR(__xludf.DUMMYFUNCTION("""COMPUTED_VALUE"""),8.0)</f>
        <v>8</v>
      </c>
      <c r="G409" s="51"/>
      <c r="H409" s="51">
        <f>IFERROR(__xludf.DUMMYFUNCTION("""COMPUTED_VALUE"""),27.84)</f>
        <v>27.84</v>
      </c>
      <c r="I409" s="51"/>
    </row>
    <row r="410" ht="15.75" customHeight="1">
      <c r="A410" s="55" t="str">
        <f t="shared" si="1"/>
        <v>0824GOLD</v>
      </c>
      <c r="B410" s="62">
        <f t="shared" ref="B410:D410" si="409">B409</f>
        <v>45518</v>
      </c>
      <c r="C410" s="63" t="str">
        <f t="shared" si="409"/>
        <v>GOLD</v>
      </c>
      <c r="D410" s="63" t="str">
        <f t="shared" si="409"/>
        <v>NY</v>
      </c>
      <c r="E410" s="64">
        <v>5.0</v>
      </c>
      <c r="F410" s="51">
        <f>IFERROR(__xludf.DUMMYFUNCTION("""COMPUTED_VALUE"""),9.0)</f>
        <v>9</v>
      </c>
      <c r="G410" s="51">
        <f>IFERROR(__xludf.DUMMYFUNCTION("""COMPUTED_VALUE"""),56.11)</f>
        <v>56.11</v>
      </c>
      <c r="H410" s="51"/>
      <c r="I410" s="51"/>
    </row>
    <row r="411" ht="15.75" customHeight="1">
      <c r="A411" s="55" t="str">
        <f t="shared" si="1"/>
        <v>0824GOLD</v>
      </c>
      <c r="B411" s="62">
        <f t="shared" ref="B411:D411" si="410">B410</f>
        <v>45518</v>
      </c>
      <c r="C411" s="63" t="str">
        <f t="shared" si="410"/>
        <v>GOLD</v>
      </c>
      <c r="D411" s="63" t="str">
        <f t="shared" si="410"/>
        <v>NY</v>
      </c>
      <c r="E411" s="64">
        <v>5.0</v>
      </c>
      <c r="F411" s="51">
        <f>IFERROR(__xludf.DUMMYFUNCTION("""COMPUTED_VALUE"""),10.0)</f>
        <v>10</v>
      </c>
      <c r="G411" s="51">
        <f>IFERROR(__xludf.DUMMYFUNCTION("""COMPUTED_VALUE"""),115.63)</f>
        <v>115.63</v>
      </c>
      <c r="H411" s="51"/>
      <c r="I411" s="51"/>
    </row>
    <row r="412" ht="15.75" customHeight="1">
      <c r="A412" s="55" t="str">
        <f t="shared" si="1"/>
        <v>0824GOLD</v>
      </c>
      <c r="B412" s="62">
        <f t="shared" ref="B412:D412" si="411">B411</f>
        <v>45518</v>
      </c>
      <c r="C412" s="63" t="str">
        <f t="shared" si="411"/>
        <v>GOLD</v>
      </c>
      <c r="D412" s="63" t="str">
        <f t="shared" si="411"/>
        <v>NY</v>
      </c>
      <c r="E412" s="64">
        <v>5.0</v>
      </c>
      <c r="F412" s="51">
        <f>IFERROR(__xludf.DUMMYFUNCTION("""COMPUTED_VALUE"""),11.0)</f>
        <v>11</v>
      </c>
      <c r="G412" s="51">
        <f>IFERROR(__xludf.DUMMYFUNCTION("""COMPUTED_VALUE"""),69.86)</f>
        <v>69.86</v>
      </c>
      <c r="H412" s="51"/>
      <c r="I412" s="51"/>
    </row>
    <row r="413" ht="15.75" customHeight="1">
      <c r="A413" s="55" t="str">
        <f t="shared" si="1"/>
        <v>0824GOLD</v>
      </c>
      <c r="B413" s="62">
        <f t="shared" ref="B413:D413" si="412">B412</f>
        <v>45518</v>
      </c>
      <c r="C413" s="63" t="str">
        <f t="shared" si="412"/>
        <v>GOLD</v>
      </c>
      <c r="D413" s="63" t="str">
        <f t="shared" si="412"/>
        <v>NY</v>
      </c>
      <c r="E413" s="64">
        <v>5.0</v>
      </c>
      <c r="F413" s="51">
        <f>IFERROR(__xludf.DUMMYFUNCTION("""COMPUTED_VALUE"""),12.0)</f>
        <v>12</v>
      </c>
      <c r="G413" s="51">
        <f>IFERROR(__xludf.DUMMYFUNCTION("""COMPUTED_VALUE"""),61.46)</f>
        <v>61.46</v>
      </c>
      <c r="H413" s="51"/>
      <c r="I413" s="51"/>
    </row>
    <row r="414" ht="15.75" customHeight="1">
      <c r="A414" s="55" t="str">
        <f t="shared" si="1"/>
        <v>0824GOLD</v>
      </c>
      <c r="B414" s="62">
        <f t="shared" ref="B414:D414" si="413">B413</f>
        <v>45518</v>
      </c>
      <c r="C414" s="63" t="str">
        <f t="shared" si="413"/>
        <v>GOLD</v>
      </c>
      <c r="D414" s="63" t="str">
        <f t="shared" si="413"/>
        <v>NY</v>
      </c>
      <c r="E414" s="64">
        <v>5.0</v>
      </c>
      <c r="F414" s="51">
        <f>IFERROR(__xludf.DUMMYFUNCTION("""COMPUTED_VALUE"""),13.0)</f>
        <v>13</v>
      </c>
      <c r="G414" s="51"/>
      <c r="H414" s="51">
        <f>IFERROR(__xludf.DUMMYFUNCTION("""COMPUTED_VALUE"""),57.22)</f>
        <v>57.22</v>
      </c>
      <c r="I414" s="51"/>
    </row>
    <row r="415" ht="15.75" customHeight="1">
      <c r="A415" s="55" t="str">
        <f t="shared" si="1"/>
        <v>0824GOLD</v>
      </c>
      <c r="B415" s="62">
        <f t="shared" ref="B415:D415" si="414">B414</f>
        <v>45518</v>
      </c>
      <c r="C415" s="63" t="str">
        <f t="shared" si="414"/>
        <v>GOLD</v>
      </c>
      <c r="D415" s="63" t="str">
        <f t="shared" si="414"/>
        <v>NY</v>
      </c>
      <c r="E415" s="64">
        <v>5.0</v>
      </c>
      <c r="F415" s="51">
        <f>IFERROR(__xludf.DUMMYFUNCTION("""COMPUTED_VALUE"""),14.0)</f>
        <v>14</v>
      </c>
      <c r="G415" s="51">
        <f>IFERROR(__xludf.DUMMYFUNCTION("""COMPUTED_VALUE"""),104.28)</f>
        <v>104.28</v>
      </c>
      <c r="H415" s="51"/>
      <c r="I415" s="51"/>
    </row>
    <row r="416" ht="15.75" customHeight="1">
      <c r="A416" s="55" t="str">
        <f t="shared" si="1"/>
        <v>0824GOLD</v>
      </c>
      <c r="B416" s="62">
        <f t="shared" ref="B416:D416" si="415">B415</f>
        <v>45518</v>
      </c>
      <c r="C416" s="63" t="str">
        <f t="shared" si="415"/>
        <v>GOLD</v>
      </c>
      <c r="D416" s="63" t="str">
        <f t="shared" si="415"/>
        <v>NY</v>
      </c>
      <c r="E416" s="64">
        <v>5.0</v>
      </c>
      <c r="F416" s="51">
        <f>IFERROR(__xludf.DUMMYFUNCTION("""COMPUTED_VALUE"""),15.0)</f>
        <v>15</v>
      </c>
      <c r="G416" s="51">
        <f>IFERROR(__xludf.DUMMYFUNCTION("""COMPUTED_VALUE"""),46.35)</f>
        <v>46.35</v>
      </c>
      <c r="H416" s="51"/>
      <c r="I416" s="51"/>
    </row>
    <row r="417" ht="15.75" customHeight="1">
      <c r="A417" s="55" t="str">
        <f t="shared" si="1"/>
        <v>0824GOLD</v>
      </c>
      <c r="B417" s="62">
        <f t="shared" ref="B417:D417" si="416">B416</f>
        <v>45518</v>
      </c>
      <c r="C417" s="63" t="str">
        <f t="shared" si="416"/>
        <v>GOLD</v>
      </c>
      <c r="D417" s="63" t="str">
        <f t="shared" si="416"/>
        <v>NY</v>
      </c>
      <c r="E417" s="64">
        <v>5.0</v>
      </c>
      <c r="F417" s="51">
        <f>IFERROR(__xludf.DUMMYFUNCTION("""COMPUTED_VALUE"""),16.0)</f>
        <v>16</v>
      </c>
      <c r="G417" s="51"/>
      <c r="H417" s="51">
        <f>IFERROR(__xludf.DUMMYFUNCTION("""COMPUTED_VALUE"""),64.69)</f>
        <v>64.69</v>
      </c>
      <c r="I417" s="51"/>
    </row>
    <row r="418" ht="15.75" customHeight="1">
      <c r="A418" s="55" t="str">
        <f t="shared" si="1"/>
        <v>0824GOLD</v>
      </c>
      <c r="B418" s="62">
        <f t="shared" ref="B418:D418" si="417">B417</f>
        <v>45518</v>
      </c>
      <c r="C418" s="63" t="str">
        <f t="shared" si="417"/>
        <v>GOLD</v>
      </c>
      <c r="D418" s="63" t="str">
        <f t="shared" si="417"/>
        <v>NY</v>
      </c>
      <c r="E418" s="64">
        <v>5.0</v>
      </c>
      <c r="F418" s="51">
        <f>IFERROR(__xludf.DUMMYFUNCTION("""COMPUTED_VALUE"""),17.0)</f>
        <v>17</v>
      </c>
      <c r="G418" s="51"/>
      <c r="H418" s="51">
        <f>IFERROR(__xludf.DUMMYFUNCTION("""COMPUTED_VALUE"""),68.88)</f>
        <v>68.88</v>
      </c>
      <c r="I418" s="51"/>
    </row>
    <row r="419" ht="15.75" customHeight="1">
      <c r="A419" s="55" t="str">
        <f t="shared" si="1"/>
        <v>0824GOLD</v>
      </c>
      <c r="B419" s="62">
        <f t="shared" ref="B419:D419" si="418">B418</f>
        <v>45518</v>
      </c>
      <c r="C419" s="63" t="str">
        <f t="shared" si="418"/>
        <v>GOLD</v>
      </c>
      <c r="D419" s="63" t="str">
        <f t="shared" si="418"/>
        <v>NY</v>
      </c>
      <c r="E419" s="64">
        <v>5.0</v>
      </c>
      <c r="F419" s="51">
        <f>IFERROR(__xludf.DUMMYFUNCTION("""COMPUTED_VALUE"""),18.0)</f>
        <v>18</v>
      </c>
      <c r="G419" s="51"/>
      <c r="H419" s="51">
        <f>IFERROR(__xludf.DUMMYFUNCTION("""COMPUTED_VALUE"""),70.96)</f>
        <v>70.96</v>
      </c>
      <c r="I419" s="51"/>
    </row>
    <row r="420" ht="15.75" customHeight="1">
      <c r="A420" s="55" t="str">
        <f t="shared" si="1"/>
        <v>0824GOLD</v>
      </c>
      <c r="B420" s="62">
        <f t="shared" ref="B420:D420" si="419">B419</f>
        <v>45518</v>
      </c>
      <c r="C420" s="63" t="str">
        <f t="shared" si="419"/>
        <v>GOLD</v>
      </c>
      <c r="D420" s="63" t="str">
        <f t="shared" si="419"/>
        <v>NY</v>
      </c>
      <c r="E420" s="64">
        <v>5.0</v>
      </c>
      <c r="F420" s="51">
        <f>IFERROR(__xludf.DUMMYFUNCTION("""COMPUTED_VALUE"""),19.0)</f>
        <v>19</v>
      </c>
      <c r="G420" s="51"/>
      <c r="H420" s="51">
        <f>IFERROR(__xludf.DUMMYFUNCTION("""COMPUTED_VALUE"""),52.24)</f>
        <v>52.24</v>
      </c>
      <c r="I420" s="51"/>
    </row>
    <row r="421" ht="15.75" customHeight="1">
      <c r="A421" s="55" t="str">
        <f t="shared" si="1"/>
        <v>0824GOLD</v>
      </c>
      <c r="B421" s="62">
        <f t="shared" ref="B421:D421" si="420">B420</f>
        <v>45518</v>
      </c>
      <c r="C421" s="63" t="str">
        <f t="shared" si="420"/>
        <v>GOLD</v>
      </c>
      <c r="D421" s="63" t="str">
        <f t="shared" si="420"/>
        <v>NY</v>
      </c>
      <c r="E421" s="64">
        <v>5.0</v>
      </c>
      <c r="F421" s="51">
        <f>IFERROR(__xludf.DUMMYFUNCTION("""COMPUTED_VALUE"""),20.0)</f>
        <v>20</v>
      </c>
      <c r="G421" s="51"/>
      <c r="H421" s="51">
        <f>IFERROR(__xludf.DUMMYFUNCTION("""COMPUTED_VALUE"""),61.18)</f>
        <v>61.18</v>
      </c>
      <c r="I421" s="51"/>
    </row>
    <row r="422" ht="15.75" customHeight="1">
      <c r="A422" s="55" t="str">
        <f t="shared" si="1"/>
        <v>0824GOLD</v>
      </c>
      <c r="B422" s="62">
        <f t="shared" ref="B422:D422" si="421">B421</f>
        <v>45518</v>
      </c>
      <c r="C422" s="63" t="str">
        <f t="shared" si="421"/>
        <v>GOLD</v>
      </c>
      <c r="D422" s="63" t="str">
        <f t="shared" si="421"/>
        <v>NY</v>
      </c>
      <c r="E422" s="64">
        <v>5.0</v>
      </c>
      <c r="F422" s="51">
        <f>IFERROR(__xludf.DUMMYFUNCTION("""COMPUTED_VALUE"""),21.0)</f>
        <v>21</v>
      </c>
      <c r="G422" s="51"/>
      <c r="H422" s="51">
        <f>IFERROR(__xludf.DUMMYFUNCTION("""COMPUTED_VALUE"""),48.18)</f>
        <v>48.18</v>
      </c>
      <c r="I422" s="51"/>
    </row>
    <row r="423" ht="15.75" customHeight="1">
      <c r="A423" s="55" t="str">
        <f t="shared" si="1"/>
        <v>0824GOLD</v>
      </c>
      <c r="B423" s="62">
        <f t="shared" ref="B423:D423" si="422">B422</f>
        <v>45518</v>
      </c>
      <c r="C423" s="63" t="str">
        <f t="shared" si="422"/>
        <v>GOLD</v>
      </c>
      <c r="D423" s="63" t="str">
        <f t="shared" si="422"/>
        <v>NY</v>
      </c>
      <c r="E423" s="64">
        <v>5.0</v>
      </c>
      <c r="F423" s="51">
        <f>IFERROR(__xludf.DUMMYFUNCTION("""COMPUTED_VALUE"""),22.0)</f>
        <v>22</v>
      </c>
      <c r="G423" s="51"/>
      <c r="H423" s="51">
        <f>IFERROR(__xludf.DUMMYFUNCTION("""COMPUTED_VALUE"""),64.35)</f>
        <v>64.35</v>
      </c>
      <c r="I423" s="51"/>
    </row>
    <row r="424" ht="15.75" customHeight="1">
      <c r="A424" s="55" t="str">
        <f t="shared" si="1"/>
        <v>0824GOLD</v>
      </c>
      <c r="B424" s="62">
        <f t="shared" ref="B424:D424" si="423">B423</f>
        <v>45518</v>
      </c>
      <c r="C424" s="63" t="str">
        <f t="shared" si="423"/>
        <v>GOLD</v>
      </c>
      <c r="D424" s="63" t="str">
        <f t="shared" si="423"/>
        <v>NY</v>
      </c>
      <c r="E424" s="64">
        <v>5.0</v>
      </c>
      <c r="F424" s="51">
        <f>IFERROR(__xludf.DUMMYFUNCTION("""COMPUTED_VALUE"""),23.0)</f>
        <v>23</v>
      </c>
      <c r="G424" s="51"/>
      <c r="H424" s="51">
        <f>IFERROR(__xludf.DUMMYFUNCTION("""COMPUTED_VALUE"""),45.72)</f>
        <v>45.72</v>
      </c>
      <c r="I424" s="51"/>
    </row>
    <row r="425" ht="15.75" customHeight="1">
      <c r="A425" s="55" t="str">
        <f t="shared" si="1"/>
        <v>0824GOLD</v>
      </c>
      <c r="B425" s="62">
        <f t="shared" ref="B425:D425" si="424">B424</f>
        <v>45518</v>
      </c>
      <c r="C425" s="63" t="str">
        <f t="shared" si="424"/>
        <v>GOLD</v>
      </c>
      <c r="D425" s="63" t="str">
        <f t="shared" si="424"/>
        <v>NY</v>
      </c>
      <c r="E425" s="64">
        <v>5.0</v>
      </c>
      <c r="F425" s="51">
        <f>IFERROR(__xludf.DUMMYFUNCTION("""COMPUTED_VALUE"""),24.0)</f>
        <v>24</v>
      </c>
      <c r="G425" s="51"/>
      <c r="H425" s="51">
        <f>IFERROR(__xludf.DUMMYFUNCTION("""COMPUTED_VALUE"""),38.82)</f>
        <v>38.82</v>
      </c>
      <c r="I425" s="51"/>
    </row>
    <row r="426" ht="15.75" customHeight="1">
      <c r="A426" s="55" t="str">
        <f t="shared" si="1"/>
        <v>0824GOLD</v>
      </c>
      <c r="B426" s="62">
        <f t="shared" ref="B426:D426" si="425">B425</f>
        <v>45518</v>
      </c>
      <c r="C426" s="63" t="str">
        <f t="shared" si="425"/>
        <v>GOLD</v>
      </c>
      <c r="D426" s="63" t="str">
        <f t="shared" si="425"/>
        <v>NY</v>
      </c>
      <c r="E426" s="64">
        <v>5.0</v>
      </c>
      <c r="F426" s="51">
        <f>IFERROR(__xludf.DUMMYFUNCTION("""COMPUTED_VALUE"""),25.0)</f>
        <v>25</v>
      </c>
      <c r="G426" s="51">
        <f>IFERROR(__xludf.DUMMYFUNCTION("""COMPUTED_VALUE"""),81.1)</f>
        <v>81.1</v>
      </c>
      <c r="H426" s="51"/>
      <c r="I426" s="51"/>
    </row>
    <row r="427" ht="15.75" customHeight="1">
      <c r="A427" s="55" t="str">
        <f t="shared" si="1"/>
        <v>0824GOLD</v>
      </c>
      <c r="B427" s="62">
        <f t="shared" ref="B427:D427" si="426">B426</f>
        <v>45518</v>
      </c>
      <c r="C427" s="63" t="str">
        <f t="shared" si="426"/>
        <v>GOLD</v>
      </c>
      <c r="D427" s="63" t="str">
        <f t="shared" si="426"/>
        <v>NY</v>
      </c>
      <c r="E427" s="64">
        <v>5.0</v>
      </c>
      <c r="F427" s="51">
        <f>IFERROR(__xludf.DUMMYFUNCTION("""COMPUTED_VALUE"""),26.0)</f>
        <v>26</v>
      </c>
      <c r="G427" s="51"/>
      <c r="H427" s="51">
        <f>IFERROR(__xludf.DUMMYFUNCTION("""COMPUTED_VALUE"""),33.85)</f>
        <v>33.85</v>
      </c>
      <c r="I427" s="51"/>
    </row>
    <row r="428" ht="15.75" customHeight="1">
      <c r="A428" s="55" t="str">
        <f t="shared" si="1"/>
        <v>0824GOLD</v>
      </c>
      <c r="B428" s="62">
        <f t="shared" ref="B428:D428" si="427">B427</f>
        <v>45518</v>
      </c>
      <c r="C428" s="63" t="str">
        <f t="shared" si="427"/>
        <v>GOLD</v>
      </c>
      <c r="D428" s="63" t="str">
        <f t="shared" si="427"/>
        <v>NY</v>
      </c>
      <c r="E428" s="64">
        <v>5.0</v>
      </c>
      <c r="F428" s="51">
        <f>IFERROR(__xludf.DUMMYFUNCTION("""COMPUTED_VALUE"""),27.0)</f>
        <v>27</v>
      </c>
      <c r="G428" s="51">
        <f>IFERROR(__xludf.DUMMYFUNCTION("""COMPUTED_VALUE"""),89.42)</f>
        <v>89.42</v>
      </c>
      <c r="H428" s="51"/>
      <c r="I428" s="51"/>
    </row>
    <row r="429" ht="15.75" customHeight="1">
      <c r="A429" s="55" t="str">
        <f t="shared" si="1"/>
        <v>0824GOLD</v>
      </c>
      <c r="B429" s="62">
        <f t="shared" ref="B429:D429" si="428">B428</f>
        <v>45518</v>
      </c>
      <c r="C429" s="63" t="str">
        <f t="shared" si="428"/>
        <v>GOLD</v>
      </c>
      <c r="D429" s="63" t="str">
        <f t="shared" si="428"/>
        <v>NY</v>
      </c>
      <c r="E429" s="64">
        <v>5.0</v>
      </c>
      <c r="F429" s="51">
        <f>IFERROR(__xludf.DUMMYFUNCTION("""COMPUTED_VALUE"""),28.0)</f>
        <v>28</v>
      </c>
      <c r="G429" s="51">
        <f>IFERROR(__xludf.DUMMYFUNCTION("""COMPUTED_VALUE"""),88.18)</f>
        <v>88.18</v>
      </c>
      <c r="H429" s="51"/>
      <c r="I429" s="51"/>
    </row>
    <row r="430" ht="15.75" customHeight="1">
      <c r="A430" s="55" t="str">
        <f t="shared" si="1"/>
        <v>0824GOLD</v>
      </c>
      <c r="B430" s="62">
        <f t="shared" ref="B430:D430" si="429">B429</f>
        <v>45518</v>
      </c>
      <c r="C430" s="63" t="str">
        <f t="shared" si="429"/>
        <v>GOLD</v>
      </c>
      <c r="D430" s="63" t="str">
        <f t="shared" si="429"/>
        <v>NY</v>
      </c>
      <c r="E430" s="64">
        <v>5.0</v>
      </c>
      <c r="F430" s="51">
        <f>IFERROR(__xludf.DUMMYFUNCTION("""COMPUTED_VALUE"""),29.0)</f>
        <v>29</v>
      </c>
      <c r="G430" s="51">
        <f>IFERROR(__xludf.DUMMYFUNCTION("""COMPUTED_VALUE"""),55.72)</f>
        <v>55.72</v>
      </c>
      <c r="H430" s="51"/>
      <c r="I430" s="51"/>
    </row>
    <row r="431" ht="15.75" customHeight="1">
      <c r="A431" s="55" t="str">
        <f t="shared" si="1"/>
        <v>0824GOLD</v>
      </c>
      <c r="B431" s="62">
        <f t="shared" ref="B431:D431" si="430">B430</f>
        <v>45518</v>
      </c>
      <c r="C431" s="63" t="str">
        <f t="shared" si="430"/>
        <v>GOLD</v>
      </c>
      <c r="D431" s="63" t="str">
        <f t="shared" si="430"/>
        <v>NY</v>
      </c>
      <c r="E431" s="64">
        <v>5.0</v>
      </c>
      <c r="F431" s="51">
        <f>IFERROR(__xludf.DUMMYFUNCTION("""COMPUTED_VALUE"""),30.0)</f>
        <v>30</v>
      </c>
      <c r="G431" s="51">
        <f>IFERROR(__xludf.DUMMYFUNCTION("""COMPUTED_VALUE"""),58.23)</f>
        <v>58.23</v>
      </c>
      <c r="H431" s="51"/>
      <c r="I431" s="51"/>
    </row>
    <row r="432" ht="15.75" customHeight="1">
      <c r="A432" s="55" t="str">
        <f t="shared" si="1"/>
        <v>0824GOLD</v>
      </c>
      <c r="B432" s="62">
        <f t="shared" ref="B432:D432" si="431">B431</f>
        <v>45518</v>
      </c>
      <c r="C432" s="63" t="str">
        <f t="shared" si="431"/>
        <v>GOLD</v>
      </c>
      <c r="D432" s="63" t="str">
        <f t="shared" si="431"/>
        <v>NY</v>
      </c>
      <c r="E432" s="64">
        <v>5.0</v>
      </c>
      <c r="F432" s="51">
        <f>IFERROR(__xludf.DUMMYFUNCTION("""COMPUTED_VALUE"""),31.0)</f>
        <v>31</v>
      </c>
      <c r="G432" s="51">
        <f>IFERROR(__xludf.DUMMYFUNCTION("""COMPUTED_VALUE"""),112.84)</f>
        <v>112.84</v>
      </c>
      <c r="H432" s="51"/>
      <c r="I432" s="51"/>
    </row>
    <row r="433" ht="15.75" customHeight="1">
      <c r="A433" s="55" t="str">
        <f t="shared" si="1"/>
        <v>0824GOLD</v>
      </c>
      <c r="B433" s="62">
        <f t="shared" ref="B433:D433" si="432">B432</f>
        <v>45518</v>
      </c>
      <c r="C433" s="63" t="str">
        <f t="shared" si="432"/>
        <v>GOLD</v>
      </c>
      <c r="D433" s="63" t="str">
        <f t="shared" si="432"/>
        <v>NY</v>
      </c>
      <c r="E433" s="64">
        <v>5.0</v>
      </c>
      <c r="F433" s="51">
        <f>IFERROR(__xludf.DUMMYFUNCTION("""COMPUTED_VALUE"""),32.0)</f>
        <v>32</v>
      </c>
      <c r="G433" s="51"/>
      <c r="H433" s="51"/>
      <c r="I433" s="51"/>
    </row>
    <row r="434" ht="15.75" customHeight="1">
      <c r="A434" s="55" t="str">
        <f t="shared" si="1"/>
        <v>0824GOLD</v>
      </c>
      <c r="B434" s="62">
        <f t="shared" ref="B434:D434" si="433">B433</f>
        <v>45518</v>
      </c>
      <c r="C434" s="63" t="str">
        <f t="shared" si="433"/>
        <v>GOLD</v>
      </c>
      <c r="D434" s="63" t="str">
        <f t="shared" si="433"/>
        <v>NY</v>
      </c>
      <c r="E434" s="64">
        <v>5.0</v>
      </c>
      <c r="F434" s="51">
        <f>IFERROR(__xludf.DUMMYFUNCTION("""COMPUTED_VALUE"""),33.0)</f>
        <v>33</v>
      </c>
      <c r="G434" s="51">
        <f>IFERROR(__xludf.DUMMYFUNCTION("""COMPUTED_VALUE"""),76.87)</f>
        <v>76.87</v>
      </c>
      <c r="H434" s="51"/>
      <c r="I434" s="51"/>
    </row>
    <row r="435" ht="15.75" customHeight="1">
      <c r="A435" s="55" t="str">
        <f t="shared" si="1"/>
        <v>0824GOLD</v>
      </c>
      <c r="B435" s="62">
        <f t="shared" ref="B435:D435" si="434">B434</f>
        <v>45518</v>
      </c>
      <c r="C435" s="63" t="str">
        <f t="shared" si="434"/>
        <v>GOLD</v>
      </c>
      <c r="D435" s="63" t="str">
        <f t="shared" si="434"/>
        <v>NY</v>
      </c>
      <c r="E435" s="64">
        <v>5.0</v>
      </c>
      <c r="F435" s="51">
        <f>IFERROR(__xludf.DUMMYFUNCTION("""COMPUTED_VALUE"""),34.0)</f>
        <v>34</v>
      </c>
      <c r="G435" s="51">
        <f>IFERROR(__xludf.DUMMYFUNCTION("""COMPUTED_VALUE"""),102.17)</f>
        <v>102.17</v>
      </c>
      <c r="H435" s="51"/>
      <c r="I435" s="51"/>
    </row>
    <row r="436" ht="15.75" customHeight="1">
      <c r="A436" s="55" t="str">
        <f t="shared" si="1"/>
        <v>0824GOLD</v>
      </c>
      <c r="B436" s="62">
        <f t="shared" ref="B436:D436" si="435">B435</f>
        <v>45518</v>
      </c>
      <c r="C436" s="63" t="str">
        <f t="shared" si="435"/>
        <v>GOLD</v>
      </c>
      <c r="D436" s="63" t="str">
        <f t="shared" si="435"/>
        <v>NY</v>
      </c>
      <c r="E436" s="64">
        <v>5.0</v>
      </c>
      <c r="F436" s="51">
        <f>IFERROR(__xludf.DUMMYFUNCTION("""COMPUTED_VALUE"""),35.0)</f>
        <v>35</v>
      </c>
      <c r="G436" s="51">
        <f>IFERROR(__xludf.DUMMYFUNCTION("""COMPUTED_VALUE"""),77.43)</f>
        <v>77.43</v>
      </c>
      <c r="H436" s="51"/>
      <c r="I436" s="51"/>
    </row>
    <row r="437" ht="15.75" customHeight="1">
      <c r="A437" s="55" t="str">
        <f t="shared" si="1"/>
        <v>0824GOLD</v>
      </c>
      <c r="B437" s="62">
        <f t="shared" ref="B437:D437" si="436">B436</f>
        <v>45518</v>
      </c>
      <c r="C437" s="63" t="str">
        <f t="shared" si="436"/>
        <v>GOLD</v>
      </c>
      <c r="D437" s="63" t="str">
        <f t="shared" si="436"/>
        <v>NY</v>
      </c>
      <c r="E437" s="64">
        <v>5.0</v>
      </c>
      <c r="F437" s="51">
        <f>IFERROR(__xludf.DUMMYFUNCTION("""COMPUTED_VALUE"""),36.0)</f>
        <v>36</v>
      </c>
      <c r="G437" s="51">
        <f>IFERROR(__xludf.DUMMYFUNCTION("""COMPUTED_VALUE"""),72.38)</f>
        <v>72.38</v>
      </c>
      <c r="H437" s="51"/>
      <c r="I437" s="51"/>
    </row>
    <row r="438" ht="15.75" customHeight="1">
      <c r="A438" s="55" t="str">
        <f t="shared" si="1"/>
        <v>0824GOLD</v>
      </c>
      <c r="B438" s="62">
        <f t="shared" ref="B438:D438" si="437">B437</f>
        <v>45518</v>
      </c>
      <c r="C438" s="63" t="str">
        <f t="shared" si="437"/>
        <v>GOLD</v>
      </c>
      <c r="D438" s="63" t="str">
        <f t="shared" si="437"/>
        <v>NY</v>
      </c>
      <c r="E438" s="64">
        <v>5.0</v>
      </c>
      <c r="F438" s="51">
        <f>IFERROR(__xludf.DUMMYFUNCTION("""COMPUTED_VALUE"""),37.0)</f>
        <v>37</v>
      </c>
      <c r="G438" s="51">
        <f>IFERROR(__xludf.DUMMYFUNCTION("""COMPUTED_VALUE"""),57.12)</f>
        <v>57.12</v>
      </c>
      <c r="H438" s="51"/>
      <c r="I438" s="51"/>
    </row>
    <row r="439" ht="15.75" customHeight="1">
      <c r="A439" s="55" t="str">
        <f t="shared" si="1"/>
        <v>0824GOLD</v>
      </c>
      <c r="B439" s="62">
        <f t="shared" ref="B439:D439" si="438">B438</f>
        <v>45518</v>
      </c>
      <c r="C439" s="63" t="str">
        <f t="shared" si="438"/>
        <v>GOLD</v>
      </c>
      <c r="D439" s="63" t="str">
        <f t="shared" si="438"/>
        <v>NY</v>
      </c>
      <c r="E439" s="64">
        <v>5.0</v>
      </c>
      <c r="F439" s="51">
        <f>IFERROR(__xludf.DUMMYFUNCTION("""COMPUTED_VALUE"""),38.0)</f>
        <v>38</v>
      </c>
      <c r="G439" s="51">
        <f>IFERROR(__xludf.DUMMYFUNCTION("""COMPUTED_VALUE"""),46.91)</f>
        <v>46.91</v>
      </c>
      <c r="H439" s="51"/>
      <c r="I439" s="51"/>
    </row>
    <row r="440" ht="15.75" customHeight="1">
      <c r="A440" s="55" t="str">
        <f t="shared" si="1"/>
        <v>0824GOLD</v>
      </c>
      <c r="B440" s="62">
        <f t="shared" ref="B440:D440" si="439">B439</f>
        <v>45518</v>
      </c>
      <c r="C440" s="63" t="str">
        <f t="shared" si="439"/>
        <v>GOLD</v>
      </c>
      <c r="D440" s="63" t="str">
        <f t="shared" si="439"/>
        <v>NY</v>
      </c>
      <c r="E440" s="64">
        <v>5.0</v>
      </c>
      <c r="F440" s="51">
        <f>IFERROR(__xludf.DUMMYFUNCTION("""COMPUTED_VALUE"""),39.0)</f>
        <v>39</v>
      </c>
      <c r="G440" s="51"/>
      <c r="H440" s="51">
        <f>IFERROR(__xludf.DUMMYFUNCTION("""COMPUTED_VALUE"""),66.44)</f>
        <v>66.44</v>
      </c>
      <c r="I440" s="51"/>
    </row>
    <row r="441" ht="15.75" customHeight="1">
      <c r="A441" s="55" t="str">
        <f t="shared" si="1"/>
        <v>0824GOLD</v>
      </c>
      <c r="B441" s="62">
        <f t="shared" ref="B441:D441" si="440">B440</f>
        <v>45518</v>
      </c>
      <c r="C441" s="63" t="str">
        <f t="shared" si="440"/>
        <v>GOLD</v>
      </c>
      <c r="D441" s="63" t="str">
        <f t="shared" si="440"/>
        <v>NY</v>
      </c>
      <c r="E441" s="64">
        <v>5.0</v>
      </c>
      <c r="F441" s="51">
        <f>IFERROR(__xludf.DUMMYFUNCTION("""COMPUTED_VALUE"""),40.0)</f>
        <v>40</v>
      </c>
      <c r="G441" s="51"/>
      <c r="H441" s="51">
        <f>IFERROR(__xludf.DUMMYFUNCTION("""COMPUTED_VALUE"""),46.82)</f>
        <v>46.82</v>
      </c>
      <c r="I441" s="51"/>
    </row>
    <row r="442" ht="15.75" customHeight="1">
      <c r="A442" s="55" t="str">
        <f t="shared" si="1"/>
        <v>0824GOLD</v>
      </c>
      <c r="B442" s="62">
        <f t="shared" ref="B442:D442" si="441">B441</f>
        <v>45518</v>
      </c>
      <c r="C442" s="63" t="str">
        <f t="shared" si="441"/>
        <v>GOLD</v>
      </c>
      <c r="D442" s="63" t="str">
        <f t="shared" si="441"/>
        <v>NY</v>
      </c>
      <c r="E442" s="64">
        <v>5.0</v>
      </c>
      <c r="F442" s="51">
        <f>IFERROR(__xludf.DUMMYFUNCTION("""COMPUTED_VALUE"""),41.0)</f>
        <v>41</v>
      </c>
      <c r="G442" s="51"/>
      <c r="H442" s="51">
        <f>IFERROR(__xludf.DUMMYFUNCTION("""COMPUTED_VALUE"""),64.4)</f>
        <v>64.4</v>
      </c>
      <c r="I442" s="51"/>
    </row>
    <row r="443" ht="15.75" customHeight="1">
      <c r="A443" s="55" t="str">
        <f t="shared" si="1"/>
        <v>0824GOLD</v>
      </c>
      <c r="B443" s="62">
        <f t="shared" ref="B443:D443" si="442">B442</f>
        <v>45518</v>
      </c>
      <c r="C443" s="63" t="str">
        <f t="shared" si="442"/>
        <v>GOLD</v>
      </c>
      <c r="D443" s="63" t="str">
        <f t="shared" si="442"/>
        <v>NY</v>
      </c>
      <c r="E443" s="64">
        <v>5.0</v>
      </c>
      <c r="F443" s="51">
        <f>IFERROR(__xludf.DUMMYFUNCTION("""COMPUTED_VALUE"""),42.0)</f>
        <v>42</v>
      </c>
      <c r="G443" s="51"/>
      <c r="H443" s="51">
        <f>IFERROR(__xludf.DUMMYFUNCTION("""COMPUTED_VALUE"""),49.77)</f>
        <v>49.77</v>
      </c>
      <c r="I443" s="51"/>
    </row>
    <row r="444" ht="15.75" customHeight="1">
      <c r="A444" s="55" t="str">
        <f t="shared" si="1"/>
        <v>0824GOLD</v>
      </c>
      <c r="B444" s="62">
        <f t="shared" ref="B444:D444" si="443">B443</f>
        <v>45518</v>
      </c>
      <c r="C444" s="63" t="str">
        <f t="shared" si="443"/>
        <v>GOLD</v>
      </c>
      <c r="D444" s="63" t="str">
        <f t="shared" si="443"/>
        <v>NY</v>
      </c>
      <c r="E444" s="64">
        <v>5.0</v>
      </c>
      <c r="F444" s="51">
        <f>IFERROR(__xludf.DUMMYFUNCTION("""COMPUTED_VALUE"""),43.0)</f>
        <v>43</v>
      </c>
      <c r="G444" s="51">
        <f>IFERROR(__xludf.DUMMYFUNCTION("""COMPUTED_VALUE"""),72.18)</f>
        <v>72.18</v>
      </c>
      <c r="H444" s="51"/>
      <c r="I444" s="51"/>
    </row>
    <row r="445" ht="15.75" customHeight="1">
      <c r="A445" s="55" t="str">
        <f t="shared" si="1"/>
        <v>0824GOLD</v>
      </c>
      <c r="B445" s="62">
        <f t="shared" ref="B445:D445" si="444">B444</f>
        <v>45518</v>
      </c>
      <c r="C445" s="63" t="str">
        <f t="shared" si="444"/>
        <v>GOLD</v>
      </c>
      <c r="D445" s="63" t="str">
        <f t="shared" si="444"/>
        <v>NY</v>
      </c>
      <c r="E445" s="64">
        <v>5.0</v>
      </c>
      <c r="F445" s="51">
        <f>IFERROR(__xludf.DUMMYFUNCTION("""COMPUTED_VALUE"""),44.0)</f>
        <v>44</v>
      </c>
      <c r="G445" s="51"/>
      <c r="H445" s="51">
        <f>IFERROR(__xludf.DUMMYFUNCTION("""COMPUTED_VALUE"""),49.94)</f>
        <v>49.94</v>
      </c>
      <c r="I445" s="51"/>
    </row>
    <row r="446" ht="15.75" customHeight="1">
      <c r="A446" s="55" t="str">
        <f t="shared" si="1"/>
        <v>0824GOLD</v>
      </c>
      <c r="B446" s="62">
        <f t="shared" ref="B446:D446" si="445">B445</f>
        <v>45518</v>
      </c>
      <c r="C446" s="63" t="str">
        <f t="shared" si="445"/>
        <v>GOLD</v>
      </c>
      <c r="D446" s="63" t="str">
        <f t="shared" si="445"/>
        <v>NY</v>
      </c>
      <c r="E446" s="64">
        <v>5.0</v>
      </c>
      <c r="F446" s="51">
        <f>IFERROR(__xludf.DUMMYFUNCTION("""COMPUTED_VALUE"""),45.0)</f>
        <v>45</v>
      </c>
      <c r="G446" s="51"/>
      <c r="H446" s="51"/>
      <c r="I446" s="51"/>
    </row>
    <row r="447" ht="15.75" customHeight="1">
      <c r="A447" s="55" t="str">
        <f t="shared" si="1"/>
        <v>0824GOLD</v>
      </c>
      <c r="B447" s="62">
        <f t="shared" ref="B447:D447" si="446">B446</f>
        <v>45518</v>
      </c>
      <c r="C447" s="63" t="str">
        <f t="shared" si="446"/>
        <v>GOLD</v>
      </c>
      <c r="D447" s="63" t="str">
        <f t="shared" si="446"/>
        <v>NY</v>
      </c>
      <c r="E447" s="64">
        <v>5.0</v>
      </c>
      <c r="F447" s="51">
        <f>IFERROR(__xludf.DUMMYFUNCTION("""COMPUTED_VALUE"""),46.0)</f>
        <v>46</v>
      </c>
      <c r="G447" s="51">
        <f>IFERROR(__xludf.DUMMYFUNCTION("""COMPUTED_VALUE"""),74.11)</f>
        <v>74.11</v>
      </c>
      <c r="H447" s="51"/>
      <c r="I447" s="51"/>
    </row>
    <row r="448" ht="15.75" customHeight="1">
      <c r="A448" s="55" t="str">
        <f t="shared" si="1"/>
        <v>0824GOLD</v>
      </c>
      <c r="B448" s="62">
        <f t="shared" ref="B448:D448" si="447">B447</f>
        <v>45518</v>
      </c>
      <c r="C448" s="63" t="str">
        <f t="shared" si="447"/>
        <v>GOLD</v>
      </c>
      <c r="D448" s="63" t="str">
        <f t="shared" si="447"/>
        <v>NY</v>
      </c>
      <c r="E448" s="64">
        <v>5.0</v>
      </c>
      <c r="F448" s="51">
        <f>IFERROR(__xludf.DUMMYFUNCTION("""COMPUTED_VALUE"""),47.0)</f>
        <v>47</v>
      </c>
      <c r="G448" s="51"/>
      <c r="H448" s="51">
        <f>IFERROR(__xludf.DUMMYFUNCTION("""COMPUTED_VALUE"""),56.94)</f>
        <v>56.94</v>
      </c>
      <c r="I448" s="51"/>
    </row>
    <row r="449" ht="15.75" customHeight="1">
      <c r="A449" s="55" t="str">
        <f t="shared" si="1"/>
        <v>0824GOLD</v>
      </c>
      <c r="B449" s="62">
        <f t="shared" ref="B449:D449" si="448">B448</f>
        <v>45518</v>
      </c>
      <c r="C449" s="63" t="str">
        <f t="shared" si="448"/>
        <v>GOLD</v>
      </c>
      <c r="D449" s="63" t="str">
        <f t="shared" si="448"/>
        <v>NY</v>
      </c>
      <c r="E449" s="64">
        <v>5.0</v>
      </c>
      <c r="F449" s="51">
        <f>IFERROR(__xludf.DUMMYFUNCTION("""COMPUTED_VALUE"""),48.0)</f>
        <v>48</v>
      </c>
      <c r="G449" s="51"/>
      <c r="H449" s="51">
        <f>IFERROR(__xludf.DUMMYFUNCTION("""COMPUTED_VALUE"""),52.02)</f>
        <v>52.02</v>
      </c>
      <c r="I449" s="51"/>
    </row>
    <row r="450" ht="15.75" customHeight="1">
      <c r="A450" s="55" t="str">
        <f t="shared" si="1"/>
        <v>0824GOLD</v>
      </c>
      <c r="B450" s="62">
        <f t="shared" ref="B450:D450" si="449">B449</f>
        <v>45518</v>
      </c>
      <c r="C450" s="63" t="str">
        <f t="shared" si="449"/>
        <v>GOLD</v>
      </c>
      <c r="D450" s="63" t="str">
        <f t="shared" si="449"/>
        <v>NY</v>
      </c>
      <c r="E450" s="64">
        <v>5.0</v>
      </c>
      <c r="F450" s="51">
        <f>IFERROR(__xludf.DUMMYFUNCTION("""COMPUTED_VALUE"""),49.0)</f>
        <v>49</v>
      </c>
      <c r="G450" s="51"/>
      <c r="H450" s="51">
        <f>IFERROR(__xludf.DUMMYFUNCTION("""COMPUTED_VALUE"""),44.61)</f>
        <v>44.61</v>
      </c>
      <c r="I450" s="51"/>
    </row>
    <row r="451" ht="15.75" customHeight="1">
      <c r="A451" s="55" t="str">
        <f t="shared" si="1"/>
        <v>0824GOLD</v>
      </c>
      <c r="B451" s="62">
        <f t="shared" ref="B451:D451" si="450">B450</f>
        <v>45518</v>
      </c>
      <c r="C451" s="63" t="str">
        <f t="shared" si="450"/>
        <v>GOLD</v>
      </c>
      <c r="D451" s="63" t="str">
        <f t="shared" si="450"/>
        <v>NY</v>
      </c>
      <c r="E451" s="64">
        <v>5.0</v>
      </c>
      <c r="F451" s="51">
        <f>IFERROR(__xludf.DUMMYFUNCTION("""COMPUTED_VALUE"""),50.0)</f>
        <v>50</v>
      </c>
      <c r="G451" s="51">
        <f>IFERROR(__xludf.DUMMYFUNCTION("""COMPUTED_VALUE"""),98.0)</f>
        <v>98</v>
      </c>
      <c r="H451" s="51"/>
      <c r="I451" s="51"/>
    </row>
    <row r="452" ht="15.75" customHeight="1">
      <c r="A452" s="55" t="str">
        <f t="shared" si="1"/>
        <v>0824GOLD</v>
      </c>
      <c r="B452" s="62">
        <f t="shared" ref="B452:D452" si="451">B451</f>
        <v>45518</v>
      </c>
      <c r="C452" s="63" t="str">
        <f t="shared" si="451"/>
        <v>GOLD</v>
      </c>
      <c r="D452" s="63" t="str">
        <f t="shared" si="451"/>
        <v>NY</v>
      </c>
      <c r="E452" s="64">
        <v>5.0</v>
      </c>
      <c r="F452" s="51">
        <f>IFERROR(__xludf.DUMMYFUNCTION("""COMPUTED_VALUE"""),51.0)</f>
        <v>51</v>
      </c>
      <c r="G452" s="51"/>
      <c r="H452" s="51">
        <f>IFERROR(__xludf.DUMMYFUNCTION("""COMPUTED_VALUE"""),53.36)</f>
        <v>53.36</v>
      </c>
      <c r="I452" s="51"/>
    </row>
    <row r="453" ht="15.75" customHeight="1">
      <c r="A453" s="55" t="str">
        <f t="shared" si="1"/>
        <v>0824GOLD</v>
      </c>
      <c r="B453" s="62">
        <f t="shared" ref="B453:D453" si="452">B452</f>
        <v>45518</v>
      </c>
      <c r="C453" s="63" t="str">
        <f t="shared" si="452"/>
        <v>GOLD</v>
      </c>
      <c r="D453" s="63" t="str">
        <f t="shared" si="452"/>
        <v>NY</v>
      </c>
      <c r="E453" s="64">
        <v>5.0</v>
      </c>
      <c r="F453" s="51">
        <f>IFERROR(__xludf.DUMMYFUNCTION("""COMPUTED_VALUE"""),52.0)</f>
        <v>52</v>
      </c>
      <c r="G453" s="51">
        <f>IFERROR(__xludf.DUMMYFUNCTION("""COMPUTED_VALUE"""),90.96)</f>
        <v>90.96</v>
      </c>
      <c r="H453" s="51"/>
      <c r="I453" s="51"/>
    </row>
    <row r="454" ht="15.75" customHeight="1">
      <c r="A454" s="55" t="str">
        <f t="shared" si="1"/>
        <v>0824GOLD</v>
      </c>
      <c r="B454" s="62">
        <f t="shared" ref="B454:D454" si="453">B453</f>
        <v>45518</v>
      </c>
      <c r="C454" s="63" t="str">
        <f t="shared" si="453"/>
        <v>GOLD</v>
      </c>
      <c r="D454" s="63" t="str">
        <f t="shared" si="453"/>
        <v>NY</v>
      </c>
      <c r="E454" s="64">
        <v>5.0</v>
      </c>
      <c r="F454" s="51">
        <f>IFERROR(__xludf.DUMMYFUNCTION("""COMPUTED_VALUE"""),53.0)</f>
        <v>53</v>
      </c>
      <c r="G454" s="51"/>
      <c r="H454" s="51">
        <f>IFERROR(__xludf.DUMMYFUNCTION("""COMPUTED_VALUE"""),49.8)</f>
        <v>49.8</v>
      </c>
      <c r="I454" s="51"/>
    </row>
    <row r="455" ht="15.75" customHeight="1">
      <c r="A455" s="55" t="str">
        <f t="shared" si="1"/>
        <v>0824GOLD</v>
      </c>
      <c r="B455" s="62">
        <f t="shared" ref="B455:D455" si="454">B454</f>
        <v>45518</v>
      </c>
      <c r="C455" s="63" t="str">
        <f t="shared" si="454"/>
        <v>GOLD</v>
      </c>
      <c r="D455" s="63" t="str">
        <f t="shared" si="454"/>
        <v>NY</v>
      </c>
      <c r="E455" s="64">
        <v>5.0</v>
      </c>
      <c r="F455" s="51">
        <f>IFERROR(__xludf.DUMMYFUNCTION("""COMPUTED_VALUE"""),54.0)</f>
        <v>54</v>
      </c>
      <c r="G455" s="51"/>
      <c r="H455" s="51">
        <f>IFERROR(__xludf.DUMMYFUNCTION("""COMPUTED_VALUE"""),53.65)</f>
        <v>53.65</v>
      </c>
      <c r="I455" s="51"/>
    </row>
    <row r="456" ht="15.75" customHeight="1">
      <c r="A456" s="55" t="str">
        <f t="shared" si="1"/>
        <v>0824GOLD</v>
      </c>
      <c r="B456" s="62">
        <f t="shared" ref="B456:D456" si="455">B455</f>
        <v>45518</v>
      </c>
      <c r="C456" s="63" t="str">
        <f t="shared" si="455"/>
        <v>GOLD</v>
      </c>
      <c r="D456" s="63" t="str">
        <f t="shared" si="455"/>
        <v>NY</v>
      </c>
      <c r="E456" s="64">
        <v>5.0</v>
      </c>
      <c r="F456" s="51">
        <f>IFERROR(__xludf.DUMMYFUNCTION("""COMPUTED_VALUE"""),55.0)</f>
        <v>55</v>
      </c>
      <c r="G456" s="51"/>
      <c r="H456" s="51">
        <f>IFERROR(__xludf.DUMMYFUNCTION("""COMPUTED_VALUE"""),54.37)</f>
        <v>54.37</v>
      </c>
      <c r="I456" s="51"/>
    </row>
    <row r="457" ht="15.75" customHeight="1">
      <c r="A457" s="55" t="str">
        <f t="shared" si="1"/>
        <v>0824GOLD</v>
      </c>
      <c r="B457" s="62">
        <f t="shared" ref="B457:D457" si="456">B456</f>
        <v>45518</v>
      </c>
      <c r="C457" s="63" t="str">
        <f t="shared" si="456"/>
        <v>GOLD</v>
      </c>
      <c r="D457" s="63" t="str">
        <f t="shared" si="456"/>
        <v>NY</v>
      </c>
      <c r="E457" s="64">
        <v>5.0</v>
      </c>
      <c r="F457" s="51">
        <f>IFERROR(__xludf.DUMMYFUNCTION("""COMPUTED_VALUE"""),56.0)</f>
        <v>56</v>
      </c>
      <c r="G457" s="51"/>
      <c r="H457" s="51">
        <f>IFERROR(__xludf.DUMMYFUNCTION("""COMPUTED_VALUE"""),45.53)</f>
        <v>45.53</v>
      </c>
      <c r="I457" s="51"/>
    </row>
    <row r="458" ht="15.75" customHeight="1">
      <c r="A458" s="55" t="str">
        <f t="shared" si="1"/>
        <v>0824GOLD</v>
      </c>
      <c r="B458" s="62">
        <f t="shared" ref="B458:D458" si="457">B457</f>
        <v>45518</v>
      </c>
      <c r="C458" s="63" t="str">
        <f t="shared" si="457"/>
        <v>GOLD</v>
      </c>
      <c r="D458" s="63" t="str">
        <f t="shared" si="457"/>
        <v>NY</v>
      </c>
      <c r="E458" s="64">
        <v>5.0</v>
      </c>
      <c r="F458" s="51">
        <f>IFERROR(__xludf.DUMMYFUNCTION("""COMPUTED_VALUE"""),57.0)</f>
        <v>57</v>
      </c>
      <c r="G458" s="51">
        <f>IFERROR(__xludf.DUMMYFUNCTION("""COMPUTED_VALUE"""),77.3)</f>
        <v>77.3</v>
      </c>
      <c r="H458" s="51"/>
      <c r="I458" s="51"/>
    </row>
    <row r="459" ht="15.75" customHeight="1">
      <c r="A459" s="55" t="str">
        <f t="shared" si="1"/>
        <v>0824GOLD</v>
      </c>
      <c r="B459" s="62">
        <f t="shared" ref="B459:D459" si="458">B458</f>
        <v>45518</v>
      </c>
      <c r="C459" s="63" t="str">
        <f t="shared" si="458"/>
        <v>GOLD</v>
      </c>
      <c r="D459" s="63" t="str">
        <f t="shared" si="458"/>
        <v>NY</v>
      </c>
      <c r="E459" s="64">
        <v>5.0</v>
      </c>
      <c r="F459" s="51">
        <f>IFERROR(__xludf.DUMMYFUNCTION("""COMPUTED_VALUE"""),58.0)</f>
        <v>58</v>
      </c>
      <c r="G459" s="51"/>
      <c r="H459" s="51">
        <f>IFERROR(__xludf.DUMMYFUNCTION("""COMPUTED_VALUE"""),39.8)</f>
        <v>39.8</v>
      </c>
      <c r="I459" s="51"/>
    </row>
    <row r="460" ht="15.75" customHeight="1">
      <c r="A460" s="55" t="str">
        <f t="shared" si="1"/>
        <v>0824GOLD</v>
      </c>
      <c r="B460" s="62">
        <f t="shared" ref="B460:D460" si="459">B459</f>
        <v>45518</v>
      </c>
      <c r="C460" s="63" t="str">
        <f t="shared" si="459"/>
        <v>GOLD</v>
      </c>
      <c r="D460" s="63" t="str">
        <f t="shared" si="459"/>
        <v>NY</v>
      </c>
      <c r="E460" s="64">
        <v>5.0</v>
      </c>
      <c r="F460" s="51">
        <f>IFERROR(__xludf.DUMMYFUNCTION("""COMPUTED_VALUE"""),59.0)</f>
        <v>59</v>
      </c>
      <c r="G460" s="51"/>
      <c r="H460" s="51">
        <f>IFERROR(__xludf.DUMMYFUNCTION("""COMPUTED_VALUE"""),49.2)</f>
        <v>49.2</v>
      </c>
      <c r="I460" s="51"/>
    </row>
    <row r="461" ht="15.75" customHeight="1">
      <c r="A461" s="55" t="str">
        <f t="shared" si="1"/>
        <v>0824GOLD</v>
      </c>
      <c r="B461" s="62">
        <f t="shared" ref="B461:D461" si="460">B460</f>
        <v>45518</v>
      </c>
      <c r="C461" s="63" t="str">
        <f t="shared" si="460"/>
        <v>GOLD</v>
      </c>
      <c r="D461" s="63" t="str">
        <f t="shared" si="460"/>
        <v>NY</v>
      </c>
      <c r="E461" s="64">
        <v>5.0</v>
      </c>
      <c r="F461" s="51">
        <f>IFERROR(__xludf.DUMMYFUNCTION("""COMPUTED_VALUE"""),60.0)</f>
        <v>60</v>
      </c>
      <c r="G461" s="51">
        <f>IFERROR(__xludf.DUMMYFUNCTION("""COMPUTED_VALUE"""),83.78)</f>
        <v>83.78</v>
      </c>
      <c r="H461" s="51"/>
      <c r="I461" s="51"/>
    </row>
    <row r="462" ht="15.75" customHeight="1">
      <c r="A462" s="55" t="str">
        <f t="shared" si="1"/>
        <v>0824GOLD</v>
      </c>
      <c r="B462" s="62">
        <f t="shared" ref="B462:D462" si="461">B461</f>
        <v>45518</v>
      </c>
      <c r="C462" s="63" t="str">
        <f t="shared" si="461"/>
        <v>GOLD</v>
      </c>
      <c r="D462" s="63" t="str">
        <f t="shared" si="461"/>
        <v>NY</v>
      </c>
      <c r="E462" s="64">
        <v>5.0</v>
      </c>
      <c r="F462" s="51">
        <f>IFERROR(__xludf.DUMMYFUNCTION("""COMPUTED_VALUE"""),61.0)</f>
        <v>61</v>
      </c>
      <c r="G462" s="51"/>
      <c r="H462" s="51">
        <f>IFERROR(__xludf.DUMMYFUNCTION("""COMPUTED_VALUE"""),45.91)</f>
        <v>45.91</v>
      </c>
      <c r="I462" s="51"/>
    </row>
    <row r="463" ht="15.75" customHeight="1">
      <c r="A463" s="55" t="str">
        <f t="shared" si="1"/>
        <v>0824GOLD</v>
      </c>
      <c r="B463" s="62">
        <f t="shared" ref="B463:D463" si="462">B462</f>
        <v>45518</v>
      </c>
      <c r="C463" s="63" t="str">
        <f t="shared" si="462"/>
        <v>GOLD</v>
      </c>
      <c r="D463" s="63" t="str">
        <f t="shared" si="462"/>
        <v>NY</v>
      </c>
      <c r="E463" s="64">
        <v>5.0</v>
      </c>
      <c r="F463" s="51">
        <f>IFERROR(__xludf.DUMMYFUNCTION("""COMPUTED_VALUE"""),62.0)</f>
        <v>62</v>
      </c>
      <c r="G463" s="51"/>
      <c r="H463" s="51">
        <f>IFERROR(__xludf.DUMMYFUNCTION("""COMPUTED_VALUE"""),48.58)</f>
        <v>48.58</v>
      </c>
      <c r="I463" s="51"/>
    </row>
    <row r="464" ht="15.75" customHeight="1">
      <c r="A464" s="55" t="str">
        <f t="shared" si="1"/>
        <v>0824GOLD</v>
      </c>
      <c r="B464" s="62">
        <f t="shared" ref="B464:D464" si="463">B463</f>
        <v>45518</v>
      </c>
      <c r="C464" s="63" t="str">
        <f t="shared" si="463"/>
        <v>GOLD</v>
      </c>
      <c r="D464" s="63" t="str">
        <f t="shared" si="463"/>
        <v>NY</v>
      </c>
      <c r="E464" s="64">
        <v>5.0</v>
      </c>
      <c r="F464" s="51">
        <f>IFERROR(__xludf.DUMMYFUNCTION("""COMPUTED_VALUE"""),63.0)</f>
        <v>63</v>
      </c>
      <c r="G464" s="51">
        <f>IFERROR(__xludf.DUMMYFUNCTION("""COMPUTED_VALUE"""),72.49)</f>
        <v>72.49</v>
      </c>
      <c r="H464" s="51"/>
      <c r="I464" s="51"/>
    </row>
    <row r="465" ht="15.75" customHeight="1">
      <c r="A465" s="55" t="str">
        <f t="shared" si="1"/>
        <v>0824GOLD</v>
      </c>
      <c r="B465" s="62">
        <f t="shared" ref="B465:D465" si="464">B464</f>
        <v>45518</v>
      </c>
      <c r="C465" s="63" t="str">
        <f t="shared" si="464"/>
        <v>GOLD</v>
      </c>
      <c r="D465" s="63" t="str">
        <f t="shared" si="464"/>
        <v>NY</v>
      </c>
      <c r="E465" s="64">
        <v>5.0</v>
      </c>
      <c r="F465" s="51">
        <f>IFERROR(__xludf.DUMMYFUNCTION("""COMPUTED_VALUE"""),64.0)</f>
        <v>64</v>
      </c>
      <c r="G465" s="51"/>
      <c r="H465" s="51"/>
      <c r="I465" s="51"/>
    </row>
    <row r="466" ht="15.75" customHeight="1">
      <c r="A466" s="55" t="str">
        <f t="shared" si="1"/>
        <v>0824GOLD</v>
      </c>
      <c r="B466" s="62">
        <f t="shared" ref="B466:D466" si="465">B465</f>
        <v>45518</v>
      </c>
      <c r="C466" s="63" t="str">
        <f t="shared" si="465"/>
        <v>GOLD</v>
      </c>
      <c r="D466" s="63" t="str">
        <f t="shared" si="465"/>
        <v>NY</v>
      </c>
      <c r="E466" s="64">
        <v>5.0</v>
      </c>
      <c r="F466" s="51">
        <f>IFERROR(__xludf.DUMMYFUNCTION("""COMPUTED_VALUE"""),65.0)</f>
        <v>65</v>
      </c>
      <c r="G466" s="51"/>
      <c r="H466" s="51"/>
      <c r="I466" s="51"/>
    </row>
    <row r="467" ht="15.75" customHeight="1">
      <c r="A467" s="55" t="str">
        <f t="shared" si="1"/>
        <v>0824GOLD</v>
      </c>
      <c r="B467" s="62">
        <f t="shared" ref="B467:D467" si="466">B466</f>
        <v>45518</v>
      </c>
      <c r="C467" s="63" t="str">
        <f t="shared" si="466"/>
        <v>GOLD</v>
      </c>
      <c r="D467" s="63" t="str">
        <f t="shared" si="466"/>
        <v>NY</v>
      </c>
      <c r="E467" s="64">
        <v>5.0</v>
      </c>
      <c r="F467" s="51">
        <f>IFERROR(__xludf.DUMMYFUNCTION("""COMPUTED_VALUE"""),66.0)</f>
        <v>66</v>
      </c>
      <c r="G467" s="51"/>
      <c r="H467" s="51"/>
      <c r="I467" s="51"/>
    </row>
    <row r="468" ht="15.75" customHeight="1">
      <c r="A468" s="55" t="str">
        <f t="shared" si="1"/>
        <v>0824GOLD</v>
      </c>
      <c r="B468" s="62">
        <f t="shared" ref="B468:D468" si="467">B467</f>
        <v>45518</v>
      </c>
      <c r="C468" s="63" t="str">
        <f t="shared" si="467"/>
        <v>GOLD</v>
      </c>
      <c r="D468" s="63" t="str">
        <f t="shared" si="467"/>
        <v>NY</v>
      </c>
      <c r="E468" s="64">
        <v>5.0</v>
      </c>
      <c r="F468" s="51">
        <f>IFERROR(__xludf.DUMMYFUNCTION("""COMPUTED_VALUE"""),67.0)</f>
        <v>67</v>
      </c>
      <c r="G468" s="51"/>
      <c r="H468" s="51"/>
      <c r="I468" s="51"/>
    </row>
    <row r="469" ht="15.75" customHeight="1">
      <c r="A469" s="55" t="str">
        <f t="shared" si="1"/>
        <v>0824GOLD</v>
      </c>
      <c r="B469" s="62">
        <f t="shared" ref="B469:D469" si="468">B468</f>
        <v>45518</v>
      </c>
      <c r="C469" s="63" t="str">
        <f t="shared" si="468"/>
        <v>GOLD</v>
      </c>
      <c r="D469" s="63" t="str">
        <f t="shared" si="468"/>
        <v>NY</v>
      </c>
      <c r="E469" s="64">
        <v>5.0</v>
      </c>
      <c r="F469" s="51">
        <f>IFERROR(__xludf.DUMMYFUNCTION("""COMPUTED_VALUE"""),68.0)</f>
        <v>68</v>
      </c>
      <c r="G469" s="51"/>
      <c r="H469" s="51"/>
      <c r="I469" s="51"/>
    </row>
    <row r="470" ht="15.75" customHeight="1">
      <c r="A470" s="55" t="str">
        <f t="shared" si="1"/>
        <v>0824GOLD</v>
      </c>
      <c r="B470" s="62">
        <f t="shared" ref="B470:D470" si="469">B469</f>
        <v>45518</v>
      </c>
      <c r="C470" s="63" t="str">
        <f t="shared" si="469"/>
        <v>GOLD</v>
      </c>
      <c r="D470" s="63" t="str">
        <f t="shared" si="469"/>
        <v>NY</v>
      </c>
      <c r="E470" s="64">
        <v>5.0</v>
      </c>
      <c r="F470" s="51">
        <f>IFERROR(__xludf.DUMMYFUNCTION("""COMPUTED_VALUE"""),69.0)</f>
        <v>69</v>
      </c>
      <c r="G470" s="51"/>
      <c r="H470" s="51"/>
      <c r="I470" s="51"/>
    </row>
    <row r="471" ht="15.75" customHeight="1">
      <c r="A471" s="55" t="str">
        <f t="shared" si="1"/>
        <v>0824GOLD</v>
      </c>
      <c r="B471" s="62">
        <f t="shared" ref="B471:D471" si="470">B470</f>
        <v>45518</v>
      </c>
      <c r="C471" s="63" t="str">
        <f t="shared" si="470"/>
        <v>GOLD</v>
      </c>
      <c r="D471" s="63" t="str">
        <f t="shared" si="470"/>
        <v>NY</v>
      </c>
      <c r="E471" s="64">
        <v>5.0</v>
      </c>
      <c r="F471" s="51">
        <f>IFERROR(__xludf.DUMMYFUNCTION("""COMPUTED_VALUE"""),70.0)</f>
        <v>70</v>
      </c>
      <c r="G471" s="51"/>
      <c r="H471" s="51"/>
      <c r="I471" s="51"/>
    </row>
    <row r="472" ht="15.75" customHeight="1">
      <c r="A472" s="55" t="str">
        <f t="shared" si="1"/>
        <v>0824GOLD</v>
      </c>
      <c r="B472" s="62">
        <f t="shared" ref="B472:D472" si="471">B471</f>
        <v>45518</v>
      </c>
      <c r="C472" s="63" t="str">
        <f t="shared" si="471"/>
        <v>GOLD</v>
      </c>
      <c r="D472" s="63" t="str">
        <f t="shared" si="471"/>
        <v>NY</v>
      </c>
      <c r="E472" s="64">
        <v>5.0</v>
      </c>
      <c r="F472" s="51">
        <f>IFERROR(__xludf.DUMMYFUNCTION("""COMPUTED_VALUE"""),71.0)</f>
        <v>71</v>
      </c>
      <c r="G472" s="51"/>
      <c r="H472" s="51"/>
      <c r="I472" s="51"/>
    </row>
    <row r="473" ht="15.75" customHeight="1">
      <c r="A473" s="55" t="str">
        <f t="shared" si="1"/>
        <v>0824GOLD</v>
      </c>
      <c r="B473" s="62">
        <f t="shared" ref="B473:D473" si="472">B472</f>
        <v>45518</v>
      </c>
      <c r="C473" s="63" t="str">
        <f t="shared" si="472"/>
        <v>GOLD</v>
      </c>
      <c r="D473" s="63" t="str">
        <f t="shared" si="472"/>
        <v>NY</v>
      </c>
      <c r="E473" s="64">
        <v>5.0</v>
      </c>
      <c r="F473" s="51">
        <f>IFERROR(__xludf.DUMMYFUNCTION("""COMPUTED_VALUE"""),72.0)</f>
        <v>72</v>
      </c>
      <c r="G473" s="51"/>
      <c r="H473" s="51"/>
      <c r="I473" s="51"/>
    </row>
    <row r="474" ht="15.75" customHeight="1">
      <c r="A474" s="55" t="str">
        <f t="shared" si="1"/>
        <v>0824GOLD</v>
      </c>
      <c r="B474" s="62">
        <f t="shared" ref="B474:D474" si="473">B473</f>
        <v>45518</v>
      </c>
      <c r="C474" s="63" t="str">
        <f t="shared" si="473"/>
        <v>GOLD</v>
      </c>
      <c r="D474" s="63" t="str">
        <f t="shared" si="473"/>
        <v>NY</v>
      </c>
      <c r="E474" s="64">
        <v>5.0</v>
      </c>
      <c r="F474" s="51">
        <f>IFERROR(__xludf.DUMMYFUNCTION("""COMPUTED_VALUE"""),73.0)</f>
        <v>73</v>
      </c>
      <c r="G474" s="51"/>
      <c r="H474" s="51"/>
      <c r="I474" s="51"/>
    </row>
    <row r="475" ht="15.75" customHeight="1">
      <c r="A475" s="55" t="str">
        <f t="shared" si="1"/>
        <v>0824GOLD</v>
      </c>
      <c r="B475" s="62">
        <f t="shared" ref="B475:D475" si="474">B474</f>
        <v>45518</v>
      </c>
      <c r="C475" s="63" t="str">
        <f t="shared" si="474"/>
        <v>GOLD</v>
      </c>
      <c r="D475" s="63" t="str">
        <f t="shared" si="474"/>
        <v>NY</v>
      </c>
      <c r="E475" s="64">
        <v>5.0</v>
      </c>
      <c r="F475" s="51">
        <f>IFERROR(__xludf.DUMMYFUNCTION("""COMPUTED_VALUE"""),74.0)</f>
        <v>74</v>
      </c>
      <c r="G475" s="51"/>
      <c r="H475" s="51"/>
      <c r="I475" s="51"/>
    </row>
    <row r="476" ht="15.75" customHeight="1">
      <c r="A476" s="55" t="str">
        <f t="shared" si="1"/>
        <v>0824GOLD</v>
      </c>
      <c r="B476" s="62">
        <f t="shared" ref="B476:D476" si="475">B475</f>
        <v>45518</v>
      </c>
      <c r="C476" s="63" t="str">
        <f t="shared" si="475"/>
        <v>GOLD</v>
      </c>
      <c r="D476" s="63" t="str">
        <f t="shared" si="475"/>
        <v>NY</v>
      </c>
      <c r="E476" s="64">
        <v>5.0</v>
      </c>
      <c r="F476" s="51">
        <f>IFERROR(__xludf.DUMMYFUNCTION("""COMPUTED_VALUE"""),75.0)</f>
        <v>75</v>
      </c>
      <c r="G476" s="51"/>
      <c r="H476" s="51"/>
      <c r="I476" s="51"/>
    </row>
    <row r="477" ht="15.75" customHeight="1">
      <c r="A477" s="55" t="str">
        <f t="shared" si="1"/>
        <v>0824GOLD</v>
      </c>
      <c r="B477" s="62">
        <f t="shared" ref="B477:D477" si="476">B476</f>
        <v>45518</v>
      </c>
      <c r="C477" s="63" t="str">
        <f t="shared" si="476"/>
        <v>GOLD</v>
      </c>
      <c r="D477" s="63" t="str">
        <f t="shared" si="476"/>
        <v>NY</v>
      </c>
      <c r="E477" s="64">
        <v>5.0</v>
      </c>
      <c r="F477" s="51">
        <f>IFERROR(__xludf.DUMMYFUNCTION("""COMPUTED_VALUE"""),76.0)</f>
        <v>76</v>
      </c>
      <c r="G477" s="51"/>
      <c r="H477" s="51"/>
      <c r="I477" s="51"/>
    </row>
    <row r="478" ht="15.75" customHeight="1">
      <c r="A478" s="55" t="str">
        <f t="shared" si="1"/>
        <v>0824GOLD</v>
      </c>
      <c r="B478" s="62">
        <f t="shared" ref="B478:D478" si="477">B477</f>
        <v>45518</v>
      </c>
      <c r="C478" s="63" t="str">
        <f t="shared" si="477"/>
        <v>GOLD</v>
      </c>
      <c r="D478" s="63" t="str">
        <f t="shared" si="477"/>
        <v>NY</v>
      </c>
      <c r="E478" s="64">
        <v>5.0</v>
      </c>
      <c r="F478" s="51">
        <f>IFERROR(__xludf.DUMMYFUNCTION("""COMPUTED_VALUE"""),77.0)</f>
        <v>77</v>
      </c>
      <c r="G478" s="51"/>
      <c r="H478" s="51"/>
      <c r="I478" s="51"/>
    </row>
    <row r="479" ht="15.75" customHeight="1">
      <c r="A479" s="55" t="str">
        <f t="shared" si="1"/>
        <v>0824GOLD</v>
      </c>
      <c r="B479" s="62">
        <f t="shared" ref="B479:D479" si="478">B478</f>
        <v>45518</v>
      </c>
      <c r="C479" s="63" t="str">
        <f t="shared" si="478"/>
        <v>GOLD</v>
      </c>
      <c r="D479" s="63" t="str">
        <f t="shared" si="478"/>
        <v>NY</v>
      </c>
      <c r="E479" s="64">
        <v>5.0</v>
      </c>
      <c r="F479" s="51">
        <f>IFERROR(__xludf.DUMMYFUNCTION("""COMPUTED_VALUE"""),78.0)</f>
        <v>78</v>
      </c>
      <c r="G479" s="51"/>
      <c r="H479" s="51"/>
      <c r="I479" s="51"/>
    </row>
    <row r="480" ht="15.75" customHeight="1">
      <c r="A480" s="55" t="str">
        <f t="shared" si="1"/>
        <v>0824GOLD</v>
      </c>
      <c r="B480" s="62">
        <f t="shared" ref="B480:D480" si="479">B479</f>
        <v>45518</v>
      </c>
      <c r="C480" s="63" t="str">
        <f t="shared" si="479"/>
        <v>GOLD</v>
      </c>
      <c r="D480" s="63" t="str">
        <f t="shared" si="479"/>
        <v>NY</v>
      </c>
      <c r="E480" s="64">
        <v>5.0</v>
      </c>
      <c r="F480" s="51">
        <f>IFERROR(__xludf.DUMMYFUNCTION("""COMPUTED_VALUE"""),79.0)</f>
        <v>79</v>
      </c>
      <c r="G480" s="51"/>
      <c r="H480" s="51"/>
      <c r="I480" s="51"/>
    </row>
    <row r="481" ht="15.75" customHeight="1">
      <c r="A481" s="55" t="str">
        <f t="shared" si="1"/>
        <v>0824GOLD</v>
      </c>
      <c r="B481" s="62">
        <f t="shared" ref="B481:D481" si="480">B480</f>
        <v>45518</v>
      </c>
      <c r="C481" s="63" t="str">
        <f t="shared" si="480"/>
        <v>GOLD</v>
      </c>
      <c r="D481" s="63" t="str">
        <f t="shared" si="480"/>
        <v>NY</v>
      </c>
      <c r="E481" s="64">
        <v>5.0</v>
      </c>
      <c r="F481" s="51">
        <f>IFERROR(__xludf.DUMMYFUNCTION("""COMPUTED_VALUE"""),80.0)</f>
        <v>80</v>
      </c>
      <c r="G481" s="51"/>
      <c r="H481" s="51"/>
      <c r="I481" s="51"/>
    </row>
    <row r="482" ht="15.75" customHeight="1">
      <c r="A482" s="55" t="str">
        <f t="shared" si="1"/>
        <v>0824GOLD</v>
      </c>
      <c r="B482" s="62">
        <f t="shared" ref="B482:D482" si="481">B481</f>
        <v>45518</v>
      </c>
      <c r="C482" s="63" t="str">
        <f t="shared" si="481"/>
        <v>GOLD</v>
      </c>
      <c r="D482" s="63" t="str">
        <f t="shared" si="481"/>
        <v>NY</v>
      </c>
      <c r="E482" s="64">
        <v>5.0</v>
      </c>
      <c r="F482" s="51">
        <f>IFERROR(__xludf.DUMMYFUNCTION("""COMPUTED_VALUE"""),81.0)</f>
        <v>81</v>
      </c>
      <c r="G482" s="51"/>
      <c r="H482" s="51"/>
      <c r="I482" s="51"/>
    </row>
    <row r="483" ht="15.75" customHeight="1">
      <c r="A483" s="55" t="str">
        <f t="shared" si="1"/>
        <v>0824GOLD</v>
      </c>
      <c r="B483" s="62">
        <f t="shared" ref="B483:D483" si="482">B482</f>
        <v>45518</v>
      </c>
      <c r="C483" s="63" t="str">
        <f t="shared" si="482"/>
        <v>GOLD</v>
      </c>
      <c r="D483" s="63" t="str">
        <f t="shared" si="482"/>
        <v>NY</v>
      </c>
      <c r="E483" s="64">
        <v>5.0</v>
      </c>
      <c r="F483" s="51">
        <f>IFERROR(__xludf.DUMMYFUNCTION("""COMPUTED_VALUE"""),82.0)</f>
        <v>82</v>
      </c>
      <c r="G483" s="51"/>
      <c r="H483" s="51"/>
      <c r="I483" s="51"/>
    </row>
    <row r="484" ht="15.75" customHeight="1">
      <c r="A484" s="55" t="str">
        <f t="shared" si="1"/>
        <v>0824GOLD</v>
      </c>
      <c r="B484" s="62">
        <f t="shared" ref="B484:D484" si="483">B483</f>
        <v>45518</v>
      </c>
      <c r="C484" s="63" t="str">
        <f t="shared" si="483"/>
        <v>GOLD</v>
      </c>
      <c r="D484" s="63" t="str">
        <f t="shared" si="483"/>
        <v>NY</v>
      </c>
      <c r="E484" s="64">
        <v>5.0</v>
      </c>
      <c r="F484" s="51">
        <f>IFERROR(__xludf.DUMMYFUNCTION("""COMPUTED_VALUE"""),83.0)</f>
        <v>83</v>
      </c>
      <c r="G484" s="51"/>
      <c r="H484" s="51"/>
      <c r="I484" s="51"/>
    </row>
    <row r="485" ht="15.75" customHeight="1">
      <c r="A485" s="55" t="str">
        <f t="shared" si="1"/>
        <v>0824GOLD</v>
      </c>
      <c r="B485" s="62">
        <f t="shared" ref="B485:D485" si="484">B484</f>
        <v>45518</v>
      </c>
      <c r="C485" s="63" t="str">
        <f t="shared" si="484"/>
        <v>GOLD</v>
      </c>
      <c r="D485" s="63" t="str">
        <f t="shared" si="484"/>
        <v>NY</v>
      </c>
      <c r="E485" s="64">
        <v>5.0</v>
      </c>
      <c r="F485" s="51">
        <f>IFERROR(__xludf.DUMMYFUNCTION("""COMPUTED_VALUE"""),84.0)</f>
        <v>84</v>
      </c>
      <c r="G485" s="51"/>
      <c r="H485" s="51"/>
      <c r="I485" s="51"/>
    </row>
    <row r="486" ht="15.75" customHeight="1">
      <c r="A486" s="55" t="str">
        <f t="shared" si="1"/>
        <v>0824GOLD</v>
      </c>
      <c r="B486" s="62">
        <f t="shared" ref="B486:D486" si="485">B485</f>
        <v>45518</v>
      </c>
      <c r="C486" s="63" t="str">
        <f t="shared" si="485"/>
        <v>GOLD</v>
      </c>
      <c r="D486" s="63" t="str">
        <f t="shared" si="485"/>
        <v>NY</v>
      </c>
      <c r="E486" s="64">
        <v>5.0</v>
      </c>
      <c r="F486" s="51">
        <f>IFERROR(__xludf.DUMMYFUNCTION("""COMPUTED_VALUE"""),85.0)</f>
        <v>85</v>
      </c>
      <c r="G486" s="51"/>
      <c r="H486" s="51"/>
      <c r="I486" s="51"/>
    </row>
    <row r="487" ht="15.75" customHeight="1">
      <c r="A487" s="55" t="str">
        <f t="shared" si="1"/>
        <v>0824GOLD</v>
      </c>
      <c r="B487" s="62">
        <f t="shared" ref="B487:D487" si="486">B486</f>
        <v>45518</v>
      </c>
      <c r="C487" s="63" t="str">
        <f t="shared" si="486"/>
        <v>GOLD</v>
      </c>
      <c r="D487" s="63" t="str">
        <f t="shared" si="486"/>
        <v>NY</v>
      </c>
      <c r="E487" s="64">
        <v>5.0</v>
      </c>
      <c r="F487" s="51">
        <f>IFERROR(__xludf.DUMMYFUNCTION("""COMPUTED_VALUE"""),86.0)</f>
        <v>86</v>
      </c>
      <c r="G487" s="51"/>
      <c r="H487" s="51"/>
      <c r="I487" s="51"/>
    </row>
    <row r="488" ht="15.75" customHeight="1">
      <c r="A488" s="55" t="str">
        <f t="shared" si="1"/>
        <v>0824GOLD</v>
      </c>
      <c r="B488" s="62">
        <f t="shared" ref="B488:D488" si="487">B487</f>
        <v>45518</v>
      </c>
      <c r="C488" s="63" t="str">
        <f t="shared" si="487"/>
        <v>GOLD</v>
      </c>
      <c r="D488" s="63" t="str">
        <f t="shared" si="487"/>
        <v>NY</v>
      </c>
      <c r="E488" s="64">
        <v>5.0</v>
      </c>
      <c r="F488" s="51">
        <f>IFERROR(__xludf.DUMMYFUNCTION("""COMPUTED_VALUE"""),87.0)</f>
        <v>87</v>
      </c>
      <c r="G488" s="51"/>
      <c r="H488" s="51"/>
      <c r="I488" s="51"/>
    </row>
    <row r="489" ht="15.75" customHeight="1">
      <c r="A489" s="55" t="str">
        <f t="shared" si="1"/>
        <v>0824GOLD</v>
      </c>
      <c r="B489" s="62">
        <f t="shared" ref="B489:D489" si="488">B488</f>
        <v>45518</v>
      </c>
      <c r="C489" s="63" t="str">
        <f t="shared" si="488"/>
        <v>GOLD</v>
      </c>
      <c r="D489" s="63" t="str">
        <f t="shared" si="488"/>
        <v>NY</v>
      </c>
      <c r="E489" s="64">
        <v>5.0</v>
      </c>
      <c r="F489" s="51">
        <f>IFERROR(__xludf.DUMMYFUNCTION("""COMPUTED_VALUE"""),88.0)</f>
        <v>88</v>
      </c>
      <c r="G489" s="51"/>
      <c r="H489" s="51"/>
      <c r="I489" s="51"/>
    </row>
    <row r="490" ht="15.75" customHeight="1">
      <c r="A490" s="55" t="str">
        <f t="shared" si="1"/>
        <v>0824GOLD</v>
      </c>
      <c r="B490" s="62">
        <f t="shared" ref="B490:D490" si="489">B489</f>
        <v>45518</v>
      </c>
      <c r="C490" s="63" t="str">
        <f t="shared" si="489"/>
        <v>GOLD</v>
      </c>
      <c r="D490" s="63" t="str">
        <f t="shared" si="489"/>
        <v>NY</v>
      </c>
      <c r="E490" s="64">
        <v>5.0</v>
      </c>
      <c r="F490" s="51">
        <f>IFERROR(__xludf.DUMMYFUNCTION("""COMPUTED_VALUE"""),89.0)</f>
        <v>89</v>
      </c>
      <c r="G490" s="51"/>
      <c r="H490" s="51"/>
      <c r="I490" s="51"/>
    </row>
    <row r="491" ht="15.75" customHeight="1">
      <c r="A491" s="55" t="str">
        <f t="shared" si="1"/>
        <v>0824GOLD</v>
      </c>
      <c r="B491" s="62">
        <f t="shared" ref="B491:D491" si="490">B490</f>
        <v>45518</v>
      </c>
      <c r="C491" s="63" t="str">
        <f t="shared" si="490"/>
        <v>GOLD</v>
      </c>
      <c r="D491" s="63" t="str">
        <f t="shared" si="490"/>
        <v>NY</v>
      </c>
      <c r="E491" s="64">
        <v>5.0</v>
      </c>
      <c r="F491" s="51">
        <f>IFERROR(__xludf.DUMMYFUNCTION("""COMPUTED_VALUE"""),90.0)</f>
        <v>90</v>
      </c>
      <c r="G491" s="51"/>
      <c r="H491" s="51"/>
      <c r="I491" s="51"/>
    </row>
    <row r="492" ht="15.75" customHeight="1">
      <c r="A492" s="55" t="str">
        <f t="shared" si="1"/>
        <v>0824GOLD</v>
      </c>
      <c r="B492" s="62">
        <f t="shared" ref="B492:D492" si="491">B491</f>
        <v>45518</v>
      </c>
      <c r="C492" s="63" t="str">
        <f t="shared" si="491"/>
        <v>GOLD</v>
      </c>
      <c r="D492" s="63" t="str">
        <f t="shared" si="491"/>
        <v>NY</v>
      </c>
      <c r="E492" s="64">
        <v>5.0</v>
      </c>
      <c r="F492" s="51">
        <f>IFERROR(__xludf.DUMMYFUNCTION("""COMPUTED_VALUE"""),91.0)</f>
        <v>91</v>
      </c>
      <c r="G492" s="51"/>
      <c r="H492" s="51"/>
      <c r="I492" s="51"/>
    </row>
    <row r="493" ht="15.75" customHeight="1">
      <c r="A493" s="55" t="str">
        <f t="shared" si="1"/>
        <v>0824GOLD</v>
      </c>
      <c r="B493" s="62">
        <f t="shared" ref="B493:D493" si="492">B492</f>
        <v>45518</v>
      </c>
      <c r="C493" s="63" t="str">
        <f t="shared" si="492"/>
        <v>GOLD</v>
      </c>
      <c r="D493" s="63" t="str">
        <f t="shared" si="492"/>
        <v>NY</v>
      </c>
      <c r="E493" s="64">
        <v>5.0</v>
      </c>
      <c r="F493" s="51">
        <f>IFERROR(__xludf.DUMMYFUNCTION("""COMPUTED_VALUE"""),92.0)</f>
        <v>92</v>
      </c>
      <c r="G493" s="51"/>
      <c r="H493" s="51"/>
      <c r="I493" s="51"/>
    </row>
    <row r="494" ht="15.75" customHeight="1">
      <c r="A494" s="55" t="str">
        <f t="shared" si="1"/>
        <v>0824GOLD</v>
      </c>
      <c r="B494" s="62">
        <f t="shared" ref="B494:D494" si="493">B493</f>
        <v>45518</v>
      </c>
      <c r="C494" s="63" t="str">
        <f t="shared" si="493"/>
        <v>GOLD</v>
      </c>
      <c r="D494" s="63" t="str">
        <f t="shared" si="493"/>
        <v>NY</v>
      </c>
      <c r="E494" s="64">
        <v>5.0</v>
      </c>
      <c r="F494" s="51">
        <f>IFERROR(__xludf.DUMMYFUNCTION("""COMPUTED_VALUE"""),93.0)</f>
        <v>93</v>
      </c>
      <c r="G494" s="51"/>
      <c r="H494" s="51"/>
      <c r="I494" s="51"/>
    </row>
    <row r="495" ht="15.75" customHeight="1">
      <c r="A495" s="55" t="str">
        <f t="shared" si="1"/>
        <v>0824GOLD</v>
      </c>
      <c r="B495" s="62">
        <f t="shared" ref="B495:D495" si="494">B494</f>
        <v>45518</v>
      </c>
      <c r="C495" s="63" t="str">
        <f t="shared" si="494"/>
        <v>GOLD</v>
      </c>
      <c r="D495" s="63" t="str">
        <f t="shared" si="494"/>
        <v>NY</v>
      </c>
      <c r="E495" s="64">
        <v>5.0</v>
      </c>
      <c r="F495" s="51">
        <f>IFERROR(__xludf.DUMMYFUNCTION("""COMPUTED_VALUE"""),94.0)</f>
        <v>94</v>
      </c>
      <c r="G495" s="51"/>
      <c r="H495" s="51"/>
      <c r="I495" s="51"/>
    </row>
    <row r="496" ht="15.75" customHeight="1">
      <c r="A496" s="55" t="str">
        <f t="shared" si="1"/>
        <v>0824GOLD</v>
      </c>
      <c r="B496" s="62">
        <f t="shared" ref="B496:D496" si="495">B495</f>
        <v>45518</v>
      </c>
      <c r="C496" s="63" t="str">
        <f t="shared" si="495"/>
        <v>GOLD</v>
      </c>
      <c r="D496" s="63" t="str">
        <f t="shared" si="495"/>
        <v>NY</v>
      </c>
      <c r="E496" s="64">
        <v>5.0</v>
      </c>
      <c r="F496" s="51">
        <f>IFERROR(__xludf.DUMMYFUNCTION("""COMPUTED_VALUE"""),95.0)</f>
        <v>95</v>
      </c>
      <c r="G496" s="51"/>
      <c r="H496" s="51"/>
      <c r="I496" s="51"/>
    </row>
    <row r="497" ht="15.75" customHeight="1">
      <c r="A497" s="55" t="str">
        <f t="shared" si="1"/>
        <v>0824GOLD</v>
      </c>
      <c r="B497" s="62">
        <f t="shared" ref="B497:D497" si="496">B496</f>
        <v>45518</v>
      </c>
      <c r="C497" s="63" t="str">
        <f t="shared" si="496"/>
        <v>GOLD</v>
      </c>
      <c r="D497" s="63" t="str">
        <f t="shared" si="496"/>
        <v>NY</v>
      </c>
      <c r="E497" s="64">
        <v>5.0</v>
      </c>
      <c r="F497" s="51">
        <f>IFERROR(__xludf.DUMMYFUNCTION("""COMPUTED_VALUE"""),96.0)</f>
        <v>96</v>
      </c>
      <c r="G497" s="51"/>
      <c r="H497" s="51"/>
      <c r="I497" s="51"/>
    </row>
    <row r="498" ht="15.75" customHeight="1">
      <c r="A498" s="55" t="str">
        <f t="shared" si="1"/>
        <v>0824GOLD</v>
      </c>
      <c r="B498" s="62">
        <f t="shared" ref="B498:D498" si="497">B497</f>
        <v>45518</v>
      </c>
      <c r="C498" s="63" t="str">
        <f t="shared" si="497"/>
        <v>GOLD</v>
      </c>
      <c r="D498" s="63" t="str">
        <f t="shared" si="497"/>
        <v>NY</v>
      </c>
      <c r="E498" s="64">
        <v>5.0</v>
      </c>
      <c r="F498" s="51">
        <f>IFERROR(__xludf.DUMMYFUNCTION("""COMPUTED_VALUE"""),97.0)</f>
        <v>97</v>
      </c>
      <c r="G498" s="51"/>
      <c r="H498" s="51"/>
      <c r="I498" s="51"/>
    </row>
    <row r="499" ht="15.75" customHeight="1">
      <c r="A499" s="55" t="str">
        <f t="shared" si="1"/>
        <v>0824GOLD</v>
      </c>
      <c r="B499" s="62">
        <f t="shared" ref="B499:D499" si="498">B498</f>
        <v>45518</v>
      </c>
      <c r="C499" s="63" t="str">
        <f t="shared" si="498"/>
        <v>GOLD</v>
      </c>
      <c r="D499" s="63" t="str">
        <f t="shared" si="498"/>
        <v>NY</v>
      </c>
      <c r="E499" s="64">
        <v>5.0</v>
      </c>
      <c r="F499" s="51">
        <f>IFERROR(__xludf.DUMMYFUNCTION("""COMPUTED_VALUE"""),98.0)</f>
        <v>98</v>
      </c>
      <c r="G499" s="51"/>
      <c r="H499" s="51"/>
      <c r="I499" s="51"/>
    </row>
    <row r="500" ht="15.75" customHeight="1">
      <c r="A500" s="55" t="str">
        <f t="shared" si="1"/>
        <v>0824GOLD</v>
      </c>
      <c r="B500" s="62">
        <f t="shared" ref="B500:D500" si="499">B499</f>
        <v>45518</v>
      </c>
      <c r="C500" s="63" t="str">
        <f t="shared" si="499"/>
        <v>GOLD</v>
      </c>
      <c r="D500" s="63" t="str">
        <f t="shared" si="499"/>
        <v>NY</v>
      </c>
      <c r="E500" s="64">
        <v>5.0</v>
      </c>
      <c r="F500" s="51">
        <f>IFERROR(__xludf.DUMMYFUNCTION("""COMPUTED_VALUE"""),99.0)</f>
        <v>99</v>
      </c>
      <c r="G500" s="51"/>
      <c r="H500" s="51"/>
      <c r="I500" s="51"/>
    </row>
    <row r="501" ht="15.75" customHeight="1">
      <c r="A501" s="55" t="str">
        <f t="shared" si="1"/>
        <v>0824GOLD</v>
      </c>
      <c r="B501" s="62">
        <f t="shared" ref="B501:D501" si="500">B500</f>
        <v>45518</v>
      </c>
      <c r="C501" s="63" t="str">
        <f t="shared" si="500"/>
        <v>GOLD</v>
      </c>
      <c r="D501" s="63" t="str">
        <f t="shared" si="500"/>
        <v>NY</v>
      </c>
      <c r="E501" s="64">
        <v>5.0</v>
      </c>
      <c r="F501" s="51">
        <f>IFERROR(__xludf.DUMMYFUNCTION("""COMPUTED_VALUE"""),100.0)</f>
        <v>100</v>
      </c>
      <c r="G501" s="51"/>
      <c r="H501" s="51"/>
      <c r="I501" s="51"/>
    </row>
    <row r="502" ht="15.75" customHeight="1">
      <c r="A502" s="55" t="str">
        <f t="shared" si="1"/>
        <v>0824GOLD</v>
      </c>
      <c r="B502" s="62">
        <f t="shared" ref="B502:D502" si="501">B501</f>
        <v>45518</v>
      </c>
      <c r="C502" s="63" t="str">
        <f t="shared" si="501"/>
        <v>GOLD</v>
      </c>
      <c r="D502" s="63" t="str">
        <f t="shared" si="501"/>
        <v>NY</v>
      </c>
      <c r="E502" s="64">
        <v>6.0</v>
      </c>
      <c r="F502" s="51">
        <f>IFERROR(__xludf.DUMMYFUNCTION("""COMPUTED_VALUE"""),1.0)</f>
        <v>1</v>
      </c>
      <c r="G502" s="51">
        <f>IFERROR(__xludf.DUMMYFUNCTION("""COMPUTED_VALUE"""),140.82)</f>
        <v>140.82</v>
      </c>
      <c r="H502" s="51"/>
      <c r="I502" s="51"/>
    </row>
    <row r="503" ht="15.75" customHeight="1">
      <c r="A503" s="55" t="str">
        <f t="shared" si="1"/>
        <v>0824GOLD</v>
      </c>
      <c r="B503" s="62">
        <f t="shared" ref="B503:D503" si="502">B502</f>
        <v>45518</v>
      </c>
      <c r="C503" s="63" t="str">
        <f t="shared" si="502"/>
        <v>GOLD</v>
      </c>
      <c r="D503" s="63" t="str">
        <f t="shared" si="502"/>
        <v>NY</v>
      </c>
      <c r="E503" s="64">
        <v>6.0</v>
      </c>
      <c r="F503" s="51">
        <f>IFERROR(__xludf.DUMMYFUNCTION("""COMPUTED_VALUE"""),2.0)</f>
        <v>2</v>
      </c>
      <c r="G503" s="51">
        <f>IFERROR(__xludf.DUMMYFUNCTION("""COMPUTED_VALUE"""),72.07)</f>
        <v>72.07</v>
      </c>
      <c r="H503" s="51"/>
      <c r="I503" s="51"/>
    </row>
    <row r="504" ht="15.75" customHeight="1">
      <c r="A504" s="55" t="str">
        <f t="shared" si="1"/>
        <v>0824GOLD</v>
      </c>
      <c r="B504" s="62">
        <f t="shared" ref="B504:D504" si="503">B503</f>
        <v>45518</v>
      </c>
      <c r="C504" s="63" t="str">
        <f t="shared" si="503"/>
        <v>GOLD</v>
      </c>
      <c r="D504" s="63" t="str">
        <f t="shared" si="503"/>
        <v>NY</v>
      </c>
      <c r="E504" s="64">
        <v>6.0</v>
      </c>
      <c r="F504" s="51">
        <f>IFERROR(__xludf.DUMMYFUNCTION("""COMPUTED_VALUE"""),3.0)</f>
        <v>3</v>
      </c>
      <c r="G504" s="51"/>
      <c r="H504" s="51">
        <f>IFERROR(__xludf.DUMMYFUNCTION("""COMPUTED_VALUE"""),42.06)</f>
        <v>42.06</v>
      </c>
      <c r="I504" s="51"/>
    </row>
    <row r="505" ht="15.75" customHeight="1">
      <c r="A505" s="55" t="str">
        <f t="shared" si="1"/>
        <v>0824GOLD</v>
      </c>
      <c r="B505" s="62">
        <f t="shared" ref="B505:D505" si="504">B504</f>
        <v>45518</v>
      </c>
      <c r="C505" s="63" t="str">
        <f t="shared" si="504"/>
        <v>GOLD</v>
      </c>
      <c r="D505" s="63" t="str">
        <f t="shared" si="504"/>
        <v>NY</v>
      </c>
      <c r="E505" s="64">
        <v>6.0</v>
      </c>
      <c r="F505" s="51">
        <f>IFERROR(__xludf.DUMMYFUNCTION("""COMPUTED_VALUE"""),4.0)</f>
        <v>4</v>
      </c>
      <c r="G505" s="51"/>
      <c r="H505" s="51">
        <f>IFERROR(__xludf.DUMMYFUNCTION("""COMPUTED_VALUE"""),53.59)</f>
        <v>53.59</v>
      </c>
      <c r="I505" s="51"/>
    </row>
    <row r="506" ht="15.75" customHeight="1">
      <c r="A506" s="55" t="str">
        <f t="shared" si="1"/>
        <v>0824GOLD</v>
      </c>
      <c r="B506" s="62">
        <f t="shared" ref="B506:D506" si="505">B505</f>
        <v>45518</v>
      </c>
      <c r="C506" s="63" t="str">
        <f t="shared" si="505"/>
        <v>GOLD</v>
      </c>
      <c r="D506" s="63" t="str">
        <f t="shared" si="505"/>
        <v>NY</v>
      </c>
      <c r="E506" s="64">
        <v>6.0</v>
      </c>
      <c r="F506" s="51">
        <f>IFERROR(__xludf.DUMMYFUNCTION("""COMPUTED_VALUE"""),5.0)</f>
        <v>5</v>
      </c>
      <c r="G506" s="51">
        <f>IFERROR(__xludf.DUMMYFUNCTION("""COMPUTED_VALUE"""),115.58)</f>
        <v>115.58</v>
      </c>
      <c r="H506" s="51"/>
      <c r="I506" s="51"/>
    </row>
    <row r="507" ht="15.75" customHeight="1">
      <c r="A507" s="55" t="str">
        <f t="shared" si="1"/>
        <v>0824GOLD</v>
      </c>
      <c r="B507" s="62">
        <f t="shared" ref="B507:D507" si="506">B506</f>
        <v>45518</v>
      </c>
      <c r="C507" s="63" t="str">
        <f t="shared" si="506"/>
        <v>GOLD</v>
      </c>
      <c r="D507" s="63" t="str">
        <f t="shared" si="506"/>
        <v>NY</v>
      </c>
      <c r="E507" s="64">
        <v>6.0</v>
      </c>
      <c r="F507" s="51">
        <f>IFERROR(__xludf.DUMMYFUNCTION("""COMPUTED_VALUE"""),6.0)</f>
        <v>6</v>
      </c>
      <c r="G507" s="51">
        <f>IFERROR(__xludf.DUMMYFUNCTION("""COMPUTED_VALUE"""),151.76)</f>
        <v>151.76</v>
      </c>
      <c r="H507" s="51"/>
      <c r="I507" s="51"/>
    </row>
    <row r="508" ht="15.75" customHeight="1">
      <c r="A508" s="55" t="str">
        <f t="shared" si="1"/>
        <v>0824GOLD</v>
      </c>
      <c r="B508" s="62">
        <f t="shared" ref="B508:D508" si="507">B507</f>
        <v>45518</v>
      </c>
      <c r="C508" s="63" t="str">
        <f t="shared" si="507"/>
        <v>GOLD</v>
      </c>
      <c r="D508" s="63" t="str">
        <f t="shared" si="507"/>
        <v>NY</v>
      </c>
      <c r="E508" s="64">
        <v>6.0</v>
      </c>
      <c r="F508" s="51">
        <f>IFERROR(__xludf.DUMMYFUNCTION("""COMPUTED_VALUE"""),7.0)</f>
        <v>7</v>
      </c>
      <c r="G508" s="51"/>
      <c r="H508" s="51">
        <f>IFERROR(__xludf.DUMMYFUNCTION("""COMPUTED_VALUE"""),81.01)</f>
        <v>81.01</v>
      </c>
      <c r="I508" s="51"/>
    </row>
    <row r="509" ht="15.75" customHeight="1">
      <c r="A509" s="55" t="str">
        <f t="shared" si="1"/>
        <v>0824GOLD</v>
      </c>
      <c r="B509" s="62">
        <f t="shared" ref="B509:D509" si="508">B508</f>
        <v>45518</v>
      </c>
      <c r="C509" s="63" t="str">
        <f t="shared" si="508"/>
        <v>GOLD</v>
      </c>
      <c r="D509" s="63" t="str">
        <f t="shared" si="508"/>
        <v>NY</v>
      </c>
      <c r="E509" s="64">
        <v>6.0</v>
      </c>
      <c r="F509" s="51">
        <f>IFERROR(__xludf.DUMMYFUNCTION("""COMPUTED_VALUE"""),8.0)</f>
        <v>8</v>
      </c>
      <c r="G509" s="51">
        <f>IFERROR(__xludf.DUMMYFUNCTION("""COMPUTED_VALUE"""),144.76)</f>
        <v>144.76</v>
      </c>
      <c r="H509" s="51"/>
      <c r="I509" s="51"/>
    </row>
    <row r="510" ht="15.75" customHeight="1">
      <c r="A510" s="55" t="str">
        <f t="shared" si="1"/>
        <v>0824GOLD</v>
      </c>
      <c r="B510" s="62">
        <f t="shared" ref="B510:D510" si="509">B509</f>
        <v>45518</v>
      </c>
      <c r="C510" s="63" t="str">
        <f t="shared" si="509"/>
        <v>GOLD</v>
      </c>
      <c r="D510" s="63" t="str">
        <f t="shared" si="509"/>
        <v>NY</v>
      </c>
      <c r="E510" s="64">
        <v>6.0</v>
      </c>
      <c r="F510" s="51">
        <f>IFERROR(__xludf.DUMMYFUNCTION("""COMPUTED_VALUE"""),9.0)</f>
        <v>9</v>
      </c>
      <c r="G510" s="51">
        <f>IFERROR(__xludf.DUMMYFUNCTION("""COMPUTED_VALUE"""),99.38)</f>
        <v>99.38</v>
      </c>
      <c r="H510" s="51"/>
      <c r="I510" s="51"/>
    </row>
    <row r="511" ht="15.75" customHeight="1">
      <c r="A511" s="55" t="str">
        <f t="shared" si="1"/>
        <v>0824GOLD</v>
      </c>
      <c r="B511" s="62">
        <f t="shared" ref="B511:D511" si="510">B510</f>
        <v>45518</v>
      </c>
      <c r="C511" s="63" t="str">
        <f t="shared" si="510"/>
        <v>GOLD</v>
      </c>
      <c r="D511" s="63" t="str">
        <f t="shared" si="510"/>
        <v>NY</v>
      </c>
      <c r="E511" s="64">
        <v>6.0</v>
      </c>
      <c r="F511" s="51">
        <f>IFERROR(__xludf.DUMMYFUNCTION("""COMPUTED_VALUE"""),10.0)</f>
        <v>10</v>
      </c>
      <c r="G511" s="51">
        <f>IFERROR(__xludf.DUMMYFUNCTION("""COMPUTED_VALUE"""),95.9)</f>
        <v>95.9</v>
      </c>
      <c r="H511" s="51"/>
      <c r="I511" s="51"/>
    </row>
    <row r="512" ht="15.75" customHeight="1">
      <c r="A512" s="55" t="str">
        <f t="shared" si="1"/>
        <v>0824GOLD</v>
      </c>
      <c r="B512" s="62">
        <f t="shared" ref="B512:D512" si="511">B511</f>
        <v>45518</v>
      </c>
      <c r="C512" s="63" t="str">
        <f t="shared" si="511"/>
        <v>GOLD</v>
      </c>
      <c r="D512" s="63" t="str">
        <f t="shared" si="511"/>
        <v>NY</v>
      </c>
      <c r="E512" s="64">
        <v>6.0</v>
      </c>
      <c r="F512" s="51">
        <f>IFERROR(__xludf.DUMMYFUNCTION("""COMPUTED_VALUE"""),11.0)</f>
        <v>11</v>
      </c>
      <c r="G512" s="51">
        <f>IFERROR(__xludf.DUMMYFUNCTION("""COMPUTED_VALUE"""),108.99)</f>
        <v>108.99</v>
      </c>
      <c r="H512" s="51"/>
      <c r="I512" s="51"/>
    </row>
    <row r="513" ht="15.75" customHeight="1">
      <c r="A513" s="55" t="str">
        <f t="shared" si="1"/>
        <v>0824GOLD</v>
      </c>
      <c r="B513" s="62">
        <f t="shared" ref="B513:D513" si="512">B512</f>
        <v>45518</v>
      </c>
      <c r="C513" s="63" t="str">
        <f t="shared" si="512"/>
        <v>GOLD</v>
      </c>
      <c r="D513" s="63" t="str">
        <f t="shared" si="512"/>
        <v>NY</v>
      </c>
      <c r="E513" s="64">
        <v>6.0</v>
      </c>
      <c r="F513" s="51">
        <f>IFERROR(__xludf.DUMMYFUNCTION("""COMPUTED_VALUE"""),12.0)</f>
        <v>12</v>
      </c>
      <c r="G513" s="51"/>
      <c r="H513" s="51">
        <f>IFERROR(__xludf.DUMMYFUNCTION("""COMPUTED_VALUE"""),93.67)</f>
        <v>93.67</v>
      </c>
      <c r="I513" s="51"/>
    </row>
    <row r="514" ht="15.75" customHeight="1">
      <c r="A514" s="55" t="str">
        <f t="shared" si="1"/>
        <v>0824GOLD</v>
      </c>
      <c r="B514" s="62">
        <f t="shared" ref="B514:D514" si="513">B513</f>
        <v>45518</v>
      </c>
      <c r="C514" s="63" t="str">
        <f t="shared" si="513"/>
        <v>GOLD</v>
      </c>
      <c r="D514" s="63" t="str">
        <f t="shared" si="513"/>
        <v>NY</v>
      </c>
      <c r="E514" s="64">
        <v>6.0</v>
      </c>
      <c r="F514" s="51">
        <f>IFERROR(__xludf.DUMMYFUNCTION("""COMPUTED_VALUE"""),13.0)</f>
        <v>13</v>
      </c>
      <c r="G514" s="51"/>
      <c r="H514" s="51">
        <f>IFERROR(__xludf.DUMMYFUNCTION("""COMPUTED_VALUE"""),84.31)</f>
        <v>84.31</v>
      </c>
      <c r="I514" s="51"/>
    </row>
    <row r="515" ht="15.75" customHeight="1">
      <c r="A515" s="55" t="str">
        <f t="shared" si="1"/>
        <v>0824GOLD</v>
      </c>
      <c r="B515" s="62">
        <f t="shared" ref="B515:D515" si="514">B514</f>
        <v>45518</v>
      </c>
      <c r="C515" s="63" t="str">
        <f t="shared" si="514"/>
        <v>GOLD</v>
      </c>
      <c r="D515" s="63" t="str">
        <f t="shared" si="514"/>
        <v>NY</v>
      </c>
      <c r="E515" s="64">
        <v>6.0</v>
      </c>
      <c r="F515" s="51">
        <f>IFERROR(__xludf.DUMMYFUNCTION("""COMPUTED_VALUE"""),14.0)</f>
        <v>14</v>
      </c>
      <c r="G515" s="51"/>
      <c r="H515" s="51">
        <f>IFERROR(__xludf.DUMMYFUNCTION("""COMPUTED_VALUE"""),42.5)</f>
        <v>42.5</v>
      </c>
      <c r="I515" s="51"/>
    </row>
    <row r="516" ht="15.75" customHeight="1">
      <c r="A516" s="55" t="str">
        <f t="shared" si="1"/>
        <v>0824GOLD</v>
      </c>
      <c r="B516" s="62">
        <f t="shared" ref="B516:D516" si="515">B515</f>
        <v>45518</v>
      </c>
      <c r="C516" s="63" t="str">
        <f t="shared" si="515"/>
        <v>GOLD</v>
      </c>
      <c r="D516" s="63" t="str">
        <f t="shared" si="515"/>
        <v>NY</v>
      </c>
      <c r="E516" s="64">
        <v>6.0</v>
      </c>
      <c r="F516" s="51">
        <f>IFERROR(__xludf.DUMMYFUNCTION("""COMPUTED_VALUE"""),15.0)</f>
        <v>15</v>
      </c>
      <c r="G516" s="51"/>
      <c r="H516" s="51">
        <f>IFERROR(__xludf.DUMMYFUNCTION("""COMPUTED_VALUE"""),53.83)</f>
        <v>53.83</v>
      </c>
      <c r="I516" s="51"/>
    </row>
    <row r="517" ht="15.75" customHeight="1">
      <c r="A517" s="55" t="str">
        <f t="shared" si="1"/>
        <v>0824GOLD</v>
      </c>
      <c r="B517" s="62">
        <f t="shared" ref="B517:D517" si="516">B516</f>
        <v>45518</v>
      </c>
      <c r="C517" s="63" t="str">
        <f t="shared" si="516"/>
        <v>GOLD</v>
      </c>
      <c r="D517" s="63" t="str">
        <f t="shared" si="516"/>
        <v>NY</v>
      </c>
      <c r="E517" s="64">
        <v>6.0</v>
      </c>
      <c r="F517" s="51">
        <f>IFERROR(__xludf.DUMMYFUNCTION("""COMPUTED_VALUE"""),16.0)</f>
        <v>16</v>
      </c>
      <c r="G517" s="51"/>
      <c r="H517" s="51">
        <f>IFERROR(__xludf.DUMMYFUNCTION("""COMPUTED_VALUE"""),102.79)</f>
        <v>102.79</v>
      </c>
      <c r="I517" s="51"/>
    </row>
    <row r="518" ht="15.75" customHeight="1">
      <c r="A518" s="55" t="str">
        <f t="shared" si="1"/>
        <v>0824GOLD</v>
      </c>
      <c r="B518" s="62">
        <f t="shared" ref="B518:D518" si="517">B517</f>
        <v>45518</v>
      </c>
      <c r="C518" s="63" t="str">
        <f t="shared" si="517"/>
        <v>GOLD</v>
      </c>
      <c r="D518" s="63" t="str">
        <f t="shared" si="517"/>
        <v>NY</v>
      </c>
      <c r="E518" s="64">
        <v>6.0</v>
      </c>
      <c r="F518" s="51">
        <f>IFERROR(__xludf.DUMMYFUNCTION("""COMPUTED_VALUE"""),17.0)</f>
        <v>17</v>
      </c>
      <c r="G518" s="51">
        <f>IFERROR(__xludf.DUMMYFUNCTION("""COMPUTED_VALUE"""),150.3)</f>
        <v>150.3</v>
      </c>
      <c r="H518" s="51"/>
      <c r="I518" s="51"/>
    </row>
    <row r="519" ht="15.75" customHeight="1">
      <c r="A519" s="55" t="str">
        <f t="shared" si="1"/>
        <v>0824GOLD</v>
      </c>
      <c r="B519" s="62">
        <f t="shared" ref="B519:D519" si="518">B518</f>
        <v>45518</v>
      </c>
      <c r="C519" s="63" t="str">
        <f t="shared" si="518"/>
        <v>GOLD</v>
      </c>
      <c r="D519" s="63" t="str">
        <f t="shared" si="518"/>
        <v>NY</v>
      </c>
      <c r="E519" s="64">
        <v>6.0</v>
      </c>
      <c r="F519" s="51">
        <f>IFERROR(__xludf.DUMMYFUNCTION("""COMPUTED_VALUE"""),18.0)</f>
        <v>18</v>
      </c>
      <c r="G519" s="51">
        <f>IFERROR(__xludf.DUMMYFUNCTION("""COMPUTED_VALUE"""),105.27)</f>
        <v>105.27</v>
      </c>
      <c r="H519" s="51"/>
      <c r="I519" s="51"/>
    </row>
    <row r="520" ht="15.75" customHeight="1">
      <c r="A520" s="55" t="str">
        <f t="shared" si="1"/>
        <v>0824GOLD</v>
      </c>
      <c r="B520" s="62">
        <f t="shared" ref="B520:D520" si="519">B519</f>
        <v>45518</v>
      </c>
      <c r="C520" s="63" t="str">
        <f t="shared" si="519"/>
        <v>GOLD</v>
      </c>
      <c r="D520" s="63" t="str">
        <f t="shared" si="519"/>
        <v>NY</v>
      </c>
      <c r="E520" s="64">
        <v>6.0</v>
      </c>
      <c r="F520" s="51">
        <f>IFERROR(__xludf.DUMMYFUNCTION("""COMPUTED_VALUE"""),19.0)</f>
        <v>19</v>
      </c>
      <c r="G520" s="51"/>
      <c r="H520" s="51">
        <f>IFERROR(__xludf.DUMMYFUNCTION("""COMPUTED_VALUE"""),145.2)</f>
        <v>145.2</v>
      </c>
      <c r="I520" s="51"/>
    </row>
    <row r="521" ht="15.75" customHeight="1">
      <c r="A521" s="55" t="str">
        <f t="shared" si="1"/>
        <v>0824GOLD</v>
      </c>
      <c r="B521" s="62">
        <f t="shared" ref="B521:D521" si="520">B520</f>
        <v>45518</v>
      </c>
      <c r="C521" s="63" t="str">
        <f t="shared" si="520"/>
        <v>GOLD</v>
      </c>
      <c r="D521" s="63" t="str">
        <f t="shared" si="520"/>
        <v>NY</v>
      </c>
      <c r="E521" s="64">
        <v>6.0</v>
      </c>
      <c r="F521" s="51">
        <f>IFERROR(__xludf.DUMMYFUNCTION("""COMPUTED_VALUE"""),20.0)</f>
        <v>20</v>
      </c>
      <c r="G521" s="51"/>
      <c r="H521" s="51">
        <f>IFERROR(__xludf.DUMMYFUNCTION("""COMPUTED_VALUE"""),47.88)</f>
        <v>47.88</v>
      </c>
      <c r="I521" s="51"/>
    </row>
    <row r="522" ht="15.75" customHeight="1">
      <c r="A522" s="55" t="str">
        <f t="shared" si="1"/>
        <v>0824GOLD</v>
      </c>
      <c r="B522" s="62">
        <f t="shared" ref="B522:D522" si="521">B521</f>
        <v>45518</v>
      </c>
      <c r="C522" s="63" t="str">
        <f t="shared" si="521"/>
        <v>GOLD</v>
      </c>
      <c r="D522" s="63" t="str">
        <f t="shared" si="521"/>
        <v>NY</v>
      </c>
      <c r="E522" s="64">
        <v>6.0</v>
      </c>
      <c r="F522" s="51">
        <f>IFERROR(__xludf.DUMMYFUNCTION("""COMPUTED_VALUE"""),21.0)</f>
        <v>21</v>
      </c>
      <c r="G522" s="51">
        <f>IFERROR(__xludf.DUMMYFUNCTION("""COMPUTED_VALUE"""),130.76)</f>
        <v>130.76</v>
      </c>
      <c r="H522" s="51"/>
      <c r="I522" s="51"/>
    </row>
    <row r="523" ht="15.75" customHeight="1">
      <c r="A523" s="55" t="str">
        <f t="shared" si="1"/>
        <v>0824GOLD</v>
      </c>
      <c r="B523" s="62">
        <f t="shared" ref="B523:D523" si="522">B522</f>
        <v>45518</v>
      </c>
      <c r="C523" s="63" t="str">
        <f t="shared" si="522"/>
        <v>GOLD</v>
      </c>
      <c r="D523" s="63" t="str">
        <f t="shared" si="522"/>
        <v>NY</v>
      </c>
      <c r="E523" s="64">
        <v>6.0</v>
      </c>
      <c r="F523" s="51">
        <f>IFERROR(__xludf.DUMMYFUNCTION("""COMPUTED_VALUE"""),22.0)</f>
        <v>22</v>
      </c>
      <c r="G523" s="51">
        <f>IFERROR(__xludf.DUMMYFUNCTION("""COMPUTED_VALUE"""),142.52)</f>
        <v>142.52</v>
      </c>
      <c r="H523" s="51"/>
      <c r="I523" s="51"/>
    </row>
    <row r="524" ht="15.75" customHeight="1">
      <c r="A524" s="55" t="str">
        <f t="shared" si="1"/>
        <v>0824GOLD</v>
      </c>
      <c r="B524" s="62">
        <f t="shared" ref="B524:D524" si="523">B523</f>
        <v>45518</v>
      </c>
      <c r="C524" s="63" t="str">
        <f t="shared" si="523"/>
        <v>GOLD</v>
      </c>
      <c r="D524" s="63" t="str">
        <f t="shared" si="523"/>
        <v>NY</v>
      </c>
      <c r="E524" s="64">
        <v>6.0</v>
      </c>
      <c r="F524" s="51">
        <f>IFERROR(__xludf.DUMMYFUNCTION("""COMPUTED_VALUE"""),23.0)</f>
        <v>23</v>
      </c>
      <c r="G524" s="51"/>
      <c r="H524" s="51">
        <f>IFERROR(__xludf.DUMMYFUNCTION("""COMPUTED_VALUE"""),124.86)</f>
        <v>124.86</v>
      </c>
      <c r="I524" s="51"/>
    </row>
    <row r="525" ht="15.75" customHeight="1">
      <c r="A525" s="55" t="str">
        <f t="shared" si="1"/>
        <v>0824GOLD</v>
      </c>
      <c r="B525" s="62">
        <f t="shared" ref="B525:D525" si="524">B524</f>
        <v>45518</v>
      </c>
      <c r="C525" s="63" t="str">
        <f t="shared" si="524"/>
        <v>GOLD</v>
      </c>
      <c r="D525" s="63" t="str">
        <f t="shared" si="524"/>
        <v>NY</v>
      </c>
      <c r="E525" s="64">
        <v>6.0</v>
      </c>
      <c r="F525" s="51">
        <f>IFERROR(__xludf.DUMMYFUNCTION("""COMPUTED_VALUE"""),24.0)</f>
        <v>24</v>
      </c>
      <c r="G525" s="51"/>
      <c r="H525" s="51">
        <f>IFERROR(__xludf.DUMMYFUNCTION("""COMPUTED_VALUE"""),132.35)</f>
        <v>132.35</v>
      </c>
      <c r="I525" s="51"/>
    </row>
    <row r="526" ht="15.75" customHeight="1">
      <c r="A526" s="55" t="str">
        <f t="shared" si="1"/>
        <v>0824GOLD</v>
      </c>
      <c r="B526" s="62">
        <f t="shared" ref="B526:D526" si="525">B525</f>
        <v>45518</v>
      </c>
      <c r="C526" s="63" t="str">
        <f t="shared" si="525"/>
        <v>GOLD</v>
      </c>
      <c r="D526" s="63" t="str">
        <f t="shared" si="525"/>
        <v>NY</v>
      </c>
      <c r="E526" s="64">
        <v>6.0</v>
      </c>
      <c r="F526" s="51">
        <f>IFERROR(__xludf.DUMMYFUNCTION("""COMPUTED_VALUE"""),25.0)</f>
        <v>25</v>
      </c>
      <c r="G526" s="51"/>
      <c r="H526" s="51">
        <f>IFERROR(__xludf.DUMMYFUNCTION("""COMPUTED_VALUE"""),107.16)</f>
        <v>107.16</v>
      </c>
      <c r="I526" s="51"/>
    </row>
    <row r="527" ht="15.75" customHeight="1">
      <c r="A527" s="55" t="str">
        <f t="shared" si="1"/>
        <v>0824GOLD</v>
      </c>
      <c r="B527" s="62">
        <f t="shared" ref="B527:D527" si="526">B526</f>
        <v>45518</v>
      </c>
      <c r="C527" s="63" t="str">
        <f t="shared" si="526"/>
        <v>GOLD</v>
      </c>
      <c r="D527" s="63" t="str">
        <f t="shared" si="526"/>
        <v>NY</v>
      </c>
      <c r="E527" s="64">
        <v>6.0</v>
      </c>
      <c r="F527" s="51">
        <f>IFERROR(__xludf.DUMMYFUNCTION("""COMPUTED_VALUE"""),26.0)</f>
        <v>26</v>
      </c>
      <c r="G527" s="51">
        <f>IFERROR(__xludf.DUMMYFUNCTION("""COMPUTED_VALUE"""),110.25)</f>
        <v>110.25</v>
      </c>
      <c r="H527" s="51"/>
      <c r="I527" s="51"/>
    </row>
    <row r="528" ht="15.75" customHeight="1">
      <c r="A528" s="55" t="str">
        <f t="shared" si="1"/>
        <v>0824GOLD</v>
      </c>
      <c r="B528" s="62">
        <f t="shared" ref="B528:D528" si="527">B527</f>
        <v>45518</v>
      </c>
      <c r="C528" s="63" t="str">
        <f t="shared" si="527"/>
        <v>GOLD</v>
      </c>
      <c r="D528" s="63" t="str">
        <f t="shared" si="527"/>
        <v>NY</v>
      </c>
      <c r="E528" s="64">
        <v>6.0</v>
      </c>
      <c r="F528" s="51">
        <f>IFERROR(__xludf.DUMMYFUNCTION("""COMPUTED_VALUE"""),27.0)</f>
        <v>27</v>
      </c>
      <c r="G528" s="51">
        <f>IFERROR(__xludf.DUMMYFUNCTION("""COMPUTED_VALUE"""),98.15)</f>
        <v>98.15</v>
      </c>
      <c r="H528" s="51"/>
      <c r="I528" s="51"/>
    </row>
    <row r="529" ht="15.75" customHeight="1">
      <c r="A529" s="55" t="str">
        <f t="shared" si="1"/>
        <v>0824GOLD</v>
      </c>
      <c r="B529" s="62">
        <f t="shared" ref="B529:D529" si="528">B528</f>
        <v>45518</v>
      </c>
      <c r="C529" s="63" t="str">
        <f t="shared" si="528"/>
        <v>GOLD</v>
      </c>
      <c r="D529" s="63" t="str">
        <f t="shared" si="528"/>
        <v>NY</v>
      </c>
      <c r="E529" s="64">
        <v>6.0</v>
      </c>
      <c r="F529" s="51">
        <f>IFERROR(__xludf.DUMMYFUNCTION("""COMPUTED_VALUE"""),28.0)</f>
        <v>28</v>
      </c>
      <c r="G529" s="51"/>
      <c r="H529" s="51">
        <f>IFERROR(__xludf.DUMMYFUNCTION("""COMPUTED_VALUE"""),38.65)</f>
        <v>38.65</v>
      </c>
      <c r="I529" s="51"/>
    </row>
    <row r="530" ht="15.75" customHeight="1">
      <c r="A530" s="55" t="str">
        <f t="shared" si="1"/>
        <v>0824GOLD</v>
      </c>
      <c r="B530" s="62">
        <f t="shared" ref="B530:D530" si="529">B529</f>
        <v>45518</v>
      </c>
      <c r="C530" s="63" t="str">
        <f t="shared" si="529"/>
        <v>GOLD</v>
      </c>
      <c r="D530" s="63" t="str">
        <f t="shared" si="529"/>
        <v>NY</v>
      </c>
      <c r="E530" s="64">
        <v>6.0</v>
      </c>
      <c r="F530" s="51">
        <f>IFERROR(__xludf.DUMMYFUNCTION("""COMPUTED_VALUE"""),29.0)</f>
        <v>29</v>
      </c>
      <c r="G530" s="51"/>
      <c r="H530" s="51">
        <f>IFERROR(__xludf.DUMMYFUNCTION("""COMPUTED_VALUE"""),66.01)</f>
        <v>66.01</v>
      </c>
      <c r="I530" s="51"/>
    </row>
    <row r="531" ht="15.75" customHeight="1">
      <c r="A531" s="55" t="str">
        <f t="shared" si="1"/>
        <v>0824GOLD</v>
      </c>
      <c r="B531" s="62">
        <f t="shared" ref="B531:D531" si="530">B530</f>
        <v>45518</v>
      </c>
      <c r="C531" s="63" t="str">
        <f t="shared" si="530"/>
        <v>GOLD</v>
      </c>
      <c r="D531" s="63" t="str">
        <f t="shared" si="530"/>
        <v>NY</v>
      </c>
      <c r="E531" s="64">
        <v>6.0</v>
      </c>
      <c r="F531" s="51">
        <f>IFERROR(__xludf.DUMMYFUNCTION("""COMPUTED_VALUE"""),30.0)</f>
        <v>30</v>
      </c>
      <c r="G531" s="51"/>
      <c r="H531" s="51">
        <f>IFERROR(__xludf.DUMMYFUNCTION("""COMPUTED_VALUE"""),58.62)</f>
        <v>58.62</v>
      </c>
      <c r="I531" s="51"/>
    </row>
    <row r="532" ht="15.75" customHeight="1">
      <c r="A532" s="55" t="str">
        <f t="shared" si="1"/>
        <v>0824GOLD</v>
      </c>
      <c r="B532" s="62">
        <f t="shared" ref="B532:D532" si="531">B531</f>
        <v>45518</v>
      </c>
      <c r="C532" s="63" t="str">
        <f t="shared" si="531"/>
        <v>GOLD</v>
      </c>
      <c r="D532" s="63" t="str">
        <f t="shared" si="531"/>
        <v>NY</v>
      </c>
      <c r="E532" s="64">
        <v>6.0</v>
      </c>
      <c r="F532" s="51">
        <f>IFERROR(__xludf.DUMMYFUNCTION("""COMPUTED_VALUE"""),31.0)</f>
        <v>31</v>
      </c>
      <c r="G532" s="51">
        <f>IFERROR(__xludf.DUMMYFUNCTION("""COMPUTED_VALUE"""),169.97)</f>
        <v>169.97</v>
      </c>
      <c r="H532" s="51"/>
      <c r="I532" s="51"/>
    </row>
    <row r="533" ht="15.75" customHeight="1">
      <c r="A533" s="55" t="str">
        <f t="shared" si="1"/>
        <v>0824GOLD</v>
      </c>
      <c r="B533" s="62">
        <f t="shared" ref="B533:D533" si="532">B532</f>
        <v>45518</v>
      </c>
      <c r="C533" s="63" t="str">
        <f t="shared" si="532"/>
        <v>GOLD</v>
      </c>
      <c r="D533" s="63" t="str">
        <f t="shared" si="532"/>
        <v>NY</v>
      </c>
      <c r="E533" s="64">
        <v>6.0</v>
      </c>
      <c r="F533" s="51">
        <f>IFERROR(__xludf.DUMMYFUNCTION("""COMPUTED_VALUE"""),32.0)</f>
        <v>32</v>
      </c>
      <c r="G533" s="51">
        <f>IFERROR(__xludf.DUMMYFUNCTION("""COMPUTED_VALUE"""),107.51)</f>
        <v>107.51</v>
      </c>
      <c r="H533" s="51"/>
      <c r="I533" s="51"/>
    </row>
    <row r="534" ht="15.75" customHeight="1">
      <c r="A534" s="55" t="str">
        <f t="shared" si="1"/>
        <v>0824GOLD</v>
      </c>
      <c r="B534" s="62">
        <f t="shared" ref="B534:D534" si="533">B533</f>
        <v>45518</v>
      </c>
      <c r="C534" s="63" t="str">
        <f t="shared" si="533"/>
        <v>GOLD</v>
      </c>
      <c r="D534" s="63" t="str">
        <f t="shared" si="533"/>
        <v>NY</v>
      </c>
      <c r="E534" s="64">
        <v>6.0</v>
      </c>
      <c r="F534" s="51">
        <f>IFERROR(__xludf.DUMMYFUNCTION("""COMPUTED_VALUE"""),33.0)</f>
        <v>33</v>
      </c>
      <c r="G534" s="51">
        <f>IFERROR(__xludf.DUMMYFUNCTION("""COMPUTED_VALUE"""),78.14)</f>
        <v>78.14</v>
      </c>
      <c r="H534" s="51"/>
      <c r="I534" s="51"/>
    </row>
    <row r="535" ht="15.75" customHeight="1">
      <c r="A535" s="55" t="str">
        <f t="shared" si="1"/>
        <v>0824GOLD</v>
      </c>
      <c r="B535" s="62">
        <f t="shared" ref="B535:D535" si="534">B534</f>
        <v>45518</v>
      </c>
      <c r="C535" s="63" t="str">
        <f t="shared" si="534"/>
        <v>GOLD</v>
      </c>
      <c r="D535" s="63" t="str">
        <f t="shared" si="534"/>
        <v>NY</v>
      </c>
      <c r="E535" s="64">
        <v>6.0</v>
      </c>
      <c r="F535" s="51">
        <f>IFERROR(__xludf.DUMMYFUNCTION("""COMPUTED_VALUE"""),34.0)</f>
        <v>34</v>
      </c>
      <c r="G535" s="51">
        <f>IFERROR(__xludf.DUMMYFUNCTION("""COMPUTED_VALUE"""),113.09)</f>
        <v>113.09</v>
      </c>
      <c r="H535" s="51"/>
      <c r="I535" s="51"/>
    </row>
    <row r="536" ht="15.75" customHeight="1">
      <c r="A536" s="55" t="str">
        <f t="shared" si="1"/>
        <v>0824GOLD</v>
      </c>
      <c r="B536" s="62">
        <f t="shared" ref="B536:D536" si="535">B535</f>
        <v>45518</v>
      </c>
      <c r="C536" s="63" t="str">
        <f t="shared" si="535"/>
        <v>GOLD</v>
      </c>
      <c r="D536" s="63" t="str">
        <f t="shared" si="535"/>
        <v>NY</v>
      </c>
      <c r="E536" s="64">
        <v>6.0</v>
      </c>
      <c r="F536" s="51">
        <f>IFERROR(__xludf.DUMMYFUNCTION("""COMPUTED_VALUE"""),35.0)</f>
        <v>35</v>
      </c>
      <c r="G536" s="51"/>
      <c r="H536" s="51">
        <f>IFERROR(__xludf.DUMMYFUNCTION("""COMPUTED_VALUE"""),89.36)</f>
        <v>89.36</v>
      </c>
      <c r="I536" s="51"/>
    </row>
    <row r="537" ht="15.75" customHeight="1">
      <c r="A537" s="55" t="str">
        <f t="shared" si="1"/>
        <v>0824GOLD</v>
      </c>
      <c r="B537" s="62">
        <f t="shared" ref="B537:D537" si="536">B536</f>
        <v>45518</v>
      </c>
      <c r="C537" s="63" t="str">
        <f t="shared" si="536"/>
        <v>GOLD</v>
      </c>
      <c r="D537" s="63" t="str">
        <f t="shared" si="536"/>
        <v>NY</v>
      </c>
      <c r="E537" s="64">
        <v>6.0</v>
      </c>
      <c r="F537" s="51">
        <f>IFERROR(__xludf.DUMMYFUNCTION("""COMPUTED_VALUE"""),36.0)</f>
        <v>36</v>
      </c>
      <c r="G537" s="51"/>
      <c r="H537" s="51">
        <f>IFERROR(__xludf.DUMMYFUNCTION("""COMPUTED_VALUE"""),57.36)</f>
        <v>57.36</v>
      </c>
      <c r="I537" s="51"/>
    </row>
    <row r="538" ht="15.75" customHeight="1">
      <c r="A538" s="55" t="str">
        <f t="shared" si="1"/>
        <v>0824GOLD</v>
      </c>
      <c r="B538" s="62">
        <f t="shared" ref="B538:D538" si="537">B537</f>
        <v>45518</v>
      </c>
      <c r="C538" s="63" t="str">
        <f t="shared" si="537"/>
        <v>GOLD</v>
      </c>
      <c r="D538" s="63" t="str">
        <f t="shared" si="537"/>
        <v>NY</v>
      </c>
      <c r="E538" s="64">
        <v>6.0</v>
      </c>
      <c r="F538" s="51">
        <f>IFERROR(__xludf.DUMMYFUNCTION("""COMPUTED_VALUE"""),37.0)</f>
        <v>37</v>
      </c>
      <c r="G538" s="51"/>
      <c r="H538" s="51">
        <f>IFERROR(__xludf.DUMMYFUNCTION("""COMPUTED_VALUE"""),45.14)</f>
        <v>45.14</v>
      </c>
      <c r="I538" s="51"/>
    </row>
    <row r="539" ht="15.75" customHeight="1">
      <c r="A539" s="55" t="str">
        <f t="shared" si="1"/>
        <v>0824GOLD</v>
      </c>
      <c r="B539" s="62">
        <f t="shared" ref="B539:D539" si="538">B538</f>
        <v>45518</v>
      </c>
      <c r="C539" s="63" t="str">
        <f t="shared" si="538"/>
        <v>GOLD</v>
      </c>
      <c r="D539" s="63" t="str">
        <f t="shared" si="538"/>
        <v>NY</v>
      </c>
      <c r="E539" s="64">
        <v>6.0</v>
      </c>
      <c r="F539" s="51">
        <f>IFERROR(__xludf.DUMMYFUNCTION("""COMPUTED_VALUE"""),38.0)</f>
        <v>38</v>
      </c>
      <c r="G539" s="51">
        <f>IFERROR(__xludf.DUMMYFUNCTION("""COMPUTED_VALUE"""),128.22)</f>
        <v>128.22</v>
      </c>
      <c r="H539" s="51"/>
      <c r="I539" s="51"/>
    </row>
    <row r="540" ht="15.75" customHeight="1">
      <c r="A540" s="55" t="str">
        <f t="shared" si="1"/>
        <v>0824GOLD</v>
      </c>
      <c r="B540" s="62">
        <f t="shared" ref="B540:D540" si="539">B539</f>
        <v>45518</v>
      </c>
      <c r="C540" s="63" t="str">
        <f t="shared" si="539"/>
        <v>GOLD</v>
      </c>
      <c r="D540" s="63" t="str">
        <f t="shared" si="539"/>
        <v>NY</v>
      </c>
      <c r="E540" s="64">
        <v>6.0</v>
      </c>
      <c r="F540" s="51">
        <f>IFERROR(__xludf.DUMMYFUNCTION("""COMPUTED_VALUE"""),39.0)</f>
        <v>39</v>
      </c>
      <c r="G540" s="51">
        <f>IFERROR(__xludf.DUMMYFUNCTION("""COMPUTED_VALUE"""),124.57)</f>
        <v>124.57</v>
      </c>
      <c r="H540" s="51"/>
      <c r="I540" s="51"/>
    </row>
    <row r="541" ht="15.75" customHeight="1">
      <c r="A541" s="55" t="str">
        <f t="shared" si="1"/>
        <v>0824GOLD</v>
      </c>
      <c r="B541" s="62">
        <f t="shared" ref="B541:D541" si="540">B540</f>
        <v>45518</v>
      </c>
      <c r="C541" s="63" t="str">
        <f t="shared" si="540"/>
        <v>GOLD</v>
      </c>
      <c r="D541" s="63" t="str">
        <f t="shared" si="540"/>
        <v>NY</v>
      </c>
      <c r="E541" s="64">
        <v>6.0</v>
      </c>
      <c r="F541" s="51">
        <f>IFERROR(__xludf.DUMMYFUNCTION("""COMPUTED_VALUE"""),40.0)</f>
        <v>40</v>
      </c>
      <c r="G541" s="51">
        <f>IFERROR(__xludf.DUMMYFUNCTION("""COMPUTED_VALUE"""),130.97)</f>
        <v>130.97</v>
      </c>
      <c r="H541" s="51"/>
      <c r="I541" s="51"/>
    </row>
    <row r="542" ht="15.75" customHeight="1">
      <c r="A542" s="55" t="str">
        <f t="shared" si="1"/>
        <v>0824GOLD</v>
      </c>
      <c r="B542" s="62">
        <f t="shared" ref="B542:D542" si="541">B541</f>
        <v>45518</v>
      </c>
      <c r="C542" s="63" t="str">
        <f t="shared" si="541"/>
        <v>GOLD</v>
      </c>
      <c r="D542" s="63" t="str">
        <f t="shared" si="541"/>
        <v>NY</v>
      </c>
      <c r="E542" s="64">
        <v>6.0</v>
      </c>
      <c r="F542" s="51">
        <f>IFERROR(__xludf.DUMMYFUNCTION("""COMPUTED_VALUE"""),41.0)</f>
        <v>41</v>
      </c>
      <c r="G542" s="51">
        <f>IFERROR(__xludf.DUMMYFUNCTION("""COMPUTED_VALUE"""),104.1)</f>
        <v>104.1</v>
      </c>
      <c r="H542" s="51"/>
      <c r="I542" s="51"/>
    </row>
    <row r="543" ht="15.75" customHeight="1">
      <c r="A543" s="55" t="str">
        <f t="shared" si="1"/>
        <v>0824GOLD</v>
      </c>
      <c r="B543" s="62">
        <f t="shared" ref="B543:D543" si="542">B542</f>
        <v>45518</v>
      </c>
      <c r="C543" s="63" t="str">
        <f t="shared" si="542"/>
        <v>GOLD</v>
      </c>
      <c r="D543" s="63" t="str">
        <f t="shared" si="542"/>
        <v>NY</v>
      </c>
      <c r="E543" s="64">
        <v>6.0</v>
      </c>
      <c r="F543" s="51">
        <f>IFERROR(__xludf.DUMMYFUNCTION("""COMPUTED_VALUE"""),42.0)</f>
        <v>42</v>
      </c>
      <c r="G543" s="51">
        <f>IFERROR(__xludf.DUMMYFUNCTION("""COMPUTED_VALUE"""),130.99)</f>
        <v>130.99</v>
      </c>
      <c r="H543" s="51"/>
      <c r="I543" s="51"/>
    </row>
    <row r="544" ht="15.75" customHeight="1">
      <c r="A544" s="55" t="str">
        <f t="shared" si="1"/>
        <v>0824GOLD</v>
      </c>
      <c r="B544" s="62">
        <f t="shared" ref="B544:D544" si="543">B543</f>
        <v>45518</v>
      </c>
      <c r="C544" s="63" t="str">
        <f t="shared" si="543"/>
        <v>GOLD</v>
      </c>
      <c r="D544" s="63" t="str">
        <f t="shared" si="543"/>
        <v>NY</v>
      </c>
      <c r="E544" s="64">
        <v>6.0</v>
      </c>
      <c r="F544" s="51">
        <f>IFERROR(__xludf.DUMMYFUNCTION("""COMPUTED_VALUE"""),43.0)</f>
        <v>43</v>
      </c>
      <c r="G544" s="51"/>
      <c r="H544" s="51">
        <f>IFERROR(__xludf.DUMMYFUNCTION("""COMPUTED_VALUE"""),94.87)</f>
        <v>94.87</v>
      </c>
      <c r="I544" s="51"/>
    </row>
    <row r="545" ht="15.75" customHeight="1">
      <c r="A545" s="55" t="str">
        <f t="shared" si="1"/>
        <v>0824GOLD</v>
      </c>
      <c r="B545" s="62">
        <f t="shared" ref="B545:D545" si="544">B544</f>
        <v>45518</v>
      </c>
      <c r="C545" s="63" t="str">
        <f t="shared" si="544"/>
        <v>GOLD</v>
      </c>
      <c r="D545" s="63" t="str">
        <f t="shared" si="544"/>
        <v>NY</v>
      </c>
      <c r="E545" s="64">
        <v>6.0</v>
      </c>
      <c r="F545" s="51">
        <f>IFERROR(__xludf.DUMMYFUNCTION("""COMPUTED_VALUE"""),44.0)</f>
        <v>44</v>
      </c>
      <c r="G545" s="51">
        <f>IFERROR(__xludf.DUMMYFUNCTION("""COMPUTED_VALUE"""),118.47)</f>
        <v>118.47</v>
      </c>
      <c r="H545" s="51"/>
      <c r="I545" s="51"/>
    </row>
    <row r="546" ht="15.75" customHeight="1">
      <c r="A546" s="55" t="str">
        <f t="shared" si="1"/>
        <v>0824GOLD</v>
      </c>
      <c r="B546" s="62">
        <f t="shared" ref="B546:D546" si="545">B545</f>
        <v>45518</v>
      </c>
      <c r="C546" s="63" t="str">
        <f t="shared" si="545"/>
        <v>GOLD</v>
      </c>
      <c r="D546" s="63" t="str">
        <f t="shared" si="545"/>
        <v>NY</v>
      </c>
      <c r="E546" s="64">
        <v>6.0</v>
      </c>
      <c r="F546" s="51">
        <f>IFERROR(__xludf.DUMMYFUNCTION("""COMPUTED_VALUE"""),45.0)</f>
        <v>45</v>
      </c>
      <c r="G546" s="51"/>
      <c r="H546" s="51">
        <f>IFERROR(__xludf.DUMMYFUNCTION("""COMPUTED_VALUE"""),88.73)</f>
        <v>88.73</v>
      </c>
      <c r="I546" s="51"/>
    </row>
    <row r="547" ht="15.75" customHeight="1">
      <c r="A547" s="55" t="str">
        <f t="shared" si="1"/>
        <v>0824GOLD</v>
      </c>
      <c r="B547" s="62">
        <f t="shared" ref="B547:D547" si="546">B546</f>
        <v>45518</v>
      </c>
      <c r="C547" s="63" t="str">
        <f t="shared" si="546"/>
        <v>GOLD</v>
      </c>
      <c r="D547" s="63" t="str">
        <f t="shared" si="546"/>
        <v>NY</v>
      </c>
      <c r="E547" s="64">
        <v>6.0</v>
      </c>
      <c r="F547" s="51">
        <f>IFERROR(__xludf.DUMMYFUNCTION("""COMPUTED_VALUE"""),46.0)</f>
        <v>46</v>
      </c>
      <c r="G547" s="51"/>
      <c r="H547" s="51">
        <f>IFERROR(__xludf.DUMMYFUNCTION("""COMPUTED_VALUE"""),97.72)</f>
        <v>97.72</v>
      </c>
      <c r="I547" s="51"/>
    </row>
    <row r="548" ht="15.75" customHeight="1">
      <c r="A548" s="55" t="str">
        <f t="shared" si="1"/>
        <v>0824GOLD</v>
      </c>
      <c r="B548" s="62">
        <f t="shared" ref="B548:D548" si="547">B547</f>
        <v>45518</v>
      </c>
      <c r="C548" s="63" t="str">
        <f t="shared" si="547"/>
        <v>GOLD</v>
      </c>
      <c r="D548" s="63" t="str">
        <f t="shared" si="547"/>
        <v>NY</v>
      </c>
      <c r="E548" s="64">
        <v>6.0</v>
      </c>
      <c r="F548" s="51">
        <f>IFERROR(__xludf.DUMMYFUNCTION("""COMPUTED_VALUE"""),47.0)</f>
        <v>47</v>
      </c>
      <c r="G548" s="51"/>
      <c r="H548" s="51">
        <f>IFERROR(__xludf.DUMMYFUNCTION("""COMPUTED_VALUE"""),97.41)</f>
        <v>97.41</v>
      </c>
      <c r="I548" s="51"/>
    </row>
    <row r="549" ht="15.75" customHeight="1">
      <c r="A549" s="55" t="str">
        <f t="shared" si="1"/>
        <v>0824GOLD</v>
      </c>
      <c r="B549" s="62">
        <f t="shared" ref="B549:D549" si="548">B548</f>
        <v>45518</v>
      </c>
      <c r="C549" s="63" t="str">
        <f t="shared" si="548"/>
        <v>GOLD</v>
      </c>
      <c r="D549" s="63" t="str">
        <f t="shared" si="548"/>
        <v>NY</v>
      </c>
      <c r="E549" s="64">
        <v>6.0</v>
      </c>
      <c r="F549" s="51">
        <f>IFERROR(__xludf.DUMMYFUNCTION("""COMPUTED_VALUE"""),48.0)</f>
        <v>48</v>
      </c>
      <c r="G549" s="51"/>
      <c r="H549" s="51">
        <f>IFERROR(__xludf.DUMMYFUNCTION("""COMPUTED_VALUE"""),32.62)</f>
        <v>32.62</v>
      </c>
      <c r="I549" s="51"/>
    </row>
    <row r="550" ht="15.75" customHeight="1">
      <c r="A550" s="55" t="str">
        <f t="shared" si="1"/>
        <v>0824GOLD</v>
      </c>
      <c r="B550" s="62">
        <f t="shared" ref="B550:D550" si="549">B549</f>
        <v>45518</v>
      </c>
      <c r="C550" s="63" t="str">
        <f t="shared" si="549"/>
        <v>GOLD</v>
      </c>
      <c r="D550" s="63" t="str">
        <f t="shared" si="549"/>
        <v>NY</v>
      </c>
      <c r="E550" s="64">
        <v>6.0</v>
      </c>
      <c r="F550" s="51">
        <f>IFERROR(__xludf.DUMMYFUNCTION("""COMPUTED_VALUE"""),49.0)</f>
        <v>49</v>
      </c>
      <c r="G550" s="51">
        <f>IFERROR(__xludf.DUMMYFUNCTION("""COMPUTED_VALUE"""),110.41)</f>
        <v>110.41</v>
      </c>
      <c r="H550" s="51"/>
      <c r="I550" s="51"/>
    </row>
    <row r="551" ht="15.75" customHeight="1">
      <c r="A551" s="55" t="str">
        <f t="shared" si="1"/>
        <v>0824GOLD</v>
      </c>
      <c r="B551" s="62">
        <f t="shared" ref="B551:D551" si="550">B550</f>
        <v>45518</v>
      </c>
      <c r="C551" s="63" t="str">
        <f t="shared" si="550"/>
        <v>GOLD</v>
      </c>
      <c r="D551" s="63" t="str">
        <f t="shared" si="550"/>
        <v>NY</v>
      </c>
      <c r="E551" s="64">
        <v>6.0</v>
      </c>
      <c r="F551" s="51">
        <f>IFERROR(__xludf.DUMMYFUNCTION("""COMPUTED_VALUE"""),50.0)</f>
        <v>50</v>
      </c>
      <c r="G551" s="51">
        <f>IFERROR(__xludf.DUMMYFUNCTION("""COMPUTED_VALUE"""),132.32)</f>
        <v>132.32</v>
      </c>
      <c r="H551" s="51"/>
      <c r="I551" s="51"/>
    </row>
    <row r="552" ht="15.75" customHeight="1">
      <c r="A552" s="55" t="str">
        <f t="shared" si="1"/>
        <v>0824GOLD</v>
      </c>
      <c r="B552" s="62">
        <f t="shared" ref="B552:D552" si="551">B551</f>
        <v>45518</v>
      </c>
      <c r="C552" s="63" t="str">
        <f t="shared" si="551"/>
        <v>GOLD</v>
      </c>
      <c r="D552" s="63" t="str">
        <f t="shared" si="551"/>
        <v>NY</v>
      </c>
      <c r="E552" s="64">
        <v>6.0</v>
      </c>
      <c r="F552" s="51">
        <f>IFERROR(__xludf.DUMMYFUNCTION("""COMPUTED_VALUE"""),51.0)</f>
        <v>51</v>
      </c>
      <c r="G552" s="51">
        <f>IFERROR(__xludf.DUMMYFUNCTION("""COMPUTED_VALUE"""),127.57)</f>
        <v>127.57</v>
      </c>
      <c r="H552" s="51"/>
      <c r="I552" s="51"/>
    </row>
    <row r="553" ht="15.75" customHeight="1">
      <c r="A553" s="55" t="str">
        <f t="shared" si="1"/>
        <v>0824GOLD</v>
      </c>
      <c r="B553" s="62">
        <f t="shared" ref="B553:D553" si="552">B552</f>
        <v>45518</v>
      </c>
      <c r="C553" s="63" t="str">
        <f t="shared" si="552"/>
        <v>GOLD</v>
      </c>
      <c r="D553" s="63" t="str">
        <f t="shared" si="552"/>
        <v>NY</v>
      </c>
      <c r="E553" s="64">
        <v>6.0</v>
      </c>
      <c r="F553" s="51">
        <f>IFERROR(__xludf.DUMMYFUNCTION("""COMPUTED_VALUE"""),52.0)</f>
        <v>52</v>
      </c>
      <c r="G553" s="51">
        <f>IFERROR(__xludf.DUMMYFUNCTION("""COMPUTED_VALUE"""),121.33)</f>
        <v>121.33</v>
      </c>
      <c r="H553" s="51"/>
      <c r="I553" s="51"/>
    </row>
    <row r="554" ht="15.75" customHeight="1">
      <c r="A554" s="55" t="str">
        <f t="shared" si="1"/>
        <v>0824GOLD</v>
      </c>
      <c r="B554" s="62">
        <f t="shared" ref="B554:D554" si="553">B553</f>
        <v>45518</v>
      </c>
      <c r="C554" s="63" t="str">
        <f t="shared" si="553"/>
        <v>GOLD</v>
      </c>
      <c r="D554" s="63" t="str">
        <f t="shared" si="553"/>
        <v>NY</v>
      </c>
      <c r="E554" s="64">
        <v>6.0</v>
      </c>
      <c r="F554" s="51">
        <f>IFERROR(__xludf.DUMMYFUNCTION("""COMPUTED_VALUE"""),53.0)</f>
        <v>53</v>
      </c>
      <c r="G554" s="51"/>
      <c r="H554" s="51">
        <f>IFERROR(__xludf.DUMMYFUNCTION("""COMPUTED_VALUE"""),79.32)</f>
        <v>79.32</v>
      </c>
      <c r="I554" s="51"/>
    </row>
    <row r="555" ht="15.75" customHeight="1">
      <c r="A555" s="55" t="str">
        <f t="shared" si="1"/>
        <v>0824GOLD</v>
      </c>
      <c r="B555" s="62">
        <f t="shared" ref="B555:D555" si="554">B554</f>
        <v>45518</v>
      </c>
      <c r="C555" s="63" t="str">
        <f t="shared" si="554"/>
        <v>GOLD</v>
      </c>
      <c r="D555" s="63" t="str">
        <f t="shared" si="554"/>
        <v>NY</v>
      </c>
      <c r="E555" s="64">
        <v>6.0</v>
      </c>
      <c r="F555" s="51">
        <f>IFERROR(__xludf.DUMMYFUNCTION("""COMPUTED_VALUE"""),54.0)</f>
        <v>54</v>
      </c>
      <c r="G555" s="51">
        <f>IFERROR(__xludf.DUMMYFUNCTION("""COMPUTED_VALUE"""),131.22)</f>
        <v>131.22</v>
      </c>
      <c r="H555" s="51"/>
      <c r="I555" s="51"/>
    </row>
    <row r="556" ht="15.75" customHeight="1">
      <c r="A556" s="55" t="str">
        <f t="shared" si="1"/>
        <v>0824GOLD</v>
      </c>
      <c r="B556" s="62">
        <f t="shared" ref="B556:D556" si="555">B555</f>
        <v>45518</v>
      </c>
      <c r="C556" s="63" t="str">
        <f t="shared" si="555"/>
        <v>GOLD</v>
      </c>
      <c r="D556" s="63" t="str">
        <f t="shared" si="555"/>
        <v>NY</v>
      </c>
      <c r="E556" s="64">
        <v>6.0</v>
      </c>
      <c r="F556" s="51">
        <f>IFERROR(__xludf.DUMMYFUNCTION("""COMPUTED_VALUE"""),55.0)</f>
        <v>55</v>
      </c>
      <c r="G556" s="51">
        <f>IFERROR(__xludf.DUMMYFUNCTION("""COMPUTED_VALUE"""),121.32)</f>
        <v>121.32</v>
      </c>
      <c r="H556" s="51"/>
      <c r="I556" s="51"/>
    </row>
    <row r="557" ht="15.75" customHeight="1">
      <c r="A557" s="55" t="str">
        <f t="shared" si="1"/>
        <v>0824GOLD</v>
      </c>
      <c r="B557" s="62">
        <f t="shared" ref="B557:D557" si="556">B556</f>
        <v>45518</v>
      </c>
      <c r="C557" s="63" t="str">
        <f t="shared" si="556"/>
        <v>GOLD</v>
      </c>
      <c r="D557" s="63" t="str">
        <f t="shared" si="556"/>
        <v>NY</v>
      </c>
      <c r="E557" s="64">
        <v>6.0</v>
      </c>
      <c r="F557" s="51">
        <f>IFERROR(__xludf.DUMMYFUNCTION("""COMPUTED_VALUE"""),56.0)</f>
        <v>56</v>
      </c>
      <c r="G557" s="51">
        <f>IFERROR(__xludf.DUMMYFUNCTION("""COMPUTED_VALUE"""),118.61)</f>
        <v>118.61</v>
      </c>
      <c r="H557" s="51"/>
      <c r="I557" s="51"/>
    </row>
    <row r="558" ht="15.75" customHeight="1">
      <c r="A558" s="55" t="str">
        <f t="shared" si="1"/>
        <v>0824GOLD</v>
      </c>
      <c r="B558" s="62">
        <f t="shared" ref="B558:D558" si="557">B557</f>
        <v>45518</v>
      </c>
      <c r="C558" s="63" t="str">
        <f t="shared" si="557"/>
        <v>GOLD</v>
      </c>
      <c r="D558" s="63" t="str">
        <f t="shared" si="557"/>
        <v>NY</v>
      </c>
      <c r="E558" s="64">
        <v>6.0</v>
      </c>
      <c r="F558" s="51">
        <f>IFERROR(__xludf.DUMMYFUNCTION("""COMPUTED_VALUE"""),57.0)</f>
        <v>57</v>
      </c>
      <c r="G558" s="51">
        <f>IFERROR(__xludf.DUMMYFUNCTION("""COMPUTED_VALUE"""),123.21)</f>
        <v>123.21</v>
      </c>
      <c r="H558" s="51"/>
      <c r="I558" s="51"/>
    </row>
    <row r="559" ht="15.75" customHeight="1">
      <c r="A559" s="55" t="str">
        <f t="shared" si="1"/>
        <v>0824GOLD</v>
      </c>
      <c r="B559" s="62">
        <f t="shared" ref="B559:D559" si="558">B558</f>
        <v>45518</v>
      </c>
      <c r="C559" s="63" t="str">
        <f t="shared" si="558"/>
        <v>GOLD</v>
      </c>
      <c r="D559" s="63" t="str">
        <f t="shared" si="558"/>
        <v>NY</v>
      </c>
      <c r="E559" s="64">
        <v>6.0</v>
      </c>
      <c r="F559" s="51">
        <f>IFERROR(__xludf.DUMMYFUNCTION("""COMPUTED_VALUE"""),58.0)</f>
        <v>58</v>
      </c>
      <c r="G559" s="51">
        <f>IFERROR(__xludf.DUMMYFUNCTION("""COMPUTED_VALUE"""),88.14)</f>
        <v>88.14</v>
      </c>
      <c r="H559" s="51"/>
      <c r="I559" s="51"/>
    </row>
    <row r="560" ht="15.75" customHeight="1">
      <c r="A560" s="55" t="str">
        <f t="shared" si="1"/>
        <v>0824GOLD</v>
      </c>
      <c r="B560" s="62">
        <f t="shared" ref="B560:D560" si="559">B559</f>
        <v>45518</v>
      </c>
      <c r="C560" s="63" t="str">
        <f t="shared" si="559"/>
        <v>GOLD</v>
      </c>
      <c r="D560" s="63" t="str">
        <f t="shared" si="559"/>
        <v>NY</v>
      </c>
      <c r="E560" s="64">
        <v>6.0</v>
      </c>
      <c r="F560" s="51">
        <f>IFERROR(__xludf.DUMMYFUNCTION("""COMPUTED_VALUE"""),59.0)</f>
        <v>59</v>
      </c>
      <c r="G560" s="51"/>
      <c r="H560" s="51">
        <f>IFERROR(__xludf.DUMMYFUNCTION("""COMPUTED_VALUE"""),90.41)</f>
        <v>90.41</v>
      </c>
      <c r="I560" s="51"/>
    </row>
    <row r="561" ht="15.75" customHeight="1">
      <c r="A561" s="55" t="str">
        <f t="shared" si="1"/>
        <v>0824GOLD</v>
      </c>
      <c r="B561" s="62">
        <f t="shared" ref="B561:D561" si="560">B560</f>
        <v>45518</v>
      </c>
      <c r="C561" s="63" t="str">
        <f t="shared" si="560"/>
        <v>GOLD</v>
      </c>
      <c r="D561" s="63" t="str">
        <f t="shared" si="560"/>
        <v>NY</v>
      </c>
      <c r="E561" s="64">
        <v>6.0</v>
      </c>
      <c r="F561" s="51">
        <f>IFERROR(__xludf.DUMMYFUNCTION("""COMPUTED_VALUE"""),60.0)</f>
        <v>60</v>
      </c>
      <c r="G561" s="51"/>
      <c r="H561" s="51">
        <f>IFERROR(__xludf.DUMMYFUNCTION("""COMPUTED_VALUE"""),44.9)</f>
        <v>44.9</v>
      </c>
      <c r="I561" s="51"/>
    </row>
    <row r="562" ht="15.75" customHeight="1">
      <c r="A562" s="55" t="str">
        <f t="shared" si="1"/>
        <v>0824GOLD</v>
      </c>
      <c r="B562" s="62">
        <f t="shared" ref="B562:D562" si="561">B561</f>
        <v>45518</v>
      </c>
      <c r="C562" s="63" t="str">
        <f t="shared" si="561"/>
        <v>GOLD</v>
      </c>
      <c r="D562" s="63" t="str">
        <f t="shared" si="561"/>
        <v>NY</v>
      </c>
      <c r="E562" s="64">
        <v>6.0</v>
      </c>
      <c r="F562" s="51">
        <f>IFERROR(__xludf.DUMMYFUNCTION("""COMPUTED_VALUE"""),61.0)</f>
        <v>61</v>
      </c>
      <c r="G562" s="51">
        <f>IFERROR(__xludf.DUMMYFUNCTION("""COMPUTED_VALUE"""),112.59)</f>
        <v>112.59</v>
      </c>
      <c r="H562" s="51"/>
      <c r="I562" s="51"/>
    </row>
    <row r="563" ht="15.75" customHeight="1">
      <c r="A563" s="55" t="str">
        <f t="shared" si="1"/>
        <v>0824GOLD</v>
      </c>
      <c r="B563" s="62">
        <f t="shared" ref="B563:D563" si="562">B562</f>
        <v>45518</v>
      </c>
      <c r="C563" s="63" t="str">
        <f t="shared" si="562"/>
        <v>GOLD</v>
      </c>
      <c r="D563" s="63" t="str">
        <f t="shared" si="562"/>
        <v>NY</v>
      </c>
      <c r="E563" s="64">
        <v>6.0</v>
      </c>
      <c r="F563" s="51">
        <f>IFERROR(__xludf.DUMMYFUNCTION("""COMPUTED_VALUE"""),62.0)</f>
        <v>62</v>
      </c>
      <c r="G563" s="51">
        <f>IFERROR(__xludf.DUMMYFUNCTION("""COMPUTED_VALUE"""),118.99)</f>
        <v>118.99</v>
      </c>
      <c r="H563" s="51"/>
      <c r="I563" s="51"/>
    </row>
    <row r="564" ht="15.75" customHeight="1">
      <c r="A564" s="55" t="str">
        <f t="shared" si="1"/>
        <v>0824GOLD</v>
      </c>
      <c r="B564" s="62">
        <f t="shared" ref="B564:D564" si="563">B563</f>
        <v>45518</v>
      </c>
      <c r="C564" s="63" t="str">
        <f t="shared" si="563"/>
        <v>GOLD</v>
      </c>
      <c r="D564" s="63" t="str">
        <f t="shared" si="563"/>
        <v>NY</v>
      </c>
      <c r="E564" s="64">
        <v>6.0</v>
      </c>
      <c r="F564" s="51">
        <f>IFERROR(__xludf.DUMMYFUNCTION("""COMPUTED_VALUE"""),63.0)</f>
        <v>63</v>
      </c>
      <c r="G564" s="51">
        <f>IFERROR(__xludf.DUMMYFUNCTION("""COMPUTED_VALUE"""),113.16)</f>
        <v>113.16</v>
      </c>
      <c r="H564" s="51"/>
      <c r="I564" s="51"/>
    </row>
    <row r="565" ht="15.75" customHeight="1">
      <c r="A565" s="55" t="str">
        <f t="shared" si="1"/>
        <v>0824GOLD</v>
      </c>
      <c r="B565" s="62">
        <f t="shared" ref="B565:D565" si="564">B564</f>
        <v>45518</v>
      </c>
      <c r="C565" s="63" t="str">
        <f t="shared" si="564"/>
        <v>GOLD</v>
      </c>
      <c r="D565" s="63" t="str">
        <f t="shared" si="564"/>
        <v>NY</v>
      </c>
      <c r="E565" s="64">
        <v>6.0</v>
      </c>
      <c r="F565" s="51">
        <f>IFERROR(__xludf.DUMMYFUNCTION("""COMPUTED_VALUE"""),64.0)</f>
        <v>64</v>
      </c>
      <c r="G565" s="51"/>
      <c r="H565" s="51">
        <f>IFERROR(__xludf.DUMMYFUNCTION("""COMPUTED_VALUE"""),108.17)</f>
        <v>108.17</v>
      </c>
      <c r="I565" s="51"/>
    </row>
    <row r="566" ht="15.75" customHeight="1">
      <c r="A566" s="55" t="str">
        <f t="shared" si="1"/>
        <v>0824GOLD</v>
      </c>
      <c r="B566" s="62">
        <f t="shared" ref="B566:D566" si="565">B565</f>
        <v>45518</v>
      </c>
      <c r="C566" s="63" t="str">
        <f t="shared" si="565"/>
        <v>GOLD</v>
      </c>
      <c r="D566" s="63" t="str">
        <f t="shared" si="565"/>
        <v>NY</v>
      </c>
      <c r="E566" s="64">
        <v>6.0</v>
      </c>
      <c r="F566" s="51">
        <f>IFERROR(__xludf.DUMMYFUNCTION("""COMPUTED_VALUE"""),65.0)</f>
        <v>65</v>
      </c>
      <c r="G566" s="51"/>
      <c r="H566" s="51">
        <f>IFERROR(__xludf.DUMMYFUNCTION("""COMPUTED_VALUE"""),97.49)</f>
        <v>97.49</v>
      </c>
      <c r="I566" s="51"/>
    </row>
    <row r="567" ht="15.75" customHeight="1">
      <c r="A567" s="55" t="str">
        <f t="shared" si="1"/>
        <v>0824GOLD</v>
      </c>
      <c r="B567" s="62">
        <f t="shared" ref="B567:D567" si="566">B566</f>
        <v>45518</v>
      </c>
      <c r="C567" s="63" t="str">
        <f t="shared" si="566"/>
        <v>GOLD</v>
      </c>
      <c r="D567" s="63" t="str">
        <f t="shared" si="566"/>
        <v>NY</v>
      </c>
      <c r="E567" s="64">
        <v>6.0</v>
      </c>
      <c r="F567" s="51">
        <f>IFERROR(__xludf.DUMMYFUNCTION("""COMPUTED_VALUE"""),66.0)</f>
        <v>66</v>
      </c>
      <c r="G567" s="51">
        <f>IFERROR(__xludf.DUMMYFUNCTION("""COMPUTED_VALUE"""),110.2)</f>
        <v>110.2</v>
      </c>
      <c r="H567" s="51"/>
      <c r="I567" s="51"/>
    </row>
    <row r="568" ht="15.75" customHeight="1">
      <c r="A568" s="55" t="str">
        <f t="shared" si="1"/>
        <v>0824GOLD</v>
      </c>
      <c r="B568" s="62">
        <f t="shared" ref="B568:D568" si="567">B567</f>
        <v>45518</v>
      </c>
      <c r="C568" s="63" t="str">
        <f t="shared" si="567"/>
        <v>GOLD</v>
      </c>
      <c r="D568" s="63" t="str">
        <f t="shared" si="567"/>
        <v>NY</v>
      </c>
      <c r="E568" s="64">
        <v>6.0</v>
      </c>
      <c r="F568" s="51">
        <f>IFERROR(__xludf.DUMMYFUNCTION("""COMPUTED_VALUE"""),67.0)</f>
        <v>67</v>
      </c>
      <c r="G568" s="51"/>
      <c r="H568" s="51">
        <f>IFERROR(__xludf.DUMMYFUNCTION("""COMPUTED_VALUE"""),83.39)</f>
        <v>83.39</v>
      </c>
      <c r="I568" s="51"/>
    </row>
    <row r="569" ht="15.75" customHeight="1">
      <c r="A569" s="55" t="str">
        <f t="shared" si="1"/>
        <v>0824GOLD</v>
      </c>
      <c r="B569" s="62">
        <f t="shared" ref="B569:D569" si="568">B568</f>
        <v>45518</v>
      </c>
      <c r="C569" s="63" t="str">
        <f t="shared" si="568"/>
        <v>GOLD</v>
      </c>
      <c r="D569" s="63" t="str">
        <f t="shared" si="568"/>
        <v>NY</v>
      </c>
      <c r="E569" s="64">
        <v>6.0</v>
      </c>
      <c r="F569" s="51">
        <f>IFERROR(__xludf.DUMMYFUNCTION("""COMPUTED_VALUE"""),68.0)</f>
        <v>68</v>
      </c>
      <c r="G569" s="51"/>
      <c r="H569" s="51">
        <f>IFERROR(__xludf.DUMMYFUNCTION("""COMPUTED_VALUE"""),94.94)</f>
        <v>94.94</v>
      </c>
      <c r="I569" s="51"/>
    </row>
    <row r="570" ht="15.75" customHeight="1">
      <c r="A570" s="55" t="str">
        <f t="shared" si="1"/>
        <v>0824GOLD</v>
      </c>
      <c r="B570" s="62">
        <f t="shared" ref="B570:D570" si="569">B569</f>
        <v>45518</v>
      </c>
      <c r="C570" s="63" t="str">
        <f t="shared" si="569"/>
        <v>GOLD</v>
      </c>
      <c r="D570" s="63" t="str">
        <f t="shared" si="569"/>
        <v>NY</v>
      </c>
      <c r="E570" s="64">
        <v>6.0</v>
      </c>
      <c r="F570" s="51">
        <f>IFERROR(__xludf.DUMMYFUNCTION("""COMPUTED_VALUE"""),69.0)</f>
        <v>69</v>
      </c>
      <c r="G570" s="51">
        <f>IFERROR(__xludf.DUMMYFUNCTION("""COMPUTED_VALUE"""),110.5)</f>
        <v>110.5</v>
      </c>
      <c r="H570" s="51"/>
      <c r="I570" s="51"/>
    </row>
    <row r="571" ht="15.75" customHeight="1">
      <c r="A571" s="55" t="str">
        <f t="shared" si="1"/>
        <v>0824GOLD</v>
      </c>
      <c r="B571" s="62">
        <f t="shared" ref="B571:D571" si="570">B570</f>
        <v>45518</v>
      </c>
      <c r="C571" s="63" t="str">
        <f t="shared" si="570"/>
        <v>GOLD</v>
      </c>
      <c r="D571" s="63" t="str">
        <f t="shared" si="570"/>
        <v>NY</v>
      </c>
      <c r="E571" s="64">
        <v>6.0</v>
      </c>
      <c r="F571" s="51">
        <f>IFERROR(__xludf.DUMMYFUNCTION("""COMPUTED_VALUE"""),70.0)</f>
        <v>70</v>
      </c>
      <c r="G571" s="51"/>
      <c r="H571" s="51">
        <f>IFERROR(__xludf.DUMMYFUNCTION("""COMPUTED_VALUE"""),61.04)</f>
        <v>61.04</v>
      </c>
      <c r="I571" s="51"/>
    </row>
    <row r="572" ht="15.75" customHeight="1">
      <c r="A572" s="55" t="str">
        <f t="shared" si="1"/>
        <v>0824GOLD</v>
      </c>
      <c r="B572" s="62">
        <f t="shared" ref="B572:D572" si="571">B571</f>
        <v>45518</v>
      </c>
      <c r="C572" s="63" t="str">
        <f t="shared" si="571"/>
        <v>GOLD</v>
      </c>
      <c r="D572" s="63" t="str">
        <f t="shared" si="571"/>
        <v>NY</v>
      </c>
      <c r="E572" s="64">
        <v>6.0</v>
      </c>
      <c r="F572" s="51">
        <f>IFERROR(__xludf.DUMMYFUNCTION("""COMPUTED_VALUE"""),71.0)</f>
        <v>71</v>
      </c>
      <c r="G572" s="51"/>
      <c r="H572" s="51">
        <f>IFERROR(__xludf.DUMMYFUNCTION("""COMPUTED_VALUE"""),90.44)</f>
        <v>90.44</v>
      </c>
      <c r="I572" s="51"/>
    </row>
    <row r="573" ht="15.75" customHeight="1">
      <c r="A573" s="55" t="str">
        <f t="shared" si="1"/>
        <v>0824GOLD</v>
      </c>
      <c r="B573" s="62">
        <f t="shared" ref="B573:D573" si="572">B572</f>
        <v>45518</v>
      </c>
      <c r="C573" s="63" t="str">
        <f t="shared" si="572"/>
        <v>GOLD</v>
      </c>
      <c r="D573" s="63" t="str">
        <f t="shared" si="572"/>
        <v>NY</v>
      </c>
      <c r="E573" s="64">
        <v>6.0</v>
      </c>
      <c r="F573" s="51">
        <f>IFERROR(__xludf.DUMMYFUNCTION("""COMPUTED_VALUE"""),72.0)</f>
        <v>72</v>
      </c>
      <c r="G573" s="51">
        <f>IFERROR(__xludf.DUMMYFUNCTION("""COMPUTED_VALUE"""),129.4)</f>
        <v>129.4</v>
      </c>
      <c r="H573" s="51"/>
      <c r="I573" s="51"/>
    </row>
    <row r="574" ht="15.75" customHeight="1">
      <c r="A574" s="55" t="str">
        <f t="shared" si="1"/>
        <v>0824GOLD</v>
      </c>
      <c r="B574" s="62">
        <f t="shared" ref="B574:D574" si="573">B573</f>
        <v>45518</v>
      </c>
      <c r="C574" s="63" t="str">
        <f t="shared" si="573"/>
        <v>GOLD</v>
      </c>
      <c r="D574" s="63" t="str">
        <f t="shared" si="573"/>
        <v>NY</v>
      </c>
      <c r="E574" s="64">
        <v>6.0</v>
      </c>
      <c r="F574" s="51">
        <f>IFERROR(__xludf.DUMMYFUNCTION("""COMPUTED_VALUE"""),73.0)</f>
        <v>73</v>
      </c>
      <c r="G574" s="51"/>
      <c r="H574" s="51">
        <f>IFERROR(__xludf.DUMMYFUNCTION("""COMPUTED_VALUE"""),86.94)</f>
        <v>86.94</v>
      </c>
      <c r="I574" s="51"/>
    </row>
    <row r="575" ht="15.75" customHeight="1">
      <c r="A575" s="55" t="str">
        <f t="shared" si="1"/>
        <v>0824GOLD</v>
      </c>
      <c r="B575" s="62">
        <f t="shared" ref="B575:D575" si="574">B574</f>
        <v>45518</v>
      </c>
      <c r="C575" s="63" t="str">
        <f t="shared" si="574"/>
        <v>GOLD</v>
      </c>
      <c r="D575" s="63" t="str">
        <f t="shared" si="574"/>
        <v>NY</v>
      </c>
      <c r="E575" s="64">
        <v>6.0</v>
      </c>
      <c r="F575" s="51">
        <f>IFERROR(__xludf.DUMMYFUNCTION("""COMPUTED_VALUE"""),74.0)</f>
        <v>74</v>
      </c>
      <c r="G575" s="51">
        <f>IFERROR(__xludf.DUMMYFUNCTION("""COMPUTED_VALUE"""),156.9)</f>
        <v>156.9</v>
      </c>
      <c r="H575" s="51"/>
      <c r="I575" s="51"/>
    </row>
    <row r="576" ht="15.75" customHeight="1">
      <c r="A576" s="55" t="str">
        <f t="shared" si="1"/>
        <v>0824GOLD</v>
      </c>
      <c r="B576" s="62">
        <f t="shared" ref="B576:D576" si="575">B575</f>
        <v>45518</v>
      </c>
      <c r="C576" s="63" t="str">
        <f t="shared" si="575"/>
        <v>GOLD</v>
      </c>
      <c r="D576" s="63" t="str">
        <f t="shared" si="575"/>
        <v>NY</v>
      </c>
      <c r="E576" s="64">
        <v>6.0</v>
      </c>
      <c r="F576" s="51">
        <f>IFERROR(__xludf.DUMMYFUNCTION("""COMPUTED_VALUE"""),75.0)</f>
        <v>75</v>
      </c>
      <c r="G576" s="51">
        <f>IFERROR(__xludf.DUMMYFUNCTION("""COMPUTED_VALUE"""),128.63)</f>
        <v>128.63</v>
      </c>
      <c r="H576" s="51"/>
      <c r="I576" s="51"/>
    </row>
    <row r="577" ht="15.75" customHeight="1">
      <c r="A577" s="55" t="str">
        <f t="shared" si="1"/>
        <v>0824GOLD</v>
      </c>
      <c r="B577" s="62">
        <f t="shared" ref="B577:D577" si="576">B576</f>
        <v>45518</v>
      </c>
      <c r="C577" s="63" t="str">
        <f t="shared" si="576"/>
        <v>GOLD</v>
      </c>
      <c r="D577" s="63" t="str">
        <f t="shared" si="576"/>
        <v>NY</v>
      </c>
      <c r="E577" s="64">
        <v>6.0</v>
      </c>
      <c r="F577" s="51">
        <f>IFERROR(__xludf.DUMMYFUNCTION("""COMPUTED_VALUE"""),76.0)</f>
        <v>76</v>
      </c>
      <c r="G577" s="51">
        <f>IFERROR(__xludf.DUMMYFUNCTION("""COMPUTED_VALUE"""),117.05)</f>
        <v>117.05</v>
      </c>
      <c r="H577" s="51"/>
      <c r="I577" s="51"/>
    </row>
    <row r="578" ht="15.75" customHeight="1">
      <c r="A578" s="55" t="str">
        <f t="shared" si="1"/>
        <v>0824GOLD</v>
      </c>
      <c r="B578" s="62">
        <f t="shared" ref="B578:D578" si="577">B577</f>
        <v>45518</v>
      </c>
      <c r="C578" s="63" t="str">
        <f t="shared" si="577"/>
        <v>GOLD</v>
      </c>
      <c r="D578" s="63" t="str">
        <f t="shared" si="577"/>
        <v>NY</v>
      </c>
      <c r="E578" s="64">
        <v>6.0</v>
      </c>
      <c r="F578" s="51">
        <f>IFERROR(__xludf.DUMMYFUNCTION("""COMPUTED_VALUE"""),77.0)</f>
        <v>77</v>
      </c>
      <c r="G578" s="51"/>
      <c r="H578" s="51">
        <f>IFERROR(__xludf.DUMMYFUNCTION("""COMPUTED_VALUE"""),46.88)</f>
        <v>46.88</v>
      </c>
      <c r="I578" s="51"/>
    </row>
    <row r="579" ht="15.75" customHeight="1">
      <c r="A579" s="55" t="str">
        <f t="shared" si="1"/>
        <v>0824GOLD</v>
      </c>
      <c r="B579" s="62">
        <f t="shared" ref="B579:D579" si="578">B578</f>
        <v>45518</v>
      </c>
      <c r="C579" s="63" t="str">
        <f t="shared" si="578"/>
        <v>GOLD</v>
      </c>
      <c r="D579" s="63" t="str">
        <f t="shared" si="578"/>
        <v>NY</v>
      </c>
      <c r="E579" s="64">
        <v>6.0</v>
      </c>
      <c r="F579" s="51">
        <f>IFERROR(__xludf.DUMMYFUNCTION("""COMPUTED_VALUE"""),78.0)</f>
        <v>78</v>
      </c>
      <c r="G579" s="51">
        <f>IFERROR(__xludf.DUMMYFUNCTION("""COMPUTED_VALUE"""),128.48)</f>
        <v>128.48</v>
      </c>
      <c r="H579" s="51"/>
      <c r="I579" s="51"/>
    </row>
    <row r="580" ht="15.75" customHeight="1">
      <c r="A580" s="55" t="str">
        <f t="shared" si="1"/>
        <v>0824GOLD</v>
      </c>
      <c r="B580" s="62">
        <f t="shared" ref="B580:D580" si="579">B579</f>
        <v>45518</v>
      </c>
      <c r="C580" s="63" t="str">
        <f t="shared" si="579"/>
        <v>GOLD</v>
      </c>
      <c r="D580" s="63" t="str">
        <f t="shared" si="579"/>
        <v>NY</v>
      </c>
      <c r="E580" s="64">
        <v>6.0</v>
      </c>
      <c r="F580" s="51">
        <f>IFERROR(__xludf.DUMMYFUNCTION("""COMPUTED_VALUE"""),79.0)</f>
        <v>79</v>
      </c>
      <c r="G580" s="51"/>
      <c r="H580" s="51">
        <f>IFERROR(__xludf.DUMMYFUNCTION("""COMPUTED_VALUE"""),60.7)</f>
        <v>60.7</v>
      </c>
      <c r="I580" s="51"/>
    </row>
    <row r="581" ht="15.75" customHeight="1">
      <c r="A581" s="55" t="str">
        <f t="shared" si="1"/>
        <v>0824GOLD</v>
      </c>
      <c r="B581" s="62">
        <f t="shared" ref="B581:D581" si="580">B580</f>
        <v>45518</v>
      </c>
      <c r="C581" s="63" t="str">
        <f t="shared" si="580"/>
        <v>GOLD</v>
      </c>
      <c r="D581" s="63" t="str">
        <f t="shared" si="580"/>
        <v>NY</v>
      </c>
      <c r="E581" s="64">
        <v>6.0</v>
      </c>
      <c r="F581" s="51">
        <f>IFERROR(__xludf.DUMMYFUNCTION("""COMPUTED_VALUE"""),80.0)</f>
        <v>80</v>
      </c>
      <c r="G581" s="51">
        <f>IFERROR(__xludf.DUMMYFUNCTION("""COMPUTED_VALUE"""),75.57)</f>
        <v>75.57</v>
      </c>
      <c r="H581" s="51"/>
      <c r="I581" s="51"/>
    </row>
    <row r="582" ht="15.75" customHeight="1">
      <c r="A582" s="55" t="str">
        <f t="shared" si="1"/>
        <v>0824GOLD</v>
      </c>
      <c r="B582" s="62">
        <f t="shared" ref="B582:D582" si="581">B581</f>
        <v>45518</v>
      </c>
      <c r="C582" s="63" t="str">
        <f t="shared" si="581"/>
        <v>GOLD</v>
      </c>
      <c r="D582" s="63" t="str">
        <f t="shared" si="581"/>
        <v>NY</v>
      </c>
      <c r="E582" s="64">
        <v>6.0</v>
      </c>
      <c r="F582" s="51">
        <f>IFERROR(__xludf.DUMMYFUNCTION("""COMPUTED_VALUE"""),81.0)</f>
        <v>81</v>
      </c>
      <c r="G582" s="51">
        <f>IFERROR(__xludf.DUMMYFUNCTION("""COMPUTED_VALUE"""),102.32)</f>
        <v>102.32</v>
      </c>
      <c r="H582" s="51"/>
      <c r="I582" s="51"/>
    </row>
    <row r="583" ht="15.75" customHeight="1">
      <c r="A583" s="55" t="str">
        <f t="shared" si="1"/>
        <v>0824GOLD</v>
      </c>
      <c r="B583" s="62">
        <f t="shared" ref="B583:D583" si="582">B582</f>
        <v>45518</v>
      </c>
      <c r="C583" s="63" t="str">
        <f t="shared" si="582"/>
        <v>GOLD</v>
      </c>
      <c r="D583" s="63" t="str">
        <f t="shared" si="582"/>
        <v>NY</v>
      </c>
      <c r="E583" s="64">
        <v>6.0</v>
      </c>
      <c r="F583" s="51">
        <f>IFERROR(__xludf.DUMMYFUNCTION("""COMPUTED_VALUE"""),82.0)</f>
        <v>82</v>
      </c>
      <c r="G583" s="51">
        <f>IFERROR(__xludf.DUMMYFUNCTION("""COMPUTED_VALUE"""),97.56)</f>
        <v>97.56</v>
      </c>
      <c r="H583" s="51"/>
      <c r="I583" s="51"/>
    </row>
    <row r="584" ht="15.75" customHeight="1">
      <c r="A584" s="55" t="str">
        <f t="shared" si="1"/>
        <v>0824GOLD</v>
      </c>
      <c r="B584" s="62">
        <f t="shared" ref="B584:D584" si="583">B583</f>
        <v>45518</v>
      </c>
      <c r="C584" s="63" t="str">
        <f t="shared" si="583"/>
        <v>GOLD</v>
      </c>
      <c r="D584" s="63" t="str">
        <f t="shared" si="583"/>
        <v>NY</v>
      </c>
      <c r="E584" s="64">
        <v>6.0</v>
      </c>
      <c r="F584" s="51">
        <f>IFERROR(__xludf.DUMMYFUNCTION("""COMPUTED_VALUE"""),83.0)</f>
        <v>83</v>
      </c>
      <c r="G584" s="51"/>
      <c r="H584" s="51">
        <f>IFERROR(__xludf.DUMMYFUNCTION("""COMPUTED_VALUE"""),52.7)</f>
        <v>52.7</v>
      </c>
      <c r="I584" s="51"/>
    </row>
    <row r="585" ht="15.75" customHeight="1">
      <c r="A585" s="55" t="str">
        <f t="shared" si="1"/>
        <v>0824GOLD</v>
      </c>
      <c r="B585" s="62">
        <f t="shared" ref="B585:D585" si="584">B584</f>
        <v>45518</v>
      </c>
      <c r="C585" s="63" t="str">
        <f t="shared" si="584"/>
        <v>GOLD</v>
      </c>
      <c r="D585" s="63" t="str">
        <f t="shared" si="584"/>
        <v>NY</v>
      </c>
      <c r="E585" s="64">
        <v>6.0</v>
      </c>
      <c r="F585" s="51">
        <f>IFERROR(__xludf.DUMMYFUNCTION("""COMPUTED_VALUE"""),84.0)</f>
        <v>84</v>
      </c>
      <c r="G585" s="51"/>
      <c r="H585" s="51">
        <f>IFERROR(__xludf.DUMMYFUNCTION("""COMPUTED_VALUE"""),81.61)</f>
        <v>81.61</v>
      </c>
      <c r="I585" s="51"/>
    </row>
    <row r="586" ht="15.75" customHeight="1">
      <c r="A586" s="55" t="str">
        <f t="shared" si="1"/>
        <v>0824GOLD</v>
      </c>
      <c r="B586" s="62">
        <f t="shared" ref="B586:D586" si="585">B585</f>
        <v>45518</v>
      </c>
      <c r="C586" s="63" t="str">
        <f t="shared" si="585"/>
        <v>GOLD</v>
      </c>
      <c r="D586" s="63" t="str">
        <f t="shared" si="585"/>
        <v>NY</v>
      </c>
      <c r="E586" s="64">
        <v>6.0</v>
      </c>
      <c r="F586" s="51">
        <f>IFERROR(__xludf.DUMMYFUNCTION("""COMPUTED_VALUE"""),85.0)</f>
        <v>85</v>
      </c>
      <c r="G586" s="51"/>
      <c r="H586" s="51">
        <f>IFERROR(__xludf.DUMMYFUNCTION("""COMPUTED_VALUE"""),70.77)</f>
        <v>70.77</v>
      </c>
      <c r="I586" s="51"/>
    </row>
    <row r="587" ht="15.75" customHeight="1">
      <c r="A587" s="55" t="str">
        <f t="shared" si="1"/>
        <v>0824GOLD</v>
      </c>
      <c r="B587" s="62">
        <f t="shared" ref="B587:D587" si="586">B586</f>
        <v>45518</v>
      </c>
      <c r="C587" s="63" t="str">
        <f t="shared" si="586"/>
        <v>GOLD</v>
      </c>
      <c r="D587" s="63" t="str">
        <f t="shared" si="586"/>
        <v>NY</v>
      </c>
      <c r="E587" s="64">
        <v>6.0</v>
      </c>
      <c r="F587" s="51">
        <f>IFERROR(__xludf.DUMMYFUNCTION("""COMPUTED_VALUE"""),86.0)</f>
        <v>86</v>
      </c>
      <c r="G587" s="51">
        <f>IFERROR(__xludf.DUMMYFUNCTION("""COMPUTED_VALUE"""),156.38)</f>
        <v>156.38</v>
      </c>
      <c r="H587" s="51"/>
      <c r="I587" s="51"/>
    </row>
    <row r="588" ht="15.75" customHeight="1">
      <c r="A588" s="55" t="str">
        <f t="shared" si="1"/>
        <v>0824GOLD</v>
      </c>
      <c r="B588" s="62">
        <f t="shared" ref="B588:D588" si="587">B587</f>
        <v>45518</v>
      </c>
      <c r="C588" s="63" t="str">
        <f t="shared" si="587"/>
        <v>GOLD</v>
      </c>
      <c r="D588" s="63" t="str">
        <f t="shared" si="587"/>
        <v>NY</v>
      </c>
      <c r="E588" s="64">
        <v>6.0</v>
      </c>
      <c r="F588" s="51">
        <f>IFERROR(__xludf.DUMMYFUNCTION("""COMPUTED_VALUE"""),87.0)</f>
        <v>87</v>
      </c>
      <c r="G588" s="51">
        <f>IFERROR(__xludf.DUMMYFUNCTION("""COMPUTED_VALUE"""),97.51)</f>
        <v>97.51</v>
      </c>
      <c r="H588" s="51"/>
      <c r="I588" s="51"/>
    </row>
    <row r="589" ht="15.75" customHeight="1">
      <c r="A589" s="55" t="str">
        <f t="shared" si="1"/>
        <v>0824GOLD</v>
      </c>
      <c r="B589" s="62">
        <f t="shared" ref="B589:D589" si="588">B588</f>
        <v>45518</v>
      </c>
      <c r="C589" s="63" t="str">
        <f t="shared" si="588"/>
        <v>GOLD</v>
      </c>
      <c r="D589" s="63" t="str">
        <f t="shared" si="588"/>
        <v>NY</v>
      </c>
      <c r="E589" s="64">
        <v>6.0</v>
      </c>
      <c r="F589" s="51">
        <f>IFERROR(__xludf.DUMMYFUNCTION("""COMPUTED_VALUE"""),88.0)</f>
        <v>88</v>
      </c>
      <c r="G589" s="51">
        <f>IFERROR(__xludf.DUMMYFUNCTION("""COMPUTED_VALUE"""),115.44)</f>
        <v>115.44</v>
      </c>
      <c r="H589" s="51"/>
      <c r="I589" s="51"/>
    </row>
    <row r="590" ht="15.75" customHeight="1">
      <c r="A590" s="55" t="str">
        <f t="shared" si="1"/>
        <v>0824GOLD</v>
      </c>
      <c r="B590" s="62">
        <f t="shared" ref="B590:D590" si="589">B589</f>
        <v>45518</v>
      </c>
      <c r="C590" s="63" t="str">
        <f t="shared" si="589"/>
        <v>GOLD</v>
      </c>
      <c r="D590" s="63" t="str">
        <f t="shared" si="589"/>
        <v>NY</v>
      </c>
      <c r="E590" s="64">
        <v>6.0</v>
      </c>
      <c r="F590" s="51">
        <f>IFERROR(__xludf.DUMMYFUNCTION("""COMPUTED_VALUE"""),89.0)</f>
        <v>89</v>
      </c>
      <c r="G590" s="51">
        <f>IFERROR(__xludf.DUMMYFUNCTION("""COMPUTED_VALUE"""),133.72)</f>
        <v>133.72</v>
      </c>
      <c r="H590" s="51"/>
      <c r="I590" s="51"/>
    </row>
    <row r="591" ht="15.75" customHeight="1">
      <c r="A591" s="55" t="str">
        <f t="shared" si="1"/>
        <v>0824GOLD</v>
      </c>
      <c r="B591" s="62">
        <f t="shared" ref="B591:D591" si="590">B590</f>
        <v>45518</v>
      </c>
      <c r="C591" s="63" t="str">
        <f t="shared" si="590"/>
        <v>GOLD</v>
      </c>
      <c r="D591" s="63" t="str">
        <f t="shared" si="590"/>
        <v>NY</v>
      </c>
      <c r="E591" s="64">
        <v>6.0</v>
      </c>
      <c r="F591" s="51">
        <f>IFERROR(__xludf.DUMMYFUNCTION("""COMPUTED_VALUE"""),90.0)</f>
        <v>90</v>
      </c>
      <c r="G591" s="51">
        <f>IFERROR(__xludf.DUMMYFUNCTION("""COMPUTED_VALUE"""),101.21)</f>
        <v>101.21</v>
      </c>
      <c r="H591" s="51"/>
      <c r="I591" s="51"/>
    </row>
    <row r="592" ht="15.75" customHeight="1">
      <c r="A592" s="55" t="str">
        <f t="shared" si="1"/>
        <v>0824GOLD</v>
      </c>
      <c r="B592" s="62">
        <f t="shared" ref="B592:D592" si="591">B591</f>
        <v>45518</v>
      </c>
      <c r="C592" s="63" t="str">
        <f t="shared" si="591"/>
        <v>GOLD</v>
      </c>
      <c r="D592" s="63" t="str">
        <f t="shared" si="591"/>
        <v>NY</v>
      </c>
      <c r="E592" s="64">
        <v>6.0</v>
      </c>
      <c r="F592" s="51">
        <f>IFERROR(__xludf.DUMMYFUNCTION("""COMPUTED_VALUE"""),91.0)</f>
        <v>91</v>
      </c>
      <c r="G592" s="51">
        <f>IFERROR(__xludf.DUMMYFUNCTION("""COMPUTED_VALUE"""),138.55)</f>
        <v>138.55</v>
      </c>
      <c r="H592" s="51"/>
      <c r="I592" s="51"/>
    </row>
    <row r="593" ht="15.75" customHeight="1">
      <c r="A593" s="55" t="str">
        <f t="shared" si="1"/>
        <v>0824GOLD</v>
      </c>
      <c r="B593" s="62">
        <f t="shared" ref="B593:D593" si="592">B592</f>
        <v>45518</v>
      </c>
      <c r="C593" s="63" t="str">
        <f t="shared" si="592"/>
        <v>GOLD</v>
      </c>
      <c r="D593" s="63" t="str">
        <f t="shared" si="592"/>
        <v>NY</v>
      </c>
      <c r="E593" s="64">
        <v>6.0</v>
      </c>
      <c r="F593" s="51">
        <f>IFERROR(__xludf.DUMMYFUNCTION("""COMPUTED_VALUE"""),92.0)</f>
        <v>92</v>
      </c>
      <c r="G593" s="51">
        <f>IFERROR(__xludf.DUMMYFUNCTION("""COMPUTED_VALUE"""),62.57)</f>
        <v>62.57</v>
      </c>
      <c r="H593" s="51"/>
      <c r="I593" s="51"/>
    </row>
    <row r="594" ht="15.75" customHeight="1">
      <c r="A594" s="55" t="str">
        <f t="shared" si="1"/>
        <v>0824GOLD</v>
      </c>
      <c r="B594" s="62">
        <f t="shared" ref="B594:D594" si="593">B593</f>
        <v>45518</v>
      </c>
      <c r="C594" s="63" t="str">
        <f t="shared" si="593"/>
        <v>GOLD</v>
      </c>
      <c r="D594" s="63" t="str">
        <f t="shared" si="593"/>
        <v>NY</v>
      </c>
      <c r="E594" s="64">
        <v>6.0</v>
      </c>
      <c r="F594" s="51">
        <f>IFERROR(__xludf.DUMMYFUNCTION("""COMPUTED_VALUE"""),93.0)</f>
        <v>93</v>
      </c>
      <c r="G594" s="51"/>
      <c r="H594" s="51">
        <f>IFERROR(__xludf.DUMMYFUNCTION("""COMPUTED_VALUE"""),68.03)</f>
        <v>68.03</v>
      </c>
      <c r="I594" s="51"/>
    </row>
    <row r="595" ht="15.75" customHeight="1">
      <c r="A595" s="55" t="str">
        <f t="shared" si="1"/>
        <v>0824GOLD</v>
      </c>
      <c r="B595" s="62">
        <f t="shared" ref="B595:D595" si="594">B594</f>
        <v>45518</v>
      </c>
      <c r="C595" s="63" t="str">
        <f t="shared" si="594"/>
        <v>GOLD</v>
      </c>
      <c r="D595" s="63" t="str">
        <f t="shared" si="594"/>
        <v>NY</v>
      </c>
      <c r="E595" s="64">
        <v>6.0</v>
      </c>
      <c r="F595" s="51">
        <f>IFERROR(__xludf.DUMMYFUNCTION("""COMPUTED_VALUE"""),94.0)</f>
        <v>94</v>
      </c>
      <c r="G595" s="51"/>
      <c r="H595" s="51">
        <f>IFERROR(__xludf.DUMMYFUNCTION("""COMPUTED_VALUE"""),91.37)</f>
        <v>91.37</v>
      </c>
      <c r="I595" s="51"/>
    </row>
    <row r="596" ht="15.75" customHeight="1">
      <c r="A596" s="55" t="str">
        <f t="shared" si="1"/>
        <v>0824GOLD</v>
      </c>
      <c r="B596" s="62">
        <f t="shared" ref="B596:D596" si="595">B595</f>
        <v>45518</v>
      </c>
      <c r="C596" s="63" t="str">
        <f t="shared" si="595"/>
        <v>GOLD</v>
      </c>
      <c r="D596" s="63" t="str">
        <f t="shared" si="595"/>
        <v>NY</v>
      </c>
      <c r="E596" s="64">
        <v>6.0</v>
      </c>
      <c r="F596" s="51">
        <f>IFERROR(__xludf.DUMMYFUNCTION("""COMPUTED_VALUE"""),95.0)</f>
        <v>95</v>
      </c>
      <c r="G596" s="51"/>
      <c r="H596" s="51">
        <f>IFERROR(__xludf.DUMMYFUNCTION("""COMPUTED_VALUE"""),63.51)</f>
        <v>63.51</v>
      </c>
      <c r="I596" s="51"/>
    </row>
    <row r="597" ht="15.75" customHeight="1">
      <c r="A597" s="55" t="str">
        <f t="shared" si="1"/>
        <v>0824GOLD</v>
      </c>
      <c r="B597" s="62">
        <f t="shared" ref="B597:D597" si="596">B596</f>
        <v>45518</v>
      </c>
      <c r="C597" s="63" t="str">
        <f t="shared" si="596"/>
        <v>GOLD</v>
      </c>
      <c r="D597" s="63" t="str">
        <f t="shared" si="596"/>
        <v>NY</v>
      </c>
      <c r="E597" s="64">
        <v>6.0</v>
      </c>
      <c r="F597" s="51">
        <f>IFERROR(__xludf.DUMMYFUNCTION("""COMPUTED_VALUE"""),96.0)</f>
        <v>96</v>
      </c>
      <c r="G597" s="51"/>
      <c r="H597" s="51">
        <f>IFERROR(__xludf.DUMMYFUNCTION("""COMPUTED_VALUE"""),73.02)</f>
        <v>73.02</v>
      </c>
      <c r="I597" s="51"/>
    </row>
    <row r="598" ht="15.75" customHeight="1">
      <c r="A598" s="55" t="str">
        <f t="shared" si="1"/>
        <v>0824GOLD</v>
      </c>
      <c r="B598" s="62">
        <f t="shared" ref="B598:D598" si="597">B597</f>
        <v>45518</v>
      </c>
      <c r="C598" s="63" t="str">
        <f t="shared" si="597"/>
        <v>GOLD</v>
      </c>
      <c r="D598" s="63" t="str">
        <f t="shared" si="597"/>
        <v>NY</v>
      </c>
      <c r="E598" s="64">
        <v>6.0</v>
      </c>
      <c r="F598" s="51">
        <f>IFERROR(__xludf.DUMMYFUNCTION("""COMPUTED_VALUE"""),97.0)</f>
        <v>97</v>
      </c>
      <c r="G598" s="51">
        <f>IFERROR(__xludf.DUMMYFUNCTION("""COMPUTED_VALUE"""),158.96)</f>
        <v>158.96</v>
      </c>
      <c r="H598" s="51"/>
      <c r="I598" s="51"/>
    </row>
    <row r="599" ht="15.75" customHeight="1">
      <c r="A599" s="55" t="str">
        <f t="shared" si="1"/>
        <v>0824GOLD</v>
      </c>
      <c r="B599" s="62">
        <f t="shared" ref="B599:D599" si="598">B598</f>
        <v>45518</v>
      </c>
      <c r="C599" s="63" t="str">
        <f t="shared" si="598"/>
        <v>GOLD</v>
      </c>
      <c r="D599" s="63" t="str">
        <f t="shared" si="598"/>
        <v>NY</v>
      </c>
      <c r="E599" s="64">
        <v>6.0</v>
      </c>
      <c r="F599" s="51">
        <f>IFERROR(__xludf.DUMMYFUNCTION("""COMPUTED_VALUE"""),98.0)</f>
        <v>98</v>
      </c>
      <c r="G599" s="51">
        <f>IFERROR(__xludf.DUMMYFUNCTION("""COMPUTED_VALUE"""),57.39)</f>
        <v>57.39</v>
      </c>
      <c r="H599" s="51"/>
      <c r="I599" s="51"/>
    </row>
    <row r="600" ht="15.75" customHeight="1">
      <c r="A600" s="55" t="str">
        <f t="shared" si="1"/>
        <v>0824GOLD</v>
      </c>
      <c r="B600" s="62">
        <f t="shared" ref="B600:D600" si="599">B599</f>
        <v>45518</v>
      </c>
      <c r="C600" s="63" t="str">
        <f t="shared" si="599"/>
        <v>GOLD</v>
      </c>
      <c r="D600" s="63" t="str">
        <f t="shared" si="599"/>
        <v>NY</v>
      </c>
      <c r="E600" s="64">
        <v>6.0</v>
      </c>
      <c r="F600" s="51">
        <f>IFERROR(__xludf.DUMMYFUNCTION("""COMPUTED_VALUE"""),99.0)</f>
        <v>99</v>
      </c>
      <c r="G600" s="51">
        <f>IFERROR(__xludf.DUMMYFUNCTION("""COMPUTED_VALUE"""),116.31)</f>
        <v>116.31</v>
      </c>
      <c r="H600" s="51"/>
      <c r="I600" s="51"/>
    </row>
    <row r="601" ht="15.75" customHeight="1">
      <c r="A601" s="55" t="str">
        <f t="shared" si="1"/>
        <v>0824GOLD</v>
      </c>
      <c r="B601" s="62">
        <f t="shared" ref="B601:D601" si="600">B600</f>
        <v>45518</v>
      </c>
      <c r="C601" s="63" t="str">
        <f t="shared" si="600"/>
        <v>GOLD</v>
      </c>
      <c r="D601" s="63" t="str">
        <f t="shared" si="600"/>
        <v>NY</v>
      </c>
      <c r="E601" s="64">
        <v>6.0</v>
      </c>
      <c r="F601" s="51">
        <f>IFERROR(__xludf.DUMMYFUNCTION("""COMPUTED_VALUE"""),100.0)</f>
        <v>100</v>
      </c>
      <c r="G601" s="51"/>
      <c r="H601" s="51"/>
      <c r="I601" s="51"/>
    </row>
    <row r="602" ht="15.75" customHeight="1">
      <c r="A602" s="65"/>
      <c r="B602" s="66"/>
      <c r="C602" s="67"/>
      <c r="D602" s="67"/>
      <c r="E602" s="51"/>
      <c r="F602" s="51"/>
      <c r="G602" s="51"/>
      <c r="H602" s="51"/>
      <c r="I602" s="51"/>
    </row>
    <row r="603" ht="15.75" customHeight="1">
      <c r="A603" s="65"/>
      <c r="B603" s="66"/>
      <c r="C603" s="67"/>
      <c r="D603" s="67"/>
      <c r="E603" s="51"/>
      <c r="F603" s="51"/>
      <c r="G603" s="51"/>
      <c r="H603" s="51"/>
      <c r="I603" s="51"/>
    </row>
    <row r="604" ht="15.75" customHeight="1">
      <c r="A604" s="65"/>
      <c r="B604" s="66"/>
      <c r="C604" s="67"/>
      <c r="D604" s="67"/>
      <c r="E604" s="51"/>
      <c r="F604" s="51"/>
      <c r="G604" s="51"/>
      <c r="H604" s="51"/>
      <c r="I604" s="51"/>
    </row>
    <row r="605" ht="15.75" customHeight="1">
      <c r="A605" s="65"/>
      <c r="B605" s="66"/>
      <c r="C605" s="67"/>
      <c r="D605" s="67"/>
      <c r="E605" s="51"/>
      <c r="F605" s="51"/>
      <c r="G605" s="51"/>
      <c r="H605" s="51"/>
      <c r="I605" s="51"/>
    </row>
    <row r="606" ht="15.75" customHeight="1">
      <c r="A606" s="65"/>
      <c r="B606" s="66"/>
      <c r="C606" s="67"/>
      <c r="D606" s="67"/>
      <c r="E606" s="51"/>
      <c r="F606" s="51"/>
      <c r="G606" s="51"/>
      <c r="H606" s="51"/>
      <c r="I606" s="51"/>
    </row>
    <row r="607" ht="15.75" customHeight="1">
      <c r="A607" s="65"/>
      <c r="B607" s="66"/>
      <c r="C607" s="67"/>
      <c r="D607" s="67"/>
      <c r="E607" s="51"/>
      <c r="F607" s="51"/>
      <c r="G607" s="51"/>
      <c r="H607" s="51"/>
      <c r="I607" s="51"/>
    </row>
    <row r="608" ht="15.75" customHeight="1">
      <c r="A608" s="65"/>
      <c r="B608" s="66"/>
      <c r="C608" s="67"/>
      <c r="D608" s="67"/>
      <c r="E608" s="51"/>
      <c r="F608" s="51"/>
      <c r="G608" s="51"/>
      <c r="H608" s="51"/>
      <c r="I608" s="51"/>
    </row>
    <row r="609" ht="15.75" customHeight="1">
      <c r="A609" s="65"/>
      <c r="B609" s="66"/>
      <c r="C609" s="67"/>
      <c r="D609" s="67"/>
      <c r="E609" s="51"/>
      <c r="F609" s="51"/>
      <c r="G609" s="51"/>
      <c r="H609" s="51"/>
      <c r="I609" s="51"/>
    </row>
    <row r="610" ht="15.75" customHeight="1">
      <c r="A610" s="65"/>
      <c r="B610" s="66"/>
      <c r="C610" s="67"/>
      <c r="D610" s="67"/>
      <c r="E610" s="51"/>
      <c r="F610" s="51"/>
      <c r="G610" s="51"/>
      <c r="H610" s="51"/>
      <c r="I610" s="51"/>
    </row>
    <row r="611" ht="15.75" customHeight="1">
      <c r="A611" s="65"/>
      <c r="B611" s="66"/>
      <c r="C611" s="67"/>
      <c r="D611" s="67"/>
      <c r="E611" s="51"/>
      <c r="F611" s="51"/>
      <c r="G611" s="51"/>
      <c r="H611" s="51"/>
      <c r="I611" s="51"/>
    </row>
    <row r="612" ht="15.75" customHeight="1">
      <c r="A612" s="65"/>
      <c r="B612" s="66"/>
      <c r="C612" s="67"/>
      <c r="D612" s="67"/>
      <c r="E612" s="51"/>
      <c r="F612" s="51"/>
      <c r="G612" s="51"/>
      <c r="H612" s="51"/>
      <c r="I612" s="51"/>
    </row>
    <row r="613" ht="15.75" customHeight="1">
      <c r="A613" s="65"/>
      <c r="B613" s="66"/>
      <c r="C613" s="67"/>
      <c r="D613" s="67"/>
      <c r="E613" s="51"/>
      <c r="F613" s="51"/>
      <c r="G613" s="51"/>
      <c r="H613" s="51"/>
      <c r="I613" s="51"/>
    </row>
    <row r="614" ht="15.75" customHeight="1">
      <c r="A614" s="65"/>
      <c r="B614" s="66"/>
      <c r="C614" s="67"/>
      <c r="D614" s="67"/>
      <c r="E614" s="51"/>
      <c r="F614" s="51"/>
      <c r="G614" s="51"/>
      <c r="H614" s="51"/>
      <c r="I614" s="51"/>
    </row>
    <row r="615" ht="15.75" customHeight="1">
      <c r="A615" s="65"/>
      <c r="B615" s="66"/>
      <c r="C615" s="67"/>
      <c r="D615" s="67"/>
      <c r="E615" s="51"/>
      <c r="F615" s="51"/>
      <c r="G615" s="51"/>
      <c r="H615" s="51"/>
      <c r="I615" s="51"/>
    </row>
    <row r="616" ht="15.75" customHeight="1">
      <c r="A616" s="65"/>
      <c r="B616" s="66"/>
      <c r="C616" s="67"/>
      <c r="D616" s="67"/>
      <c r="E616" s="51"/>
      <c r="F616" s="51"/>
      <c r="G616" s="51"/>
      <c r="H616" s="51"/>
      <c r="I616" s="51"/>
    </row>
    <row r="617" ht="15.75" customHeight="1">
      <c r="A617" s="65"/>
      <c r="B617" s="66"/>
      <c r="C617" s="67"/>
      <c r="D617" s="67"/>
      <c r="E617" s="51"/>
      <c r="F617" s="51"/>
      <c r="G617" s="51"/>
      <c r="H617" s="51"/>
      <c r="I617" s="51"/>
    </row>
    <row r="618" ht="15.75" customHeight="1">
      <c r="A618" s="65"/>
      <c r="B618" s="66"/>
      <c r="C618" s="67"/>
      <c r="D618" s="67"/>
      <c r="E618" s="51"/>
      <c r="F618" s="51"/>
      <c r="G618" s="51"/>
      <c r="H618" s="51"/>
      <c r="I618" s="51"/>
    </row>
    <row r="619" ht="15.75" customHeight="1">
      <c r="A619" s="65"/>
      <c r="B619" s="66"/>
      <c r="C619" s="67"/>
      <c r="D619" s="67"/>
      <c r="E619" s="51"/>
      <c r="F619" s="51"/>
      <c r="G619" s="51"/>
      <c r="H619" s="51"/>
      <c r="I619" s="51"/>
    </row>
    <row r="620" ht="15.75" customHeight="1">
      <c r="A620" s="65"/>
      <c r="B620" s="66"/>
      <c r="C620" s="67"/>
      <c r="D620" s="67"/>
      <c r="E620" s="51"/>
      <c r="F620" s="51"/>
      <c r="G620" s="51"/>
      <c r="H620" s="51"/>
      <c r="I620" s="51"/>
    </row>
    <row r="621" ht="15.75" customHeight="1">
      <c r="A621" s="65"/>
      <c r="B621" s="66"/>
      <c r="C621" s="67"/>
      <c r="D621" s="67"/>
      <c r="E621" s="51"/>
      <c r="F621" s="51"/>
      <c r="G621" s="51"/>
      <c r="H621" s="51"/>
      <c r="I621" s="51"/>
    </row>
    <row r="622" ht="15.75" customHeight="1">
      <c r="A622" s="65"/>
      <c r="B622" s="66"/>
      <c r="C622" s="67"/>
      <c r="D622" s="67"/>
      <c r="E622" s="51"/>
      <c r="F622" s="51"/>
      <c r="G622" s="51"/>
      <c r="H622" s="51"/>
      <c r="I622" s="51"/>
    </row>
    <row r="623" ht="15.75" customHeight="1">
      <c r="A623" s="65"/>
      <c r="B623" s="66"/>
      <c r="C623" s="67"/>
      <c r="D623" s="67"/>
      <c r="E623" s="51"/>
      <c r="F623" s="51"/>
      <c r="G623" s="51"/>
      <c r="H623" s="51"/>
      <c r="I623" s="51"/>
    </row>
    <row r="624" ht="15.75" customHeight="1">
      <c r="A624" s="65"/>
      <c r="B624" s="66"/>
      <c r="C624" s="67"/>
      <c r="D624" s="67"/>
      <c r="E624" s="51"/>
      <c r="F624" s="51"/>
      <c r="G624" s="51"/>
      <c r="H624" s="51"/>
      <c r="I624" s="51"/>
    </row>
    <row r="625" ht="15.75" customHeight="1">
      <c r="A625" s="65"/>
      <c r="B625" s="66"/>
      <c r="C625" s="67"/>
      <c r="D625" s="67"/>
      <c r="E625" s="51"/>
      <c r="F625" s="51"/>
      <c r="G625" s="51"/>
      <c r="H625" s="51"/>
      <c r="I625" s="51"/>
    </row>
    <row r="626" ht="15.75" customHeight="1">
      <c r="A626" s="65"/>
      <c r="B626" s="66"/>
      <c r="C626" s="67"/>
      <c r="D626" s="67"/>
      <c r="E626" s="51"/>
      <c r="F626" s="51"/>
      <c r="G626" s="51"/>
      <c r="H626" s="51"/>
      <c r="I626" s="51"/>
    </row>
    <row r="627" ht="15.75" customHeight="1">
      <c r="A627" s="65"/>
      <c r="B627" s="66"/>
      <c r="C627" s="67"/>
      <c r="D627" s="67"/>
      <c r="E627" s="51"/>
      <c r="F627" s="51"/>
      <c r="G627" s="51"/>
      <c r="H627" s="51"/>
      <c r="I627" s="51"/>
    </row>
    <row r="628" ht="15.75" customHeight="1">
      <c r="A628" s="65"/>
      <c r="B628" s="66"/>
      <c r="C628" s="67"/>
      <c r="D628" s="67"/>
      <c r="E628" s="51"/>
      <c r="F628" s="51"/>
      <c r="G628" s="51"/>
      <c r="H628" s="51"/>
      <c r="I628" s="51"/>
    </row>
    <row r="629" ht="15.75" customHeight="1">
      <c r="A629" s="65"/>
      <c r="B629" s="66"/>
      <c r="C629" s="67"/>
      <c r="D629" s="67"/>
      <c r="E629" s="51"/>
      <c r="F629" s="51"/>
      <c r="G629" s="51"/>
      <c r="H629" s="51"/>
      <c r="I629" s="51"/>
    </row>
    <row r="630" ht="15.75" customHeight="1">
      <c r="A630" s="65"/>
      <c r="B630" s="66"/>
      <c r="C630" s="67"/>
      <c r="D630" s="67"/>
      <c r="E630" s="51"/>
      <c r="F630" s="51"/>
      <c r="G630" s="51"/>
      <c r="H630" s="51"/>
      <c r="I630" s="51"/>
    </row>
    <row r="631" ht="15.75" customHeight="1">
      <c r="A631" s="65"/>
      <c r="B631" s="66"/>
      <c r="C631" s="67"/>
      <c r="D631" s="67"/>
      <c r="E631" s="51"/>
      <c r="F631" s="51"/>
      <c r="G631" s="51"/>
      <c r="H631" s="51"/>
      <c r="I631" s="51"/>
    </row>
    <row r="632" ht="15.75" customHeight="1">
      <c r="A632" s="65"/>
      <c r="B632" s="66"/>
      <c r="C632" s="67"/>
      <c r="D632" s="67"/>
      <c r="E632" s="51"/>
      <c r="F632" s="51"/>
      <c r="G632" s="51"/>
      <c r="H632" s="51"/>
      <c r="I632" s="51"/>
    </row>
    <row r="633" ht="15.75" customHeight="1">
      <c r="A633" s="65"/>
      <c r="B633" s="66"/>
      <c r="C633" s="67"/>
      <c r="D633" s="67"/>
      <c r="E633" s="51"/>
      <c r="F633" s="51"/>
      <c r="G633" s="51"/>
      <c r="H633" s="51"/>
      <c r="I633" s="51"/>
    </row>
    <row r="634" ht="15.75" customHeight="1">
      <c r="A634" s="65"/>
      <c r="B634" s="66"/>
      <c r="C634" s="67"/>
      <c r="D634" s="67"/>
      <c r="E634" s="51"/>
      <c r="F634" s="51"/>
      <c r="G634" s="51"/>
      <c r="H634" s="51"/>
      <c r="I634" s="51"/>
    </row>
    <row r="635" ht="15.75" customHeight="1">
      <c r="A635" s="65"/>
      <c r="B635" s="66"/>
      <c r="C635" s="67"/>
      <c r="D635" s="67"/>
      <c r="E635" s="51"/>
      <c r="F635" s="51"/>
      <c r="G635" s="51"/>
      <c r="H635" s="51"/>
      <c r="I635" s="51"/>
    </row>
    <row r="636" ht="15.75" customHeight="1">
      <c r="A636" s="65"/>
      <c r="B636" s="66"/>
      <c r="C636" s="67"/>
      <c r="D636" s="67"/>
      <c r="E636" s="51"/>
      <c r="F636" s="51"/>
      <c r="G636" s="51"/>
      <c r="H636" s="51"/>
      <c r="I636" s="51"/>
    </row>
    <row r="637" ht="15.75" customHeight="1">
      <c r="A637" s="65"/>
      <c r="B637" s="66"/>
      <c r="C637" s="67"/>
      <c r="D637" s="67"/>
      <c r="E637" s="51"/>
      <c r="F637" s="51"/>
      <c r="G637" s="51"/>
      <c r="H637" s="51"/>
      <c r="I637" s="51"/>
    </row>
    <row r="638" ht="15.75" customHeight="1">
      <c r="A638" s="65"/>
      <c r="B638" s="66"/>
      <c r="C638" s="67"/>
      <c r="D638" s="67"/>
      <c r="E638" s="51"/>
      <c r="F638" s="51"/>
      <c r="G638" s="51"/>
      <c r="H638" s="51"/>
      <c r="I638" s="51"/>
    </row>
    <row r="639" ht="15.75" customHeight="1">
      <c r="A639" s="65"/>
      <c r="B639" s="66"/>
      <c r="C639" s="67"/>
      <c r="D639" s="67"/>
      <c r="E639" s="51"/>
      <c r="F639" s="51"/>
      <c r="G639" s="51"/>
      <c r="H639" s="51"/>
      <c r="I639" s="51"/>
    </row>
    <row r="640" ht="15.75" customHeight="1">
      <c r="A640" s="65"/>
      <c r="B640" s="66"/>
      <c r="C640" s="67"/>
      <c r="D640" s="67"/>
      <c r="E640" s="51"/>
      <c r="F640" s="51"/>
      <c r="G640" s="51"/>
      <c r="H640" s="51"/>
      <c r="I640" s="51"/>
    </row>
    <row r="641" ht="15.75" customHeight="1">
      <c r="A641" s="65"/>
      <c r="B641" s="66"/>
      <c r="C641" s="67"/>
      <c r="D641" s="67"/>
      <c r="E641" s="51"/>
      <c r="F641" s="51"/>
      <c r="G641" s="51"/>
      <c r="H641" s="51"/>
      <c r="I641" s="51"/>
    </row>
    <row r="642" ht="15.75" customHeight="1">
      <c r="A642" s="65"/>
      <c r="B642" s="66"/>
      <c r="C642" s="67"/>
      <c r="D642" s="67"/>
      <c r="E642" s="51"/>
      <c r="F642" s="51"/>
      <c r="G642" s="51"/>
      <c r="H642" s="51"/>
      <c r="I642" s="51"/>
    </row>
    <row r="643" ht="15.75" customHeight="1">
      <c r="A643" s="65"/>
      <c r="B643" s="66"/>
      <c r="C643" s="67"/>
      <c r="D643" s="67"/>
      <c r="E643" s="51"/>
      <c r="F643" s="51"/>
      <c r="G643" s="51"/>
      <c r="H643" s="51"/>
      <c r="I643" s="51"/>
    </row>
    <row r="644" ht="15.75" customHeight="1">
      <c r="A644" s="65"/>
      <c r="B644" s="66"/>
      <c r="C644" s="67"/>
      <c r="D644" s="67"/>
      <c r="E644" s="51"/>
      <c r="F644" s="51"/>
      <c r="G644" s="51"/>
      <c r="H644" s="51"/>
      <c r="I644" s="51"/>
    </row>
    <row r="645" ht="15.75" customHeight="1">
      <c r="A645" s="65"/>
      <c r="B645" s="66"/>
      <c r="C645" s="67"/>
      <c r="D645" s="67"/>
      <c r="E645" s="51"/>
      <c r="F645" s="51"/>
      <c r="G645" s="51"/>
      <c r="H645" s="51"/>
      <c r="I645" s="51"/>
    </row>
    <row r="646" ht="15.75" customHeight="1">
      <c r="A646" s="65"/>
      <c r="B646" s="66"/>
      <c r="C646" s="67"/>
      <c r="D646" s="67"/>
      <c r="E646" s="51"/>
      <c r="F646" s="51"/>
      <c r="G646" s="51"/>
      <c r="H646" s="51"/>
      <c r="I646" s="51"/>
    </row>
    <row r="647" ht="15.75" customHeight="1">
      <c r="A647" s="65"/>
      <c r="B647" s="66"/>
      <c r="C647" s="67"/>
      <c r="D647" s="67"/>
      <c r="E647" s="51"/>
      <c r="F647" s="51"/>
      <c r="G647" s="51"/>
      <c r="H647" s="51"/>
      <c r="I647" s="51"/>
    </row>
    <row r="648" ht="15.75" customHeight="1">
      <c r="A648" s="65"/>
      <c r="B648" s="66"/>
      <c r="C648" s="67"/>
      <c r="D648" s="67"/>
      <c r="E648" s="51"/>
      <c r="F648" s="51"/>
      <c r="G648" s="51"/>
      <c r="H648" s="51"/>
      <c r="I648" s="51"/>
    </row>
    <row r="649" ht="15.75" customHeight="1">
      <c r="A649" s="65"/>
      <c r="B649" s="66"/>
      <c r="C649" s="67"/>
      <c r="D649" s="67"/>
      <c r="E649" s="51"/>
      <c r="F649" s="51"/>
      <c r="G649" s="51"/>
      <c r="H649" s="51"/>
      <c r="I649" s="51"/>
    </row>
    <row r="650" ht="15.75" customHeight="1">
      <c r="A650" s="65"/>
      <c r="B650" s="66"/>
      <c r="C650" s="67"/>
      <c r="D650" s="67"/>
      <c r="E650" s="51"/>
      <c r="F650" s="51"/>
      <c r="G650" s="51"/>
      <c r="H650" s="51"/>
      <c r="I650" s="51"/>
    </row>
    <row r="651" ht="15.75" customHeight="1">
      <c r="A651" s="65"/>
      <c r="B651" s="66"/>
      <c r="C651" s="67"/>
      <c r="D651" s="67"/>
      <c r="E651" s="51"/>
      <c r="F651" s="51"/>
      <c r="G651" s="51"/>
      <c r="H651" s="51"/>
      <c r="I651" s="51"/>
    </row>
    <row r="652" ht="15.75" customHeight="1">
      <c r="A652" s="65"/>
      <c r="B652" s="66"/>
      <c r="C652" s="67"/>
      <c r="D652" s="67"/>
      <c r="E652" s="51"/>
      <c r="F652" s="51"/>
      <c r="G652" s="51"/>
      <c r="H652" s="51"/>
      <c r="I652" s="51"/>
    </row>
    <row r="653" ht="15.75" customHeight="1">
      <c r="A653" s="65"/>
      <c r="B653" s="66"/>
      <c r="C653" s="67"/>
      <c r="D653" s="67"/>
      <c r="E653" s="51"/>
      <c r="F653" s="51"/>
      <c r="G653" s="51"/>
      <c r="H653" s="51"/>
      <c r="I653" s="51"/>
    </row>
    <row r="654" ht="15.75" customHeight="1">
      <c r="A654" s="65"/>
      <c r="B654" s="66"/>
      <c r="C654" s="67"/>
      <c r="D654" s="67"/>
      <c r="E654" s="51"/>
      <c r="F654" s="51"/>
      <c r="G654" s="51"/>
      <c r="H654" s="51"/>
      <c r="I654" s="51"/>
    </row>
    <row r="655" ht="15.75" customHeight="1">
      <c r="A655" s="65"/>
      <c r="B655" s="66"/>
      <c r="C655" s="67"/>
      <c r="D655" s="67"/>
      <c r="E655" s="51"/>
      <c r="F655" s="51"/>
      <c r="G655" s="51"/>
      <c r="H655" s="51"/>
      <c r="I655" s="51"/>
    </row>
    <row r="656" ht="15.75" customHeight="1">
      <c r="A656" s="65"/>
      <c r="B656" s="66"/>
      <c r="C656" s="67"/>
      <c r="D656" s="67"/>
      <c r="E656" s="51"/>
      <c r="F656" s="51"/>
      <c r="G656" s="51"/>
      <c r="H656" s="51"/>
      <c r="I656" s="51"/>
    </row>
    <row r="657" ht="15.75" customHeight="1">
      <c r="A657" s="65"/>
      <c r="B657" s="66"/>
      <c r="C657" s="67"/>
      <c r="D657" s="67"/>
      <c r="E657" s="51"/>
      <c r="F657" s="51"/>
      <c r="G657" s="51"/>
      <c r="H657" s="51"/>
      <c r="I657" s="51"/>
    </row>
    <row r="658" ht="15.75" customHeight="1">
      <c r="A658" s="65"/>
      <c r="B658" s="66"/>
      <c r="C658" s="67"/>
      <c r="D658" s="67"/>
      <c r="E658" s="51"/>
      <c r="F658" s="51"/>
      <c r="G658" s="51"/>
      <c r="H658" s="51"/>
      <c r="I658" s="51"/>
    </row>
    <row r="659" ht="15.75" customHeight="1">
      <c r="A659" s="65"/>
      <c r="B659" s="66"/>
      <c r="C659" s="67"/>
      <c r="D659" s="67"/>
      <c r="E659" s="51"/>
      <c r="F659" s="51"/>
      <c r="G659" s="51"/>
      <c r="H659" s="51"/>
      <c r="I659" s="51"/>
    </row>
    <row r="660" ht="15.75" customHeight="1">
      <c r="A660" s="65"/>
      <c r="B660" s="66"/>
      <c r="C660" s="67"/>
      <c r="D660" s="67"/>
      <c r="E660" s="51"/>
      <c r="F660" s="51"/>
      <c r="G660" s="51"/>
      <c r="H660" s="51"/>
      <c r="I660" s="51"/>
    </row>
    <row r="661" ht="15.75" customHeight="1">
      <c r="A661" s="65"/>
      <c r="B661" s="66"/>
      <c r="C661" s="67"/>
      <c r="D661" s="67"/>
      <c r="E661" s="51"/>
      <c r="F661" s="51"/>
      <c r="G661" s="51"/>
      <c r="H661" s="51"/>
      <c r="I661" s="51"/>
    </row>
    <row r="662" ht="15.75" customHeight="1">
      <c r="A662" s="65"/>
      <c r="B662" s="66"/>
      <c r="C662" s="67"/>
      <c r="D662" s="67"/>
      <c r="E662" s="51"/>
      <c r="F662" s="51"/>
      <c r="G662" s="51"/>
      <c r="H662" s="51"/>
      <c r="I662" s="51"/>
    </row>
    <row r="663" ht="15.75" customHeight="1">
      <c r="A663" s="65"/>
      <c r="B663" s="66"/>
      <c r="C663" s="67"/>
      <c r="D663" s="67"/>
      <c r="E663" s="51"/>
      <c r="F663" s="51"/>
      <c r="G663" s="51"/>
      <c r="H663" s="51"/>
      <c r="I663" s="51"/>
    </row>
    <row r="664" ht="15.75" customHeight="1">
      <c r="A664" s="65"/>
      <c r="B664" s="66"/>
      <c r="C664" s="67"/>
      <c r="D664" s="67"/>
      <c r="E664" s="51"/>
      <c r="F664" s="51"/>
      <c r="G664" s="51"/>
      <c r="H664" s="51"/>
      <c r="I664" s="51"/>
    </row>
    <row r="665" ht="15.75" customHeight="1">
      <c r="A665" s="65"/>
      <c r="B665" s="66"/>
      <c r="C665" s="67"/>
      <c r="D665" s="67"/>
      <c r="E665" s="51"/>
      <c r="F665" s="51"/>
      <c r="G665" s="51"/>
      <c r="H665" s="51"/>
      <c r="I665" s="51"/>
    </row>
    <row r="666" ht="15.75" customHeight="1">
      <c r="A666" s="65"/>
      <c r="B666" s="66"/>
      <c r="C666" s="67"/>
      <c r="D666" s="67"/>
      <c r="E666" s="51"/>
      <c r="F666" s="51"/>
      <c r="G666" s="51"/>
      <c r="H666" s="51"/>
      <c r="I666" s="51"/>
    </row>
    <row r="667" ht="15.75" customHeight="1">
      <c r="A667" s="65"/>
      <c r="B667" s="66"/>
      <c r="C667" s="67"/>
      <c r="D667" s="67"/>
      <c r="E667" s="51"/>
      <c r="F667" s="51"/>
      <c r="G667" s="51"/>
      <c r="H667" s="51"/>
      <c r="I667" s="51"/>
    </row>
    <row r="668" ht="15.75" customHeight="1">
      <c r="A668" s="65"/>
      <c r="B668" s="66"/>
      <c r="C668" s="67"/>
      <c r="D668" s="67"/>
      <c r="E668" s="51"/>
      <c r="F668" s="51"/>
      <c r="G668" s="51"/>
      <c r="H668" s="51"/>
      <c r="I668" s="51"/>
    </row>
    <row r="669" ht="15.75" customHeight="1">
      <c r="A669" s="65"/>
      <c r="B669" s="66"/>
      <c r="C669" s="67"/>
      <c r="D669" s="67"/>
      <c r="E669" s="51"/>
      <c r="F669" s="51"/>
      <c r="G669" s="51"/>
      <c r="H669" s="51"/>
      <c r="I669" s="51"/>
    </row>
    <row r="670" ht="15.75" customHeight="1">
      <c r="A670" s="65"/>
      <c r="B670" s="66"/>
      <c r="C670" s="67"/>
      <c r="D670" s="67"/>
      <c r="E670" s="51"/>
      <c r="F670" s="51"/>
      <c r="G670" s="51"/>
      <c r="H670" s="51"/>
      <c r="I670" s="51"/>
    </row>
    <row r="671" ht="15.75" customHeight="1">
      <c r="A671" s="65"/>
      <c r="B671" s="66"/>
      <c r="C671" s="67"/>
      <c r="D671" s="67"/>
      <c r="E671" s="51"/>
      <c r="F671" s="51"/>
      <c r="G671" s="51"/>
      <c r="H671" s="51"/>
      <c r="I671" s="51"/>
    </row>
    <row r="672" ht="15.75" customHeight="1">
      <c r="A672" s="65"/>
      <c r="B672" s="66"/>
      <c r="C672" s="67"/>
      <c r="D672" s="67"/>
      <c r="E672" s="51"/>
      <c r="F672" s="51"/>
      <c r="G672" s="51"/>
      <c r="H672" s="51"/>
      <c r="I672" s="51"/>
    </row>
    <row r="673" ht="15.75" customHeight="1">
      <c r="A673" s="65"/>
      <c r="B673" s="66"/>
      <c r="C673" s="67"/>
      <c r="D673" s="67"/>
      <c r="E673" s="51"/>
      <c r="F673" s="51"/>
      <c r="G673" s="51"/>
      <c r="H673" s="51"/>
      <c r="I673" s="51"/>
    </row>
    <row r="674" ht="15.75" customHeight="1">
      <c r="A674" s="65"/>
      <c r="B674" s="66"/>
      <c r="C674" s="67"/>
      <c r="D674" s="67"/>
      <c r="E674" s="51"/>
      <c r="F674" s="51"/>
      <c r="G674" s="51"/>
      <c r="H674" s="51"/>
      <c r="I674" s="51"/>
    </row>
    <row r="675" ht="15.75" customHeight="1">
      <c r="A675" s="65"/>
      <c r="B675" s="66"/>
      <c r="C675" s="67"/>
      <c r="D675" s="67"/>
      <c r="E675" s="51"/>
      <c r="F675" s="51"/>
      <c r="G675" s="51"/>
      <c r="H675" s="51"/>
      <c r="I675" s="51"/>
    </row>
    <row r="676" ht="15.75" customHeight="1">
      <c r="A676" s="65"/>
      <c r="B676" s="66"/>
      <c r="C676" s="67"/>
      <c r="D676" s="67"/>
      <c r="E676" s="51"/>
      <c r="F676" s="51"/>
      <c r="G676" s="51"/>
      <c r="H676" s="51"/>
      <c r="I676" s="51"/>
    </row>
    <row r="677" ht="15.75" customHeight="1">
      <c r="A677" s="65"/>
      <c r="B677" s="66"/>
      <c r="C677" s="67"/>
      <c r="D677" s="67"/>
      <c r="E677" s="51"/>
      <c r="F677" s="51"/>
      <c r="G677" s="51"/>
      <c r="H677" s="51"/>
      <c r="I677" s="51"/>
    </row>
    <row r="678" ht="15.75" customHeight="1">
      <c r="A678" s="65"/>
      <c r="B678" s="66"/>
      <c r="C678" s="67"/>
      <c r="D678" s="67"/>
      <c r="E678" s="51"/>
      <c r="F678" s="51"/>
      <c r="G678" s="51"/>
      <c r="H678" s="51"/>
      <c r="I678" s="51"/>
    </row>
    <row r="679" ht="15.75" customHeight="1">
      <c r="A679" s="65"/>
      <c r="B679" s="66"/>
      <c r="C679" s="67"/>
      <c r="D679" s="67"/>
      <c r="E679" s="51"/>
      <c r="F679" s="51"/>
      <c r="G679" s="51"/>
      <c r="H679" s="51"/>
      <c r="I679" s="51"/>
    </row>
    <row r="680" ht="15.75" customHeight="1">
      <c r="A680" s="65"/>
      <c r="B680" s="66"/>
      <c r="C680" s="67"/>
      <c r="D680" s="67"/>
      <c r="E680" s="51"/>
      <c r="F680" s="51"/>
      <c r="G680" s="51"/>
      <c r="H680" s="51"/>
      <c r="I680" s="51"/>
    </row>
    <row r="681" ht="15.75" customHeight="1">
      <c r="A681" s="65"/>
      <c r="B681" s="66"/>
      <c r="C681" s="67"/>
      <c r="D681" s="67"/>
      <c r="E681" s="51"/>
      <c r="F681" s="51"/>
      <c r="G681" s="51"/>
      <c r="H681" s="51"/>
      <c r="I681" s="51"/>
    </row>
    <row r="682" ht="15.75" customHeight="1">
      <c r="A682" s="65"/>
      <c r="B682" s="66"/>
      <c r="C682" s="67"/>
      <c r="D682" s="67"/>
      <c r="E682" s="51"/>
      <c r="F682" s="51"/>
      <c r="G682" s="51"/>
      <c r="H682" s="51"/>
      <c r="I682" s="51"/>
    </row>
    <row r="683" ht="15.75" customHeight="1">
      <c r="A683" s="65"/>
      <c r="B683" s="66"/>
      <c r="C683" s="67"/>
      <c r="D683" s="67"/>
      <c r="E683" s="51"/>
      <c r="F683" s="51"/>
      <c r="G683" s="51"/>
      <c r="H683" s="51"/>
      <c r="I683" s="51"/>
    </row>
    <row r="684" ht="15.75" customHeight="1">
      <c r="A684" s="65"/>
      <c r="B684" s="66"/>
      <c r="C684" s="67"/>
      <c r="D684" s="67"/>
      <c r="E684" s="51"/>
      <c r="F684" s="51"/>
      <c r="G684" s="51"/>
      <c r="H684" s="51"/>
      <c r="I684" s="51"/>
    </row>
    <row r="685" ht="15.75" customHeight="1">
      <c r="A685" s="65"/>
      <c r="B685" s="66"/>
      <c r="C685" s="67"/>
      <c r="D685" s="67"/>
      <c r="E685" s="51"/>
      <c r="F685" s="51"/>
      <c r="G685" s="51"/>
      <c r="H685" s="51"/>
      <c r="I685" s="51"/>
    </row>
    <row r="686" ht="15.75" customHeight="1">
      <c r="A686" s="65"/>
      <c r="B686" s="66"/>
      <c r="C686" s="67"/>
      <c r="D686" s="67"/>
      <c r="E686" s="51"/>
      <c r="F686" s="51"/>
      <c r="G686" s="51"/>
      <c r="H686" s="51"/>
      <c r="I686" s="51"/>
    </row>
    <row r="687" ht="15.75" customHeight="1">
      <c r="A687" s="65"/>
      <c r="B687" s="66"/>
      <c r="C687" s="67"/>
      <c r="D687" s="67"/>
      <c r="E687" s="51"/>
      <c r="F687" s="51"/>
      <c r="G687" s="51"/>
      <c r="H687" s="51"/>
      <c r="I687" s="51"/>
    </row>
    <row r="688" ht="15.75" customHeight="1">
      <c r="A688" s="65"/>
      <c r="B688" s="66"/>
      <c r="C688" s="67"/>
      <c r="D688" s="67"/>
      <c r="E688" s="51"/>
      <c r="F688" s="51"/>
      <c r="G688" s="51"/>
      <c r="H688" s="51"/>
      <c r="I688" s="51"/>
    </row>
    <row r="689" ht="15.75" customHeight="1">
      <c r="A689" s="65"/>
      <c r="B689" s="66"/>
      <c r="C689" s="67"/>
      <c r="D689" s="67"/>
      <c r="E689" s="51"/>
      <c r="F689" s="51"/>
      <c r="G689" s="51"/>
      <c r="H689" s="51"/>
      <c r="I689" s="51"/>
    </row>
    <row r="690" ht="15.75" customHeight="1">
      <c r="A690" s="65"/>
      <c r="B690" s="66"/>
      <c r="C690" s="67"/>
      <c r="D690" s="67"/>
      <c r="E690" s="51"/>
      <c r="F690" s="51"/>
      <c r="G690" s="51"/>
      <c r="H690" s="51"/>
      <c r="I690" s="51"/>
    </row>
    <row r="691" ht="15.75" customHeight="1">
      <c r="A691" s="65"/>
      <c r="B691" s="66"/>
      <c r="C691" s="67"/>
      <c r="D691" s="67"/>
      <c r="E691" s="51"/>
      <c r="F691" s="51"/>
      <c r="G691" s="51"/>
      <c r="H691" s="51"/>
      <c r="I691" s="51"/>
    </row>
    <row r="692" ht="15.75" customHeight="1">
      <c r="A692" s="65"/>
      <c r="B692" s="66"/>
      <c r="C692" s="67"/>
      <c r="D692" s="67"/>
      <c r="E692" s="51"/>
      <c r="F692" s="51"/>
      <c r="G692" s="51"/>
      <c r="H692" s="51"/>
      <c r="I692" s="51"/>
    </row>
    <row r="693" ht="15.75" customHeight="1">
      <c r="A693" s="65"/>
      <c r="B693" s="66"/>
      <c r="C693" s="67"/>
      <c r="D693" s="67"/>
      <c r="E693" s="51"/>
      <c r="F693" s="51"/>
      <c r="G693" s="51"/>
      <c r="H693" s="51"/>
      <c r="I693" s="51"/>
    </row>
    <row r="694" ht="15.75" customHeight="1">
      <c r="A694" s="65"/>
      <c r="B694" s="66"/>
      <c r="C694" s="67"/>
      <c r="D694" s="67"/>
      <c r="E694" s="51"/>
      <c r="F694" s="51"/>
      <c r="G694" s="51"/>
      <c r="H694" s="51"/>
      <c r="I694" s="51"/>
    </row>
    <row r="695" ht="15.75" customHeight="1">
      <c r="A695" s="65"/>
      <c r="B695" s="66"/>
      <c r="C695" s="67"/>
      <c r="D695" s="67"/>
      <c r="E695" s="51"/>
      <c r="F695" s="51"/>
      <c r="G695" s="51"/>
      <c r="H695" s="51"/>
      <c r="I695" s="51"/>
    </row>
    <row r="696" ht="15.75" customHeight="1">
      <c r="A696" s="65"/>
      <c r="B696" s="66"/>
      <c r="C696" s="67"/>
      <c r="D696" s="67"/>
      <c r="E696" s="51"/>
      <c r="F696" s="51"/>
      <c r="G696" s="51"/>
      <c r="H696" s="51"/>
      <c r="I696" s="51"/>
    </row>
    <row r="697" ht="15.75" customHeight="1">
      <c r="A697" s="65"/>
      <c r="B697" s="66"/>
      <c r="C697" s="67"/>
      <c r="D697" s="67"/>
      <c r="E697" s="51"/>
      <c r="F697" s="51"/>
      <c r="G697" s="51"/>
      <c r="H697" s="51"/>
      <c r="I697" s="51"/>
    </row>
    <row r="698" ht="15.75" customHeight="1">
      <c r="A698" s="65"/>
      <c r="B698" s="66"/>
      <c r="C698" s="67"/>
      <c r="D698" s="67"/>
      <c r="E698" s="51"/>
      <c r="F698" s="51"/>
      <c r="G698" s="51"/>
      <c r="H698" s="51"/>
      <c r="I698" s="51"/>
    </row>
    <row r="699" ht="15.75" customHeight="1">
      <c r="A699" s="65"/>
      <c r="B699" s="66"/>
      <c r="C699" s="67"/>
      <c r="D699" s="67"/>
      <c r="E699" s="51"/>
      <c r="F699" s="51"/>
      <c r="G699" s="51"/>
      <c r="H699" s="51"/>
      <c r="I699" s="51"/>
    </row>
    <row r="700" ht="15.75" customHeight="1">
      <c r="A700" s="65"/>
      <c r="B700" s="66"/>
      <c r="C700" s="67"/>
      <c r="D700" s="67"/>
      <c r="E700" s="51"/>
      <c r="F700" s="51"/>
      <c r="G700" s="51"/>
      <c r="H700" s="51"/>
      <c r="I700" s="51"/>
    </row>
    <row r="701" ht="15.75" customHeight="1">
      <c r="A701" s="65"/>
      <c r="B701" s="66"/>
      <c r="C701" s="67"/>
      <c r="D701" s="67"/>
      <c r="E701" s="51"/>
      <c r="F701" s="51"/>
      <c r="G701" s="51"/>
      <c r="H701" s="51"/>
      <c r="I701" s="51"/>
    </row>
    <row r="702" ht="15.75" customHeight="1">
      <c r="A702" s="65"/>
      <c r="B702" s="66"/>
      <c r="C702" s="67"/>
      <c r="D702" s="67"/>
      <c r="E702" s="51"/>
      <c r="F702" s="51"/>
      <c r="G702" s="51"/>
      <c r="H702" s="51"/>
      <c r="I702" s="51"/>
    </row>
    <row r="703" ht="15.75" customHeight="1">
      <c r="A703" s="65"/>
      <c r="B703" s="66"/>
      <c r="C703" s="67"/>
      <c r="D703" s="67"/>
      <c r="E703" s="51"/>
      <c r="F703" s="51"/>
      <c r="G703" s="51"/>
      <c r="H703" s="51"/>
      <c r="I703" s="51"/>
    </row>
    <row r="704" ht="15.75" customHeight="1">
      <c r="A704" s="65"/>
      <c r="B704" s="66"/>
      <c r="C704" s="67"/>
      <c r="D704" s="67"/>
      <c r="E704" s="51"/>
      <c r="F704" s="51"/>
      <c r="G704" s="51"/>
      <c r="H704" s="51"/>
      <c r="I704" s="51"/>
    </row>
    <row r="705" ht="15.75" customHeight="1">
      <c r="A705" s="65"/>
      <c r="B705" s="66"/>
      <c r="C705" s="67"/>
      <c r="D705" s="67"/>
      <c r="E705" s="51"/>
      <c r="F705" s="51"/>
      <c r="G705" s="51"/>
      <c r="H705" s="51"/>
      <c r="I705" s="51"/>
    </row>
    <row r="706" ht="15.75" customHeight="1">
      <c r="A706" s="65"/>
      <c r="B706" s="66"/>
      <c r="C706" s="67"/>
      <c r="D706" s="67"/>
      <c r="E706" s="51"/>
      <c r="F706" s="51"/>
      <c r="G706" s="51"/>
      <c r="H706" s="51"/>
      <c r="I706" s="51"/>
    </row>
    <row r="707" ht="15.75" customHeight="1">
      <c r="A707" s="65"/>
      <c r="B707" s="66"/>
      <c r="C707" s="67"/>
      <c r="D707" s="67"/>
      <c r="E707" s="51"/>
      <c r="F707" s="51"/>
      <c r="G707" s="51"/>
      <c r="H707" s="51"/>
      <c r="I707" s="51"/>
    </row>
    <row r="708" ht="15.75" customHeight="1">
      <c r="A708" s="65"/>
      <c r="B708" s="66"/>
      <c r="C708" s="67"/>
      <c r="D708" s="67"/>
      <c r="E708" s="51"/>
      <c r="F708" s="51"/>
      <c r="G708" s="51"/>
      <c r="H708" s="51"/>
      <c r="I708" s="51"/>
    </row>
    <row r="709" ht="15.75" customHeight="1">
      <c r="A709" s="65"/>
      <c r="B709" s="66"/>
      <c r="C709" s="67"/>
      <c r="D709" s="67"/>
      <c r="E709" s="51"/>
      <c r="F709" s="51"/>
      <c r="G709" s="51"/>
      <c r="H709" s="51"/>
      <c r="I709" s="51"/>
    </row>
    <row r="710" ht="15.75" customHeight="1">
      <c r="A710" s="65"/>
      <c r="B710" s="66"/>
      <c r="C710" s="67"/>
      <c r="D710" s="67"/>
      <c r="E710" s="51"/>
      <c r="F710" s="51"/>
      <c r="G710" s="51"/>
      <c r="H710" s="51"/>
      <c r="I710" s="51"/>
    </row>
    <row r="711" ht="15.75" customHeight="1">
      <c r="A711" s="65"/>
      <c r="B711" s="66"/>
      <c r="C711" s="67"/>
      <c r="D711" s="67"/>
      <c r="E711" s="51"/>
      <c r="F711" s="51"/>
      <c r="G711" s="51"/>
      <c r="H711" s="51"/>
      <c r="I711" s="51"/>
    </row>
    <row r="712" ht="15.75" customHeight="1">
      <c r="A712" s="65"/>
      <c r="B712" s="66"/>
      <c r="C712" s="67"/>
      <c r="D712" s="67"/>
      <c r="E712" s="51"/>
      <c r="F712" s="51"/>
      <c r="G712" s="51"/>
      <c r="H712" s="51"/>
      <c r="I712" s="51"/>
    </row>
    <row r="713" ht="15.75" customHeight="1">
      <c r="A713" s="65"/>
      <c r="B713" s="66"/>
      <c r="C713" s="67"/>
      <c r="D713" s="67"/>
      <c r="E713" s="51"/>
      <c r="F713" s="51"/>
      <c r="G713" s="51"/>
      <c r="H713" s="51"/>
      <c r="I713" s="51"/>
    </row>
    <row r="714" ht="15.75" customHeight="1">
      <c r="A714" s="65"/>
      <c r="B714" s="66"/>
      <c r="C714" s="67"/>
      <c r="D714" s="67"/>
      <c r="E714" s="51"/>
      <c r="F714" s="51"/>
      <c r="G714" s="51"/>
      <c r="H714" s="51"/>
      <c r="I714" s="51"/>
    </row>
    <row r="715" ht="15.75" customHeight="1">
      <c r="A715" s="65"/>
      <c r="B715" s="66"/>
      <c r="C715" s="67"/>
      <c r="D715" s="67"/>
      <c r="E715" s="51"/>
      <c r="F715" s="51"/>
      <c r="G715" s="51"/>
      <c r="H715" s="51"/>
      <c r="I715" s="51"/>
    </row>
    <row r="716" ht="15.75" customHeight="1">
      <c r="A716" s="65"/>
      <c r="B716" s="66"/>
      <c r="C716" s="67"/>
      <c r="D716" s="67"/>
      <c r="E716" s="51"/>
      <c r="F716" s="51"/>
      <c r="G716" s="51"/>
      <c r="H716" s="51"/>
      <c r="I716" s="51"/>
    </row>
    <row r="717" ht="15.75" customHeight="1">
      <c r="A717" s="65"/>
      <c r="B717" s="66"/>
      <c r="C717" s="67"/>
      <c r="D717" s="67"/>
      <c r="E717" s="51"/>
      <c r="F717" s="51"/>
      <c r="G717" s="51"/>
      <c r="H717" s="51"/>
      <c r="I717" s="51"/>
    </row>
    <row r="718" ht="15.75" customHeight="1">
      <c r="A718" s="65"/>
      <c r="B718" s="66"/>
      <c r="C718" s="67"/>
      <c r="D718" s="67"/>
      <c r="E718" s="51"/>
      <c r="F718" s="51"/>
      <c r="G718" s="51"/>
      <c r="H718" s="51"/>
      <c r="I718" s="51"/>
    </row>
    <row r="719" ht="15.75" customHeight="1">
      <c r="A719" s="65"/>
      <c r="B719" s="66"/>
      <c r="C719" s="67"/>
      <c r="D719" s="67"/>
      <c r="E719" s="51"/>
      <c r="F719" s="51"/>
      <c r="G719" s="51"/>
      <c r="H719" s="51"/>
      <c r="I719" s="51"/>
    </row>
    <row r="720" ht="15.75" customHeight="1">
      <c r="A720" s="65"/>
      <c r="B720" s="66"/>
      <c r="C720" s="67"/>
      <c r="D720" s="67"/>
      <c r="E720" s="51"/>
      <c r="F720" s="51"/>
      <c r="G720" s="51"/>
      <c r="H720" s="51"/>
      <c r="I720" s="51"/>
    </row>
    <row r="721" ht="15.75" customHeight="1">
      <c r="A721" s="65"/>
      <c r="B721" s="66"/>
      <c r="C721" s="67"/>
      <c r="D721" s="67"/>
      <c r="E721" s="51"/>
      <c r="F721" s="51"/>
      <c r="G721" s="51"/>
      <c r="H721" s="51"/>
      <c r="I721" s="51"/>
    </row>
    <row r="722" ht="15.75" customHeight="1">
      <c r="A722" s="65"/>
      <c r="B722" s="66"/>
      <c r="C722" s="67"/>
      <c r="D722" s="67"/>
      <c r="E722" s="51"/>
      <c r="F722" s="51"/>
      <c r="G722" s="51"/>
      <c r="H722" s="51"/>
      <c r="I722" s="51"/>
    </row>
    <row r="723" ht="15.75" customHeight="1">
      <c r="A723" s="65"/>
      <c r="B723" s="66"/>
      <c r="C723" s="67"/>
      <c r="D723" s="67"/>
      <c r="E723" s="51"/>
      <c r="F723" s="51"/>
      <c r="G723" s="51"/>
      <c r="H723" s="51"/>
      <c r="I723" s="51"/>
    </row>
    <row r="724" ht="15.75" customHeight="1">
      <c r="A724" s="65"/>
      <c r="B724" s="66"/>
      <c r="C724" s="67"/>
      <c r="D724" s="67"/>
      <c r="E724" s="51"/>
      <c r="F724" s="51"/>
      <c r="G724" s="51"/>
      <c r="H724" s="51"/>
      <c r="I724" s="51"/>
    </row>
    <row r="725" ht="15.75" customHeight="1">
      <c r="A725" s="65"/>
      <c r="B725" s="66"/>
      <c r="C725" s="67"/>
      <c r="D725" s="67"/>
      <c r="E725" s="51"/>
      <c r="F725" s="51"/>
      <c r="G725" s="51"/>
      <c r="H725" s="51"/>
      <c r="I725" s="51"/>
    </row>
    <row r="726" ht="15.75" customHeight="1">
      <c r="A726" s="65"/>
      <c r="B726" s="66"/>
      <c r="C726" s="67"/>
      <c r="D726" s="67"/>
      <c r="E726" s="51"/>
      <c r="F726" s="51"/>
      <c r="G726" s="51"/>
      <c r="H726" s="51"/>
      <c r="I726" s="51"/>
    </row>
    <row r="727" ht="15.75" customHeight="1">
      <c r="A727" s="65"/>
      <c r="B727" s="66"/>
      <c r="C727" s="67"/>
      <c r="D727" s="67"/>
      <c r="E727" s="51"/>
      <c r="F727" s="51"/>
      <c r="G727" s="51"/>
      <c r="H727" s="51"/>
      <c r="I727" s="51"/>
    </row>
    <row r="728" ht="15.75" customHeight="1">
      <c r="A728" s="65"/>
      <c r="B728" s="66"/>
      <c r="C728" s="67"/>
      <c r="D728" s="67"/>
      <c r="E728" s="51"/>
      <c r="F728" s="51"/>
      <c r="G728" s="51"/>
      <c r="H728" s="51"/>
      <c r="I728" s="51"/>
    </row>
    <row r="729" ht="15.75" customHeight="1">
      <c r="A729" s="65"/>
      <c r="B729" s="66"/>
      <c r="C729" s="67"/>
      <c r="D729" s="67"/>
      <c r="E729" s="51"/>
      <c r="F729" s="51"/>
      <c r="G729" s="51"/>
      <c r="H729" s="51"/>
      <c r="I729" s="51"/>
    </row>
    <row r="730" ht="15.75" customHeight="1">
      <c r="A730" s="65"/>
      <c r="B730" s="66"/>
      <c r="C730" s="67"/>
      <c r="D730" s="67"/>
      <c r="E730" s="51"/>
      <c r="F730" s="51"/>
      <c r="G730" s="51"/>
      <c r="H730" s="51"/>
      <c r="I730" s="51"/>
    </row>
    <row r="731" ht="15.75" customHeight="1">
      <c r="A731" s="65"/>
      <c r="B731" s="66"/>
      <c r="C731" s="67"/>
      <c r="D731" s="67"/>
      <c r="E731" s="51"/>
      <c r="F731" s="51"/>
      <c r="G731" s="51"/>
      <c r="H731" s="51"/>
      <c r="I731" s="51"/>
    </row>
    <row r="732" ht="15.75" customHeight="1">
      <c r="A732" s="65"/>
      <c r="B732" s="66"/>
      <c r="C732" s="67"/>
      <c r="D732" s="67"/>
      <c r="E732" s="51"/>
      <c r="F732" s="51"/>
      <c r="G732" s="51"/>
      <c r="H732" s="51"/>
      <c r="I732" s="51"/>
    </row>
    <row r="733" ht="15.75" customHeight="1">
      <c r="A733" s="65"/>
      <c r="B733" s="66"/>
      <c r="C733" s="67"/>
      <c r="D733" s="67"/>
      <c r="E733" s="51"/>
      <c r="F733" s="51"/>
      <c r="G733" s="51"/>
      <c r="H733" s="51"/>
      <c r="I733" s="51"/>
    </row>
    <row r="734" ht="15.75" customHeight="1">
      <c r="A734" s="65"/>
      <c r="B734" s="66"/>
      <c r="C734" s="67"/>
      <c r="D734" s="67"/>
      <c r="E734" s="51"/>
      <c r="F734" s="51"/>
      <c r="G734" s="51"/>
      <c r="H734" s="51"/>
      <c r="I734" s="51"/>
    </row>
    <row r="735" ht="15.75" customHeight="1">
      <c r="A735" s="65"/>
      <c r="B735" s="66"/>
      <c r="C735" s="67"/>
      <c r="D735" s="67"/>
      <c r="E735" s="51"/>
      <c r="F735" s="51"/>
      <c r="G735" s="51"/>
      <c r="H735" s="51"/>
      <c r="I735" s="51"/>
    </row>
    <row r="736" ht="15.75" customHeight="1">
      <c r="A736" s="65"/>
      <c r="B736" s="66"/>
      <c r="C736" s="67"/>
      <c r="D736" s="67"/>
      <c r="E736" s="51"/>
      <c r="F736" s="51"/>
      <c r="G736" s="51"/>
      <c r="H736" s="51"/>
      <c r="I736" s="51"/>
    </row>
    <row r="737" ht="15.75" customHeight="1">
      <c r="A737" s="65"/>
      <c r="B737" s="66"/>
      <c r="C737" s="67"/>
      <c r="D737" s="67"/>
      <c r="E737" s="51"/>
      <c r="F737" s="51"/>
      <c r="G737" s="51"/>
      <c r="H737" s="51"/>
      <c r="I737" s="51"/>
    </row>
    <row r="738" ht="15.75" customHeight="1">
      <c r="A738" s="65"/>
      <c r="B738" s="66"/>
      <c r="C738" s="67"/>
      <c r="D738" s="67"/>
      <c r="E738" s="51"/>
      <c r="F738" s="51"/>
      <c r="G738" s="51"/>
      <c r="H738" s="51"/>
      <c r="I738" s="51"/>
    </row>
    <row r="739" ht="15.75" customHeight="1">
      <c r="A739" s="65"/>
      <c r="B739" s="66"/>
      <c r="C739" s="67"/>
      <c r="D739" s="67"/>
      <c r="E739" s="51"/>
      <c r="F739" s="51"/>
      <c r="G739" s="51"/>
      <c r="H739" s="51"/>
      <c r="I739" s="51"/>
    </row>
    <row r="740" ht="15.75" customHeight="1">
      <c r="A740" s="65"/>
      <c r="B740" s="66"/>
      <c r="C740" s="67"/>
      <c r="D740" s="67"/>
      <c r="E740" s="51"/>
      <c r="F740" s="51"/>
      <c r="G740" s="51"/>
      <c r="H740" s="51"/>
      <c r="I740" s="51"/>
    </row>
    <row r="741" ht="15.75" customHeight="1">
      <c r="A741" s="65"/>
      <c r="B741" s="66"/>
      <c r="C741" s="67"/>
      <c r="D741" s="67"/>
      <c r="E741" s="51"/>
      <c r="F741" s="51"/>
      <c r="G741" s="51"/>
      <c r="H741" s="51"/>
      <c r="I741" s="51"/>
    </row>
    <row r="742" ht="15.75" customHeight="1">
      <c r="A742" s="65"/>
      <c r="B742" s="66"/>
      <c r="C742" s="67"/>
      <c r="D742" s="67"/>
      <c r="E742" s="51"/>
      <c r="F742" s="51"/>
      <c r="G742" s="51"/>
      <c r="H742" s="51"/>
      <c r="I742" s="51"/>
    </row>
    <row r="743" ht="15.75" customHeight="1">
      <c r="A743" s="65"/>
      <c r="B743" s="66"/>
      <c r="C743" s="67"/>
      <c r="D743" s="67"/>
      <c r="E743" s="51"/>
      <c r="F743" s="51"/>
      <c r="G743" s="51"/>
      <c r="H743" s="51"/>
      <c r="I743" s="51"/>
    </row>
    <row r="744" ht="15.75" customHeight="1">
      <c r="A744" s="65"/>
      <c r="B744" s="66"/>
      <c r="C744" s="67"/>
      <c r="D744" s="67"/>
      <c r="E744" s="51"/>
      <c r="F744" s="51"/>
      <c r="G744" s="51"/>
      <c r="H744" s="51"/>
      <c r="I744" s="51"/>
    </row>
    <row r="745" ht="15.75" customHeight="1">
      <c r="A745" s="65"/>
      <c r="B745" s="66"/>
      <c r="C745" s="67"/>
      <c r="D745" s="67"/>
      <c r="E745" s="51"/>
      <c r="F745" s="51"/>
      <c r="G745" s="51"/>
      <c r="H745" s="51"/>
      <c r="I745" s="51"/>
    </row>
    <row r="746" ht="15.75" customHeight="1">
      <c r="A746" s="65"/>
      <c r="B746" s="66"/>
      <c r="C746" s="67"/>
      <c r="D746" s="67"/>
      <c r="E746" s="51"/>
      <c r="F746" s="51"/>
      <c r="G746" s="51"/>
      <c r="H746" s="51"/>
      <c r="I746" s="51"/>
    </row>
    <row r="747" ht="15.75" customHeight="1">
      <c r="A747" s="65"/>
      <c r="B747" s="66"/>
      <c r="C747" s="67"/>
      <c r="D747" s="67"/>
      <c r="E747" s="51"/>
      <c r="F747" s="51"/>
      <c r="G747" s="51"/>
      <c r="H747" s="51"/>
      <c r="I747" s="51"/>
    </row>
    <row r="748" ht="15.75" customHeight="1">
      <c r="A748" s="65"/>
      <c r="B748" s="66"/>
      <c r="C748" s="67"/>
      <c r="D748" s="67"/>
      <c r="E748" s="51"/>
      <c r="F748" s="51"/>
      <c r="G748" s="51"/>
      <c r="H748" s="51"/>
      <c r="I748" s="51"/>
    </row>
    <row r="749" ht="15.75" customHeight="1">
      <c r="A749" s="65"/>
      <c r="B749" s="66"/>
      <c r="C749" s="67"/>
      <c r="D749" s="67"/>
      <c r="E749" s="51"/>
      <c r="F749" s="51"/>
      <c r="G749" s="51"/>
      <c r="H749" s="51"/>
      <c r="I749" s="51"/>
    </row>
    <row r="750" ht="15.75" customHeight="1">
      <c r="A750" s="65"/>
      <c r="B750" s="66"/>
      <c r="C750" s="67"/>
      <c r="D750" s="67"/>
      <c r="E750" s="51"/>
      <c r="F750" s="51"/>
      <c r="G750" s="51"/>
      <c r="H750" s="51"/>
      <c r="I750" s="51"/>
    </row>
    <row r="751" ht="15.75" customHeight="1">
      <c r="A751" s="65"/>
      <c r="B751" s="66"/>
      <c r="C751" s="67"/>
      <c r="D751" s="67"/>
      <c r="E751" s="51"/>
      <c r="F751" s="51"/>
      <c r="G751" s="51"/>
      <c r="H751" s="51"/>
      <c r="I751" s="51"/>
    </row>
    <row r="752" ht="15.75" customHeight="1">
      <c r="A752" s="65"/>
      <c r="B752" s="66"/>
      <c r="C752" s="67"/>
      <c r="D752" s="67"/>
      <c r="E752" s="51"/>
      <c r="F752" s="51"/>
      <c r="G752" s="51"/>
      <c r="H752" s="51"/>
      <c r="I752" s="51"/>
    </row>
    <row r="753" ht="15.75" customHeight="1">
      <c r="A753" s="65"/>
      <c r="B753" s="66"/>
      <c r="C753" s="67"/>
      <c r="D753" s="67"/>
      <c r="E753" s="51"/>
      <c r="F753" s="51"/>
      <c r="G753" s="51"/>
      <c r="H753" s="51"/>
      <c r="I753" s="51"/>
    </row>
    <row r="754" ht="15.75" customHeight="1">
      <c r="A754" s="65"/>
      <c r="B754" s="66"/>
      <c r="C754" s="67"/>
      <c r="D754" s="67"/>
      <c r="E754" s="51"/>
      <c r="F754" s="51"/>
      <c r="G754" s="51"/>
      <c r="H754" s="51"/>
      <c r="I754" s="51"/>
    </row>
    <row r="755" ht="15.75" customHeight="1">
      <c r="A755" s="65"/>
      <c r="B755" s="66"/>
      <c r="C755" s="67"/>
      <c r="D755" s="67"/>
      <c r="E755" s="51"/>
      <c r="F755" s="51"/>
      <c r="G755" s="51"/>
      <c r="H755" s="51"/>
      <c r="I755" s="51"/>
    </row>
    <row r="756" ht="15.75" customHeight="1">
      <c r="A756" s="65"/>
      <c r="B756" s="66"/>
      <c r="C756" s="67"/>
      <c r="D756" s="67"/>
      <c r="E756" s="51"/>
      <c r="F756" s="51"/>
      <c r="G756" s="51"/>
      <c r="H756" s="51"/>
      <c r="I756" s="51"/>
    </row>
    <row r="757" ht="15.75" customHeight="1">
      <c r="A757" s="65"/>
      <c r="B757" s="66"/>
      <c r="C757" s="67"/>
      <c r="D757" s="67"/>
      <c r="E757" s="51"/>
      <c r="F757" s="51"/>
      <c r="G757" s="51"/>
      <c r="H757" s="51"/>
      <c r="I757" s="51"/>
    </row>
    <row r="758" ht="15.75" customHeight="1">
      <c r="A758" s="65"/>
      <c r="B758" s="66"/>
      <c r="C758" s="67"/>
      <c r="D758" s="67"/>
      <c r="E758" s="51"/>
      <c r="F758" s="51"/>
      <c r="G758" s="51"/>
      <c r="H758" s="51"/>
      <c r="I758" s="51"/>
    </row>
    <row r="759" ht="15.75" customHeight="1">
      <c r="A759" s="65"/>
      <c r="B759" s="66"/>
      <c r="C759" s="67"/>
      <c r="D759" s="67"/>
      <c r="E759" s="51"/>
      <c r="F759" s="51"/>
      <c r="G759" s="51"/>
      <c r="H759" s="51"/>
      <c r="I759" s="51"/>
    </row>
    <row r="760" ht="15.75" customHeight="1">
      <c r="A760" s="65"/>
      <c r="B760" s="66"/>
      <c r="C760" s="67"/>
      <c r="D760" s="67"/>
      <c r="E760" s="51"/>
      <c r="F760" s="51"/>
      <c r="G760" s="51"/>
      <c r="H760" s="51"/>
      <c r="I760" s="51"/>
    </row>
    <row r="761" ht="15.75" customHeight="1">
      <c r="A761" s="65"/>
      <c r="B761" s="66"/>
      <c r="C761" s="67"/>
      <c r="D761" s="67"/>
      <c r="E761" s="51"/>
      <c r="F761" s="51"/>
      <c r="G761" s="51"/>
      <c r="H761" s="51"/>
      <c r="I761" s="51"/>
    </row>
    <row r="762" ht="15.75" customHeight="1">
      <c r="A762" s="65"/>
      <c r="B762" s="66"/>
      <c r="C762" s="67"/>
      <c r="D762" s="67"/>
      <c r="E762" s="51"/>
      <c r="F762" s="51"/>
      <c r="G762" s="51"/>
      <c r="H762" s="51"/>
      <c r="I762" s="51"/>
    </row>
    <row r="763" ht="15.75" customHeight="1">
      <c r="A763" s="65"/>
      <c r="B763" s="66"/>
      <c r="C763" s="67"/>
      <c r="D763" s="67"/>
      <c r="E763" s="51"/>
      <c r="F763" s="51"/>
      <c r="G763" s="51"/>
      <c r="H763" s="51"/>
      <c r="I763" s="51"/>
    </row>
    <row r="764" ht="15.75" customHeight="1">
      <c r="A764" s="65"/>
      <c r="B764" s="66"/>
      <c r="C764" s="67"/>
      <c r="D764" s="67"/>
      <c r="E764" s="51"/>
      <c r="F764" s="51"/>
      <c r="G764" s="51"/>
      <c r="H764" s="51"/>
      <c r="I764" s="51"/>
    </row>
    <row r="765" ht="15.75" customHeight="1">
      <c r="A765" s="65"/>
      <c r="B765" s="66"/>
      <c r="C765" s="67"/>
      <c r="D765" s="67"/>
      <c r="E765" s="51"/>
      <c r="F765" s="51"/>
      <c r="G765" s="51"/>
      <c r="H765" s="51"/>
      <c r="I765" s="51"/>
    </row>
    <row r="766" ht="15.75" customHeight="1">
      <c r="A766" s="65"/>
      <c r="B766" s="66"/>
      <c r="C766" s="67"/>
      <c r="D766" s="67"/>
      <c r="E766" s="51"/>
      <c r="F766" s="51"/>
      <c r="G766" s="51"/>
      <c r="H766" s="51"/>
      <c r="I766" s="51"/>
    </row>
    <row r="767" ht="15.75" customHeight="1">
      <c r="A767" s="65"/>
      <c r="B767" s="66"/>
      <c r="C767" s="67"/>
      <c r="D767" s="67"/>
      <c r="E767" s="51"/>
      <c r="F767" s="51"/>
      <c r="G767" s="51"/>
      <c r="H767" s="51"/>
      <c r="I767" s="51"/>
    </row>
    <row r="768" ht="15.75" customHeight="1">
      <c r="A768" s="65"/>
      <c r="B768" s="66"/>
      <c r="C768" s="67"/>
      <c r="D768" s="67"/>
      <c r="E768" s="51"/>
      <c r="F768" s="51"/>
      <c r="G768" s="51"/>
      <c r="H768" s="51"/>
      <c r="I768" s="51"/>
    </row>
    <row r="769" ht="15.75" customHeight="1">
      <c r="A769" s="65"/>
      <c r="B769" s="66"/>
      <c r="C769" s="67"/>
      <c r="D769" s="67"/>
      <c r="E769" s="51"/>
      <c r="F769" s="51"/>
      <c r="G769" s="51"/>
      <c r="H769" s="51"/>
      <c r="I769" s="51"/>
    </row>
    <row r="770" ht="15.75" customHeight="1">
      <c r="A770" s="65"/>
      <c r="B770" s="66"/>
      <c r="C770" s="67"/>
      <c r="D770" s="67"/>
      <c r="E770" s="51"/>
      <c r="F770" s="51"/>
      <c r="G770" s="51"/>
      <c r="H770" s="51"/>
      <c r="I770" s="51"/>
    </row>
    <row r="771" ht="15.75" customHeight="1">
      <c r="A771" s="65"/>
      <c r="B771" s="66"/>
      <c r="C771" s="67"/>
      <c r="D771" s="67"/>
      <c r="E771" s="51"/>
      <c r="F771" s="51"/>
      <c r="G771" s="51"/>
      <c r="H771" s="51"/>
      <c r="I771" s="51"/>
    </row>
    <row r="772" ht="15.75" customHeight="1">
      <c r="A772" s="65"/>
      <c r="B772" s="66"/>
      <c r="C772" s="67"/>
      <c r="D772" s="67"/>
      <c r="E772" s="51"/>
      <c r="F772" s="51"/>
      <c r="G772" s="51"/>
      <c r="H772" s="51"/>
      <c r="I772" s="51"/>
    </row>
    <row r="773" ht="15.75" customHeight="1">
      <c r="A773" s="65"/>
      <c r="B773" s="66"/>
      <c r="C773" s="67"/>
      <c r="D773" s="67"/>
      <c r="E773" s="51"/>
      <c r="F773" s="51"/>
      <c r="G773" s="51"/>
      <c r="H773" s="51"/>
      <c r="I773" s="51"/>
    </row>
    <row r="774" ht="15.75" customHeight="1">
      <c r="A774" s="65"/>
      <c r="B774" s="66"/>
      <c r="C774" s="67"/>
      <c r="D774" s="67"/>
      <c r="E774" s="51"/>
      <c r="F774" s="51"/>
      <c r="G774" s="51"/>
      <c r="H774" s="51"/>
      <c r="I774" s="51"/>
    </row>
    <row r="775" ht="15.75" customHeight="1">
      <c r="A775" s="65"/>
      <c r="B775" s="66"/>
      <c r="C775" s="67"/>
      <c r="D775" s="67"/>
      <c r="E775" s="51"/>
      <c r="F775" s="51"/>
      <c r="G775" s="51"/>
      <c r="H775" s="51"/>
      <c r="I775" s="51"/>
    </row>
    <row r="776" ht="15.75" customHeight="1">
      <c r="A776" s="65"/>
      <c r="B776" s="66"/>
      <c r="C776" s="67"/>
      <c r="D776" s="67"/>
      <c r="E776" s="51"/>
      <c r="F776" s="51"/>
      <c r="G776" s="51"/>
      <c r="H776" s="51"/>
      <c r="I776" s="51"/>
    </row>
    <row r="777" ht="15.75" customHeight="1">
      <c r="A777" s="65"/>
      <c r="B777" s="66"/>
      <c r="C777" s="67"/>
      <c r="D777" s="67"/>
      <c r="E777" s="51"/>
      <c r="F777" s="51"/>
      <c r="G777" s="51"/>
      <c r="H777" s="51"/>
      <c r="I777" s="51"/>
    </row>
    <row r="778" ht="15.75" customHeight="1">
      <c r="A778" s="65"/>
      <c r="B778" s="66"/>
      <c r="C778" s="67"/>
      <c r="D778" s="67"/>
      <c r="E778" s="51"/>
      <c r="F778" s="51"/>
      <c r="G778" s="51"/>
      <c r="H778" s="51"/>
      <c r="I778" s="51"/>
    </row>
    <row r="779" ht="15.75" customHeight="1">
      <c r="A779" s="65"/>
      <c r="B779" s="66"/>
      <c r="C779" s="67"/>
      <c r="D779" s="67"/>
      <c r="E779" s="51"/>
      <c r="F779" s="51"/>
      <c r="G779" s="51"/>
      <c r="H779" s="51"/>
      <c r="I779" s="51"/>
    </row>
    <row r="780" ht="15.75" customHeight="1">
      <c r="A780" s="65"/>
      <c r="B780" s="66"/>
      <c r="C780" s="67"/>
      <c r="D780" s="67"/>
      <c r="E780" s="51"/>
      <c r="F780" s="51"/>
      <c r="G780" s="51"/>
      <c r="H780" s="51"/>
      <c r="I780" s="51"/>
    </row>
    <row r="781" ht="15.75" customHeight="1">
      <c r="A781" s="65"/>
      <c r="B781" s="66"/>
      <c r="C781" s="67"/>
      <c r="D781" s="67"/>
      <c r="E781" s="51"/>
      <c r="F781" s="51"/>
      <c r="G781" s="51"/>
      <c r="H781" s="51"/>
      <c r="I781" s="51"/>
    </row>
    <row r="782" ht="15.75" customHeight="1">
      <c r="A782" s="65"/>
      <c r="B782" s="66"/>
      <c r="C782" s="67"/>
      <c r="D782" s="67"/>
      <c r="E782" s="51"/>
      <c r="F782" s="51"/>
      <c r="G782" s="51"/>
      <c r="H782" s="51"/>
      <c r="I782" s="51"/>
    </row>
    <row r="783" ht="15.75" customHeight="1">
      <c r="A783" s="65"/>
      <c r="B783" s="66"/>
      <c r="C783" s="67"/>
      <c r="D783" s="67"/>
      <c r="E783" s="51"/>
      <c r="F783" s="51"/>
      <c r="G783" s="51"/>
      <c r="H783" s="51"/>
      <c r="I783" s="51"/>
    </row>
    <row r="784" ht="15.75" customHeight="1">
      <c r="A784" s="65"/>
      <c r="B784" s="66"/>
      <c r="C784" s="67"/>
      <c r="D784" s="67"/>
      <c r="E784" s="51"/>
      <c r="F784" s="51"/>
      <c r="G784" s="51"/>
      <c r="H784" s="51"/>
      <c r="I784" s="51"/>
    </row>
    <row r="785" ht="15.75" customHeight="1">
      <c r="A785" s="65"/>
      <c r="B785" s="66"/>
      <c r="C785" s="67"/>
      <c r="D785" s="67"/>
      <c r="E785" s="51"/>
      <c r="F785" s="51"/>
      <c r="G785" s="51"/>
      <c r="H785" s="51"/>
      <c r="I785" s="51"/>
    </row>
    <row r="786" ht="15.75" customHeight="1">
      <c r="A786" s="65"/>
      <c r="B786" s="66"/>
      <c r="C786" s="67"/>
      <c r="D786" s="67"/>
      <c r="E786" s="51"/>
      <c r="F786" s="51"/>
      <c r="G786" s="51"/>
      <c r="H786" s="51"/>
      <c r="I786" s="51"/>
    </row>
    <row r="787" ht="15.75" customHeight="1">
      <c r="A787" s="65"/>
      <c r="B787" s="66"/>
      <c r="C787" s="67"/>
      <c r="D787" s="67"/>
      <c r="E787" s="51"/>
      <c r="F787" s="51"/>
      <c r="G787" s="51"/>
      <c r="H787" s="51"/>
      <c r="I787" s="51"/>
    </row>
    <row r="788" ht="15.75" customHeight="1">
      <c r="A788" s="65"/>
      <c r="B788" s="66"/>
      <c r="C788" s="67"/>
      <c r="D788" s="67"/>
      <c r="E788" s="51"/>
      <c r="F788" s="51"/>
      <c r="G788" s="51"/>
      <c r="H788" s="51"/>
      <c r="I788" s="51"/>
    </row>
    <row r="789" ht="15.75" customHeight="1">
      <c r="A789" s="65"/>
      <c r="B789" s="66"/>
      <c r="C789" s="67"/>
      <c r="D789" s="67"/>
      <c r="E789" s="51"/>
      <c r="F789" s="51"/>
      <c r="G789" s="51"/>
      <c r="H789" s="51"/>
      <c r="I789" s="51"/>
    </row>
    <row r="790" ht="15.75" customHeight="1">
      <c r="A790" s="65"/>
      <c r="B790" s="66"/>
      <c r="C790" s="67"/>
      <c r="D790" s="67"/>
      <c r="E790" s="51"/>
      <c r="F790" s="51"/>
      <c r="G790" s="51"/>
      <c r="H790" s="51"/>
      <c r="I790" s="51"/>
    </row>
    <row r="791" ht="15.75" customHeight="1">
      <c r="A791" s="65"/>
      <c r="B791" s="66"/>
      <c r="C791" s="67"/>
      <c r="D791" s="67"/>
      <c r="E791" s="51"/>
      <c r="F791" s="51"/>
      <c r="G791" s="51"/>
      <c r="H791" s="51"/>
      <c r="I791" s="51"/>
    </row>
    <row r="792" ht="15.75" customHeight="1">
      <c r="A792" s="65"/>
      <c r="B792" s="66"/>
      <c r="C792" s="67"/>
      <c r="D792" s="67"/>
      <c r="E792" s="51"/>
      <c r="F792" s="51"/>
      <c r="G792" s="51"/>
      <c r="H792" s="51"/>
      <c r="I792" s="51"/>
    </row>
    <row r="793" ht="15.75" customHeight="1">
      <c r="A793" s="65"/>
      <c r="B793" s="66"/>
      <c r="C793" s="67"/>
      <c r="D793" s="67"/>
      <c r="E793" s="51"/>
      <c r="F793" s="51"/>
      <c r="G793" s="51"/>
      <c r="H793" s="51"/>
      <c r="I793" s="51"/>
    </row>
    <row r="794" ht="15.75" customHeight="1">
      <c r="A794" s="65"/>
      <c r="B794" s="66"/>
      <c r="C794" s="67"/>
      <c r="D794" s="67"/>
      <c r="E794" s="51"/>
      <c r="F794" s="51"/>
      <c r="G794" s="51"/>
      <c r="H794" s="51"/>
      <c r="I794" s="51"/>
    </row>
    <row r="795" ht="15.75" customHeight="1">
      <c r="A795" s="65"/>
      <c r="B795" s="66"/>
      <c r="C795" s="67"/>
      <c r="D795" s="67"/>
      <c r="E795" s="51"/>
      <c r="F795" s="51"/>
      <c r="G795" s="51"/>
      <c r="H795" s="51"/>
      <c r="I795" s="51"/>
    </row>
    <row r="796" ht="15.75" customHeight="1">
      <c r="A796" s="65"/>
      <c r="B796" s="66"/>
      <c r="C796" s="67"/>
      <c r="D796" s="67"/>
      <c r="E796" s="51"/>
      <c r="F796" s="51"/>
      <c r="G796" s="51"/>
      <c r="H796" s="51"/>
      <c r="I796" s="51"/>
    </row>
    <row r="797" ht="15.75" customHeight="1">
      <c r="A797" s="65"/>
      <c r="B797" s="66"/>
      <c r="C797" s="67"/>
      <c r="D797" s="67"/>
      <c r="E797" s="51"/>
      <c r="F797" s="51"/>
      <c r="G797" s="51"/>
      <c r="H797" s="51"/>
      <c r="I797" s="51"/>
    </row>
    <row r="798" ht="15.75" customHeight="1">
      <c r="A798" s="65"/>
      <c r="B798" s="66"/>
      <c r="C798" s="67"/>
      <c r="D798" s="67"/>
      <c r="E798" s="51"/>
      <c r="F798" s="51"/>
      <c r="G798" s="51"/>
      <c r="H798" s="51"/>
      <c r="I798" s="51"/>
    </row>
    <row r="799" ht="15.75" customHeight="1">
      <c r="A799" s="65"/>
      <c r="B799" s="66"/>
      <c r="C799" s="67"/>
      <c r="D799" s="67"/>
      <c r="E799" s="51"/>
      <c r="F799" s="51"/>
      <c r="G799" s="51"/>
      <c r="H799" s="51"/>
      <c r="I799" s="51"/>
    </row>
    <row r="800" ht="15.75" customHeight="1">
      <c r="A800" s="65"/>
      <c r="B800" s="66"/>
      <c r="C800" s="67"/>
      <c r="D800" s="67"/>
      <c r="E800" s="51"/>
      <c r="F800" s="51"/>
      <c r="G800" s="51"/>
      <c r="H800" s="51"/>
      <c r="I800" s="51"/>
    </row>
    <row r="801" ht="15.75" customHeight="1">
      <c r="A801" s="65"/>
      <c r="B801" s="66"/>
      <c r="C801" s="67"/>
      <c r="D801" s="67"/>
      <c r="E801" s="51"/>
      <c r="F801" s="51"/>
      <c r="G801" s="51"/>
      <c r="H801" s="51"/>
      <c r="I801" s="51"/>
    </row>
    <row r="802" ht="15.75" customHeight="1">
      <c r="A802" s="65"/>
      <c r="B802" s="66"/>
      <c r="C802" s="67"/>
      <c r="D802" s="67"/>
      <c r="E802" s="51"/>
      <c r="F802" s="51"/>
      <c r="G802" s="51"/>
      <c r="H802" s="51"/>
      <c r="I802" s="51"/>
    </row>
    <row r="803" ht="15.75" customHeight="1">
      <c r="A803" s="65"/>
      <c r="B803" s="66"/>
      <c r="C803" s="67"/>
      <c r="D803" s="67"/>
      <c r="E803" s="51"/>
      <c r="F803" s="51"/>
      <c r="G803" s="51"/>
      <c r="H803" s="51"/>
      <c r="I803" s="51"/>
    </row>
    <row r="804" ht="15.75" customHeight="1">
      <c r="A804" s="65"/>
      <c r="B804" s="66"/>
      <c r="C804" s="67"/>
      <c r="D804" s="67"/>
      <c r="E804" s="51"/>
      <c r="F804" s="51"/>
      <c r="G804" s="51"/>
      <c r="H804" s="51"/>
      <c r="I804" s="51"/>
    </row>
    <row r="805" ht="15.75" customHeight="1">
      <c r="A805" s="65"/>
      <c r="B805" s="66"/>
      <c r="C805" s="67"/>
      <c r="D805" s="67"/>
      <c r="E805" s="51"/>
      <c r="F805" s="51"/>
      <c r="G805" s="51"/>
      <c r="H805" s="51"/>
      <c r="I805" s="51"/>
    </row>
    <row r="806" ht="15.75" customHeight="1">
      <c r="A806" s="65"/>
      <c r="B806" s="66"/>
      <c r="C806" s="67"/>
      <c r="D806" s="67"/>
      <c r="E806" s="51"/>
      <c r="F806" s="51"/>
      <c r="G806" s="51"/>
      <c r="H806" s="51"/>
      <c r="I806" s="51"/>
    </row>
    <row r="807" ht="15.75" customHeight="1">
      <c r="A807" s="65"/>
      <c r="B807" s="66"/>
      <c r="C807" s="67"/>
      <c r="D807" s="67"/>
      <c r="E807" s="51"/>
      <c r="F807" s="51"/>
      <c r="G807" s="51"/>
      <c r="H807" s="51"/>
      <c r="I807" s="51"/>
    </row>
    <row r="808" ht="15.75" customHeight="1">
      <c r="A808" s="65"/>
      <c r="B808" s="66"/>
      <c r="C808" s="67"/>
      <c r="D808" s="67"/>
      <c r="E808" s="51"/>
      <c r="F808" s="51"/>
      <c r="G808" s="51"/>
      <c r="H808" s="51"/>
      <c r="I808" s="51"/>
    </row>
    <row r="809" ht="15.75" customHeight="1">
      <c r="A809" s="65"/>
      <c r="B809" s="66"/>
      <c r="C809" s="67"/>
      <c r="D809" s="67"/>
      <c r="E809" s="51"/>
      <c r="F809" s="51"/>
      <c r="G809" s="51"/>
      <c r="H809" s="51"/>
      <c r="I809" s="51"/>
    </row>
    <row r="810" ht="15.75" customHeight="1">
      <c r="A810" s="65"/>
      <c r="B810" s="66"/>
      <c r="C810" s="67"/>
      <c r="D810" s="67"/>
      <c r="E810" s="51"/>
      <c r="F810" s="51"/>
      <c r="G810" s="51"/>
      <c r="H810" s="51"/>
      <c r="I810" s="51"/>
    </row>
    <row r="811" ht="15.75" customHeight="1">
      <c r="A811" s="65"/>
      <c r="B811" s="66"/>
      <c r="C811" s="67"/>
      <c r="D811" s="67"/>
      <c r="E811" s="51"/>
      <c r="F811" s="51"/>
      <c r="G811" s="51"/>
      <c r="H811" s="51"/>
      <c r="I811" s="51"/>
    </row>
    <row r="812" ht="15.75" customHeight="1">
      <c r="A812" s="65"/>
      <c r="B812" s="66"/>
      <c r="C812" s="67"/>
      <c r="D812" s="67"/>
      <c r="E812" s="51"/>
      <c r="F812" s="51"/>
      <c r="G812" s="51"/>
      <c r="H812" s="51"/>
      <c r="I812" s="51"/>
    </row>
    <row r="813" ht="15.75" customHeight="1">
      <c r="A813" s="65"/>
      <c r="B813" s="66"/>
      <c r="C813" s="67"/>
      <c r="D813" s="67"/>
      <c r="E813" s="51"/>
      <c r="F813" s="51"/>
      <c r="G813" s="51"/>
      <c r="H813" s="51"/>
      <c r="I813" s="51"/>
    </row>
    <row r="814" ht="15.75" customHeight="1">
      <c r="A814" s="65"/>
      <c r="B814" s="66"/>
      <c r="C814" s="67"/>
      <c r="D814" s="67"/>
      <c r="E814" s="51"/>
      <c r="F814" s="51"/>
      <c r="G814" s="51"/>
      <c r="H814" s="51"/>
      <c r="I814" s="51"/>
    </row>
    <row r="815" ht="15.75" customHeight="1">
      <c r="A815" s="65"/>
      <c r="B815" s="66"/>
      <c r="C815" s="67"/>
      <c r="D815" s="67"/>
      <c r="E815" s="51"/>
      <c r="F815" s="51"/>
      <c r="G815" s="51"/>
      <c r="H815" s="51"/>
      <c r="I815" s="51"/>
    </row>
    <row r="816" ht="15.75" customHeight="1">
      <c r="A816" s="65"/>
      <c r="B816" s="66"/>
      <c r="C816" s="67"/>
      <c r="D816" s="67"/>
      <c r="E816" s="51"/>
      <c r="F816" s="51"/>
      <c r="G816" s="51"/>
      <c r="H816" s="51"/>
      <c r="I816" s="51"/>
    </row>
    <row r="817" ht="15.75" customHeight="1">
      <c r="A817" s="65"/>
      <c r="B817" s="66"/>
      <c r="C817" s="67"/>
      <c r="D817" s="67"/>
      <c r="E817" s="51"/>
      <c r="F817" s="51"/>
      <c r="G817" s="51"/>
      <c r="H817" s="51"/>
      <c r="I817" s="51"/>
    </row>
    <row r="818" ht="15.75" customHeight="1">
      <c r="A818" s="65"/>
      <c r="B818" s="66"/>
      <c r="C818" s="67"/>
      <c r="D818" s="67"/>
      <c r="E818" s="51"/>
      <c r="F818" s="51"/>
      <c r="G818" s="51"/>
      <c r="H818" s="51"/>
      <c r="I818" s="51"/>
    </row>
    <row r="819" ht="15.75" customHeight="1">
      <c r="A819" s="65"/>
      <c r="B819" s="66"/>
      <c r="C819" s="67"/>
      <c r="D819" s="67"/>
      <c r="E819" s="51"/>
      <c r="F819" s="51"/>
      <c r="G819" s="51"/>
      <c r="H819" s="51"/>
      <c r="I819" s="51"/>
    </row>
    <row r="820" ht="15.75" customHeight="1">
      <c r="A820" s="65"/>
      <c r="B820" s="66"/>
      <c r="C820" s="67"/>
      <c r="D820" s="67"/>
      <c r="E820" s="51"/>
      <c r="F820" s="51"/>
      <c r="G820" s="51"/>
      <c r="H820" s="51"/>
      <c r="I820" s="51"/>
    </row>
    <row r="821" ht="15.75" customHeight="1">
      <c r="A821" s="65"/>
      <c r="B821" s="66"/>
      <c r="C821" s="67"/>
      <c r="D821" s="67"/>
      <c r="E821" s="51"/>
      <c r="F821" s="51"/>
      <c r="G821" s="51"/>
      <c r="H821" s="51"/>
      <c r="I821" s="51"/>
    </row>
    <row r="822" ht="15.75" customHeight="1">
      <c r="A822" s="65"/>
      <c r="B822" s="66"/>
      <c r="C822" s="67"/>
      <c r="D822" s="67"/>
      <c r="E822" s="51"/>
      <c r="F822" s="51"/>
      <c r="G822" s="51"/>
      <c r="H822" s="51"/>
      <c r="I822" s="51"/>
    </row>
    <row r="823" ht="15.75" customHeight="1">
      <c r="A823" s="65"/>
      <c r="B823" s="66"/>
      <c r="C823" s="67"/>
      <c r="D823" s="67"/>
      <c r="E823" s="51"/>
      <c r="F823" s="51"/>
      <c r="G823" s="51"/>
      <c r="H823" s="51"/>
      <c r="I823" s="51"/>
    </row>
    <row r="824" ht="15.75" customHeight="1">
      <c r="A824" s="65"/>
      <c r="B824" s="66"/>
      <c r="C824" s="67"/>
      <c r="D824" s="67"/>
      <c r="E824" s="51"/>
      <c r="F824" s="51"/>
      <c r="G824" s="51"/>
      <c r="H824" s="51"/>
      <c r="I824" s="51"/>
    </row>
    <row r="825" ht="15.75" customHeight="1">
      <c r="A825" s="65"/>
      <c r="B825" s="66"/>
      <c r="C825" s="67"/>
      <c r="D825" s="67"/>
      <c r="E825" s="51"/>
      <c r="F825" s="51"/>
      <c r="G825" s="51"/>
      <c r="H825" s="51"/>
      <c r="I825" s="51"/>
    </row>
    <row r="826" ht="15.75" customHeight="1">
      <c r="A826" s="65"/>
      <c r="B826" s="66"/>
      <c r="C826" s="67"/>
      <c r="D826" s="67"/>
      <c r="E826" s="51"/>
      <c r="F826" s="51"/>
      <c r="G826" s="51"/>
      <c r="H826" s="51"/>
      <c r="I826" s="51"/>
    </row>
    <row r="827" ht="15.75" customHeight="1">
      <c r="A827" s="65"/>
      <c r="B827" s="66"/>
      <c r="C827" s="67"/>
      <c r="D827" s="67"/>
      <c r="E827" s="51"/>
      <c r="F827" s="51"/>
      <c r="G827" s="51"/>
      <c r="H827" s="51"/>
      <c r="I827" s="51"/>
    </row>
    <row r="828" ht="15.75" customHeight="1">
      <c r="A828" s="65"/>
      <c r="B828" s="66"/>
      <c r="C828" s="67"/>
      <c r="D828" s="67"/>
      <c r="E828" s="51"/>
      <c r="F828" s="51"/>
      <c r="G828" s="51"/>
      <c r="H828" s="51"/>
      <c r="I828" s="51"/>
    </row>
    <row r="829" ht="15.75" customHeight="1">
      <c r="A829" s="65"/>
      <c r="B829" s="66"/>
      <c r="C829" s="67"/>
      <c r="D829" s="67"/>
      <c r="E829" s="51"/>
      <c r="F829" s="51"/>
      <c r="G829" s="51"/>
      <c r="H829" s="51"/>
      <c r="I829" s="51"/>
    </row>
    <row r="830" ht="15.75" customHeight="1">
      <c r="A830" s="65"/>
      <c r="B830" s="66"/>
      <c r="C830" s="67"/>
      <c r="D830" s="67"/>
      <c r="E830" s="51"/>
      <c r="F830" s="51"/>
      <c r="G830" s="51"/>
      <c r="H830" s="51"/>
      <c r="I830" s="51"/>
    </row>
    <row r="831" ht="15.75" customHeight="1">
      <c r="A831" s="65"/>
      <c r="B831" s="66"/>
      <c r="C831" s="67"/>
      <c r="D831" s="67"/>
      <c r="E831" s="51"/>
      <c r="F831" s="51"/>
      <c r="G831" s="51"/>
      <c r="H831" s="51"/>
      <c r="I831" s="51"/>
    </row>
    <row r="832" ht="15.75" customHeight="1">
      <c r="A832" s="65"/>
      <c r="B832" s="66"/>
      <c r="C832" s="67"/>
      <c r="D832" s="67"/>
      <c r="E832" s="51"/>
      <c r="F832" s="51"/>
      <c r="G832" s="51"/>
      <c r="H832" s="51"/>
      <c r="I832" s="51"/>
    </row>
    <row r="833" ht="15.75" customHeight="1">
      <c r="A833" s="65"/>
      <c r="B833" s="66"/>
      <c r="C833" s="67"/>
      <c r="D833" s="67"/>
      <c r="E833" s="51"/>
      <c r="F833" s="51"/>
      <c r="G833" s="51"/>
      <c r="H833" s="51"/>
      <c r="I833" s="51"/>
    </row>
    <row r="834" ht="15.75" customHeight="1">
      <c r="A834" s="65"/>
      <c r="B834" s="66"/>
      <c r="C834" s="67"/>
      <c r="D834" s="67"/>
      <c r="E834" s="51"/>
      <c r="F834" s="51"/>
      <c r="G834" s="51"/>
      <c r="H834" s="51"/>
      <c r="I834" s="51"/>
    </row>
    <row r="835" ht="15.75" customHeight="1">
      <c r="A835" s="65"/>
      <c r="B835" s="66"/>
      <c r="C835" s="67"/>
      <c r="D835" s="67"/>
      <c r="E835" s="51"/>
      <c r="F835" s="51"/>
      <c r="G835" s="51"/>
      <c r="H835" s="51"/>
      <c r="I835" s="51"/>
    </row>
    <row r="836" ht="15.75" customHeight="1">
      <c r="A836" s="65"/>
      <c r="B836" s="66"/>
      <c r="C836" s="67"/>
      <c r="D836" s="67"/>
      <c r="E836" s="51"/>
      <c r="F836" s="51"/>
      <c r="G836" s="51"/>
      <c r="H836" s="51"/>
      <c r="I836" s="51"/>
    </row>
    <row r="837" ht="15.75" customHeight="1">
      <c r="A837" s="65"/>
      <c r="B837" s="66"/>
      <c r="C837" s="67"/>
      <c r="D837" s="67"/>
      <c r="E837" s="51"/>
      <c r="F837" s="51"/>
      <c r="G837" s="51"/>
      <c r="H837" s="51"/>
      <c r="I837" s="51"/>
    </row>
    <row r="838" ht="15.75" customHeight="1">
      <c r="A838" s="65"/>
      <c r="B838" s="66"/>
      <c r="C838" s="67"/>
      <c r="D838" s="67"/>
      <c r="E838" s="51"/>
      <c r="F838" s="51"/>
      <c r="G838" s="51"/>
      <c r="H838" s="51"/>
      <c r="I838" s="51"/>
    </row>
    <row r="839" ht="15.75" customHeight="1">
      <c r="A839" s="65"/>
      <c r="B839" s="66"/>
      <c r="C839" s="67"/>
      <c r="D839" s="67"/>
      <c r="E839" s="51"/>
      <c r="F839" s="51"/>
      <c r="G839" s="51"/>
      <c r="H839" s="51"/>
      <c r="I839" s="51"/>
    </row>
    <row r="840" ht="15.75" customHeight="1">
      <c r="A840" s="65"/>
      <c r="B840" s="66"/>
      <c r="C840" s="67"/>
      <c r="D840" s="67"/>
      <c r="E840" s="51"/>
      <c r="F840" s="51"/>
      <c r="G840" s="51"/>
      <c r="H840" s="51"/>
      <c r="I840" s="51"/>
    </row>
    <row r="841" ht="15.75" customHeight="1">
      <c r="A841" s="65"/>
      <c r="B841" s="66"/>
      <c r="C841" s="67"/>
      <c r="D841" s="67"/>
      <c r="E841" s="51"/>
      <c r="F841" s="51"/>
      <c r="G841" s="51"/>
      <c r="H841" s="51"/>
      <c r="I841" s="51"/>
    </row>
    <row r="842" ht="15.75" customHeight="1">
      <c r="A842" s="65"/>
      <c r="B842" s="66"/>
      <c r="C842" s="67"/>
      <c r="D842" s="67"/>
      <c r="E842" s="51"/>
      <c r="F842" s="51"/>
      <c r="G842" s="51"/>
      <c r="H842" s="51"/>
      <c r="I842" s="51"/>
    </row>
    <row r="843" ht="15.75" customHeight="1">
      <c r="A843" s="65"/>
      <c r="B843" s="66"/>
      <c r="C843" s="67"/>
      <c r="D843" s="67"/>
      <c r="E843" s="51"/>
      <c r="F843" s="51"/>
      <c r="G843" s="51"/>
      <c r="H843" s="51"/>
      <c r="I843" s="51"/>
    </row>
    <row r="844" ht="15.75" customHeight="1">
      <c r="A844" s="65"/>
      <c r="B844" s="66"/>
      <c r="C844" s="67"/>
      <c r="D844" s="67"/>
      <c r="E844" s="51"/>
      <c r="F844" s="51"/>
      <c r="G844" s="51"/>
      <c r="H844" s="51"/>
      <c r="I844" s="51"/>
    </row>
    <row r="845" ht="15.75" customHeight="1">
      <c r="A845" s="65"/>
      <c r="B845" s="66"/>
      <c r="C845" s="67"/>
      <c r="D845" s="67"/>
      <c r="E845" s="51"/>
      <c r="F845" s="51"/>
      <c r="G845" s="51"/>
      <c r="H845" s="51"/>
      <c r="I845" s="51"/>
    </row>
    <row r="846" ht="15.75" customHeight="1">
      <c r="A846" s="65"/>
      <c r="B846" s="66"/>
      <c r="C846" s="67"/>
      <c r="D846" s="67"/>
      <c r="E846" s="51"/>
      <c r="F846" s="51"/>
      <c r="G846" s="51"/>
      <c r="H846" s="51"/>
      <c r="I846" s="51"/>
    </row>
    <row r="847" ht="15.75" customHeight="1">
      <c r="A847" s="65"/>
      <c r="B847" s="66"/>
      <c r="C847" s="67"/>
      <c r="D847" s="67"/>
      <c r="E847" s="51"/>
      <c r="F847" s="51"/>
      <c r="G847" s="51"/>
      <c r="H847" s="51"/>
      <c r="I847" s="51"/>
    </row>
    <row r="848" ht="15.75" customHeight="1">
      <c r="A848" s="65"/>
      <c r="B848" s="66"/>
      <c r="C848" s="67"/>
      <c r="D848" s="67"/>
      <c r="E848" s="51"/>
      <c r="F848" s="51"/>
      <c r="G848" s="51"/>
      <c r="H848" s="51"/>
      <c r="I848" s="51"/>
    </row>
    <row r="849" ht="15.75" customHeight="1">
      <c r="A849" s="65"/>
      <c r="B849" s="66"/>
      <c r="C849" s="67"/>
      <c r="D849" s="67"/>
      <c r="E849" s="51"/>
      <c r="F849" s="51"/>
      <c r="G849" s="51"/>
      <c r="H849" s="51"/>
      <c r="I849" s="51"/>
    </row>
    <row r="850" ht="15.75" customHeight="1">
      <c r="A850" s="65"/>
      <c r="B850" s="66"/>
      <c r="C850" s="67"/>
      <c r="D850" s="67"/>
      <c r="E850" s="51"/>
      <c r="F850" s="51"/>
      <c r="G850" s="51"/>
      <c r="H850" s="51"/>
      <c r="I850" s="51"/>
    </row>
    <row r="851" ht="15.75" customHeight="1">
      <c r="A851" s="65"/>
      <c r="B851" s="66"/>
      <c r="C851" s="67"/>
      <c r="D851" s="67"/>
      <c r="E851" s="51"/>
      <c r="F851" s="51"/>
      <c r="G851" s="51"/>
      <c r="H851" s="51"/>
      <c r="I851" s="51"/>
    </row>
    <row r="852" ht="15.75" customHeight="1">
      <c r="A852" s="65"/>
      <c r="B852" s="66"/>
      <c r="C852" s="67"/>
      <c r="D852" s="67"/>
      <c r="E852" s="51"/>
      <c r="F852" s="51"/>
      <c r="G852" s="51"/>
      <c r="H852" s="51"/>
      <c r="I852" s="51"/>
    </row>
    <row r="853" ht="15.75" customHeight="1">
      <c r="A853" s="65"/>
      <c r="B853" s="66"/>
      <c r="C853" s="67"/>
      <c r="D853" s="67"/>
      <c r="E853" s="51"/>
      <c r="F853" s="51"/>
      <c r="G853" s="51"/>
      <c r="H853" s="51"/>
      <c r="I853" s="51"/>
    </row>
    <row r="854" ht="15.75" customHeight="1">
      <c r="A854" s="65"/>
      <c r="B854" s="66"/>
      <c r="C854" s="67"/>
      <c r="D854" s="67"/>
      <c r="E854" s="51"/>
      <c r="F854" s="51"/>
      <c r="G854" s="51"/>
      <c r="H854" s="51"/>
      <c r="I854" s="51"/>
    </row>
    <row r="855" ht="15.75" customHeight="1">
      <c r="A855" s="65"/>
      <c r="B855" s="66"/>
      <c r="C855" s="67"/>
      <c r="D855" s="67"/>
      <c r="E855" s="51"/>
      <c r="F855" s="51"/>
      <c r="G855" s="51"/>
      <c r="H855" s="51"/>
      <c r="I855" s="51"/>
    </row>
    <row r="856" ht="15.75" customHeight="1">
      <c r="A856" s="65"/>
      <c r="B856" s="66"/>
      <c r="C856" s="67"/>
      <c r="D856" s="67"/>
      <c r="E856" s="51"/>
      <c r="F856" s="51"/>
      <c r="G856" s="51"/>
      <c r="H856" s="51"/>
      <c r="I856" s="51"/>
    </row>
    <row r="857" ht="15.75" customHeight="1">
      <c r="A857" s="65"/>
      <c r="B857" s="66"/>
      <c r="C857" s="67"/>
      <c r="D857" s="67"/>
      <c r="E857" s="51"/>
      <c r="F857" s="51"/>
      <c r="G857" s="51"/>
      <c r="H857" s="51"/>
      <c r="I857" s="51"/>
    </row>
    <row r="858" ht="15.75" customHeight="1">
      <c r="A858" s="65"/>
      <c r="B858" s="66"/>
      <c r="C858" s="67"/>
      <c r="D858" s="67"/>
      <c r="E858" s="51"/>
      <c r="F858" s="51"/>
      <c r="G858" s="51"/>
      <c r="H858" s="51"/>
      <c r="I858" s="51"/>
    </row>
    <row r="859" ht="15.75" customHeight="1">
      <c r="A859" s="65"/>
      <c r="B859" s="66"/>
      <c r="C859" s="67"/>
      <c r="D859" s="67"/>
      <c r="E859" s="51"/>
      <c r="F859" s="51"/>
      <c r="G859" s="51"/>
      <c r="H859" s="51"/>
      <c r="I859" s="51"/>
    </row>
    <row r="860" ht="15.75" customHeight="1">
      <c r="A860" s="65"/>
      <c r="B860" s="66"/>
      <c r="C860" s="67"/>
      <c r="D860" s="67"/>
      <c r="E860" s="51"/>
      <c r="F860" s="51"/>
      <c r="G860" s="51"/>
      <c r="H860" s="51"/>
      <c r="I860" s="51"/>
    </row>
    <row r="861" ht="15.75" customHeight="1">
      <c r="A861" s="65"/>
      <c r="B861" s="66"/>
      <c r="C861" s="67"/>
      <c r="D861" s="67"/>
      <c r="E861" s="51"/>
      <c r="F861" s="51"/>
      <c r="G861" s="51"/>
      <c r="H861" s="51"/>
      <c r="I861" s="51"/>
    </row>
    <row r="862" ht="15.75" customHeight="1">
      <c r="A862" s="65"/>
      <c r="B862" s="66"/>
      <c r="C862" s="67"/>
      <c r="D862" s="67"/>
      <c r="E862" s="51"/>
      <c r="F862" s="51"/>
      <c r="G862" s="51"/>
      <c r="H862" s="51"/>
      <c r="I862" s="51"/>
    </row>
    <row r="863" ht="15.75" customHeight="1">
      <c r="A863" s="65"/>
      <c r="B863" s="66"/>
      <c r="C863" s="67"/>
      <c r="D863" s="67"/>
      <c r="E863" s="51"/>
      <c r="F863" s="51"/>
      <c r="G863" s="51"/>
      <c r="H863" s="51"/>
      <c r="I863" s="51"/>
    </row>
    <row r="864" ht="15.75" customHeight="1">
      <c r="A864" s="65"/>
      <c r="B864" s="66"/>
      <c r="C864" s="67"/>
      <c r="D864" s="67"/>
      <c r="E864" s="51"/>
      <c r="F864" s="51"/>
      <c r="G864" s="51"/>
      <c r="H864" s="51"/>
      <c r="I864" s="51"/>
    </row>
    <row r="865" ht="15.75" customHeight="1">
      <c r="A865" s="65"/>
      <c r="B865" s="66"/>
      <c r="C865" s="67"/>
      <c r="D865" s="67"/>
      <c r="E865" s="51"/>
      <c r="F865" s="51"/>
      <c r="G865" s="51"/>
      <c r="H865" s="51"/>
      <c r="I865" s="51"/>
    </row>
    <row r="866" ht="15.75" customHeight="1">
      <c r="A866" s="65"/>
      <c r="B866" s="66"/>
      <c r="C866" s="67"/>
      <c r="D866" s="67"/>
      <c r="E866" s="51"/>
      <c r="F866" s="51"/>
      <c r="G866" s="51"/>
      <c r="H866" s="51"/>
      <c r="I866" s="51"/>
    </row>
    <row r="867" ht="15.75" customHeight="1">
      <c r="A867" s="65"/>
      <c r="B867" s="66"/>
      <c r="C867" s="67"/>
      <c r="D867" s="67"/>
      <c r="E867" s="51"/>
      <c r="F867" s="51"/>
      <c r="G867" s="51"/>
      <c r="H867" s="51"/>
      <c r="I867" s="51"/>
    </row>
    <row r="868" ht="15.75" customHeight="1">
      <c r="A868" s="65"/>
      <c r="B868" s="66"/>
      <c r="C868" s="67"/>
      <c r="D868" s="67"/>
      <c r="E868" s="51"/>
      <c r="F868" s="51"/>
      <c r="G868" s="51"/>
      <c r="H868" s="51"/>
      <c r="I868" s="51"/>
    </row>
    <row r="869" ht="15.75" customHeight="1">
      <c r="A869" s="65"/>
      <c r="B869" s="66"/>
      <c r="C869" s="67"/>
      <c r="D869" s="67"/>
      <c r="E869" s="51"/>
      <c r="F869" s="51"/>
      <c r="G869" s="51"/>
      <c r="H869" s="51"/>
      <c r="I869" s="51"/>
    </row>
    <row r="870" ht="15.75" customHeight="1">
      <c r="A870" s="65"/>
      <c r="B870" s="66"/>
      <c r="C870" s="67"/>
      <c r="D870" s="67"/>
      <c r="E870" s="51"/>
      <c r="F870" s="51"/>
      <c r="G870" s="51"/>
      <c r="H870" s="51"/>
      <c r="I870" s="51"/>
    </row>
    <row r="871" ht="15.75" customHeight="1">
      <c r="A871" s="65"/>
      <c r="B871" s="66"/>
      <c r="C871" s="67"/>
      <c r="D871" s="67"/>
      <c r="E871" s="51"/>
      <c r="F871" s="51"/>
      <c r="G871" s="51"/>
      <c r="H871" s="51"/>
      <c r="I871" s="51"/>
    </row>
    <row r="872" ht="15.75" customHeight="1">
      <c r="A872" s="65"/>
      <c r="B872" s="66"/>
      <c r="C872" s="67"/>
      <c r="D872" s="67"/>
      <c r="E872" s="51"/>
      <c r="F872" s="51"/>
      <c r="G872" s="51"/>
      <c r="H872" s="51"/>
      <c r="I872" s="51"/>
    </row>
    <row r="873" ht="15.75" customHeight="1">
      <c r="A873" s="65"/>
      <c r="B873" s="66"/>
      <c r="C873" s="67"/>
      <c r="D873" s="67"/>
      <c r="E873" s="51"/>
      <c r="F873" s="51"/>
      <c r="G873" s="51"/>
      <c r="H873" s="51"/>
      <c r="I873" s="51"/>
    </row>
    <row r="874" ht="15.75" customHeight="1">
      <c r="A874" s="65"/>
      <c r="B874" s="66"/>
      <c r="C874" s="67"/>
      <c r="D874" s="67"/>
      <c r="E874" s="51"/>
      <c r="F874" s="51"/>
      <c r="G874" s="51"/>
      <c r="H874" s="51"/>
      <c r="I874" s="51"/>
    </row>
    <row r="875" ht="15.75" customHeight="1">
      <c r="A875" s="65"/>
      <c r="B875" s="66"/>
      <c r="C875" s="67"/>
      <c r="D875" s="67"/>
      <c r="E875" s="51"/>
      <c r="F875" s="51"/>
      <c r="G875" s="51"/>
      <c r="H875" s="51"/>
      <c r="I875" s="51"/>
    </row>
    <row r="876" ht="15.75" customHeight="1">
      <c r="A876" s="65"/>
      <c r="B876" s="66"/>
      <c r="C876" s="67"/>
      <c r="D876" s="67"/>
      <c r="E876" s="51"/>
      <c r="F876" s="51"/>
      <c r="G876" s="51"/>
      <c r="H876" s="51"/>
      <c r="I876" s="51"/>
    </row>
    <row r="877" ht="15.75" customHeight="1">
      <c r="A877" s="65"/>
      <c r="B877" s="66"/>
      <c r="C877" s="67"/>
      <c r="D877" s="67"/>
      <c r="E877" s="51"/>
      <c r="F877" s="51"/>
      <c r="G877" s="51"/>
      <c r="H877" s="51"/>
      <c r="I877" s="51"/>
    </row>
    <row r="878" ht="15.75" customHeight="1">
      <c r="A878" s="65"/>
      <c r="B878" s="66"/>
      <c r="C878" s="67"/>
      <c r="D878" s="67"/>
      <c r="E878" s="51"/>
      <c r="F878" s="51"/>
      <c r="G878" s="51"/>
      <c r="H878" s="51"/>
      <c r="I878" s="51"/>
    </row>
    <row r="879" ht="15.75" customHeight="1">
      <c r="A879" s="65"/>
      <c r="B879" s="66"/>
      <c r="C879" s="67"/>
      <c r="D879" s="67"/>
      <c r="E879" s="51"/>
      <c r="F879" s="51"/>
      <c r="G879" s="51"/>
      <c r="H879" s="51"/>
      <c r="I879" s="51"/>
    </row>
    <row r="880" ht="15.75" customHeight="1">
      <c r="A880" s="65"/>
      <c r="B880" s="66"/>
      <c r="C880" s="67"/>
      <c r="D880" s="67"/>
      <c r="E880" s="51"/>
      <c r="F880" s="51"/>
      <c r="G880" s="51"/>
      <c r="H880" s="51"/>
      <c r="I880" s="51"/>
    </row>
    <row r="881" ht="15.75" customHeight="1">
      <c r="A881" s="65"/>
      <c r="B881" s="66"/>
      <c r="C881" s="67"/>
      <c r="D881" s="67"/>
      <c r="E881" s="51"/>
      <c r="F881" s="51"/>
      <c r="G881" s="51"/>
      <c r="H881" s="51"/>
      <c r="I881" s="51"/>
    </row>
    <row r="882" ht="15.75" customHeight="1">
      <c r="A882" s="65"/>
      <c r="B882" s="66"/>
      <c r="C882" s="67"/>
      <c r="D882" s="67"/>
      <c r="E882" s="51"/>
      <c r="F882" s="51"/>
      <c r="G882" s="51"/>
      <c r="H882" s="51"/>
      <c r="I882" s="51"/>
    </row>
    <row r="883" ht="15.75" customHeight="1">
      <c r="A883" s="65"/>
      <c r="B883" s="66"/>
      <c r="C883" s="67"/>
      <c r="D883" s="67"/>
      <c r="E883" s="51"/>
      <c r="F883" s="51"/>
      <c r="G883" s="51"/>
      <c r="H883" s="51"/>
      <c r="I883" s="51"/>
    </row>
    <row r="884" ht="15.75" customHeight="1">
      <c r="A884" s="65"/>
      <c r="B884" s="66"/>
      <c r="C884" s="67"/>
      <c r="D884" s="67"/>
      <c r="E884" s="51"/>
      <c r="F884" s="51"/>
      <c r="G884" s="51"/>
      <c r="H884" s="51"/>
      <c r="I884" s="51"/>
    </row>
    <row r="885" ht="15.75" customHeight="1">
      <c r="A885" s="65"/>
      <c r="B885" s="66"/>
      <c r="C885" s="67"/>
      <c r="D885" s="67"/>
      <c r="E885" s="51"/>
      <c r="F885" s="51"/>
      <c r="G885" s="51"/>
      <c r="H885" s="51"/>
      <c r="I885" s="51"/>
    </row>
    <row r="886" ht="15.75" customHeight="1">
      <c r="A886" s="65"/>
      <c r="B886" s="66"/>
      <c r="C886" s="67"/>
      <c r="D886" s="67"/>
      <c r="E886" s="51"/>
      <c r="F886" s="51"/>
      <c r="G886" s="51"/>
      <c r="H886" s="51"/>
      <c r="I886" s="51"/>
    </row>
    <row r="887" ht="15.75" customHeight="1">
      <c r="A887" s="65"/>
      <c r="B887" s="66"/>
      <c r="C887" s="67"/>
      <c r="D887" s="67"/>
      <c r="E887" s="51"/>
      <c r="F887" s="51"/>
      <c r="G887" s="51"/>
      <c r="H887" s="51"/>
      <c r="I887" s="51"/>
    </row>
    <row r="888" ht="15.75" customHeight="1">
      <c r="A888" s="65"/>
      <c r="B888" s="66"/>
      <c r="C888" s="67"/>
      <c r="D888" s="67"/>
      <c r="E888" s="51"/>
      <c r="F888" s="51"/>
      <c r="G888" s="51"/>
      <c r="H888" s="51"/>
      <c r="I888" s="51"/>
    </row>
    <row r="889" ht="15.75" customHeight="1">
      <c r="A889" s="65"/>
      <c r="B889" s="66"/>
      <c r="C889" s="67"/>
      <c r="D889" s="67"/>
      <c r="E889" s="51"/>
      <c r="F889" s="51"/>
      <c r="G889" s="51"/>
      <c r="H889" s="51"/>
      <c r="I889" s="51"/>
    </row>
    <row r="890" ht="15.75" customHeight="1">
      <c r="A890" s="65"/>
      <c r="B890" s="66"/>
      <c r="C890" s="67"/>
      <c r="D890" s="67"/>
      <c r="E890" s="51"/>
      <c r="F890" s="51"/>
      <c r="G890" s="51"/>
      <c r="H890" s="51"/>
      <c r="I890" s="51"/>
    </row>
    <row r="891" ht="15.75" customHeight="1">
      <c r="A891" s="65"/>
      <c r="B891" s="66"/>
      <c r="C891" s="67"/>
      <c r="D891" s="67"/>
      <c r="E891" s="51"/>
      <c r="F891" s="51"/>
      <c r="G891" s="51"/>
      <c r="H891" s="51"/>
      <c r="I891" s="51"/>
    </row>
    <row r="892" ht="15.75" customHeight="1">
      <c r="A892" s="65"/>
      <c r="B892" s="66"/>
      <c r="C892" s="67"/>
      <c r="D892" s="67"/>
      <c r="E892" s="51"/>
      <c r="F892" s="51"/>
      <c r="G892" s="51"/>
      <c r="H892" s="51"/>
      <c r="I892" s="51"/>
    </row>
    <row r="893" ht="15.75" customHeight="1">
      <c r="A893" s="65"/>
      <c r="B893" s="66"/>
      <c r="C893" s="67"/>
      <c r="D893" s="67"/>
      <c r="E893" s="51"/>
      <c r="F893" s="51"/>
      <c r="G893" s="51"/>
      <c r="H893" s="51"/>
      <c r="I893" s="51"/>
    </row>
    <row r="894" ht="15.75" customHeight="1">
      <c r="A894" s="65"/>
      <c r="B894" s="66"/>
      <c r="C894" s="67"/>
      <c r="D894" s="67"/>
      <c r="E894" s="51"/>
      <c r="F894" s="51"/>
      <c r="G894" s="51"/>
      <c r="H894" s="51"/>
      <c r="I894" s="51"/>
    </row>
    <row r="895" ht="15.75" customHeight="1">
      <c r="A895" s="65"/>
      <c r="B895" s="66"/>
      <c r="C895" s="67"/>
      <c r="D895" s="67"/>
      <c r="E895" s="51"/>
      <c r="F895" s="51"/>
      <c r="G895" s="51"/>
      <c r="H895" s="51"/>
      <c r="I895" s="51"/>
    </row>
    <row r="896" ht="15.75" customHeight="1">
      <c r="A896" s="65"/>
      <c r="B896" s="66"/>
      <c r="C896" s="67"/>
      <c r="D896" s="67"/>
      <c r="E896" s="51"/>
      <c r="F896" s="51"/>
      <c r="G896" s="51"/>
      <c r="H896" s="51"/>
      <c r="I896" s="51"/>
    </row>
    <row r="897" ht="15.75" customHeight="1">
      <c r="A897" s="65"/>
      <c r="B897" s="66"/>
      <c r="C897" s="67"/>
      <c r="D897" s="67"/>
      <c r="E897" s="51"/>
      <c r="F897" s="51"/>
      <c r="G897" s="51"/>
      <c r="H897" s="51"/>
      <c r="I897" s="51"/>
    </row>
    <row r="898" ht="15.75" customHeight="1">
      <c r="A898" s="65"/>
      <c r="B898" s="66"/>
      <c r="C898" s="67"/>
      <c r="D898" s="67"/>
      <c r="E898" s="51"/>
      <c r="F898" s="51"/>
      <c r="G898" s="51"/>
      <c r="H898" s="51"/>
      <c r="I898" s="51"/>
    </row>
    <row r="899" ht="15.75" customHeight="1">
      <c r="A899" s="65"/>
      <c r="B899" s="66"/>
      <c r="C899" s="67"/>
      <c r="D899" s="67"/>
      <c r="E899" s="51"/>
      <c r="F899" s="51"/>
      <c r="G899" s="51"/>
      <c r="H899" s="51"/>
      <c r="I899" s="51"/>
    </row>
    <row r="900" ht="15.75" customHeight="1">
      <c r="A900" s="65"/>
      <c r="B900" s="66"/>
      <c r="C900" s="67"/>
      <c r="D900" s="67"/>
      <c r="E900" s="51"/>
      <c r="F900" s="51"/>
      <c r="G900" s="51"/>
      <c r="H900" s="51"/>
      <c r="I900" s="51"/>
    </row>
    <row r="901" ht="15.75" customHeight="1">
      <c r="A901" s="65"/>
      <c r="B901" s="66"/>
      <c r="C901" s="67"/>
      <c r="D901" s="67"/>
      <c r="E901" s="51"/>
      <c r="F901" s="51"/>
      <c r="G901" s="51"/>
      <c r="H901" s="51"/>
      <c r="I901" s="51"/>
    </row>
    <row r="902" ht="15.75" customHeight="1">
      <c r="A902" s="65"/>
      <c r="B902" s="66"/>
      <c r="C902" s="67"/>
      <c r="D902" s="67"/>
      <c r="E902" s="51"/>
      <c r="F902" s="51"/>
      <c r="G902" s="51"/>
      <c r="H902" s="51"/>
      <c r="I902" s="51"/>
    </row>
    <row r="903" ht="15.75" customHeight="1">
      <c r="A903" s="65"/>
      <c r="B903" s="66"/>
      <c r="C903" s="67"/>
      <c r="D903" s="67"/>
      <c r="E903" s="51"/>
      <c r="F903" s="51"/>
      <c r="G903" s="51"/>
      <c r="H903" s="51"/>
      <c r="I903" s="51"/>
    </row>
    <row r="904" ht="15.75" customHeight="1">
      <c r="A904" s="65"/>
      <c r="B904" s="66"/>
      <c r="C904" s="67"/>
      <c r="D904" s="67"/>
      <c r="E904" s="51"/>
      <c r="F904" s="51"/>
      <c r="G904" s="51"/>
      <c r="H904" s="51"/>
      <c r="I904" s="51"/>
    </row>
    <row r="905" ht="15.75" customHeight="1">
      <c r="A905" s="65"/>
      <c r="B905" s="66"/>
      <c r="C905" s="67"/>
      <c r="D905" s="67"/>
      <c r="E905" s="51"/>
      <c r="F905" s="51"/>
      <c r="G905" s="51"/>
      <c r="H905" s="51"/>
      <c r="I905" s="51"/>
    </row>
    <row r="906" ht="15.75" customHeight="1">
      <c r="A906" s="65"/>
      <c r="B906" s="66"/>
      <c r="C906" s="67"/>
      <c r="D906" s="67"/>
      <c r="E906" s="51"/>
      <c r="F906" s="51"/>
      <c r="G906" s="51"/>
      <c r="H906" s="51"/>
      <c r="I906" s="51"/>
    </row>
    <row r="907" ht="15.75" customHeight="1">
      <c r="A907" s="65"/>
      <c r="B907" s="66"/>
      <c r="C907" s="67"/>
      <c r="D907" s="67"/>
      <c r="E907" s="51"/>
      <c r="F907" s="51"/>
      <c r="G907" s="51"/>
      <c r="H907" s="51"/>
      <c r="I907" s="51"/>
    </row>
    <row r="908" ht="15.75" customHeight="1">
      <c r="A908" s="65"/>
      <c r="B908" s="66"/>
      <c r="C908" s="67"/>
      <c r="D908" s="67"/>
      <c r="E908" s="51"/>
      <c r="F908" s="51"/>
      <c r="G908" s="51"/>
      <c r="H908" s="51"/>
      <c r="I908" s="51"/>
    </row>
    <row r="909" ht="15.75" customHeight="1">
      <c r="A909" s="65"/>
      <c r="B909" s="66"/>
      <c r="C909" s="67"/>
      <c r="D909" s="67"/>
      <c r="E909" s="51"/>
      <c r="F909" s="51"/>
      <c r="G909" s="51"/>
      <c r="H909" s="51"/>
      <c r="I909" s="51"/>
    </row>
    <row r="910" ht="15.75" customHeight="1">
      <c r="A910" s="65"/>
      <c r="B910" s="66"/>
      <c r="C910" s="67"/>
      <c r="D910" s="67"/>
      <c r="E910" s="51"/>
      <c r="F910" s="51"/>
      <c r="G910" s="51"/>
      <c r="H910" s="51"/>
      <c r="I910" s="51"/>
    </row>
    <row r="911" ht="15.75" customHeight="1">
      <c r="A911" s="65"/>
      <c r="B911" s="66"/>
      <c r="C911" s="67"/>
      <c r="D911" s="67"/>
      <c r="E911" s="51"/>
      <c r="F911" s="51"/>
      <c r="G911" s="51"/>
      <c r="H911" s="51"/>
      <c r="I911" s="51"/>
    </row>
    <row r="912" ht="15.75" customHeight="1">
      <c r="A912" s="65"/>
      <c r="B912" s="66"/>
      <c r="C912" s="67"/>
      <c r="D912" s="67"/>
      <c r="E912" s="51"/>
      <c r="F912" s="51"/>
      <c r="G912" s="51"/>
      <c r="H912" s="51"/>
      <c r="I912" s="51"/>
    </row>
    <row r="913" ht="15.75" customHeight="1">
      <c r="A913" s="65"/>
      <c r="B913" s="66"/>
      <c r="C913" s="67"/>
      <c r="D913" s="67"/>
      <c r="E913" s="51"/>
      <c r="F913" s="51"/>
      <c r="G913" s="51"/>
      <c r="H913" s="51"/>
      <c r="I913" s="51"/>
    </row>
    <row r="914" ht="15.75" customHeight="1">
      <c r="A914" s="65"/>
      <c r="B914" s="66"/>
      <c r="C914" s="67"/>
      <c r="D914" s="67"/>
      <c r="E914" s="51"/>
      <c r="F914" s="51"/>
      <c r="G914" s="51"/>
      <c r="H914" s="51"/>
      <c r="I914" s="51"/>
    </row>
    <row r="915" ht="15.75" customHeight="1">
      <c r="A915" s="65"/>
      <c r="B915" s="66"/>
      <c r="C915" s="67"/>
      <c r="D915" s="67"/>
      <c r="E915" s="51"/>
      <c r="F915" s="51"/>
      <c r="G915" s="51"/>
      <c r="H915" s="51"/>
      <c r="I915" s="51"/>
    </row>
    <row r="916" ht="15.75" customHeight="1">
      <c r="A916" s="65"/>
      <c r="B916" s="66"/>
      <c r="C916" s="67"/>
      <c r="D916" s="67"/>
      <c r="E916" s="51"/>
      <c r="F916" s="51"/>
      <c r="G916" s="51"/>
      <c r="H916" s="51"/>
      <c r="I916" s="51"/>
    </row>
    <row r="917" ht="15.75" customHeight="1">
      <c r="A917" s="65"/>
      <c r="B917" s="66"/>
      <c r="C917" s="67"/>
      <c r="D917" s="67"/>
      <c r="E917" s="51"/>
      <c r="F917" s="51"/>
      <c r="G917" s="51"/>
      <c r="H917" s="51"/>
      <c r="I917" s="51"/>
    </row>
    <row r="918" ht="15.75" customHeight="1">
      <c r="A918" s="65"/>
      <c r="B918" s="66"/>
      <c r="C918" s="67"/>
      <c r="D918" s="67"/>
      <c r="E918" s="51"/>
      <c r="F918" s="51"/>
      <c r="G918" s="51"/>
      <c r="H918" s="51"/>
      <c r="I918" s="51"/>
    </row>
    <row r="919" ht="15.75" customHeight="1">
      <c r="A919" s="65"/>
      <c r="B919" s="66"/>
      <c r="C919" s="67"/>
      <c r="D919" s="67"/>
      <c r="E919" s="51"/>
      <c r="F919" s="51"/>
      <c r="G919" s="51"/>
      <c r="H919" s="51"/>
      <c r="I919" s="51"/>
    </row>
    <row r="920" ht="15.75" customHeight="1">
      <c r="A920" s="65"/>
      <c r="B920" s="66"/>
      <c r="C920" s="67"/>
      <c r="D920" s="67"/>
      <c r="E920" s="51"/>
      <c r="F920" s="51"/>
      <c r="G920" s="51"/>
      <c r="H920" s="51"/>
      <c r="I920" s="51"/>
    </row>
    <row r="921" ht="15.75" customHeight="1">
      <c r="A921" s="65"/>
      <c r="B921" s="66"/>
      <c r="C921" s="67"/>
      <c r="D921" s="67"/>
      <c r="E921" s="51"/>
      <c r="F921" s="51"/>
      <c r="G921" s="51"/>
      <c r="H921" s="51"/>
      <c r="I921" s="51"/>
    </row>
    <row r="922" ht="15.75" customHeight="1">
      <c r="A922" s="65"/>
      <c r="B922" s="66"/>
      <c r="C922" s="67"/>
      <c r="D922" s="67"/>
      <c r="E922" s="51"/>
      <c r="F922" s="51"/>
      <c r="G922" s="51"/>
      <c r="H922" s="51"/>
      <c r="I922" s="51"/>
    </row>
    <row r="923" ht="15.75" customHeight="1">
      <c r="A923" s="65"/>
      <c r="B923" s="66"/>
      <c r="C923" s="67"/>
      <c r="D923" s="67"/>
      <c r="E923" s="51"/>
      <c r="F923" s="51"/>
      <c r="G923" s="51"/>
      <c r="H923" s="51"/>
      <c r="I923" s="51"/>
    </row>
    <row r="924" ht="15.75" customHeight="1">
      <c r="A924" s="65"/>
      <c r="B924" s="66"/>
      <c r="C924" s="67"/>
      <c r="D924" s="67"/>
      <c r="E924" s="51"/>
      <c r="F924" s="51"/>
      <c r="G924" s="51"/>
      <c r="H924" s="51"/>
      <c r="I924" s="51"/>
    </row>
    <row r="925" ht="15.75" customHeight="1">
      <c r="A925" s="65"/>
      <c r="B925" s="66"/>
      <c r="C925" s="67"/>
      <c r="D925" s="67"/>
      <c r="E925" s="51"/>
      <c r="F925" s="51"/>
      <c r="G925" s="51"/>
      <c r="H925" s="51"/>
      <c r="I925" s="51"/>
    </row>
    <row r="926" ht="15.75" customHeight="1">
      <c r="A926" s="65"/>
      <c r="B926" s="66"/>
      <c r="C926" s="67"/>
      <c r="D926" s="67"/>
      <c r="E926" s="51"/>
      <c r="F926" s="51"/>
      <c r="G926" s="51"/>
      <c r="H926" s="51"/>
      <c r="I926" s="51"/>
    </row>
    <row r="927" ht="15.75" customHeight="1">
      <c r="A927" s="65"/>
      <c r="B927" s="66"/>
      <c r="C927" s="67"/>
      <c r="D927" s="67"/>
      <c r="E927" s="51"/>
      <c r="F927" s="51"/>
      <c r="G927" s="51"/>
      <c r="H927" s="51"/>
      <c r="I927" s="51"/>
    </row>
    <row r="928" ht="15.75" customHeight="1">
      <c r="A928" s="65"/>
      <c r="B928" s="66"/>
      <c r="C928" s="67"/>
      <c r="D928" s="67"/>
      <c r="E928" s="51"/>
      <c r="F928" s="51"/>
      <c r="G928" s="51"/>
      <c r="H928" s="51"/>
      <c r="I928" s="51"/>
    </row>
    <row r="929" ht="15.75" customHeight="1">
      <c r="A929" s="65"/>
      <c r="B929" s="66"/>
      <c r="C929" s="67"/>
      <c r="D929" s="67"/>
      <c r="E929" s="51"/>
      <c r="F929" s="51"/>
      <c r="G929" s="51"/>
      <c r="H929" s="51"/>
      <c r="I929" s="51"/>
    </row>
    <row r="930" ht="15.75" customHeight="1">
      <c r="A930" s="65"/>
      <c r="B930" s="66"/>
      <c r="C930" s="67"/>
      <c r="D930" s="67"/>
      <c r="E930" s="51"/>
      <c r="F930" s="51"/>
      <c r="G930" s="51"/>
      <c r="H930" s="51"/>
      <c r="I930" s="51"/>
    </row>
    <row r="931" ht="15.75" customHeight="1">
      <c r="A931" s="65"/>
      <c r="B931" s="66"/>
      <c r="C931" s="67"/>
      <c r="D931" s="67"/>
      <c r="E931" s="51"/>
      <c r="F931" s="51"/>
      <c r="G931" s="51"/>
      <c r="H931" s="51"/>
      <c r="I931" s="51"/>
    </row>
    <row r="932" ht="15.75" customHeight="1">
      <c r="A932" s="65"/>
      <c r="B932" s="66"/>
      <c r="C932" s="67"/>
      <c r="D932" s="67"/>
      <c r="E932" s="51"/>
      <c r="F932" s="51"/>
      <c r="G932" s="51"/>
      <c r="H932" s="51"/>
      <c r="I932" s="51"/>
    </row>
    <row r="933" ht="15.75" customHeight="1">
      <c r="A933" s="65"/>
      <c r="B933" s="66"/>
      <c r="C933" s="67"/>
      <c r="D933" s="67"/>
      <c r="E933" s="51"/>
      <c r="F933" s="51"/>
      <c r="G933" s="51"/>
      <c r="H933" s="51"/>
      <c r="I933" s="51"/>
    </row>
    <row r="934" ht="15.75" customHeight="1">
      <c r="A934" s="65"/>
      <c r="B934" s="66"/>
      <c r="C934" s="67"/>
      <c r="D934" s="67"/>
      <c r="E934" s="51"/>
      <c r="F934" s="51"/>
      <c r="G934" s="51"/>
      <c r="H934" s="51"/>
      <c r="I934" s="51"/>
    </row>
    <row r="935" ht="15.75" customHeight="1">
      <c r="A935" s="65"/>
      <c r="B935" s="66"/>
      <c r="C935" s="67"/>
      <c r="D935" s="67"/>
      <c r="E935" s="51"/>
      <c r="F935" s="51"/>
      <c r="G935" s="51"/>
      <c r="H935" s="51"/>
      <c r="I935" s="51"/>
    </row>
    <row r="936" ht="15.75" customHeight="1">
      <c r="A936" s="65"/>
      <c r="B936" s="66"/>
      <c r="C936" s="67"/>
      <c r="D936" s="67"/>
      <c r="E936" s="51"/>
      <c r="F936" s="51"/>
      <c r="G936" s="51"/>
      <c r="H936" s="51"/>
      <c r="I936" s="51"/>
    </row>
    <row r="937" ht="15.75" customHeight="1">
      <c r="A937" s="65"/>
      <c r="B937" s="66"/>
      <c r="C937" s="67"/>
      <c r="D937" s="67"/>
      <c r="E937" s="51"/>
      <c r="F937" s="51"/>
      <c r="G937" s="51"/>
      <c r="H937" s="51"/>
      <c r="I937" s="51"/>
    </row>
    <row r="938" ht="15.75" customHeight="1">
      <c r="A938" s="65"/>
      <c r="B938" s="66"/>
      <c r="C938" s="67"/>
      <c r="D938" s="67"/>
      <c r="E938" s="51"/>
      <c r="F938" s="51"/>
      <c r="G938" s="51"/>
      <c r="H938" s="51"/>
      <c r="I938" s="51"/>
    </row>
    <row r="939" ht="15.75" customHeight="1">
      <c r="A939" s="65"/>
      <c r="B939" s="66"/>
      <c r="C939" s="67"/>
      <c r="D939" s="67"/>
      <c r="E939" s="51"/>
      <c r="F939" s="51"/>
      <c r="G939" s="51"/>
      <c r="H939" s="51"/>
      <c r="I939" s="51"/>
    </row>
    <row r="940" ht="15.75" customHeight="1">
      <c r="A940" s="65"/>
      <c r="B940" s="66"/>
      <c r="C940" s="67"/>
      <c r="D940" s="67"/>
      <c r="E940" s="51"/>
      <c r="F940" s="51"/>
      <c r="G940" s="51"/>
      <c r="H940" s="51"/>
      <c r="I940" s="51"/>
    </row>
    <row r="941" ht="15.75" customHeight="1">
      <c r="A941" s="65"/>
      <c r="B941" s="66"/>
      <c r="C941" s="67"/>
      <c r="D941" s="67"/>
      <c r="E941" s="51"/>
      <c r="F941" s="51"/>
      <c r="G941" s="51"/>
      <c r="H941" s="51"/>
      <c r="I941" s="51"/>
    </row>
    <row r="942" ht="15.75" customHeight="1">
      <c r="A942" s="65"/>
      <c r="B942" s="66"/>
      <c r="C942" s="67"/>
      <c r="D942" s="67"/>
      <c r="E942" s="51"/>
      <c r="F942" s="51"/>
      <c r="G942" s="51"/>
      <c r="H942" s="51"/>
      <c r="I942" s="51"/>
    </row>
    <row r="943" ht="15.75" customHeight="1">
      <c r="A943" s="65"/>
      <c r="B943" s="66"/>
      <c r="C943" s="67"/>
      <c r="D943" s="67"/>
      <c r="E943" s="51"/>
      <c r="F943" s="51"/>
      <c r="G943" s="51"/>
      <c r="H943" s="51"/>
      <c r="I943" s="51"/>
    </row>
    <row r="944" ht="15.75" customHeight="1">
      <c r="A944" s="65"/>
      <c r="B944" s="66"/>
      <c r="C944" s="67"/>
      <c r="D944" s="67"/>
      <c r="E944" s="51"/>
      <c r="F944" s="51"/>
      <c r="G944" s="51"/>
      <c r="H944" s="51"/>
      <c r="I944" s="51"/>
    </row>
    <row r="945" ht="15.75" customHeight="1">
      <c r="A945" s="65"/>
      <c r="B945" s="66"/>
      <c r="C945" s="67"/>
      <c r="D945" s="67"/>
      <c r="E945" s="51"/>
      <c r="F945" s="51"/>
      <c r="G945" s="51"/>
      <c r="H945" s="51"/>
      <c r="I945" s="51"/>
    </row>
    <row r="946" ht="15.75" customHeight="1">
      <c r="A946" s="65"/>
      <c r="B946" s="66"/>
      <c r="C946" s="67"/>
      <c r="D946" s="67"/>
      <c r="E946" s="51"/>
      <c r="F946" s="51"/>
      <c r="G946" s="51"/>
      <c r="H946" s="51"/>
      <c r="I946" s="51"/>
    </row>
    <row r="947" ht="15.75" customHeight="1">
      <c r="A947" s="65"/>
      <c r="B947" s="66"/>
      <c r="C947" s="67"/>
      <c r="D947" s="67"/>
      <c r="E947" s="51"/>
      <c r="F947" s="51"/>
      <c r="G947" s="51"/>
      <c r="H947" s="51"/>
      <c r="I947" s="51"/>
    </row>
    <row r="948" ht="15.75" customHeight="1">
      <c r="A948" s="65"/>
      <c r="B948" s="66"/>
      <c r="C948" s="67"/>
      <c r="D948" s="67"/>
      <c r="E948" s="51"/>
      <c r="F948" s="51"/>
      <c r="G948" s="51"/>
      <c r="H948" s="51"/>
      <c r="I948" s="51"/>
    </row>
    <row r="949" ht="15.75" customHeight="1">
      <c r="A949" s="65"/>
      <c r="B949" s="66"/>
      <c r="C949" s="67"/>
      <c r="D949" s="67"/>
      <c r="E949" s="51"/>
      <c r="F949" s="51"/>
      <c r="G949" s="51"/>
      <c r="H949" s="51"/>
      <c r="I949" s="51"/>
    </row>
    <row r="950" ht="15.75" customHeight="1">
      <c r="A950" s="65"/>
      <c r="B950" s="66"/>
      <c r="C950" s="67"/>
      <c r="D950" s="67"/>
      <c r="E950" s="51"/>
      <c r="F950" s="51"/>
      <c r="G950" s="51"/>
      <c r="H950" s="51"/>
      <c r="I950" s="51"/>
    </row>
    <row r="951" ht="15.75" customHeight="1">
      <c r="A951" s="65"/>
      <c r="B951" s="66"/>
      <c r="C951" s="67"/>
      <c r="D951" s="67"/>
      <c r="E951" s="51"/>
      <c r="F951" s="51"/>
      <c r="G951" s="51"/>
      <c r="H951" s="51"/>
      <c r="I951" s="51"/>
    </row>
    <row r="952" ht="15.75" customHeight="1">
      <c r="A952" s="65"/>
      <c r="B952" s="66"/>
      <c r="C952" s="67"/>
      <c r="D952" s="67"/>
      <c r="E952" s="51"/>
      <c r="F952" s="51"/>
      <c r="G952" s="51"/>
      <c r="H952" s="51"/>
      <c r="I952" s="51"/>
    </row>
    <row r="953" ht="15.75" customHeight="1">
      <c r="A953" s="65"/>
      <c r="B953" s="66"/>
      <c r="C953" s="67"/>
      <c r="D953" s="67"/>
      <c r="E953" s="51"/>
      <c r="F953" s="51"/>
      <c r="G953" s="51"/>
      <c r="H953" s="51"/>
      <c r="I953" s="51"/>
    </row>
    <row r="954" ht="15.75" customHeight="1">
      <c r="A954" s="65"/>
      <c r="B954" s="66"/>
      <c r="C954" s="67"/>
      <c r="D954" s="67"/>
      <c r="E954" s="51"/>
      <c r="F954" s="51"/>
      <c r="G954" s="51"/>
      <c r="H954" s="51"/>
      <c r="I954" s="51"/>
    </row>
    <row r="955" ht="15.75" customHeight="1">
      <c r="A955" s="65"/>
      <c r="B955" s="66"/>
      <c r="C955" s="67"/>
      <c r="D955" s="67"/>
      <c r="E955" s="51"/>
      <c r="F955" s="51"/>
      <c r="G955" s="51"/>
      <c r="H955" s="51"/>
      <c r="I955" s="51"/>
    </row>
    <row r="956" ht="15.75" customHeight="1">
      <c r="A956" s="65"/>
      <c r="B956" s="66"/>
      <c r="C956" s="67"/>
      <c r="D956" s="67"/>
      <c r="E956" s="51"/>
      <c r="F956" s="51"/>
      <c r="G956" s="51"/>
      <c r="H956" s="51"/>
      <c r="I956" s="51"/>
    </row>
    <row r="957" ht="15.75" customHeight="1">
      <c r="A957" s="65"/>
      <c r="B957" s="66"/>
      <c r="C957" s="67"/>
      <c r="D957" s="67"/>
      <c r="E957" s="51"/>
      <c r="F957" s="51"/>
      <c r="G957" s="51"/>
      <c r="H957" s="51"/>
      <c r="I957" s="51"/>
    </row>
    <row r="958" ht="15.75" customHeight="1">
      <c r="A958" s="65"/>
      <c r="B958" s="66"/>
      <c r="C958" s="67"/>
      <c r="D958" s="67"/>
      <c r="E958" s="51"/>
      <c r="F958" s="51"/>
      <c r="G958" s="51"/>
      <c r="H958" s="51"/>
      <c r="I958" s="51"/>
    </row>
    <row r="959" ht="15.75" customHeight="1">
      <c r="A959" s="65"/>
      <c r="B959" s="66"/>
      <c r="C959" s="67"/>
      <c r="D959" s="67"/>
      <c r="E959" s="51"/>
      <c r="F959" s="51"/>
      <c r="G959" s="51"/>
      <c r="H959" s="51"/>
      <c r="I959" s="51"/>
    </row>
    <row r="960" ht="15.75" customHeight="1">
      <c r="A960" s="65"/>
      <c r="B960" s="66"/>
      <c r="C960" s="67"/>
      <c r="D960" s="67"/>
      <c r="E960" s="51"/>
      <c r="F960" s="51"/>
      <c r="G960" s="51"/>
      <c r="H960" s="51"/>
      <c r="I960" s="51"/>
    </row>
    <row r="961" ht="15.75" customHeight="1">
      <c r="A961" s="65"/>
      <c r="B961" s="66"/>
      <c r="C961" s="67"/>
      <c r="D961" s="67"/>
      <c r="E961" s="51"/>
      <c r="F961" s="51"/>
      <c r="G961" s="51"/>
      <c r="H961" s="51"/>
      <c r="I961" s="51"/>
    </row>
    <row r="962" ht="15.75" customHeight="1">
      <c r="A962" s="65"/>
      <c r="B962" s="66"/>
      <c r="C962" s="67"/>
      <c r="D962" s="67"/>
      <c r="E962" s="51"/>
      <c r="F962" s="51"/>
      <c r="G962" s="51"/>
      <c r="H962" s="51"/>
      <c r="I962" s="51"/>
    </row>
    <row r="963" ht="15.75" customHeight="1">
      <c r="A963" s="65"/>
      <c r="B963" s="66"/>
      <c r="C963" s="67"/>
      <c r="D963" s="67"/>
      <c r="E963" s="51"/>
      <c r="F963" s="51"/>
      <c r="G963" s="51"/>
      <c r="H963" s="51"/>
      <c r="I963" s="51"/>
    </row>
    <row r="964" ht="15.75" customHeight="1">
      <c r="A964" s="65"/>
      <c r="B964" s="66"/>
      <c r="C964" s="67"/>
      <c r="D964" s="67"/>
      <c r="E964" s="51"/>
      <c r="F964" s="51"/>
      <c r="G964" s="51"/>
      <c r="H964" s="51"/>
      <c r="I964" s="51"/>
    </row>
    <row r="965" ht="15.75" customHeight="1">
      <c r="A965" s="65"/>
      <c r="B965" s="66"/>
      <c r="C965" s="67"/>
      <c r="D965" s="67"/>
      <c r="E965" s="51"/>
      <c r="F965" s="51"/>
      <c r="G965" s="51"/>
      <c r="H965" s="51"/>
      <c r="I965" s="51"/>
    </row>
    <row r="966" ht="15.75" customHeight="1">
      <c r="A966" s="65"/>
      <c r="B966" s="66"/>
      <c r="C966" s="67"/>
      <c r="D966" s="67"/>
      <c r="E966" s="51"/>
      <c r="F966" s="51"/>
      <c r="G966" s="51"/>
      <c r="H966" s="51"/>
      <c r="I966" s="51"/>
    </row>
    <row r="967" ht="15.75" customHeight="1">
      <c r="A967" s="65"/>
      <c r="B967" s="66"/>
      <c r="C967" s="67"/>
      <c r="D967" s="67"/>
      <c r="E967" s="51"/>
      <c r="F967" s="51"/>
      <c r="G967" s="51"/>
      <c r="H967" s="51"/>
      <c r="I967" s="51"/>
    </row>
    <row r="968" ht="15.75" customHeight="1">
      <c r="A968" s="65"/>
      <c r="B968" s="66"/>
      <c r="C968" s="67"/>
      <c r="D968" s="67"/>
      <c r="E968" s="51"/>
      <c r="F968" s="51"/>
      <c r="G968" s="51"/>
      <c r="H968" s="51"/>
      <c r="I968" s="51"/>
    </row>
    <row r="969" ht="15.75" customHeight="1">
      <c r="A969" s="65"/>
      <c r="B969" s="66"/>
      <c r="C969" s="67"/>
      <c r="D969" s="67"/>
      <c r="E969" s="51"/>
      <c r="F969" s="51"/>
      <c r="G969" s="51"/>
      <c r="H969" s="51"/>
      <c r="I969" s="51"/>
    </row>
    <row r="970" ht="15.75" customHeight="1">
      <c r="A970" s="65"/>
      <c r="B970" s="66"/>
      <c r="C970" s="67"/>
      <c r="D970" s="67"/>
      <c r="E970" s="51"/>
      <c r="F970" s="51"/>
      <c r="G970" s="51"/>
      <c r="H970" s="51"/>
      <c r="I970" s="51"/>
    </row>
    <row r="971" ht="15.75" customHeight="1">
      <c r="A971" s="65"/>
      <c r="B971" s="66"/>
      <c r="C971" s="67"/>
      <c r="D971" s="67"/>
      <c r="E971" s="51"/>
      <c r="F971" s="51"/>
      <c r="G971" s="51"/>
      <c r="H971" s="51"/>
      <c r="I971" s="51"/>
    </row>
    <row r="972" ht="15.75" customHeight="1">
      <c r="A972" s="65"/>
      <c r="B972" s="66"/>
      <c r="C972" s="67"/>
      <c r="D972" s="67"/>
      <c r="E972" s="51"/>
      <c r="F972" s="51"/>
      <c r="G972" s="51"/>
      <c r="H972" s="51"/>
      <c r="I972" s="51"/>
    </row>
    <row r="973" ht="15.75" customHeight="1">
      <c r="A973" s="65"/>
      <c r="B973" s="66"/>
      <c r="C973" s="67"/>
      <c r="D973" s="67"/>
      <c r="E973" s="51"/>
      <c r="F973" s="51"/>
      <c r="G973" s="51"/>
      <c r="H973" s="51"/>
      <c r="I973" s="51"/>
    </row>
    <row r="974" ht="15.75" customHeight="1">
      <c r="A974" s="65"/>
      <c r="B974" s="66"/>
      <c r="C974" s="67"/>
      <c r="D974" s="67"/>
      <c r="E974" s="51"/>
      <c r="F974" s="51"/>
      <c r="G974" s="51"/>
      <c r="H974" s="51"/>
      <c r="I974" s="51"/>
    </row>
    <row r="975" ht="15.75" customHeight="1">
      <c r="A975" s="65"/>
      <c r="B975" s="66"/>
      <c r="C975" s="67"/>
      <c r="D975" s="67"/>
      <c r="E975" s="51"/>
      <c r="F975" s="51"/>
      <c r="G975" s="51"/>
      <c r="H975" s="51"/>
      <c r="I975" s="51"/>
    </row>
    <row r="976" ht="15.75" customHeight="1">
      <c r="A976" s="65"/>
      <c r="B976" s="66"/>
      <c r="C976" s="67"/>
      <c r="D976" s="67"/>
      <c r="E976" s="51"/>
      <c r="F976" s="51"/>
      <c r="G976" s="51"/>
      <c r="H976" s="51"/>
      <c r="I976" s="51"/>
    </row>
    <row r="977" ht="15.75" customHeight="1">
      <c r="A977" s="65"/>
      <c r="B977" s="66"/>
      <c r="C977" s="67"/>
      <c r="D977" s="67"/>
      <c r="E977" s="51"/>
      <c r="F977" s="51"/>
      <c r="G977" s="51"/>
      <c r="H977" s="51"/>
      <c r="I977" s="51"/>
    </row>
    <row r="978" ht="15.75" customHeight="1">
      <c r="A978" s="65"/>
      <c r="B978" s="66"/>
      <c r="C978" s="67"/>
      <c r="D978" s="67"/>
      <c r="E978" s="51"/>
      <c r="F978" s="51"/>
      <c r="G978" s="51"/>
      <c r="H978" s="51"/>
      <c r="I978" s="51"/>
    </row>
    <row r="979" ht="15.75" customHeight="1">
      <c r="A979" s="65"/>
      <c r="B979" s="66"/>
      <c r="C979" s="67"/>
      <c r="D979" s="67"/>
      <c r="E979" s="51"/>
      <c r="F979" s="51"/>
      <c r="G979" s="51"/>
      <c r="H979" s="51"/>
      <c r="I979" s="51"/>
    </row>
    <row r="980" ht="15.75" customHeight="1">
      <c r="A980" s="65"/>
      <c r="B980" s="66"/>
      <c r="C980" s="67"/>
      <c r="D980" s="67"/>
      <c r="E980" s="51"/>
      <c r="F980" s="51"/>
      <c r="G980" s="51"/>
      <c r="H980" s="51"/>
      <c r="I980" s="51"/>
    </row>
    <row r="981" ht="15.75" customHeight="1">
      <c r="A981" s="65"/>
      <c r="B981" s="66"/>
      <c r="C981" s="67"/>
      <c r="D981" s="67"/>
      <c r="E981" s="51"/>
      <c r="F981" s="51"/>
      <c r="G981" s="51"/>
      <c r="H981" s="51"/>
      <c r="I981" s="51"/>
    </row>
    <row r="982" ht="15.75" customHeight="1">
      <c r="A982" s="65"/>
      <c r="B982" s="66"/>
      <c r="C982" s="67"/>
      <c r="D982" s="67"/>
      <c r="E982" s="51"/>
      <c r="F982" s="51"/>
      <c r="G982" s="51"/>
      <c r="H982" s="51"/>
      <c r="I982" s="51"/>
    </row>
    <row r="983" ht="15.75" customHeight="1">
      <c r="A983" s="65"/>
      <c r="B983" s="66"/>
      <c r="C983" s="67"/>
      <c r="D983" s="67"/>
      <c r="E983" s="51"/>
      <c r="F983" s="51"/>
      <c r="G983" s="51"/>
      <c r="H983" s="51"/>
      <c r="I983" s="51"/>
    </row>
    <row r="984" ht="15.75" customHeight="1">
      <c r="A984" s="65"/>
      <c r="B984" s="66"/>
      <c r="C984" s="67"/>
      <c r="D984" s="67"/>
      <c r="E984" s="51"/>
      <c r="F984" s="51"/>
      <c r="G984" s="51"/>
      <c r="H984" s="51"/>
      <c r="I984" s="51"/>
    </row>
    <row r="985" ht="15.75" customHeight="1">
      <c r="A985" s="65"/>
      <c r="B985" s="66"/>
      <c r="C985" s="67"/>
      <c r="D985" s="67"/>
      <c r="E985" s="51"/>
      <c r="F985" s="51"/>
      <c r="G985" s="51"/>
      <c r="H985" s="51"/>
      <c r="I985" s="51"/>
    </row>
    <row r="986" ht="15.75" customHeight="1">
      <c r="A986" s="65"/>
      <c r="B986" s="66"/>
      <c r="C986" s="67"/>
      <c r="D986" s="67"/>
      <c r="E986" s="51"/>
      <c r="F986" s="51"/>
      <c r="G986" s="51"/>
      <c r="H986" s="51"/>
      <c r="I986" s="51"/>
    </row>
    <row r="987" ht="15.75" customHeight="1">
      <c r="A987" s="65"/>
      <c r="B987" s="66"/>
      <c r="C987" s="67"/>
      <c r="D987" s="67"/>
      <c r="E987" s="51"/>
      <c r="F987" s="51"/>
      <c r="G987" s="51"/>
      <c r="H987" s="51"/>
      <c r="I987" s="51"/>
    </row>
    <row r="988" ht="15.75" customHeight="1">
      <c r="A988" s="65"/>
      <c r="B988" s="66"/>
      <c r="C988" s="67"/>
      <c r="D988" s="67"/>
      <c r="E988" s="51"/>
      <c r="F988" s="51"/>
      <c r="G988" s="51"/>
      <c r="H988" s="51"/>
      <c r="I988" s="51"/>
    </row>
    <row r="989" ht="15.75" customHeight="1">
      <c r="A989" s="65"/>
      <c r="B989" s="66"/>
      <c r="C989" s="67"/>
      <c r="D989" s="67"/>
      <c r="E989" s="51"/>
      <c r="F989" s="51"/>
      <c r="G989" s="51"/>
      <c r="H989" s="51"/>
      <c r="I989" s="51"/>
    </row>
    <row r="990" ht="15.75" customHeight="1">
      <c r="A990" s="65"/>
      <c r="B990" s="66"/>
      <c r="C990" s="67"/>
      <c r="D990" s="67"/>
      <c r="E990" s="51"/>
      <c r="F990" s="51"/>
      <c r="G990" s="51"/>
      <c r="H990" s="51"/>
      <c r="I990" s="51"/>
    </row>
    <row r="991" ht="15.75" customHeight="1">
      <c r="A991" s="65"/>
      <c r="B991" s="66"/>
      <c r="C991" s="67"/>
      <c r="D991" s="67"/>
      <c r="E991" s="51"/>
      <c r="F991" s="51"/>
      <c r="G991" s="51"/>
      <c r="H991" s="51"/>
      <c r="I991" s="51"/>
    </row>
    <row r="992" ht="15.75" customHeight="1">
      <c r="A992" s="65"/>
      <c r="B992" s="66"/>
      <c r="C992" s="67"/>
      <c r="D992" s="67"/>
      <c r="E992" s="51"/>
      <c r="F992" s="51"/>
      <c r="G992" s="51"/>
      <c r="H992" s="51"/>
      <c r="I992" s="51"/>
    </row>
    <row r="993" ht="15.75" customHeight="1">
      <c r="A993" s="65"/>
      <c r="B993" s="66"/>
      <c r="C993" s="67"/>
      <c r="D993" s="67"/>
      <c r="E993" s="51"/>
      <c r="F993" s="51"/>
      <c r="G993" s="51"/>
      <c r="H993" s="51"/>
      <c r="I993" s="51"/>
    </row>
    <row r="994" ht="15.75" customHeight="1">
      <c r="A994" s="65"/>
      <c r="B994" s="66"/>
      <c r="C994" s="67"/>
      <c r="D994" s="67"/>
      <c r="E994" s="51"/>
      <c r="F994" s="51"/>
      <c r="G994" s="51"/>
      <c r="H994" s="51"/>
      <c r="I994" s="51"/>
    </row>
    <row r="995" ht="15.75" customHeight="1">
      <c r="A995" s="65"/>
      <c r="B995" s="66"/>
      <c r="C995" s="67"/>
      <c r="D995" s="67"/>
      <c r="E995" s="51"/>
      <c r="F995" s="51"/>
      <c r="G995" s="51"/>
      <c r="H995" s="51"/>
      <c r="I995" s="51"/>
    </row>
    <row r="996" ht="15.75" customHeight="1">
      <c r="A996" s="65"/>
      <c r="B996" s="66"/>
      <c r="C996" s="67"/>
      <c r="D996" s="67"/>
      <c r="E996" s="51"/>
      <c r="F996" s="51"/>
      <c r="G996" s="51"/>
      <c r="H996" s="51"/>
      <c r="I996" s="51"/>
    </row>
    <row r="997" ht="15.75" customHeight="1">
      <c r="A997" s="65"/>
      <c r="B997" s="66"/>
      <c r="C997" s="67"/>
      <c r="D997" s="67"/>
      <c r="E997" s="51"/>
      <c r="F997" s="51"/>
      <c r="G997" s="51"/>
      <c r="H997" s="51"/>
      <c r="I997" s="51"/>
    </row>
    <row r="998" ht="15.75" customHeight="1">
      <c r="A998" s="65"/>
      <c r="B998" s="66"/>
      <c r="C998" s="67"/>
      <c r="D998" s="67"/>
      <c r="E998" s="51"/>
      <c r="F998" s="51"/>
      <c r="G998" s="51"/>
      <c r="H998" s="51"/>
      <c r="I998" s="51"/>
    </row>
    <row r="999" ht="15.75" customHeight="1">
      <c r="A999" s="65"/>
      <c r="B999" s="66"/>
      <c r="C999" s="67"/>
      <c r="D999" s="67"/>
      <c r="E999" s="51"/>
      <c r="F999" s="51"/>
      <c r="G999" s="51"/>
      <c r="H999" s="51"/>
      <c r="I999" s="51"/>
    </row>
    <row r="1000" ht="15.75" customHeight="1">
      <c r="A1000" s="65"/>
      <c r="B1000" s="66"/>
      <c r="C1000" s="67"/>
      <c r="D1000" s="67"/>
      <c r="E1000" s="51"/>
      <c r="F1000" s="51"/>
      <c r="G1000" s="51"/>
      <c r="H1000" s="51"/>
      <c r="I1000" s="51"/>
    </row>
    <row r="1001" ht="15.75" customHeight="1">
      <c r="A1001" s="65"/>
      <c r="B1001" s="66"/>
      <c r="C1001" s="67"/>
      <c r="D1001" s="67"/>
      <c r="E1001" s="51"/>
      <c r="F1001" s="51"/>
      <c r="G1001" s="51"/>
      <c r="H1001" s="51"/>
      <c r="I1001" s="51"/>
    </row>
    <row r="1002" ht="15.75" customHeight="1">
      <c r="A1002" s="65"/>
      <c r="B1002" s="66"/>
      <c r="C1002" s="67"/>
      <c r="D1002" s="67"/>
      <c r="E1002" s="51"/>
      <c r="F1002" s="51"/>
      <c r="G1002" s="51"/>
      <c r="H1002" s="51"/>
      <c r="I1002" s="51"/>
    </row>
    <row r="1003" ht="15.75" customHeight="1">
      <c r="A1003" s="65"/>
      <c r="B1003" s="66"/>
      <c r="C1003" s="67"/>
      <c r="D1003" s="67"/>
      <c r="E1003" s="51"/>
      <c r="F1003" s="51"/>
      <c r="G1003" s="51"/>
      <c r="H1003" s="51"/>
      <c r="I1003" s="51"/>
    </row>
    <row r="1004" ht="15.75" customHeight="1">
      <c r="A1004" s="65"/>
      <c r="B1004" s="66"/>
      <c r="C1004" s="67"/>
      <c r="D1004" s="67"/>
      <c r="E1004" s="51"/>
      <c r="F1004" s="51"/>
      <c r="G1004" s="51"/>
      <c r="H1004" s="51"/>
      <c r="I1004" s="51"/>
    </row>
    <row r="1005" ht="15.75" customHeight="1">
      <c r="A1005" s="65"/>
      <c r="B1005" s="66"/>
      <c r="C1005" s="67"/>
      <c r="D1005" s="67"/>
      <c r="E1005" s="51"/>
      <c r="F1005" s="51"/>
      <c r="G1005" s="51"/>
      <c r="H1005" s="51"/>
      <c r="I1005" s="51"/>
    </row>
    <row r="1006" ht="15.75" customHeight="1">
      <c r="A1006" s="65"/>
      <c r="B1006" s="66"/>
      <c r="C1006" s="67"/>
      <c r="D1006" s="67"/>
      <c r="E1006" s="51"/>
      <c r="F1006" s="51"/>
      <c r="G1006" s="51"/>
      <c r="H1006" s="51"/>
      <c r="I1006" s="51"/>
    </row>
    <row r="1007" ht="15.75" customHeight="1">
      <c r="A1007" s="65"/>
      <c r="B1007" s="66"/>
      <c r="C1007" s="67"/>
      <c r="D1007" s="67"/>
      <c r="E1007" s="51"/>
      <c r="F1007" s="51"/>
      <c r="G1007" s="51"/>
      <c r="H1007" s="51"/>
      <c r="I1007" s="51"/>
    </row>
    <row r="1008" ht="15.75" customHeight="1">
      <c r="A1008" s="65"/>
      <c r="B1008" s="66"/>
      <c r="C1008" s="67"/>
      <c r="D1008" s="67"/>
      <c r="E1008" s="51"/>
      <c r="F1008" s="51"/>
      <c r="G1008" s="51"/>
      <c r="H1008" s="51"/>
      <c r="I1008" s="51"/>
    </row>
    <row r="1009" ht="15.75" customHeight="1">
      <c r="A1009" s="65"/>
      <c r="B1009" s="66"/>
      <c r="C1009" s="67"/>
      <c r="D1009" s="67"/>
      <c r="E1009" s="51"/>
      <c r="F1009" s="51"/>
      <c r="G1009" s="51"/>
      <c r="H1009" s="51"/>
      <c r="I1009" s="51"/>
    </row>
    <row r="1010" ht="15.75" customHeight="1">
      <c r="A1010" s="65"/>
      <c r="B1010" s="66"/>
      <c r="C1010" s="67"/>
      <c r="D1010" s="67"/>
      <c r="E1010" s="51"/>
      <c r="F1010" s="51"/>
      <c r="G1010" s="51"/>
      <c r="H1010" s="51"/>
      <c r="I1010" s="51"/>
    </row>
    <row r="1011" ht="15.75" customHeight="1">
      <c r="A1011" s="65"/>
      <c r="B1011" s="66"/>
      <c r="C1011" s="67"/>
      <c r="D1011" s="67"/>
      <c r="E1011" s="51"/>
      <c r="F1011" s="51"/>
      <c r="G1011" s="51"/>
      <c r="H1011" s="51"/>
      <c r="I1011" s="51"/>
    </row>
    <row r="1012" ht="15.75" customHeight="1">
      <c r="A1012" s="65"/>
      <c r="B1012" s="66"/>
      <c r="C1012" s="67"/>
      <c r="D1012" s="67"/>
      <c r="E1012" s="51"/>
      <c r="F1012" s="51"/>
      <c r="G1012" s="51"/>
      <c r="H1012" s="51"/>
      <c r="I1012" s="51"/>
    </row>
    <row r="1013" ht="15.75" customHeight="1">
      <c r="A1013" s="65"/>
      <c r="B1013" s="66"/>
      <c r="C1013" s="67"/>
      <c r="D1013" s="67"/>
      <c r="E1013" s="51"/>
      <c r="F1013" s="51"/>
      <c r="G1013" s="51"/>
      <c r="H1013" s="51"/>
      <c r="I1013" s="51"/>
    </row>
    <row r="1014" ht="15.75" customHeight="1">
      <c r="A1014" s="65"/>
      <c r="B1014" s="66"/>
      <c r="C1014" s="67"/>
      <c r="D1014" s="67"/>
      <c r="E1014" s="51"/>
      <c r="F1014" s="51"/>
      <c r="G1014" s="51"/>
      <c r="H1014" s="51"/>
      <c r="I1014" s="51"/>
    </row>
    <row r="1015" ht="15.75" customHeight="1">
      <c r="A1015" s="65"/>
      <c r="B1015" s="66"/>
      <c r="C1015" s="67"/>
      <c r="D1015" s="67"/>
      <c r="E1015" s="51"/>
      <c r="F1015" s="51"/>
      <c r="G1015" s="51"/>
      <c r="H1015" s="51"/>
      <c r="I1015" s="51"/>
    </row>
    <row r="1016" ht="15.75" customHeight="1">
      <c r="A1016" s="65"/>
      <c r="B1016" s="66"/>
      <c r="C1016" s="67"/>
      <c r="D1016" s="67"/>
      <c r="E1016" s="51"/>
      <c r="F1016" s="51"/>
      <c r="G1016" s="51"/>
      <c r="H1016" s="51"/>
      <c r="I1016" s="51"/>
    </row>
    <row r="1017" ht="15.75" customHeight="1">
      <c r="A1017" s="65"/>
      <c r="B1017" s="66"/>
      <c r="C1017" s="67"/>
      <c r="D1017" s="67"/>
      <c r="E1017" s="51"/>
      <c r="F1017" s="51"/>
      <c r="G1017" s="51"/>
      <c r="H1017" s="51"/>
      <c r="I1017" s="51"/>
    </row>
    <row r="1018" ht="15.75" customHeight="1">
      <c r="A1018" s="65"/>
      <c r="B1018" s="66"/>
      <c r="C1018" s="67"/>
      <c r="D1018" s="67"/>
      <c r="E1018" s="51"/>
      <c r="F1018" s="51"/>
      <c r="G1018" s="51"/>
      <c r="H1018" s="51"/>
      <c r="I1018" s="51"/>
    </row>
    <row r="1019" ht="15.75" customHeight="1">
      <c r="A1019" s="65"/>
      <c r="B1019" s="66"/>
      <c r="C1019" s="67"/>
      <c r="D1019" s="67"/>
      <c r="E1019" s="51"/>
      <c r="F1019" s="51"/>
      <c r="G1019" s="51"/>
      <c r="H1019" s="51"/>
      <c r="I1019" s="51"/>
    </row>
    <row r="1020" ht="15.75" customHeight="1">
      <c r="A1020" s="65"/>
      <c r="B1020" s="66"/>
      <c r="C1020" s="67"/>
      <c r="D1020" s="67"/>
      <c r="E1020" s="51"/>
      <c r="F1020" s="51"/>
      <c r="G1020" s="51"/>
      <c r="H1020" s="51"/>
      <c r="I1020" s="51"/>
    </row>
    <row r="1021" ht="15.75" customHeight="1">
      <c r="A1021" s="65"/>
      <c r="B1021" s="66"/>
      <c r="C1021" s="67"/>
      <c r="D1021" s="67"/>
      <c r="E1021" s="51"/>
      <c r="F1021" s="51"/>
      <c r="G1021" s="51"/>
      <c r="H1021" s="51"/>
      <c r="I1021" s="51"/>
    </row>
    <row r="1022" ht="15.75" customHeight="1">
      <c r="A1022" s="65"/>
      <c r="B1022" s="66"/>
      <c r="C1022" s="67"/>
      <c r="D1022" s="67"/>
      <c r="E1022" s="51"/>
      <c r="F1022" s="51"/>
      <c r="G1022" s="51"/>
      <c r="H1022" s="51"/>
      <c r="I1022" s="51"/>
    </row>
    <row r="1023" ht="15.75" customHeight="1">
      <c r="A1023" s="65"/>
      <c r="B1023" s="66"/>
      <c r="C1023" s="67"/>
      <c r="D1023" s="67"/>
      <c r="E1023" s="51"/>
      <c r="F1023" s="51"/>
      <c r="G1023" s="51"/>
      <c r="H1023" s="51"/>
      <c r="I1023" s="51"/>
    </row>
    <row r="1024" ht="15.75" customHeight="1">
      <c r="A1024" s="65"/>
      <c r="B1024" s="66"/>
      <c r="C1024" s="67"/>
      <c r="D1024" s="67"/>
      <c r="E1024" s="51"/>
      <c r="F1024" s="51"/>
      <c r="G1024" s="51"/>
      <c r="H1024" s="51"/>
      <c r="I1024" s="51"/>
    </row>
    <row r="1025" ht="15.75" customHeight="1">
      <c r="A1025" s="65"/>
      <c r="B1025" s="66"/>
      <c r="C1025" s="67"/>
      <c r="D1025" s="67"/>
      <c r="E1025" s="51"/>
      <c r="F1025" s="51"/>
      <c r="G1025" s="51"/>
      <c r="H1025" s="51"/>
      <c r="I1025" s="51"/>
    </row>
    <row r="1026" ht="15.75" customHeight="1">
      <c r="A1026" s="65"/>
      <c r="B1026" s="66"/>
      <c r="C1026" s="67"/>
      <c r="D1026" s="67"/>
      <c r="E1026" s="51"/>
      <c r="F1026" s="51"/>
      <c r="G1026" s="51"/>
      <c r="H1026" s="51"/>
      <c r="I1026" s="51"/>
    </row>
    <row r="1027" ht="15.75" customHeight="1">
      <c r="A1027" s="65"/>
      <c r="B1027" s="66"/>
      <c r="C1027" s="67"/>
      <c r="D1027" s="67"/>
      <c r="E1027" s="51"/>
      <c r="F1027" s="51"/>
      <c r="G1027" s="51"/>
      <c r="H1027" s="51"/>
      <c r="I1027" s="51"/>
    </row>
    <row r="1028" ht="15.75" customHeight="1">
      <c r="A1028" s="65"/>
      <c r="B1028" s="66"/>
      <c r="C1028" s="67"/>
      <c r="D1028" s="67"/>
      <c r="E1028" s="51"/>
      <c r="F1028" s="51"/>
      <c r="G1028" s="51"/>
      <c r="H1028" s="51"/>
      <c r="I1028" s="51"/>
    </row>
    <row r="1029" ht="15.75" customHeight="1">
      <c r="A1029" s="65"/>
      <c r="B1029" s="66"/>
      <c r="C1029" s="67"/>
      <c r="D1029" s="67"/>
      <c r="E1029" s="51"/>
      <c r="F1029" s="51"/>
      <c r="G1029" s="51"/>
      <c r="H1029" s="51"/>
      <c r="I1029" s="51"/>
    </row>
    <row r="1030" ht="15.75" customHeight="1">
      <c r="A1030" s="65"/>
      <c r="B1030" s="66"/>
      <c r="C1030" s="67"/>
      <c r="D1030" s="67"/>
      <c r="E1030" s="51"/>
      <c r="F1030" s="51"/>
      <c r="G1030" s="51"/>
      <c r="H1030" s="51"/>
      <c r="I1030" s="51"/>
    </row>
    <row r="1031" ht="15.75" customHeight="1">
      <c r="A1031" s="65"/>
      <c r="B1031" s="66"/>
      <c r="C1031" s="67"/>
      <c r="D1031" s="67"/>
      <c r="E1031" s="51"/>
      <c r="F1031" s="51"/>
      <c r="G1031" s="51"/>
      <c r="H1031" s="51"/>
      <c r="I1031" s="51"/>
    </row>
    <row r="1032" ht="15.75" customHeight="1">
      <c r="A1032" s="65"/>
      <c r="B1032" s="66"/>
      <c r="C1032" s="67"/>
      <c r="D1032" s="67"/>
      <c r="E1032" s="51"/>
      <c r="F1032" s="51"/>
      <c r="G1032" s="51"/>
      <c r="H1032" s="51"/>
      <c r="I1032" s="51"/>
    </row>
    <row r="1033" ht="15.75" customHeight="1">
      <c r="A1033" s="65"/>
      <c r="B1033" s="66"/>
      <c r="C1033" s="67"/>
      <c r="D1033" s="67"/>
      <c r="E1033" s="51"/>
      <c r="F1033" s="51"/>
      <c r="G1033" s="51"/>
      <c r="H1033" s="51"/>
      <c r="I1033" s="51"/>
    </row>
    <row r="1034" ht="15.75" customHeight="1">
      <c r="A1034" s="65"/>
      <c r="B1034" s="66"/>
      <c r="C1034" s="67"/>
      <c r="D1034" s="67"/>
      <c r="E1034" s="51"/>
      <c r="F1034" s="51"/>
      <c r="G1034" s="51"/>
      <c r="H1034" s="51"/>
      <c r="I1034" s="51"/>
    </row>
    <row r="1035" ht="15.75" customHeight="1">
      <c r="A1035" s="65"/>
      <c r="B1035" s="66"/>
      <c r="C1035" s="67"/>
      <c r="D1035" s="67"/>
      <c r="E1035" s="51"/>
      <c r="F1035" s="51"/>
      <c r="G1035" s="51"/>
      <c r="H1035" s="51"/>
      <c r="I1035" s="51"/>
    </row>
    <row r="1036" ht="15.75" customHeight="1">
      <c r="A1036" s="65"/>
      <c r="B1036" s="66"/>
      <c r="C1036" s="67"/>
      <c r="D1036" s="67"/>
      <c r="E1036" s="51"/>
      <c r="F1036" s="51"/>
      <c r="G1036" s="51"/>
      <c r="H1036" s="51"/>
      <c r="I1036" s="51"/>
    </row>
    <row r="1037" ht="15.75" customHeight="1">
      <c r="A1037" s="65"/>
      <c r="B1037" s="66"/>
      <c r="C1037" s="67"/>
      <c r="D1037" s="67"/>
      <c r="E1037" s="51"/>
      <c r="F1037" s="51"/>
      <c r="G1037" s="51"/>
      <c r="H1037" s="51"/>
      <c r="I1037" s="51"/>
    </row>
    <row r="1038" ht="15.75" customHeight="1">
      <c r="A1038" s="65"/>
      <c r="B1038" s="66"/>
      <c r="C1038" s="67"/>
      <c r="D1038" s="67"/>
      <c r="E1038" s="51"/>
      <c r="F1038" s="51"/>
      <c r="G1038" s="51"/>
      <c r="H1038" s="51"/>
      <c r="I1038" s="51"/>
    </row>
    <row r="1039" ht="15.75" customHeight="1">
      <c r="A1039" s="65"/>
      <c r="B1039" s="66"/>
      <c r="C1039" s="67"/>
      <c r="D1039" s="67"/>
      <c r="E1039" s="51"/>
      <c r="F1039" s="51"/>
      <c r="G1039" s="51"/>
      <c r="H1039" s="51"/>
      <c r="I1039" s="51"/>
    </row>
    <row r="1040" ht="15.75" customHeight="1">
      <c r="A1040" s="65"/>
      <c r="B1040" s="66"/>
      <c r="C1040" s="67"/>
      <c r="D1040" s="67"/>
      <c r="E1040" s="51"/>
      <c r="F1040" s="51"/>
      <c r="G1040" s="51"/>
      <c r="H1040" s="51"/>
      <c r="I1040" s="51"/>
    </row>
    <row r="1041" ht="15.75" customHeight="1">
      <c r="A1041" s="65"/>
      <c r="B1041" s="66"/>
      <c r="C1041" s="67"/>
      <c r="D1041" s="67"/>
      <c r="E1041" s="51"/>
      <c r="F1041" s="51"/>
      <c r="G1041" s="51"/>
      <c r="H1041" s="51"/>
      <c r="I1041" s="51"/>
    </row>
    <row r="1042" ht="15.75" customHeight="1">
      <c r="A1042" s="65"/>
      <c r="B1042" s="66"/>
      <c r="C1042" s="67"/>
      <c r="D1042" s="67"/>
      <c r="E1042" s="51"/>
      <c r="F1042" s="51"/>
      <c r="G1042" s="51"/>
      <c r="H1042" s="51"/>
      <c r="I1042" s="51"/>
    </row>
    <row r="1043" ht="15.75" customHeight="1">
      <c r="A1043" s="65"/>
      <c r="B1043" s="66"/>
      <c r="C1043" s="67"/>
      <c r="D1043" s="67"/>
      <c r="E1043" s="51"/>
      <c r="F1043" s="51"/>
      <c r="G1043" s="51"/>
      <c r="H1043" s="51"/>
      <c r="I1043" s="51"/>
    </row>
    <row r="1044" ht="15.75" customHeight="1">
      <c r="A1044" s="65"/>
      <c r="B1044" s="66"/>
      <c r="C1044" s="67"/>
      <c r="D1044" s="67"/>
      <c r="E1044" s="51"/>
      <c r="F1044" s="51"/>
      <c r="G1044" s="51"/>
      <c r="H1044" s="51"/>
      <c r="I1044" s="51"/>
    </row>
    <row r="1045" ht="15.75" customHeight="1">
      <c r="A1045" s="65"/>
      <c r="B1045" s="66"/>
      <c r="C1045" s="67"/>
      <c r="D1045" s="67"/>
      <c r="E1045" s="51"/>
      <c r="F1045" s="51"/>
      <c r="G1045" s="51"/>
      <c r="H1045" s="51"/>
      <c r="I1045" s="51"/>
    </row>
    <row r="1046" ht="15.75" customHeight="1">
      <c r="A1046" s="65"/>
      <c r="B1046" s="66"/>
      <c r="C1046" s="67"/>
      <c r="D1046" s="67"/>
      <c r="E1046" s="51"/>
      <c r="F1046" s="51"/>
      <c r="G1046" s="51"/>
      <c r="H1046" s="51"/>
      <c r="I1046" s="51"/>
    </row>
    <row r="1047" ht="15.75" customHeight="1">
      <c r="A1047" s="65"/>
      <c r="B1047" s="66"/>
      <c r="C1047" s="67"/>
      <c r="D1047" s="67"/>
      <c r="E1047" s="51"/>
      <c r="F1047" s="51"/>
      <c r="G1047" s="51"/>
      <c r="H1047" s="51"/>
      <c r="I1047" s="51"/>
    </row>
    <row r="1048" ht="15.75" customHeight="1">
      <c r="A1048" s="65"/>
      <c r="B1048" s="66"/>
      <c r="C1048" s="67"/>
      <c r="D1048" s="67"/>
      <c r="E1048" s="51"/>
      <c r="F1048" s="51"/>
      <c r="G1048" s="51"/>
      <c r="H1048" s="51"/>
      <c r="I1048" s="51"/>
    </row>
    <row r="1049" ht="15.75" customHeight="1">
      <c r="A1049" s="65"/>
      <c r="B1049" s="66"/>
      <c r="C1049" s="67"/>
      <c r="D1049" s="67"/>
      <c r="E1049" s="51"/>
      <c r="F1049" s="51"/>
      <c r="G1049" s="51"/>
      <c r="H1049" s="51"/>
      <c r="I1049" s="51"/>
    </row>
    <row r="1050" ht="15.75" customHeight="1">
      <c r="A1050" s="65"/>
      <c r="B1050" s="66"/>
      <c r="C1050" s="67"/>
      <c r="D1050" s="67"/>
      <c r="E1050" s="51"/>
      <c r="F1050" s="51"/>
      <c r="G1050" s="51"/>
      <c r="H1050" s="51"/>
      <c r="I1050" s="51"/>
    </row>
    <row r="1051" ht="15.75" customHeight="1">
      <c r="A1051" s="65"/>
      <c r="B1051" s="66"/>
      <c r="C1051" s="67"/>
      <c r="D1051" s="67"/>
      <c r="E1051" s="51"/>
      <c r="F1051" s="51"/>
      <c r="G1051" s="51"/>
      <c r="H1051" s="51"/>
      <c r="I1051" s="51"/>
    </row>
    <row r="1052" ht="15.75" customHeight="1">
      <c r="A1052" s="65"/>
      <c r="B1052" s="66"/>
      <c r="C1052" s="67"/>
      <c r="D1052" s="67"/>
      <c r="E1052" s="51"/>
      <c r="F1052" s="51"/>
      <c r="G1052" s="51"/>
      <c r="H1052" s="51"/>
      <c r="I1052" s="51"/>
    </row>
    <row r="1053" ht="15.75" customHeight="1">
      <c r="A1053" s="65"/>
      <c r="B1053" s="66"/>
      <c r="C1053" s="67"/>
      <c r="D1053" s="67"/>
      <c r="E1053" s="51"/>
      <c r="F1053" s="51"/>
      <c r="G1053" s="51"/>
      <c r="H1053" s="51"/>
      <c r="I1053" s="51"/>
    </row>
    <row r="1054" ht="15.75" customHeight="1">
      <c r="A1054" s="65"/>
      <c r="B1054" s="66"/>
      <c r="C1054" s="67"/>
      <c r="D1054" s="67"/>
      <c r="E1054" s="51"/>
      <c r="F1054" s="51"/>
      <c r="G1054" s="51"/>
      <c r="H1054" s="51"/>
      <c r="I1054" s="51"/>
    </row>
    <row r="1055" ht="15.75" customHeight="1">
      <c r="A1055" s="65"/>
      <c r="B1055" s="66"/>
      <c r="C1055" s="67"/>
      <c r="D1055" s="67"/>
      <c r="E1055" s="51"/>
      <c r="F1055" s="51"/>
      <c r="G1055" s="51"/>
      <c r="H1055" s="51"/>
      <c r="I1055" s="51"/>
    </row>
    <row r="1056" ht="15.75" customHeight="1">
      <c r="A1056" s="65"/>
      <c r="B1056" s="66"/>
      <c r="C1056" s="67"/>
      <c r="D1056" s="67"/>
      <c r="E1056" s="51"/>
      <c r="F1056" s="51"/>
      <c r="G1056" s="51"/>
      <c r="H1056" s="51"/>
      <c r="I1056" s="51"/>
    </row>
    <row r="1057" ht="15.75" customHeight="1">
      <c r="A1057" s="65"/>
      <c r="B1057" s="66"/>
      <c r="C1057" s="67"/>
      <c r="D1057" s="67"/>
      <c r="E1057" s="51"/>
      <c r="F1057" s="51"/>
      <c r="G1057" s="51"/>
      <c r="H1057" s="51"/>
      <c r="I1057" s="51"/>
    </row>
    <row r="1058" ht="15.75" customHeight="1">
      <c r="A1058" s="65"/>
      <c r="B1058" s="66"/>
      <c r="C1058" s="67"/>
      <c r="D1058" s="67"/>
      <c r="E1058" s="51"/>
      <c r="F1058" s="51"/>
      <c r="G1058" s="51"/>
      <c r="H1058" s="51"/>
      <c r="I1058" s="51"/>
    </row>
    <row r="1059" ht="15.75" customHeight="1">
      <c r="A1059" s="65"/>
      <c r="B1059" s="66"/>
      <c r="C1059" s="67"/>
      <c r="D1059" s="67"/>
      <c r="E1059" s="51"/>
      <c r="F1059" s="51"/>
      <c r="G1059" s="51"/>
      <c r="H1059" s="51"/>
      <c r="I1059" s="51"/>
    </row>
    <row r="1060" ht="15.75" customHeight="1">
      <c r="A1060" s="65"/>
      <c r="B1060" s="66"/>
      <c r="C1060" s="67"/>
      <c r="D1060" s="67"/>
      <c r="E1060" s="51"/>
      <c r="F1060" s="51"/>
      <c r="G1060" s="51"/>
      <c r="H1060" s="51"/>
      <c r="I1060" s="51"/>
    </row>
    <row r="1061" ht="15.75" customHeight="1">
      <c r="A1061" s="65"/>
      <c r="B1061" s="66"/>
      <c r="C1061" s="67"/>
      <c r="D1061" s="67"/>
      <c r="E1061" s="51"/>
      <c r="F1061" s="51"/>
      <c r="G1061" s="51"/>
      <c r="H1061" s="51"/>
      <c r="I1061" s="51"/>
    </row>
    <row r="1062" ht="15.75" customHeight="1">
      <c r="A1062" s="65"/>
      <c r="B1062" s="66"/>
      <c r="C1062" s="67"/>
      <c r="D1062" s="67"/>
      <c r="E1062" s="51"/>
      <c r="F1062" s="51"/>
      <c r="G1062" s="51"/>
      <c r="H1062" s="51"/>
      <c r="I1062" s="51"/>
    </row>
    <row r="1063" ht="15.75" customHeight="1">
      <c r="A1063" s="65"/>
      <c r="B1063" s="66"/>
      <c r="C1063" s="67"/>
      <c r="D1063" s="67"/>
      <c r="E1063" s="51"/>
      <c r="F1063" s="51"/>
      <c r="G1063" s="51"/>
      <c r="H1063" s="51"/>
      <c r="I1063" s="51"/>
    </row>
    <row r="1064" ht="15.75" customHeight="1">
      <c r="A1064" s="65"/>
      <c r="B1064" s="66"/>
      <c r="C1064" s="67"/>
      <c r="D1064" s="67"/>
      <c r="E1064" s="51"/>
      <c r="F1064" s="51"/>
      <c r="G1064" s="51"/>
      <c r="H1064" s="51"/>
      <c r="I1064" s="51"/>
    </row>
    <row r="1065" ht="15.75" customHeight="1">
      <c r="A1065" s="65"/>
      <c r="B1065" s="66"/>
      <c r="C1065" s="67"/>
      <c r="D1065" s="67"/>
      <c r="E1065" s="51"/>
      <c r="F1065" s="51"/>
      <c r="G1065" s="51"/>
      <c r="H1065" s="51"/>
      <c r="I1065" s="51"/>
    </row>
    <row r="1066" ht="15.75" customHeight="1">
      <c r="A1066" s="65"/>
      <c r="B1066" s="66"/>
      <c r="C1066" s="67"/>
      <c r="D1066" s="67"/>
      <c r="E1066" s="51"/>
      <c r="F1066" s="51"/>
      <c r="G1066" s="51"/>
      <c r="H1066" s="51"/>
      <c r="I1066" s="51"/>
    </row>
    <row r="1067" ht="15.75" customHeight="1">
      <c r="A1067" s="65"/>
      <c r="B1067" s="66"/>
      <c r="C1067" s="67"/>
      <c r="D1067" s="67"/>
      <c r="E1067" s="51"/>
      <c r="F1067" s="51"/>
      <c r="G1067" s="51"/>
      <c r="H1067" s="51"/>
      <c r="I1067" s="51"/>
    </row>
    <row r="1068" ht="15.75" customHeight="1">
      <c r="A1068" s="65"/>
      <c r="B1068" s="66"/>
      <c r="C1068" s="67"/>
      <c r="D1068" s="67"/>
      <c r="E1068" s="51"/>
      <c r="F1068" s="51"/>
      <c r="G1068" s="51"/>
      <c r="H1068" s="51"/>
      <c r="I1068" s="51"/>
    </row>
    <row r="1069" ht="15.75" customHeight="1">
      <c r="A1069" s="65"/>
      <c r="B1069" s="66"/>
      <c r="C1069" s="67"/>
      <c r="D1069" s="67"/>
      <c r="E1069" s="51"/>
      <c r="F1069" s="51"/>
      <c r="G1069" s="51"/>
      <c r="H1069" s="51"/>
      <c r="I1069" s="51"/>
    </row>
    <row r="1070" ht="15.75" customHeight="1">
      <c r="A1070" s="65"/>
      <c r="B1070" s="66"/>
      <c r="C1070" s="67"/>
      <c r="D1070" s="67"/>
      <c r="E1070" s="51"/>
      <c r="F1070" s="51"/>
      <c r="G1070" s="51"/>
      <c r="H1070" s="51"/>
      <c r="I1070" s="51"/>
    </row>
    <row r="1071" ht="15.75" customHeight="1">
      <c r="A1071" s="65"/>
      <c r="B1071" s="66"/>
      <c r="C1071" s="67"/>
      <c r="D1071" s="67"/>
      <c r="E1071" s="51"/>
      <c r="F1071" s="51"/>
      <c r="G1071" s="51"/>
      <c r="H1071" s="51"/>
      <c r="I1071" s="51"/>
    </row>
    <row r="1072" ht="15.75" customHeight="1">
      <c r="A1072" s="65"/>
      <c r="B1072" s="66"/>
      <c r="C1072" s="67"/>
      <c r="D1072" s="67"/>
      <c r="E1072" s="51"/>
      <c r="F1072" s="51"/>
      <c r="G1072" s="51"/>
      <c r="H1072" s="51"/>
      <c r="I1072" s="51"/>
    </row>
    <row r="1073" ht="15.75" customHeight="1">
      <c r="A1073" s="65"/>
      <c r="B1073" s="66"/>
      <c r="C1073" s="67"/>
      <c r="D1073" s="67"/>
      <c r="E1073" s="51"/>
      <c r="F1073" s="51"/>
      <c r="G1073" s="51"/>
      <c r="H1073" s="51"/>
      <c r="I1073" s="51"/>
    </row>
    <row r="1074" ht="15.75" customHeight="1">
      <c r="A1074" s="65"/>
      <c r="B1074" s="66"/>
      <c r="C1074" s="67"/>
      <c r="D1074" s="67"/>
      <c r="E1074" s="51"/>
      <c r="F1074" s="51"/>
      <c r="G1074" s="51"/>
      <c r="H1074" s="51"/>
      <c r="I1074" s="51"/>
    </row>
    <row r="1075" ht="15.75" customHeight="1">
      <c r="A1075" s="65"/>
      <c r="B1075" s="66"/>
      <c r="C1075" s="67"/>
      <c r="D1075" s="67"/>
      <c r="E1075" s="51"/>
      <c r="F1075" s="51"/>
      <c r="G1075" s="51"/>
      <c r="H1075" s="51"/>
      <c r="I1075" s="51"/>
    </row>
    <row r="1076" ht="15.75" customHeight="1">
      <c r="A1076" s="65"/>
      <c r="B1076" s="66"/>
      <c r="C1076" s="67"/>
      <c r="D1076" s="67"/>
      <c r="E1076" s="51"/>
      <c r="F1076" s="51"/>
      <c r="G1076" s="51"/>
      <c r="H1076" s="51"/>
      <c r="I1076" s="51"/>
    </row>
    <row r="1077" ht="15.75" customHeight="1">
      <c r="A1077" s="65"/>
      <c r="B1077" s="66"/>
      <c r="C1077" s="67"/>
      <c r="D1077" s="67"/>
      <c r="E1077" s="51"/>
      <c r="F1077" s="51"/>
      <c r="G1077" s="51"/>
      <c r="H1077" s="51"/>
      <c r="I1077" s="51"/>
    </row>
    <row r="1078" ht="15.75" customHeight="1">
      <c r="A1078" s="65"/>
      <c r="B1078" s="66"/>
      <c r="C1078" s="67"/>
      <c r="D1078" s="67"/>
      <c r="E1078" s="51"/>
      <c r="F1078" s="51"/>
      <c r="G1078" s="51"/>
      <c r="H1078" s="51"/>
      <c r="I1078" s="51"/>
    </row>
    <row r="1079" ht="15.75" customHeight="1">
      <c r="A1079" s="65"/>
      <c r="B1079" s="66"/>
      <c r="C1079" s="67"/>
      <c r="D1079" s="67"/>
      <c r="E1079" s="51"/>
      <c r="F1079" s="51"/>
      <c r="G1079" s="51"/>
      <c r="H1079" s="51"/>
      <c r="I1079" s="51"/>
    </row>
    <row r="1080" ht="15.75" customHeight="1">
      <c r="A1080" s="65"/>
      <c r="B1080" s="66"/>
      <c r="C1080" s="67"/>
      <c r="D1080" s="67"/>
      <c r="E1080" s="51"/>
      <c r="F1080" s="51"/>
      <c r="G1080" s="51"/>
      <c r="H1080" s="51"/>
      <c r="I1080" s="51"/>
    </row>
    <row r="1081" ht="15.75" customHeight="1">
      <c r="A1081" s="65"/>
      <c r="B1081" s="66"/>
      <c r="C1081" s="67"/>
      <c r="D1081" s="67"/>
      <c r="E1081" s="51"/>
      <c r="F1081" s="51"/>
      <c r="G1081" s="51"/>
      <c r="H1081" s="51"/>
      <c r="I1081" s="51"/>
    </row>
    <row r="1082" ht="15.75" customHeight="1">
      <c r="A1082" s="65"/>
      <c r="B1082" s="66"/>
      <c r="C1082" s="67"/>
      <c r="D1082" s="67"/>
      <c r="E1082" s="51"/>
      <c r="F1082" s="51"/>
      <c r="G1082" s="51"/>
      <c r="H1082" s="51"/>
      <c r="I1082" s="51"/>
    </row>
    <row r="1083" ht="15.75" customHeight="1">
      <c r="A1083" s="65"/>
      <c r="B1083" s="66"/>
      <c r="C1083" s="67"/>
      <c r="D1083" s="67"/>
      <c r="E1083" s="51"/>
      <c r="F1083" s="51"/>
      <c r="G1083" s="51"/>
      <c r="H1083" s="51"/>
      <c r="I1083" s="51"/>
    </row>
    <row r="1084" ht="15.75" customHeight="1">
      <c r="A1084" s="65"/>
      <c r="B1084" s="66"/>
      <c r="C1084" s="67"/>
      <c r="D1084" s="67"/>
      <c r="E1084" s="51"/>
      <c r="F1084" s="51"/>
      <c r="G1084" s="51"/>
      <c r="H1084" s="51"/>
      <c r="I1084" s="51"/>
    </row>
    <row r="1085" ht="15.75" customHeight="1">
      <c r="A1085" s="65"/>
      <c r="B1085" s="66"/>
      <c r="C1085" s="67"/>
      <c r="D1085" s="67"/>
      <c r="E1085" s="51"/>
      <c r="F1085" s="51"/>
      <c r="G1085" s="51"/>
      <c r="H1085" s="51"/>
      <c r="I1085" s="51"/>
    </row>
    <row r="1086" ht="15.75" customHeight="1">
      <c r="A1086" s="65"/>
      <c r="B1086" s="66"/>
      <c r="C1086" s="67"/>
      <c r="D1086" s="67"/>
      <c r="E1086" s="51"/>
      <c r="F1086" s="51"/>
      <c r="G1086" s="51"/>
      <c r="H1086" s="51"/>
      <c r="I1086" s="51"/>
    </row>
    <row r="1087" ht="15.75" customHeight="1">
      <c r="A1087" s="65"/>
      <c r="B1087" s="66"/>
      <c r="C1087" s="67"/>
      <c r="D1087" s="67"/>
      <c r="E1087" s="51"/>
      <c r="F1087" s="51"/>
      <c r="G1087" s="51"/>
      <c r="H1087" s="51"/>
      <c r="I1087" s="51"/>
    </row>
    <row r="1088" ht="15.75" customHeight="1">
      <c r="A1088" s="65"/>
      <c r="B1088" s="66"/>
      <c r="C1088" s="67"/>
      <c r="D1088" s="67"/>
      <c r="E1088" s="51"/>
      <c r="F1088" s="51"/>
      <c r="G1088" s="51"/>
      <c r="H1088" s="51"/>
      <c r="I1088" s="51"/>
    </row>
    <row r="1089" ht="15.75" customHeight="1">
      <c r="A1089" s="65"/>
      <c r="B1089" s="66"/>
      <c r="C1089" s="67"/>
      <c r="D1089" s="67"/>
      <c r="E1089" s="51"/>
      <c r="F1089" s="51"/>
      <c r="G1089" s="51"/>
      <c r="H1089" s="51"/>
      <c r="I1089" s="51"/>
    </row>
    <row r="1090" ht="15.75" customHeight="1">
      <c r="A1090" s="65"/>
      <c r="B1090" s="66"/>
      <c r="C1090" s="67"/>
      <c r="D1090" s="67"/>
      <c r="E1090" s="51"/>
      <c r="F1090" s="51"/>
      <c r="G1090" s="51"/>
      <c r="H1090" s="51"/>
      <c r="I1090" s="51"/>
    </row>
    <row r="1091" ht="15.75" customHeight="1">
      <c r="A1091" s="65"/>
      <c r="B1091" s="66"/>
      <c r="C1091" s="67"/>
      <c r="D1091" s="67"/>
      <c r="E1091" s="51"/>
      <c r="F1091" s="51"/>
      <c r="G1091" s="51"/>
      <c r="H1091" s="51"/>
      <c r="I1091" s="51"/>
    </row>
    <row r="1092" ht="15.75" customHeight="1">
      <c r="A1092" s="65"/>
      <c r="B1092" s="66"/>
      <c r="C1092" s="67"/>
      <c r="D1092" s="67"/>
      <c r="E1092" s="51"/>
      <c r="F1092" s="51"/>
      <c r="G1092" s="51"/>
      <c r="H1092" s="51"/>
      <c r="I1092" s="51"/>
    </row>
    <row r="1093" ht="15.75" customHeight="1">
      <c r="A1093" s="65"/>
      <c r="B1093" s="66"/>
      <c r="C1093" s="67"/>
      <c r="D1093" s="67"/>
      <c r="E1093" s="51"/>
      <c r="F1093" s="51"/>
      <c r="G1093" s="51"/>
      <c r="H1093" s="51"/>
      <c r="I1093" s="51"/>
    </row>
    <row r="1094" ht="15.75" customHeight="1">
      <c r="A1094" s="65"/>
      <c r="B1094" s="66"/>
      <c r="C1094" s="67"/>
      <c r="D1094" s="67"/>
      <c r="E1094" s="51"/>
      <c r="F1094" s="51"/>
      <c r="G1094" s="51"/>
      <c r="H1094" s="51"/>
      <c r="I1094" s="51"/>
    </row>
    <row r="1095" ht="15.75" customHeight="1">
      <c r="A1095" s="65"/>
      <c r="B1095" s="66"/>
      <c r="C1095" s="67"/>
      <c r="D1095" s="67"/>
      <c r="E1095" s="51"/>
      <c r="F1095" s="51"/>
      <c r="G1095" s="51"/>
      <c r="H1095" s="51"/>
      <c r="I1095" s="51"/>
    </row>
    <row r="1096" ht="15.75" customHeight="1">
      <c r="A1096" s="65"/>
      <c r="B1096" s="66"/>
      <c r="C1096" s="67"/>
      <c r="D1096" s="67"/>
      <c r="E1096" s="51"/>
      <c r="F1096" s="51"/>
      <c r="G1096" s="51"/>
      <c r="H1096" s="51"/>
      <c r="I1096" s="51"/>
    </row>
    <row r="1097" ht="15.75" customHeight="1">
      <c r="A1097" s="65"/>
      <c r="B1097" s="66"/>
      <c r="C1097" s="67"/>
      <c r="D1097" s="67"/>
      <c r="E1097" s="51"/>
      <c r="F1097" s="51"/>
      <c r="G1097" s="51"/>
      <c r="H1097" s="51"/>
      <c r="I1097" s="51"/>
    </row>
    <row r="1098" ht="15.75" customHeight="1">
      <c r="A1098" s="65"/>
      <c r="B1098" s="66"/>
      <c r="C1098" s="67"/>
      <c r="D1098" s="67"/>
      <c r="E1098" s="51"/>
      <c r="F1098" s="51"/>
      <c r="G1098" s="51"/>
      <c r="H1098" s="51"/>
      <c r="I1098" s="51"/>
    </row>
    <row r="1099" ht="15.75" customHeight="1">
      <c r="A1099" s="65"/>
      <c r="B1099" s="66"/>
      <c r="C1099" s="67"/>
      <c r="D1099" s="67"/>
      <c r="E1099" s="51"/>
      <c r="F1099" s="51"/>
      <c r="G1099" s="51"/>
      <c r="H1099" s="51"/>
      <c r="I1099" s="51"/>
    </row>
    <row r="1100" ht="15.75" customHeight="1">
      <c r="A1100" s="65"/>
      <c r="B1100" s="66"/>
      <c r="C1100" s="67"/>
      <c r="D1100" s="67"/>
      <c r="E1100" s="51"/>
      <c r="F1100" s="51"/>
      <c r="G1100" s="51"/>
      <c r="H1100" s="51"/>
      <c r="I1100" s="51"/>
    </row>
    <row r="1101" ht="15.75" customHeight="1">
      <c r="A1101" s="65"/>
      <c r="B1101" s="66"/>
      <c r="C1101" s="67"/>
      <c r="D1101" s="67"/>
      <c r="E1101" s="51"/>
      <c r="F1101" s="51"/>
      <c r="G1101" s="51"/>
      <c r="H1101" s="51"/>
      <c r="I1101" s="51"/>
    </row>
    <row r="1102" ht="15.75" customHeight="1">
      <c r="A1102" s="65"/>
      <c r="B1102" s="66"/>
      <c r="C1102" s="67"/>
      <c r="D1102" s="67"/>
      <c r="E1102" s="51"/>
      <c r="F1102" s="51"/>
      <c r="G1102" s="51"/>
      <c r="H1102" s="51"/>
      <c r="I1102" s="51"/>
    </row>
    <row r="1103" ht="15.75" customHeight="1">
      <c r="A1103" s="65"/>
      <c r="B1103" s="66"/>
      <c r="C1103" s="67"/>
      <c r="D1103" s="67"/>
      <c r="E1103" s="51"/>
      <c r="F1103" s="51"/>
      <c r="G1103" s="51"/>
      <c r="H1103" s="51"/>
      <c r="I1103" s="51"/>
    </row>
    <row r="1104" ht="15.75" customHeight="1">
      <c r="A1104" s="65"/>
      <c r="B1104" s="66"/>
      <c r="C1104" s="67"/>
      <c r="D1104" s="67"/>
      <c r="E1104" s="51"/>
      <c r="F1104" s="51"/>
      <c r="G1104" s="51"/>
      <c r="H1104" s="51"/>
      <c r="I1104" s="51"/>
    </row>
    <row r="1105" ht="15.75" customHeight="1">
      <c r="A1105" s="65"/>
      <c r="B1105" s="66"/>
      <c r="C1105" s="67"/>
      <c r="D1105" s="67"/>
      <c r="E1105" s="51"/>
      <c r="F1105" s="51"/>
      <c r="G1105" s="51"/>
      <c r="H1105" s="51"/>
      <c r="I1105" s="51"/>
    </row>
    <row r="1106" ht="15.75" customHeight="1">
      <c r="A1106" s="65"/>
      <c r="B1106" s="66"/>
      <c r="C1106" s="67"/>
      <c r="D1106" s="67"/>
      <c r="E1106" s="51"/>
      <c r="F1106" s="51"/>
      <c r="G1106" s="51"/>
      <c r="H1106" s="51"/>
      <c r="I1106" s="51"/>
    </row>
    <row r="1107" ht="15.75" customHeight="1">
      <c r="A1107" s="65"/>
      <c r="B1107" s="66"/>
      <c r="C1107" s="67"/>
      <c r="D1107" s="67"/>
      <c r="E1107" s="51"/>
      <c r="F1107" s="51"/>
      <c r="G1107" s="51"/>
      <c r="H1107" s="51"/>
      <c r="I1107" s="51"/>
    </row>
    <row r="1108" ht="15.75" customHeight="1">
      <c r="A1108" s="65"/>
      <c r="B1108" s="66"/>
      <c r="C1108" s="67"/>
      <c r="D1108" s="67"/>
      <c r="E1108" s="51"/>
      <c r="F1108" s="51"/>
      <c r="G1108" s="51"/>
      <c r="H1108" s="51"/>
      <c r="I1108" s="51"/>
    </row>
    <row r="1109" ht="15.75" customHeight="1">
      <c r="A1109" s="65"/>
      <c r="B1109" s="66"/>
      <c r="C1109" s="67"/>
      <c r="D1109" s="67"/>
      <c r="E1109" s="51"/>
      <c r="F1109" s="51"/>
      <c r="G1109" s="51"/>
      <c r="H1109" s="51"/>
      <c r="I1109" s="51"/>
    </row>
    <row r="1110" ht="15.75" customHeight="1">
      <c r="A1110" s="65"/>
      <c r="B1110" s="66"/>
      <c r="C1110" s="67"/>
      <c r="D1110" s="67"/>
      <c r="E1110" s="51"/>
      <c r="F1110" s="51"/>
      <c r="G1110" s="51"/>
      <c r="H1110" s="51"/>
      <c r="I1110" s="51"/>
    </row>
    <row r="1111" ht="15.75" customHeight="1">
      <c r="A1111" s="65"/>
      <c r="B1111" s="66"/>
      <c r="C1111" s="67"/>
      <c r="D1111" s="67"/>
      <c r="E1111" s="51"/>
      <c r="F1111" s="51"/>
      <c r="G1111" s="51"/>
      <c r="H1111" s="51"/>
      <c r="I1111" s="51"/>
    </row>
    <row r="1112" ht="15.75" customHeight="1">
      <c r="A1112" s="65"/>
      <c r="B1112" s="66"/>
      <c r="C1112" s="67"/>
      <c r="D1112" s="67"/>
      <c r="E1112" s="51"/>
      <c r="F1112" s="51"/>
      <c r="G1112" s="51"/>
      <c r="H1112" s="51"/>
      <c r="I1112" s="51"/>
    </row>
    <row r="1113" ht="15.75" customHeight="1">
      <c r="A1113" s="65"/>
      <c r="B1113" s="66"/>
      <c r="C1113" s="67"/>
      <c r="D1113" s="67"/>
      <c r="E1113" s="51"/>
      <c r="F1113" s="51"/>
      <c r="G1113" s="51"/>
      <c r="H1113" s="51"/>
      <c r="I1113" s="51"/>
    </row>
    <row r="1114" ht="15.75" customHeight="1">
      <c r="A1114" s="65"/>
      <c r="B1114" s="66"/>
      <c r="C1114" s="67"/>
      <c r="D1114" s="67"/>
      <c r="E1114" s="51"/>
      <c r="F1114" s="51"/>
      <c r="G1114" s="51"/>
      <c r="H1114" s="51"/>
      <c r="I1114" s="51"/>
    </row>
    <row r="1115" ht="15.75" customHeight="1">
      <c r="A1115" s="65"/>
      <c r="B1115" s="66"/>
      <c r="C1115" s="67"/>
      <c r="D1115" s="67"/>
      <c r="E1115" s="51"/>
      <c r="F1115" s="51"/>
      <c r="G1115" s="51"/>
      <c r="H1115" s="51"/>
      <c r="I1115" s="51"/>
    </row>
    <row r="1116" ht="15.75" customHeight="1">
      <c r="A1116" s="65"/>
      <c r="B1116" s="66"/>
      <c r="C1116" s="67"/>
      <c r="D1116" s="67"/>
      <c r="E1116" s="51"/>
      <c r="F1116" s="51"/>
      <c r="G1116" s="51"/>
      <c r="H1116" s="51"/>
      <c r="I1116" s="51"/>
    </row>
    <row r="1117" ht="15.75" customHeight="1">
      <c r="A1117" s="65"/>
      <c r="B1117" s="66"/>
      <c r="C1117" s="67"/>
      <c r="D1117" s="67"/>
      <c r="E1117" s="51"/>
      <c r="F1117" s="51"/>
      <c r="G1117" s="51"/>
      <c r="H1117" s="51"/>
      <c r="I1117" s="51"/>
    </row>
    <row r="1118" ht="15.75" customHeight="1">
      <c r="A1118" s="65"/>
      <c r="B1118" s="66"/>
      <c r="C1118" s="67"/>
      <c r="D1118" s="67"/>
      <c r="E1118" s="51"/>
      <c r="F1118" s="51"/>
      <c r="G1118" s="51"/>
      <c r="H1118" s="51"/>
      <c r="I1118" s="51"/>
    </row>
    <row r="1119" ht="15.75" customHeight="1">
      <c r="A1119" s="65"/>
      <c r="B1119" s="66"/>
      <c r="C1119" s="67"/>
      <c r="D1119" s="67"/>
      <c r="E1119" s="51"/>
      <c r="F1119" s="51"/>
      <c r="G1119" s="51"/>
      <c r="H1119" s="51"/>
      <c r="I1119" s="51"/>
    </row>
    <row r="1120" ht="15.75" customHeight="1">
      <c r="A1120" s="65"/>
      <c r="B1120" s="66"/>
      <c r="C1120" s="67"/>
      <c r="D1120" s="67"/>
      <c r="E1120" s="51"/>
      <c r="F1120" s="51"/>
      <c r="G1120" s="51"/>
      <c r="H1120" s="51"/>
      <c r="I1120" s="51"/>
    </row>
    <row r="1121" ht="15.75" customHeight="1">
      <c r="A1121" s="65"/>
      <c r="B1121" s="66"/>
      <c r="C1121" s="67"/>
      <c r="D1121" s="67"/>
      <c r="E1121" s="51"/>
      <c r="F1121" s="51"/>
      <c r="G1121" s="51"/>
      <c r="H1121" s="51"/>
      <c r="I1121" s="51"/>
    </row>
    <row r="1122" ht="15.75" customHeight="1">
      <c r="A1122" s="65"/>
      <c r="B1122" s="66"/>
      <c r="C1122" s="67"/>
      <c r="D1122" s="67"/>
      <c r="E1122" s="51"/>
      <c r="F1122" s="51"/>
      <c r="G1122" s="51"/>
      <c r="H1122" s="51"/>
      <c r="I1122" s="51"/>
    </row>
    <row r="1123" ht="15.75" customHeight="1">
      <c r="A1123" s="65"/>
      <c r="B1123" s="66"/>
      <c r="C1123" s="67"/>
      <c r="D1123" s="67"/>
      <c r="E1123" s="51"/>
      <c r="F1123" s="51"/>
      <c r="G1123" s="51"/>
      <c r="H1123" s="51"/>
      <c r="I1123" s="51"/>
    </row>
    <row r="1124" ht="15.75" customHeight="1">
      <c r="A1124" s="65"/>
      <c r="B1124" s="66"/>
      <c r="C1124" s="67"/>
      <c r="D1124" s="67"/>
      <c r="E1124" s="51"/>
      <c r="F1124" s="51"/>
      <c r="G1124" s="51"/>
      <c r="H1124" s="51"/>
      <c r="I1124" s="51"/>
    </row>
    <row r="1125" ht="15.75" customHeight="1">
      <c r="A1125" s="65"/>
      <c r="B1125" s="66"/>
      <c r="C1125" s="67"/>
      <c r="D1125" s="67"/>
      <c r="E1125" s="51"/>
      <c r="F1125" s="51"/>
      <c r="G1125" s="51"/>
      <c r="H1125" s="51"/>
      <c r="I1125" s="51"/>
    </row>
    <row r="1126" ht="15.75" customHeight="1">
      <c r="A1126" s="65"/>
      <c r="B1126" s="66"/>
      <c r="C1126" s="67"/>
      <c r="D1126" s="67"/>
      <c r="E1126" s="51"/>
      <c r="F1126" s="51"/>
      <c r="G1126" s="51"/>
      <c r="H1126" s="51"/>
      <c r="I1126" s="51"/>
    </row>
    <row r="1127" ht="15.75" customHeight="1">
      <c r="A1127" s="65"/>
      <c r="B1127" s="66"/>
      <c r="C1127" s="67"/>
      <c r="D1127" s="67"/>
      <c r="E1127" s="51"/>
      <c r="F1127" s="51"/>
      <c r="G1127" s="51"/>
      <c r="H1127" s="51"/>
      <c r="I1127" s="51"/>
    </row>
    <row r="1128" ht="15.75" customHeight="1">
      <c r="A1128" s="65"/>
      <c r="B1128" s="66"/>
      <c r="C1128" s="67"/>
      <c r="D1128" s="67"/>
      <c r="E1128" s="51"/>
      <c r="F1128" s="51"/>
      <c r="G1128" s="51"/>
      <c r="H1128" s="51"/>
      <c r="I1128" s="51"/>
    </row>
    <row r="1129" ht="15.75" customHeight="1">
      <c r="A1129" s="65"/>
      <c r="B1129" s="66"/>
      <c r="C1129" s="67"/>
      <c r="D1129" s="67"/>
      <c r="E1129" s="51"/>
      <c r="F1129" s="51"/>
      <c r="G1129" s="51"/>
      <c r="H1129" s="51"/>
      <c r="I1129" s="51"/>
    </row>
    <row r="1130" ht="15.75" customHeight="1">
      <c r="A1130" s="65"/>
      <c r="B1130" s="66"/>
      <c r="C1130" s="67"/>
      <c r="D1130" s="67"/>
      <c r="E1130" s="51"/>
      <c r="F1130" s="51"/>
      <c r="G1130" s="51"/>
      <c r="H1130" s="51"/>
      <c r="I1130" s="51"/>
    </row>
    <row r="1131" ht="15.75" customHeight="1">
      <c r="A1131" s="65"/>
      <c r="B1131" s="66"/>
      <c r="C1131" s="67"/>
      <c r="D1131" s="67"/>
      <c r="E1131" s="51"/>
      <c r="F1131" s="51"/>
      <c r="G1131" s="51"/>
      <c r="H1131" s="51"/>
      <c r="I1131" s="51"/>
    </row>
    <row r="1132" ht="15.75" customHeight="1">
      <c r="A1132" s="65"/>
      <c r="B1132" s="66"/>
      <c r="C1132" s="67"/>
      <c r="D1132" s="67"/>
      <c r="E1132" s="51"/>
      <c r="F1132" s="51"/>
      <c r="G1132" s="51"/>
      <c r="H1132" s="51"/>
      <c r="I1132" s="51"/>
    </row>
    <row r="1133" ht="15.75" customHeight="1">
      <c r="A1133" s="65"/>
      <c r="B1133" s="66"/>
      <c r="C1133" s="67"/>
      <c r="D1133" s="67"/>
      <c r="E1133" s="51"/>
      <c r="F1133" s="51"/>
      <c r="G1133" s="51"/>
      <c r="H1133" s="51"/>
      <c r="I1133" s="51"/>
    </row>
    <row r="1134" ht="15.75" customHeight="1">
      <c r="A1134" s="65"/>
      <c r="B1134" s="66"/>
      <c r="C1134" s="67"/>
      <c r="D1134" s="67"/>
      <c r="E1134" s="51"/>
      <c r="F1134" s="51"/>
      <c r="G1134" s="51"/>
      <c r="H1134" s="51"/>
      <c r="I1134" s="51"/>
    </row>
    <row r="1135" ht="15.75" customHeight="1">
      <c r="A1135" s="65"/>
      <c r="B1135" s="66"/>
      <c r="C1135" s="67"/>
      <c r="D1135" s="67"/>
      <c r="E1135" s="51"/>
      <c r="F1135" s="51"/>
      <c r="G1135" s="51"/>
      <c r="H1135" s="51"/>
      <c r="I1135" s="51"/>
    </row>
    <row r="1136" ht="15.75" customHeight="1">
      <c r="A1136" s="65"/>
      <c r="B1136" s="66"/>
      <c r="C1136" s="67"/>
      <c r="D1136" s="67"/>
      <c r="E1136" s="51"/>
      <c r="F1136" s="51"/>
      <c r="G1136" s="51"/>
      <c r="H1136" s="51"/>
      <c r="I1136" s="51"/>
    </row>
    <row r="1137" ht="15.75" customHeight="1">
      <c r="A1137" s="65"/>
      <c r="B1137" s="66"/>
      <c r="C1137" s="67"/>
      <c r="D1137" s="67"/>
      <c r="E1137" s="51"/>
      <c r="F1137" s="51"/>
      <c r="G1137" s="51"/>
      <c r="H1137" s="51"/>
      <c r="I1137" s="51"/>
    </row>
    <row r="1138" ht="15.75" customHeight="1">
      <c r="A1138" s="65"/>
      <c r="B1138" s="66"/>
      <c r="C1138" s="67"/>
      <c r="D1138" s="67"/>
      <c r="E1138" s="51"/>
      <c r="F1138" s="51"/>
      <c r="G1138" s="51"/>
      <c r="H1138" s="51"/>
      <c r="I1138" s="51"/>
    </row>
    <row r="1139" ht="15.75" customHeight="1">
      <c r="A1139" s="65"/>
      <c r="B1139" s="66"/>
      <c r="C1139" s="67"/>
      <c r="D1139" s="67"/>
      <c r="E1139" s="51"/>
      <c r="F1139" s="51"/>
      <c r="G1139" s="51"/>
      <c r="H1139" s="51"/>
      <c r="I1139" s="51"/>
    </row>
    <row r="1140" ht="15.75" customHeight="1">
      <c r="A1140" s="65"/>
      <c r="B1140" s="66"/>
      <c r="C1140" s="67"/>
      <c r="D1140" s="67"/>
      <c r="E1140" s="51"/>
      <c r="F1140" s="51"/>
      <c r="G1140" s="51"/>
      <c r="H1140" s="51"/>
      <c r="I1140" s="51"/>
    </row>
    <row r="1141" ht="15.75" customHeight="1">
      <c r="A1141" s="65"/>
      <c r="B1141" s="66"/>
      <c r="C1141" s="67"/>
      <c r="D1141" s="67"/>
      <c r="E1141" s="51"/>
      <c r="F1141" s="51"/>
      <c r="G1141" s="51"/>
      <c r="H1141" s="51"/>
      <c r="I1141" s="51"/>
    </row>
    <row r="1142" ht="15.75" customHeight="1">
      <c r="A1142" s="65"/>
      <c r="B1142" s="66"/>
      <c r="C1142" s="67"/>
      <c r="D1142" s="67"/>
      <c r="E1142" s="51"/>
      <c r="F1142" s="51"/>
      <c r="G1142" s="51"/>
      <c r="H1142" s="51"/>
      <c r="I1142" s="51"/>
    </row>
    <row r="1143" ht="15.75" customHeight="1">
      <c r="A1143" s="65"/>
      <c r="B1143" s="66"/>
      <c r="C1143" s="67"/>
      <c r="D1143" s="67"/>
      <c r="E1143" s="51"/>
      <c r="F1143" s="51"/>
      <c r="G1143" s="51"/>
      <c r="H1143" s="51"/>
      <c r="I1143" s="51"/>
    </row>
    <row r="1144" ht="15.75" customHeight="1">
      <c r="A1144" s="65"/>
      <c r="B1144" s="66"/>
      <c r="C1144" s="67"/>
      <c r="D1144" s="67"/>
      <c r="E1144" s="51"/>
      <c r="F1144" s="51"/>
      <c r="G1144" s="51"/>
      <c r="H1144" s="51"/>
      <c r="I1144" s="51"/>
    </row>
    <row r="1145" ht="15.75" customHeight="1">
      <c r="A1145" s="65"/>
      <c r="B1145" s="66"/>
      <c r="C1145" s="67"/>
      <c r="D1145" s="67"/>
      <c r="E1145" s="51"/>
      <c r="F1145" s="51"/>
      <c r="G1145" s="51"/>
      <c r="H1145" s="51"/>
      <c r="I1145" s="51"/>
    </row>
    <row r="1146" ht="15.75" customHeight="1">
      <c r="A1146" s="65"/>
      <c r="B1146" s="66"/>
      <c r="C1146" s="67"/>
      <c r="D1146" s="67"/>
      <c r="E1146" s="51"/>
      <c r="F1146" s="51"/>
      <c r="G1146" s="51"/>
      <c r="H1146" s="51"/>
      <c r="I1146" s="51"/>
    </row>
    <row r="1147" ht="15.75" customHeight="1">
      <c r="A1147" s="65"/>
      <c r="B1147" s="66"/>
      <c r="C1147" s="67"/>
      <c r="D1147" s="67"/>
      <c r="E1147" s="51"/>
      <c r="F1147" s="51"/>
      <c r="G1147" s="51"/>
      <c r="H1147" s="51"/>
      <c r="I1147" s="51"/>
    </row>
    <row r="1148" ht="15.75" customHeight="1">
      <c r="A1148" s="65"/>
      <c r="B1148" s="66"/>
      <c r="C1148" s="67"/>
      <c r="D1148" s="67"/>
      <c r="E1148" s="51"/>
      <c r="F1148" s="51"/>
      <c r="G1148" s="51"/>
      <c r="H1148" s="51"/>
      <c r="I1148" s="51"/>
    </row>
    <row r="1149" ht="15.75" customHeight="1">
      <c r="A1149" s="65"/>
      <c r="B1149" s="66"/>
      <c r="C1149" s="67"/>
      <c r="D1149" s="67"/>
      <c r="E1149" s="51"/>
      <c r="F1149" s="51"/>
      <c r="G1149" s="51"/>
      <c r="H1149" s="51"/>
      <c r="I1149" s="51"/>
    </row>
    <row r="1150" ht="15.75" customHeight="1">
      <c r="A1150" s="65"/>
      <c r="B1150" s="66"/>
      <c r="C1150" s="67"/>
      <c r="D1150" s="67"/>
      <c r="E1150" s="51"/>
      <c r="F1150" s="51"/>
      <c r="G1150" s="51"/>
      <c r="H1150" s="51"/>
      <c r="I1150" s="51"/>
    </row>
    <row r="1151" ht="15.75" customHeight="1">
      <c r="A1151" s="65"/>
      <c r="B1151" s="66"/>
      <c r="C1151" s="67"/>
      <c r="D1151" s="67"/>
      <c r="E1151" s="51"/>
      <c r="F1151" s="51"/>
      <c r="G1151" s="51"/>
      <c r="H1151" s="51"/>
      <c r="I1151" s="51"/>
    </row>
    <row r="1152" ht="15.75" customHeight="1">
      <c r="A1152" s="65"/>
      <c r="B1152" s="66"/>
      <c r="C1152" s="67"/>
      <c r="D1152" s="67"/>
      <c r="E1152" s="51"/>
      <c r="F1152" s="51"/>
      <c r="G1152" s="51"/>
      <c r="H1152" s="51"/>
      <c r="I1152" s="51"/>
    </row>
    <row r="1153" ht="15.75" customHeight="1">
      <c r="A1153" s="65"/>
      <c r="B1153" s="66"/>
      <c r="C1153" s="67"/>
      <c r="D1153" s="67"/>
      <c r="E1153" s="51"/>
      <c r="F1153" s="51"/>
      <c r="G1153" s="51"/>
      <c r="H1153" s="51"/>
      <c r="I1153" s="51"/>
    </row>
    <row r="1154" ht="15.75" customHeight="1">
      <c r="A1154" s="65"/>
      <c r="B1154" s="66"/>
      <c r="C1154" s="67"/>
      <c r="D1154" s="67"/>
      <c r="E1154" s="51"/>
      <c r="F1154" s="51"/>
      <c r="G1154" s="51"/>
      <c r="H1154" s="51"/>
      <c r="I1154" s="51"/>
    </row>
    <row r="1155" ht="15.75" customHeight="1">
      <c r="A1155" s="65"/>
      <c r="B1155" s="66"/>
      <c r="C1155" s="67"/>
      <c r="D1155" s="67"/>
      <c r="E1155" s="51"/>
      <c r="F1155" s="51"/>
      <c r="G1155" s="51"/>
      <c r="H1155" s="51"/>
      <c r="I1155" s="51"/>
    </row>
    <row r="1156" ht="15.75" customHeight="1">
      <c r="A1156" s="65"/>
      <c r="B1156" s="66"/>
      <c r="C1156" s="67"/>
      <c r="D1156" s="67"/>
      <c r="E1156" s="51"/>
      <c r="F1156" s="51"/>
      <c r="G1156" s="51"/>
      <c r="H1156" s="51"/>
      <c r="I1156" s="51"/>
    </row>
    <row r="1157" ht="15.75" customHeight="1">
      <c r="A1157" s="65"/>
      <c r="B1157" s="66"/>
      <c r="C1157" s="67"/>
      <c r="D1157" s="67"/>
      <c r="E1157" s="51"/>
      <c r="F1157" s="51"/>
      <c r="G1157" s="51"/>
      <c r="H1157" s="51"/>
      <c r="I1157" s="51"/>
    </row>
    <row r="1158" ht="15.75" customHeight="1">
      <c r="A1158" s="65"/>
      <c r="B1158" s="66"/>
      <c r="C1158" s="67"/>
      <c r="D1158" s="67"/>
      <c r="E1158" s="51"/>
      <c r="F1158" s="51"/>
      <c r="G1158" s="51"/>
      <c r="H1158" s="51"/>
      <c r="I1158" s="51"/>
    </row>
    <row r="1159" ht="15.75" customHeight="1">
      <c r="A1159" s="65"/>
      <c r="B1159" s="66"/>
      <c r="C1159" s="67"/>
      <c r="D1159" s="67"/>
      <c r="E1159" s="51"/>
      <c r="F1159" s="51"/>
      <c r="G1159" s="51"/>
      <c r="H1159" s="51"/>
      <c r="I1159" s="51"/>
    </row>
    <row r="1160" ht="15.75" customHeight="1">
      <c r="A1160" s="65"/>
      <c r="B1160" s="66"/>
      <c r="C1160" s="67"/>
      <c r="D1160" s="67"/>
      <c r="E1160" s="51"/>
      <c r="F1160" s="51"/>
      <c r="G1160" s="51"/>
      <c r="H1160" s="51"/>
      <c r="I1160" s="51"/>
    </row>
    <row r="1161" ht="15.75" customHeight="1">
      <c r="A1161" s="65"/>
      <c r="B1161" s="66"/>
      <c r="C1161" s="67"/>
      <c r="D1161" s="67"/>
      <c r="E1161" s="51"/>
      <c r="F1161" s="51"/>
      <c r="G1161" s="51"/>
      <c r="H1161" s="51"/>
      <c r="I1161" s="51"/>
    </row>
    <row r="1162" ht="15.75" customHeight="1">
      <c r="A1162" s="65"/>
      <c r="B1162" s="66"/>
      <c r="C1162" s="67"/>
      <c r="D1162" s="67"/>
      <c r="E1162" s="51"/>
      <c r="F1162" s="51"/>
      <c r="G1162" s="51"/>
      <c r="H1162" s="51"/>
      <c r="I1162" s="51"/>
    </row>
    <row r="1163" ht="15.75" customHeight="1">
      <c r="A1163" s="65"/>
      <c r="B1163" s="66"/>
      <c r="C1163" s="67"/>
      <c r="D1163" s="67"/>
      <c r="E1163" s="51"/>
      <c r="F1163" s="51"/>
      <c r="G1163" s="51"/>
      <c r="H1163" s="51"/>
      <c r="I1163" s="51"/>
    </row>
    <row r="1164" ht="15.75" customHeight="1">
      <c r="A1164" s="65"/>
      <c r="B1164" s="66"/>
      <c r="C1164" s="67"/>
      <c r="D1164" s="67"/>
      <c r="E1164" s="51"/>
      <c r="F1164" s="51"/>
      <c r="G1164" s="51"/>
      <c r="H1164" s="51"/>
      <c r="I1164" s="51"/>
    </row>
    <row r="1165" ht="15.75" customHeight="1">
      <c r="A1165" s="65"/>
      <c r="B1165" s="66"/>
      <c r="C1165" s="67"/>
      <c r="D1165" s="67"/>
      <c r="E1165" s="51"/>
      <c r="F1165" s="51"/>
      <c r="G1165" s="51"/>
      <c r="H1165" s="51"/>
      <c r="I1165" s="51"/>
    </row>
    <row r="1166" ht="15.75" customHeight="1">
      <c r="A1166" s="65"/>
      <c r="B1166" s="66"/>
      <c r="C1166" s="67"/>
      <c r="D1166" s="67"/>
      <c r="E1166" s="51"/>
      <c r="F1166" s="51"/>
      <c r="G1166" s="51"/>
      <c r="H1166" s="51"/>
      <c r="I1166" s="51"/>
    </row>
    <row r="1167" ht="15.75" customHeight="1">
      <c r="A1167" s="65"/>
      <c r="B1167" s="66"/>
      <c r="C1167" s="67"/>
      <c r="D1167" s="67"/>
      <c r="E1167" s="51"/>
      <c r="F1167" s="51"/>
      <c r="G1167" s="51"/>
      <c r="H1167" s="51"/>
      <c r="I1167" s="51"/>
    </row>
    <row r="1168" ht="15.75" customHeight="1">
      <c r="A1168" s="65"/>
      <c r="B1168" s="66"/>
      <c r="C1168" s="67"/>
      <c r="D1168" s="67"/>
      <c r="E1168" s="51"/>
      <c r="F1168" s="51"/>
      <c r="G1168" s="51"/>
      <c r="H1168" s="51"/>
      <c r="I1168" s="51"/>
    </row>
    <row r="1169" ht="15.75" customHeight="1">
      <c r="A1169" s="65"/>
      <c r="B1169" s="66"/>
      <c r="C1169" s="67"/>
      <c r="D1169" s="67"/>
      <c r="E1169" s="51"/>
      <c r="F1169" s="51"/>
      <c r="G1169" s="51"/>
      <c r="H1169" s="51"/>
      <c r="I1169" s="51"/>
    </row>
    <row r="1170" ht="15.75" customHeight="1">
      <c r="A1170" s="65"/>
      <c r="B1170" s="66"/>
      <c r="C1170" s="67"/>
      <c r="D1170" s="67"/>
      <c r="E1170" s="51"/>
      <c r="F1170" s="51"/>
      <c r="G1170" s="51"/>
      <c r="H1170" s="51"/>
      <c r="I1170" s="51"/>
    </row>
    <row r="1171" ht="15.75" customHeight="1">
      <c r="A1171" s="65"/>
      <c r="B1171" s="66"/>
      <c r="C1171" s="67"/>
      <c r="D1171" s="67"/>
      <c r="E1171" s="51"/>
      <c r="F1171" s="51"/>
      <c r="G1171" s="51"/>
      <c r="H1171" s="51"/>
      <c r="I1171" s="51"/>
    </row>
    <row r="1172" ht="15.75" customHeight="1">
      <c r="A1172" s="65"/>
      <c r="B1172" s="66"/>
      <c r="C1172" s="67"/>
      <c r="D1172" s="67"/>
      <c r="E1172" s="51"/>
      <c r="F1172" s="51"/>
      <c r="G1172" s="51"/>
      <c r="H1172" s="51"/>
      <c r="I1172" s="51"/>
    </row>
    <row r="1173" ht="15.75" customHeight="1">
      <c r="A1173" s="65"/>
      <c r="B1173" s="66"/>
      <c r="C1173" s="67"/>
      <c r="D1173" s="67"/>
      <c r="E1173" s="51"/>
      <c r="F1173" s="51"/>
      <c r="G1173" s="51"/>
      <c r="H1173" s="51"/>
      <c r="I1173" s="51"/>
    </row>
    <row r="1174" ht="15.75" customHeight="1">
      <c r="A1174" s="65"/>
      <c r="B1174" s="66"/>
      <c r="C1174" s="67"/>
      <c r="D1174" s="67"/>
      <c r="E1174" s="51"/>
      <c r="F1174" s="51"/>
      <c r="G1174" s="51"/>
      <c r="H1174" s="51"/>
      <c r="I1174" s="51"/>
    </row>
    <row r="1175" ht="15.75" customHeight="1">
      <c r="A1175" s="65"/>
      <c r="B1175" s="66"/>
      <c r="C1175" s="67"/>
      <c r="D1175" s="67"/>
      <c r="E1175" s="51"/>
      <c r="F1175" s="51"/>
      <c r="G1175" s="51"/>
      <c r="H1175" s="51"/>
      <c r="I1175" s="51"/>
    </row>
    <row r="1176" ht="15.75" customHeight="1">
      <c r="A1176" s="65"/>
      <c r="B1176" s="66"/>
      <c r="C1176" s="67"/>
      <c r="D1176" s="67"/>
      <c r="E1176" s="51"/>
      <c r="F1176" s="51"/>
      <c r="G1176" s="51"/>
      <c r="H1176" s="51"/>
      <c r="I1176" s="51"/>
    </row>
    <row r="1177" ht="15.75" customHeight="1">
      <c r="A1177" s="65"/>
      <c r="B1177" s="66"/>
      <c r="C1177" s="67"/>
      <c r="D1177" s="67"/>
      <c r="E1177" s="51"/>
      <c r="F1177" s="51"/>
      <c r="G1177" s="51"/>
      <c r="H1177" s="51"/>
      <c r="I1177" s="51"/>
    </row>
    <row r="1178" ht="15.75" customHeight="1">
      <c r="A1178" s="65"/>
      <c r="B1178" s="66"/>
      <c r="C1178" s="67"/>
      <c r="D1178" s="67"/>
      <c r="E1178" s="51"/>
      <c r="F1178" s="51"/>
      <c r="G1178" s="51"/>
      <c r="H1178" s="51"/>
      <c r="I1178" s="51"/>
    </row>
    <row r="1179" ht="15.75" customHeight="1">
      <c r="A1179" s="65"/>
      <c r="B1179" s="66"/>
      <c r="C1179" s="67"/>
      <c r="D1179" s="67"/>
      <c r="E1179" s="51"/>
      <c r="F1179" s="51"/>
      <c r="G1179" s="51"/>
      <c r="H1179" s="51"/>
      <c r="I1179" s="51"/>
    </row>
    <row r="1180" ht="15.75" customHeight="1">
      <c r="A1180" s="65"/>
      <c r="B1180" s="66"/>
      <c r="C1180" s="67"/>
      <c r="D1180" s="67"/>
      <c r="E1180" s="51"/>
      <c r="F1180" s="51"/>
      <c r="G1180" s="51"/>
      <c r="H1180" s="51"/>
      <c r="I1180" s="51"/>
    </row>
    <row r="1181" ht="15.75" customHeight="1">
      <c r="A1181" s="65"/>
      <c r="B1181" s="66"/>
      <c r="C1181" s="67"/>
      <c r="D1181" s="67"/>
      <c r="E1181" s="51"/>
      <c r="F1181" s="51"/>
      <c r="G1181" s="51"/>
      <c r="H1181" s="51"/>
      <c r="I1181" s="51"/>
    </row>
    <row r="1182" ht="15.75" customHeight="1">
      <c r="A1182" s="65"/>
      <c r="B1182" s="66"/>
      <c r="C1182" s="67"/>
      <c r="D1182" s="67"/>
      <c r="E1182" s="51"/>
      <c r="F1182" s="51"/>
      <c r="G1182" s="51"/>
      <c r="H1182" s="51"/>
      <c r="I1182" s="51"/>
    </row>
    <row r="1183" ht="15.75" customHeight="1">
      <c r="A1183" s="65"/>
      <c r="B1183" s="66"/>
      <c r="C1183" s="67"/>
      <c r="D1183" s="67"/>
      <c r="E1183" s="51"/>
      <c r="F1183" s="51"/>
      <c r="G1183" s="51"/>
      <c r="H1183" s="51"/>
      <c r="I1183" s="51"/>
    </row>
    <row r="1184" ht="15.75" customHeight="1">
      <c r="A1184" s="65"/>
      <c r="B1184" s="66"/>
      <c r="C1184" s="67"/>
      <c r="D1184" s="67"/>
      <c r="E1184" s="51"/>
      <c r="F1184" s="51"/>
      <c r="G1184" s="51"/>
      <c r="H1184" s="51"/>
      <c r="I1184" s="51"/>
    </row>
    <row r="1185" ht="15.75" customHeight="1">
      <c r="A1185" s="65"/>
      <c r="B1185" s="66"/>
      <c r="C1185" s="67"/>
      <c r="D1185" s="67"/>
      <c r="E1185" s="51"/>
      <c r="F1185" s="51"/>
      <c r="G1185" s="51"/>
      <c r="H1185" s="51"/>
      <c r="I1185" s="51"/>
    </row>
    <row r="1186" ht="15.75" customHeight="1">
      <c r="A1186" s="65"/>
      <c r="B1186" s="66"/>
      <c r="C1186" s="67"/>
      <c r="D1186" s="67"/>
      <c r="E1186" s="51"/>
      <c r="F1186" s="51"/>
      <c r="G1186" s="51"/>
      <c r="H1186" s="51"/>
      <c r="I1186" s="51"/>
    </row>
    <row r="1187" ht="15.75" customHeight="1">
      <c r="A1187" s="65"/>
      <c r="B1187" s="66"/>
      <c r="C1187" s="67"/>
      <c r="D1187" s="67"/>
      <c r="E1187" s="51"/>
      <c r="F1187" s="51"/>
      <c r="G1187" s="51"/>
      <c r="H1187" s="51"/>
      <c r="I1187" s="51"/>
    </row>
    <row r="1188" ht="15.75" customHeight="1">
      <c r="A1188" s="65"/>
      <c r="B1188" s="66"/>
      <c r="C1188" s="67"/>
      <c r="D1188" s="67"/>
      <c r="E1188" s="51"/>
      <c r="F1188" s="51"/>
      <c r="G1188" s="51"/>
      <c r="H1188" s="51"/>
      <c r="I1188" s="51"/>
    </row>
    <row r="1189" ht="15.75" customHeight="1">
      <c r="A1189" s="65"/>
      <c r="B1189" s="66"/>
      <c r="C1189" s="67"/>
      <c r="D1189" s="67"/>
      <c r="E1189" s="51"/>
      <c r="F1189" s="51"/>
      <c r="G1189" s="51"/>
      <c r="H1189" s="51"/>
      <c r="I1189" s="51"/>
    </row>
    <row r="1190" ht="15.75" customHeight="1">
      <c r="A1190" s="65"/>
      <c r="B1190" s="66"/>
      <c r="C1190" s="67"/>
      <c r="D1190" s="67"/>
      <c r="E1190" s="51"/>
      <c r="F1190" s="51"/>
      <c r="G1190" s="51"/>
      <c r="H1190" s="51"/>
      <c r="I1190" s="51"/>
    </row>
    <row r="1191" ht="15.75" customHeight="1">
      <c r="A1191" s="65"/>
      <c r="B1191" s="66"/>
      <c r="C1191" s="67"/>
      <c r="D1191" s="67"/>
      <c r="E1191" s="51"/>
      <c r="F1191" s="51"/>
      <c r="G1191" s="51"/>
      <c r="H1191" s="51"/>
      <c r="I1191" s="51"/>
    </row>
    <row r="1192" ht="15.75" customHeight="1">
      <c r="A1192" s="65"/>
      <c r="B1192" s="66"/>
      <c r="C1192" s="67"/>
      <c r="D1192" s="67"/>
      <c r="E1192" s="51"/>
      <c r="F1192" s="51"/>
      <c r="G1192" s="51"/>
      <c r="H1192" s="51"/>
      <c r="I1192" s="51"/>
    </row>
    <row r="1193" ht="15.75" customHeight="1">
      <c r="A1193" s="65"/>
      <c r="B1193" s="66"/>
      <c r="C1193" s="67"/>
      <c r="D1193" s="67"/>
      <c r="E1193" s="51"/>
      <c r="F1193" s="51"/>
      <c r="G1193" s="51"/>
      <c r="H1193" s="51"/>
      <c r="I1193" s="51"/>
    </row>
    <row r="1194" ht="15.75" customHeight="1">
      <c r="A1194" s="65"/>
      <c r="B1194" s="66"/>
      <c r="C1194" s="67"/>
      <c r="D1194" s="67"/>
      <c r="E1194" s="51"/>
      <c r="F1194" s="51"/>
      <c r="G1194" s="51"/>
      <c r="H1194" s="51"/>
      <c r="I1194" s="51"/>
    </row>
    <row r="1195" ht="15.75" customHeight="1">
      <c r="A1195" s="65"/>
      <c r="B1195" s="66"/>
      <c r="C1195" s="67"/>
      <c r="D1195" s="67"/>
      <c r="E1195" s="51"/>
      <c r="F1195" s="51"/>
      <c r="G1195" s="51"/>
      <c r="H1195" s="51"/>
      <c r="I1195" s="51"/>
    </row>
    <row r="1196" ht="15.75" customHeight="1">
      <c r="A1196" s="65"/>
      <c r="B1196" s="66"/>
      <c r="C1196" s="67"/>
      <c r="D1196" s="67"/>
      <c r="E1196" s="51"/>
      <c r="F1196" s="51"/>
      <c r="G1196" s="51"/>
      <c r="H1196" s="51"/>
      <c r="I1196" s="51"/>
    </row>
    <row r="1197" ht="15.75" customHeight="1">
      <c r="A1197" s="65"/>
      <c r="B1197" s="66"/>
      <c r="C1197" s="67"/>
      <c r="D1197" s="67"/>
      <c r="E1197" s="51"/>
      <c r="F1197" s="51"/>
      <c r="G1197" s="51"/>
      <c r="H1197" s="51"/>
      <c r="I1197" s="51"/>
    </row>
    <row r="1198" ht="15.75" customHeight="1">
      <c r="A1198" s="65"/>
      <c r="B1198" s="66"/>
      <c r="C1198" s="67"/>
      <c r="D1198" s="67"/>
      <c r="E1198" s="51"/>
      <c r="F1198" s="51"/>
      <c r="G1198" s="51"/>
      <c r="H1198" s="51"/>
      <c r="I1198" s="51"/>
    </row>
    <row r="1199" ht="15.75" customHeight="1">
      <c r="A1199" s="65"/>
      <c r="B1199" s="66"/>
      <c r="C1199" s="67"/>
      <c r="D1199" s="67"/>
      <c r="E1199" s="51"/>
      <c r="F1199" s="51"/>
      <c r="G1199" s="51"/>
      <c r="H1199" s="51"/>
      <c r="I1199" s="51"/>
    </row>
    <row r="1200" ht="15.75" customHeight="1">
      <c r="A1200" s="65"/>
      <c r="B1200" s="66"/>
      <c r="C1200" s="67"/>
      <c r="D1200" s="67"/>
      <c r="E1200" s="51"/>
      <c r="F1200" s="51"/>
      <c r="G1200" s="51"/>
      <c r="H1200" s="51"/>
      <c r="I1200" s="51"/>
    </row>
    <row r="1201" ht="15.75" customHeight="1">
      <c r="A1201" s="65"/>
      <c r="B1201" s="66"/>
      <c r="C1201" s="67"/>
      <c r="D1201" s="67"/>
      <c r="E1201" s="51"/>
      <c r="F1201" s="51"/>
      <c r="G1201" s="51"/>
      <c r="H1201" s="51"/>
      <c r="I1201" s="51"/>
    </row>
    <row r="1202" ht="15.75" customHeight="1">
      <c r="A1202" s="65"/>
      <c r="B1202" s="66"/>
      <c r="C1202" s="67"/>
      <c r="D1202" s="67"/>
      <c r="F1202" s="51"/>
      <c r="G1202" s="51"/>
      <c r="H1202" s="51"/>
      <c r="I1202" s="51"/>
    </row>
    <row r="1203" ht="15.75" customHeight="1">
      <c r="A1203" s="65"/>
      <c r="B1203" s="66"/>
      <c r="C1203" s="67"/>
      <c r="D1203" s="67"/>
      <c r="F1203" s="51"/>
      <c r="G1203" s="51"/>
      <c r="H1203" s="51"/>
      <c r="I1203" s="51"/>
    </row>
    <row r="1204" ht="15.75" customHeight="1">
      <c r="A1204" s="65"/>
      <c r="B1204" s="66"/>
      <c r="C1204" s="67"/>
      <c r="D1204" s="67"/>
      <c r="F1204" s="51"/>
      <c r="G1204" s="51"/>
      <c r="H1204" s="51"/>
      <c r="I1204" s="51"/>
    </row>
    <row r="1205" ht="15.75" customHeight="1">
      <c r="A1205" s="65"/>
      <c r="B1205" s="66"/>
      <c r="C1205" s="67"/>
      <c r="D1205" s="67"/>
      <c r="F1205" s="51"/>
      <c r="G1205" s="51"/>
      <c r="H1205" s="51"/>
      <c r="I1205" s="51"/>
    </row>
    <row r="1206" ht="15.75" customHeight="1">
      <c r="A1206" s="65"/>
      <c r="B1206" s="66"/>
      <c r="C1206" s="67"/>
      <c r="D1206" s="67"/>
      <c r="F1206" s="51"/>
      <c r="G1206" s="51"/>
      <c r="H1206" s="51"/>
      <c r="I1206" s="51"/>
    </row>
    <row r="1207" ht="15.75" customHeight="1">
      <c r="A1207" s="65"/>
      <c r="B1207" s="66"/>
      <c r="C1207" s="67"/>
      <c r="D1207" s="67"/>
      <c r="F1207" s="51"/>
      <c r="G1207" s="51"/>
      <c r="H1207" s="51"/>
      <c r="I1207" s="51"/>
    </row>
    <row r="1208" ht="15.75" customHeight="1">
      <c r="A1208" s="65"/>
      <c r="B1208" s="66"/>
      <c r="C1208" s="67"/>
      <c r="D1208" s="67"/>
      <c r="F1208" s="51"/>
      <c r="G1208" s="51"/>
      <c r="H1208" s="51"/>
      <c r="I1208" s="51"/>
    </row>
    <row r="1209" ht="15.75" customHeight="1">
      <c r="A1209" s="65"/>
      <c r="B1209" s="66"/>
      <c r="C1209" s="67"/>
      <c r="D1209" s="67"/>
      <c r="F1209" s="51"/>
      <c r="G1209" s="51"/>
      <c r="H1209" s="51"/>
      <c r="I1209" s="51"/>
    </row>
    <row r="1210" ht="15.75" customHeight="1">
      <c r="A1210" s="65"/>
      <c r="B1210" s="66"/>
      <c r="C1210" s="67"/>
      <c r="D1210" s="67"/>
      <c r="F1210" s="51"/>
      <c r="G1210" s="51"/>
      <c r="H1210" s="51"/>
      <c r="I1210" s="51"/>
    </row>
    <row r="1211" ht="15.75" customHeight="1">
      <c r="A1211" s="65"/>
      <c r="B1211" s="66"/>
      <c r="C1211" s="67"/>
      <c r="D1211" s="67"/>
      <c r="F1211" s="51"/>
      <c r="G1211" s="51"/>
      <c r="H1211" s="51"/>
      <c r="I1211" s="51"/>
    </row>
    <row r="1212" ht="15.75" customHeight="1">
      <c r="A1212" s="65"/>
      <c r="B1212" s="66"/>
      <c r="C1212" s="67"/>
      <c r="D1212" s="67"/>
      <c r="F1212" s="51"/>
      <c r="G1212" s="51"/>
      <c r="H1212" s="51"/>
      <c r="I1212" s="51"/>
    </row>
    <row r="1213" ht="15.75" customHeight="1">
      <c r="A1213" s="65"/>
      <c r="B1213" s="66"/>
      <c r="C1213" s="67"/>
      <c r="D1213" s="67"/>
      <c r="F1213" s="51"/>
      <c r="G1213" s="51"/>
      <c r="H1213" s="51"/>
      <c r="I1213" s="51"/>
    </row>
    <row r="1214" ht="15.75" customHeight="1">
      <c r="A1214" s="65"/>
      <c r="B1214" s="66"/>
      <c r="C1214" s="67"/>
      <c r="D1214" s="67"/>
      <c r="F1214" s="51"/>
      <c r="G1214" s="51"/>
      <c r="H1214" s="51"/>
      <c r="I1214" s="51"/>
    </row>
    <row r="1215" ht="15.75" customHeight="1">
      <c r="A1215" s="65"/>
      <c r="B1215" s="66"/>
      <c r="C1215" s="67"/>
      <c r="D1215" s="67"/>
      <c r="F1215" s="51"/>
      <c r="G1215" s="51"/>
      <c r="H1215" s="51"/>
      <c r="I1215" s="51"/>
    </row>
    <row r="1216" ht="15.75" customHeight="1">
      <c r="A1216" s="65"/>
      <c r="B1216" s="66"/>
      <c r="C1216" s="67"/>
      <c r="D1216" s="67"/>
      <c r="F1216" s="51"/>
      <c r="G1216" s="51"/>
      <c r="H1216" s="51"/>
      <c r="I1216" s="51"/>
    </row>
    <row r="1217" ht="15.75" customHeight="1">
      <c r="A1217" s="65"/>
      <c r="B1217" s="66"/>
      <c r="C1217" s="67"/>
      <c r="D1217" s="67"/>
      <c r="F1217" s="51"/>
      <c r="G1217" s="51"/>
      <c r="H1217" s="51"/>
      <c r="I1217" s="51"/>
    </row>
    <row r="1218" ht="15.75" customHeight="1">
      <c r="A1218" s="65"/>
      <c r="B1218" s="66"/>
      <c r="C1218" s="67"/>
      <c r="D1218" s="67"/>
      <c r="F1218" s="51"/>
      <c r="G1218" s="51"/>
      <c r="H1218" s="51"/>
      <c r="I1218" s="51"/>
    </row>
    <row r="1219" ht="15.75" customHeight="1">
      <c r="A1219" s="65"/>
      <c r="B1219" s="66"/>
      <c r="C1219" s="67"/>
      <c r="D1219" s="67"/>
      <c r="F1219" s="51"/>
      <c r="G1219" s="51"/>
      <c r="H1219" s="51"/>
      <c r="I1219" s="51"/>
    </row>
    <row r="1220" ht="15.75" customHeight="1">
      <c r="A1220" s="65"/>
      <c r="B1220" s="66"/>
      <c r="C1220" s="67"/>
      <c r="D1220" s="67"/>
      <c r="F1220" s="51"/>
      <c r="G1220" s="51"/>
      <c r="H1220" s="51"/>
      <c r="I1220" s="51"/>
    </row>
    <row r="1221" ht="15.75" customHeight="1">
      <c r="A1221" s="65"/>
      <c r="B1221" s="66"/>
      <c r="C1221" s="67"/>
      <c r="D1221" s="67"/>
      <c r="F1221" s="51"/>
      <c r="G1221" s="51"/>
      <c r="H1221" s="51"/>
      <c r="I1221" s="51"/>
    </row>
    <row r="1222" ht="15.75" customHeight="1">
      <c r="A1222" s="65"/>
      <c r="B1222" s="66"/>
      <c r="C1222" s="67"/>
      <c r="D1222" s="67"/>
      <c r="F1222" s="51"/>
      <c r="G1222" s="51"/>
      <c r="H1222" s="51"/>
      <c r="I1222" s="51"/>
    </row>
    <row r="1223" ht="15.75" customHeight="1">
      <c r="A1223" s="65"/>
      <c r="B1223" s="66"/>
      <c r="C1223" s="67"/>
      <c r="D1223" s="67"/>
      <c r="F1223" s="51"/>
      <c r="G1223" s="51"/>
      <c r="H1223" s="51"/>
      <c r="I1223" s="51"/>
    </row>
    <row r="1224" ht="15.75" customHeight="1">
      <c r="A1224" s="65"/>
      <c r="B1224" s="66"/>
      <c r="C1224" s="67"/>
      <c r="D1224" s="67"/>
      <c r="F1224" s="51"/>
      <c r="G1224" s="51"/>
      <c r="H1224" s="51"/>
      <c r="I1224" s="51"/>
    </row>
    <row r="1225" ht="15.75" customHeight="1">
      <c r="A1225" s="65"/>
      <c r="B1225" s="66"/>
      <c r="C1225" s="67"/>
      <c r="D1225" s="67"/>
      <c r="F1225" s="51"/>
      <c r="G1225" s="51"/>
      <c r="H1225" s="51"/>
      <c r="I1225" s="51"/>
    </row>
    <row r="1226" ht="15.75" customHeight="1">
      <c r="A1226" s="65"/>
      <c r="B1226" s="66"/>
      <c r="C1226" s="67"/>
      <c r="D1226" s="67"/>
      <c r="F1226" s="51"/>
      <c r="G1226" s="51"/>
      <c r="H1226" s="51"/>
      <c r="I1226" s="51"/>
    </row>
    <row r="1227" ht="15.75" customHeight="1">
      <c r="A1227" s="65"/>
      <c r="B1227" s="66"/>
      <c r="C1227" s="67"/>
      <c r="D1227" s="67"/>
      <c r="F1227" s="51"/>
      <c r="G1227" s="51"/>
      <c r="H1227" s="51"/>
      <c r="I1227" s="51"/>
    </row>
    <row r="1228" ht="15.75" customHeight="1">
      <c r="A1228" s="65"/>
      <c r="B1228" s="66"/>
      <c r="C1228" s="67"/>
      <c r="D1228" s="67"/>
      <c r="F1228" s="51"/>
      <c r="G1228" s="51"/>
      <c r="H1228" s="51"/>
      <c r="I1228" s="51"/>
    </row>
    <row r="1229" ht="15.75" customHeight="1">
      <c r="A1229" s="65"/>
      <c r="B1229" s="66"/>
      <c r="C1229" s="67"/>
      <c r="D1229" s="67"/>
      <c r="F1229" s="51"/>
      <c r="G1229" s="51"/>
      <c r="H1229" s="51"/>
      <c r="I1229" s="51"/>
    </row>
    <row r="1230" ht="15.75" customHeight="1">
      <c r="A1230" s="65"/>
      <c r="B1230" s="66"/>
      <c r="C1230" s="67"/>
      <c r="D1230" s="67"/>
      <c r="F1230" s="51"/>
      <c r="G1230" s="51"/>
      <c r="H1230" s="51"/>
      <c r="I1230" s="51"/>
    </row>
    <row r="1231" ht="15.75" customHeight="1">
      <c r="A1231" s="65"/>
      <c r="B1231" s="66"/>
      <c r="C1231" s="67"/>
      <c r="D1231" s="67"/>
      <c r="F1231" s="51"/>
      <c r="G1231" s="51"/>
      <c r="H1231" s="51"/>
      <c r="I1231" s="51"/>
    </row>
    <row r="1232" ht="15.75" customHeight="1">
      <c r="A1232" s="65"/>
      <c r="B1232" s="66"/>
      <c r="C1232" s="67"/>
      <c r="D1232" s="67"/>
      <c r="F1232" s="51"/>
      <c r="G1232" s="51"/>
      <c r="H1232" s="51"/>
      <c r="I1232" s="51"/>
    </row>
    <row r="1233" ht="15.75" customHeight="1">
      <c r="A1233" s="65"/>
      <c r="B1233" s="66"/>
      <c r="C1233" s="67"/>
      <c r="D1233" s="67"/>
      <c r="F1233" s="51"/>
      <c r="G1233" s="51"/>
      <c r="H1233" s="51"/>
      <c r="I1233" s="51"/>
    </row>
    <row r="1234" ht="15.75" customHeight="1">
      <c r="A1234" s="65"/>
      <c r="B1234" s="66"/>
      <c r="C1234" s="67"/>
      <c r="D1234" s="67"/>
      <c r="F1234" s="51"/>
      <c r="G1234" s="51"/>
      <c r="H1234" s="51"/>
      <c r="I1234" s="51"/>
    </row>
    <row r="1235" ht="15.75" customHeight="1">
      <c r="A1235" s="65"/>
      <c r="B1235" s="66"/>
      <c r="C1235" s="67"/>
      <c r="D1235" s="67"/>
      <c r="F1235" s="51"/>
      <c r="G1235" s="51"/>
      <c r="H1235" s="51"/>
      <c r="I1235" s="51"/>
    </row>
    <row r="1236" ht="15.75" customHeight="1">
      <c r="A1236" s="65"/>
      <c r="B1236" s="66"/>
      <c r="C1236" s="67"/>
      <c r="D1236" s="67"/>
      <c r="F1236" s="51"/>
      <c r="G1236" s="51"/>
      <c r="H1236" s="51"/>
      <c r="I1236" s="51"/>
    </row>
    <row r="1237" ht="15.75" customHeight="1">
      <c r="A1237" s="65"/>
      <c r="B1237" s="66"/>
      <c r="C1237" s="67"/>
      <c r="D1237" s="67"/>
      <c r="F1237" s="51"/>
      <c r="G1237" s="51"/>
      <c r="H1237" s="51"/>
      <c r="I1237" s="51"/>
    </row>
    <row r="1238" ht="15.75" customHeight="1">
      <c r="A1238" s="65"/>
      <c r="B1238" s="66"/>
      <c r="C1238" s="67"/>
      <c r="D1238" s="67"/>
      <c r="F1238" s="51"/>
      <c r="G1238" s="51"/>
      <c r="H1238" s="51"/>
      <c r="I1238" s="51"/>
    </row>
    <row r="1239" ht="15.75" customHeight="1">
      <c r="A1239" s="65"/>
      <c r="B1239" s="66"/>
      <c r="C1239" s="67"/>
      <c r="D1239" s="67"/>
      <c r="F1239" s="51"/>
      <c r="G1239" s="51"/>
      <c r="H1239" s="51"/>
      <c r="I1239" s="51"/>
    </row>
    <row r="1240" ht="15.75" customHeight="1">
      <c r="A1240" s="65"/>
      <c r="B1240" s="66"/>
      <c r="C1240" s="67"/>
      <c r="D1240" s="67"/>
      <c r="F1240" s="51"/>
      <c r="G1240" s="51"/>
      <c r="H1240" s="51"/>
      <c r="I1240" s="51"/>
    </row>
    <row r="1241" ht="15.75" customHeight="1">
      <c r="A1241" s="65"/>
      <c r="B1241" s="66"/>
      <c r="C1241" s="67"/>
      <c r="D1241" s="67"/>
      <c r="F1241" s="51"/>
      <c r="G1241" s="51"/>
      <c r="H1241" s="51"/>
      <c r="I1241" s="51"/>
    </row>
    <row r="1242" ht="15.75" customHeight="1">
      <c r="A1242" s="65"/>
      <c r="B1242" s="66"/>
      <c r="C1242" s="67"/>
      <c r="D1242" s="67"/>
      <c r="F1242" s="51"/>
      <c r="G1242" s="51"/>
      <c r="H1242" s="51"/>
      <c r="I1242" s="51"/>
    </row>
    <row r="1243" ht="15.75" customHeight="1">
      <c r="A1243" s="65"/>
      <c r="B1243" s="66"/>
      <c r="C1243" s="67"/>
      <c r="D1243" s="67"/>
      <c r="F1243" s="51"/>
      <c r="G1243" s="51"/>
      <c r="H1243" s="51"/>
      <c r="I1243" s="51"/>
    </row>
    <row r="1244" ht="15.75" customHeight="1">
      <c r="A1244" s="65"/>
      <c r="B1244" s="66"/>
      <c r="C1244" s="67"/>
      <c r="D1244" s="67"/>
      <c r="F1244" s="51"/>
      <c r="G1244" s="51"/>
      <c r="H1244" s="51"/>
      <c r="I1244" s="51"/>
    </row>
    <row r="1245" ht="15.75" customHeight="1">
      <c r="A1245" s="65"/>
      <c r="B1245" s="66"/>
      <c r="C1245" s="67"/>
      <c r="D1245" s="67"/>
      <c r="F1245" s="51"/>
      <c r="G1245" s="51"/>
      <c r="H1245" s="51"/>
      <c r="I1245" s="51"/>
    </row>
    <row r="1246" ht="15.75" customHeight="1">
      <c r="A1246" s="65"/>
      <c r="B1246" s="66"/>
      <c r="C1246" s="67"/>
      <c r="D1246" s="67"/>
      <c r="F1246" s="51"/>
      <c r="G1246" s="51"/>
      <c r="H1246" s="51"/>
      <c r="I1246" s="51"/>
    </row>
    <row r="1247" ht="15.75" customHeight="1">
      <c r="A1247" s="65"/>
      <c r="B1247" s="66"/>
      <c r="C1247" s="67"/>
      <c r="D1247" s="67"/>
      <c r="F1247" s="51"/>
      <c r="G1247" s="51"/>
      <c r="H1247" s="51"/>
      <c r="I1247" s="51"/>
    </row>
    <row r="1248" ht="15.75" customHeight="1">
      <c r="A1248" s="65"/>
      <c r="B1248" s="66"/>
      <c r="C1248" s="67"/>
      <c r="D1248" s="67"/>
      <c r="F1248" s="51"/>
      <c r="G1248" s="51"/>
      <c r="H1248" s="51"/>
      <c r="I1248" s="51"/>
    </row>
    <row r="1249" ht="15.75" customHeight="1">
      <c r="A1249" s="65"/>
      <c r="B1249" s="66"/>
      <c r="C1249" s="67"/>
      <c r="D1249" s="67"/>
      <c r="F1249" s="51"/>
      <c r="G1249" s="51"/>
      <c r="H1249" s="51"/>
      <c r="I1249" s="51"/>
    </row>
    <row r="1250" ht="15.75" customHeight="1">
      <c r="A1250" s="65"/>
      <c r="B1250" s="66"/>
      <c r="C1250" s="67"/>
      <c r="D1250" s="67"/>
      <c r="F1250" s="51"/>
      <c r="G1250" s="51"/>
      <c r="H1250" s="51"/>
      <c r="I1250" s="51"/>
    </row>
    <row r="1251" ht="15.75" customHeight="1">
      <c r="A1251" s="65"/>
      <c r="B1251" s="66"/>
      <c r="C1251" s="67"/>
      <c r="D1251" s="67"/>
      <c r="F1251" s="51"/>
      <c r="G1251" s="51"/>
      <c r="H1251" s="51"/>
      <c r="I1251" s="51"/>
    </row>
    <row r="1252" ht="15.75" customHeight="1">
      <c r="A1252" s="65"/>
      <c r="B1252" s="66"/>
      <c r="C1252" s="67"/>
      <c r="D1252" s="67"/>
      <c r="F1252" s="51"/>
      <c r="G1252" s="51"/>
      <c r="H1252" s="51"/>
      <c r="I1252" s="51"/>
    </row>
    <row r="1253" ht="15.75" customHeight="1">
      <c r="A1253" s="65"/>
      <c r="B1253" s="66"/>
      <c r="C1253" s="67"/>
      <c r="D1253" s="67"/>
      <c r="F1253" s="51"/>
      <c r="G1253" s="51"/>
      <c r="H1253" s="51"/>
      <c r="I1253" s="51"/>
    </row>
    <row r="1254" ht="15.75" customHeight="1">
      <c r="A1254" s="65"/>
      <c r="B1254" s="66"/>
      <c r="C1254" s="67"/>
      <c r="D1254" s="67"/>
      <c r="F1254" s="51"/>
      <c r="G1254" s="51"/>
      <c r="H1254" s="51"/>
      <c r="I1254" s="51"/>
    </row>
    <row r="1255" ht="15.75" customHeight="1">
      <c r="A1255" s="65"/>
      <c r="B1255" s="66"/>
      <c r="C1255" s="67"/>
      <c r="D1255" s="67"/>
      <c r="F1255" s="51"/>
      <c r="G1255" s="51"/>
      <c r="H1255" s="51"/>
      <c r="I1255" s="51"/>
    </row>
    <row r="1256" ht="15.75" customHeight="1">
      <c r="A1256" s="65"/>
      <c r="B1256" s="66"/>
      <c r="C1256" s="67"/>
      <c r="D1256" s="67"/>
      <c r="F1256" s="51"/>
      <c r="G1256" s="51"/>
      <c r="H1256" s="51"/>
      <c r="I1256" s="51"/>
    </row>
    <row r="1257" ht="15.75" customHeight="1">
      <c r="A1257" s="65"/>
      <c r="B1257" s="66"/>
      <c r="C1257" s="67"/>
      <c r="D1257" s="67"/>
      <c r="F1257" s="51"/>
      <c r="G1257" s="51"/>
      <c r="H1257" s="51"/>
      <c r="I1257" s="51"/>
    </row>
    <row r="1258" ht="15.75" customHeight="1">
      <c r="A1258" s="65"/>
      <c r="B1258" s="66"/>
      <c r="C1258" s="67"/>
      <c r="D1258" s="67"/>
      <c r="F1258" s="51"/>
      <c r="G1258" s="51"/>
      <c r="H1258" s="51"/>
      <c r="I1258" s="51"/>
    </row>
    <row r="1259" ht="15.75" customHeight="1">
      <c r="A1259" s="65"/>
      <c r="B1259" s="66"/>
      <c r="C1259" s="67"/>
      <c r="D1259" s="67"/>
      <c r="F1259" s="51"/>
      <c r="G1259" s="51"/>
      <c r="H1259" s="51"/>
      <c r="I1259" s="51"/>
    </row>
    <row r="1260" ht="15.75" customHeight="1">
      <c r="A1260" s="65"/>
      <c r="B1260" s="66"/>
      <c r="C1260" s="67"/>
      <c r="D1260" s="67"/>
      <c r="F1260" s="51"/>
      <c r="G1260" s="51"/>
      <c r="H1260" s="51"/>
      <c r="I1260" s="51"/>
    </row>
    <row r="1261" ht="15.75" customHeight="1">
      <c r="A1261" s="65"/>
      <c r="B1261" s="66"/>
      <c r="C1261" s="67"/>
      <c r="D1261" s="67"/>
      <c r="F1261" s="51"/>
      <c r="G1261" s="51"/>
      <c r="H1261" s="51"/>
      <c r="I1261" s="51"/>
    </row>
    <row r="1262" ht="15.75" customHeight="1">
      <c r="A1262" s="65"/>
      <c r="B1262" s="66"/>
      <c r="C1262" s="67"/>
      <c r="D1262" s="67"/>
      <c r="F1262" s="51"/>
      <c r="G1262" s="51"/>
      <c r="H1262" s="51"/>
      <c r="I1262" s="51"/>
    </row>
    <row r="1263" ht="15.75" customHeight="1">
      <c r="A1263" s="65"/>
      <c r="B1263" s="66"/>
      <c r="C1263" s="67"/>
      <c r="D1263" s="67"/>
      <c r="F1263" s="51"/>
      <c r="G1263" s="51"/>
      <c r="H1263" s="51"/>
      <c r="I1263" s="51"/>
    </row>
    <row r="1264" ht="15.75" customHeight="1">
      <c r="A1264" s="65"/>
      <c r="B1264" s="66"/>
      <c r="C1264" s="67"/>
      <c r="D1264" s="67"/>
      <c r="F1264" s="51"/>
      <c r="G1264" s="51"/>
      <c r="H1264" s="51"/>
      <c r="I1264" s="51"/>
    </row>
    <row r="1265" ht="15.75" customHeight="1">
      <c r="A1265" s="65"/>
      <c r="B1265" s="66"/>
      <c r="C1265" s="67"/>
      <c r="D1265" s="67"/>
      <c r="F1265" s="51"/>
      <c r="G1265" s="51"/>
      <c r="H1265" s="51"/>
      <c r="I1265" s="51"/>
    </row>
    <row r="1266" ht="15.75" customHeight="1">
      <c r="A1266" s="65"/>
      <c r="B1266" s="66"/>
      <c r="C1266" s="67"/>
      <c r="D1266" s="67"/>
      <c r="F1266" s="51"/>
      <c r="G1266" s="51"/>
      <c r="H1266" s="51"/>
      <c r="I1266" s="51"/>
    </row>
    <row r="1267" ht="15.75" customHeight="1">
      <c r="A1267" s="65"/>
      <c r="B1267" s="66"/>
      <c r="C1267" s="67"/>
      <c r="D1267" s="67"/>
      <c r="F1267" s="51"/>
      <c r="G1267" s="51"/>
      <c r="H1267" s="51"/>
      <c r="I1267" s="51"/>
    </row>
    <row r="1268" ht="15.75" customHeight="1">
      <c r="A1268" s="65"/>
      <c r="B1268" s="66"/>
      <c r="C1268" s="67"/>
      <c r="D1268" s="67"/>
      <c r="F1268" s="51"/>
      <c r="G1268" s="51"/>
      <c r="H1268" s="51"/>
      <c r="I1268" s="51"/>
    </row>
    <row r="1269" ht="15.75" customHeight="1">
      <c r="A1269" s="65"/>
      <c r="B1269" s="66"/>
      <c r="C1269" s="67"/>
      <c r="D1269" s="67"/>
      <c r="F1269" s="51"/>
      <c r="G1269" s="51"/>
      <c r="H1269" s="51"/>
      <c r="I1269" s="51"/>
    </row>
    <row r="1270" ht="15.75" customHeight="1">
      <c r="A1270" s="65"/>
      <c r="B1270" s="66"/>
      <c r="C1270" s="67"/>
      <c r="D1270" s="67"/>
      <c r="F1270" s="51"/>
      <c r="G1270" s="51"/>
      <c r="H1270" s="51"/>
      <c r="I1270" s="51"/>
    </row>
    <row r="1271" ht="15.75" customHeight="1">
      <c r="A1271" s="65"/>
      <c r="B1271" s="66"/>
      <c r="C1271" s="67"/>
      <c r="D1271" s="67"/>
      <c r="F1271" s="51"/>
      <c r="G1271" s="51"/>
      <c r="H1271" s="51"/>
      <c r="I1271" s="51"/>
    </row>
    <row r="1272" ht="15.75" customHeight="1">
      <c r="A1272" s="65"/>
      <c r="B1272" s="66"/>
      <c r="C1272" s="67"/>
      <c r="D1272" s="67"/>
      <c r="F1272" s="51"/>
      <c r="G1272" s="51"/>
      <c r="H1272" s="51"/>
      <c r="I1272" s="51"/>
    </row>
    <row r="1273" ht="15.75" customHeight="1">
      <c r="A1273" s="65"/>
      <c r="B1273" s="66"/>
      <c r="C1273" s="67"/>
      <c r="D1273" s="67"/>
      <c r="F1273" s="51"/>
      <c r="G1273" s="51"/>
      <c r="H1273" s="51"/>
      <c r="I1273" s="51"/>
    </row>
    <row r="1274" ht="15.75" customHeight="1">
      <c r="A1274" s="65"/>
      <c r="B1274" s="66"/>
      <c r="C1274" s="67"/>
      <c r="D1274" s="67"/>
      <c r="F1274" s="51"/>
      <c r="G1274" s="51"/>
      <c r="H1274" s="51"/>
      <c r="I1274" s="51"/>
    </row>
    <row r="1275" ht="15.75" customHeight="1">
      <c r="A1275" s="65"/>
      <c r="B1275" s="66"/>
      <c r="C1275" s="67"/>
      <c r="D1275" s="67"/>
      <c r="F1275" s="51"/>
      <c r="G1275" s="51"/>
      <c r="H1275" s="51"/>
      <c r="I1275" s="51"/>
    </row>
    <row r="1276" ht="15.75" customHeight="1">
      <c r="A1276" s="65"/>
      <c r="B1276" s="66"/>
      <c r="C1276" s="67"/>
      <c r="D1276" s="67"/>
      <c r="F1276" s="51"/>
      <c r="G1276" s="51"/>
      <c r="H1276" s="51"/>
      <c r="I1276" s="51"/>
    </row>
    <row r="1277" ht="15.75" customHeight="1">
      <c r="A1277" s="65"/>
      <c r="B1277" s="66"/>
      <c r="C1277" s="67"/>
      <c r="D1277" s="67"/>
      <c r="F1277" s="51"/>
      <c r="G1277" s="51"/>
      <c r="H1277" s="51"/>
      <c r="I1277" s="51"/>
    </row>
    <row r="1278" ht="15.75" customHeight="1">
      <c r="A1278" s="65"/>
      <c r="B1278" s="66"/>
      <c r="C1278" s="67"/>
      <c r="D1278" s="67"/>
      <c r="F1278" s="51"/>
      <c r="G1278" s="51"/>
      <c r="H1278" s="51"/>
      <c r="I1278" s="51"/>
    </row>
    <row r="1279" ht="15.75" customHeight="1">
      <c r="A1279" s="65"/>
      <c r="B1279" s="66"/>
      <c r="C1279" s="67"/>
      <c r="D1279" s="67"/>
      <c r="F1279" s="51"/>
      <c r="G1279" s="51"/>
      <c r="H1279" s="51"/>
      <c r="I1279" s="51"/>
    </row>
    <row r="1280" ht="15.75" customHeight="1">
      <c r="A1280" s="65"/>
      <c r="B1280" s="66"/>
      <c r="C1280" s="67"/>
      <c r="D1280" s="67"/>
      <c r="F1280" s="51"/>
      <c r="G1280" s="51"/>
      <c r="H1280" s="51"/>
      <c r="I1280" s="51"/>
    </row>
    <row r="1281" ht="15.75" customHeight="1">
      <c r="A1281" s="65"/>
      <c r="B1281" s="66"/>
      <c r="C1281" s="67"/>
      <c r="D1281" s="67"/>
      <c r="F1281" s="51"/>
      <c r="G1281" s="51"/>
      <c r="H1281" s="51"/>
      <c r="I1281" s="51"/>
    </row>
    <row r="1282" ht="15.75" customHeight="1">
      <c r="A1282" s="65"/>
      <c r="B1282" s="66"/>
      <c r="C1282" s="67"/>
      <c r="D1282" s="67"/>
      <c r="F1282" s="51"/>
      <c r="G1282" s="51"/>
      <c r="H1282" s="51"/>
      <c r="I1282" s="51"/>
    </row>
    <row r="1283" ht="15.75" customHeight="1">
      <c r="A1283" s="65"/>
      <c r="B1283" s="66"/>
      <c r="C1283" s="67"/>
      <c r="D1283" s="67"/>
      <c r="F1283" s="51"/>
      <c r="G1283" s="51"/>
      <c r="H1283" s="51"/>
      <c r="I1283" s="51"/>
    </row>
    <row r="1284" ht="15.75" customHeight="1">
      <c r="A1284" s="65"/>
      <c r="B1284" s="66"/>
      <c r="C1284" s="67"/>
      <c r="D1284" s="67"/>
      <c r="F1284" s="51"/>
      <c r="G1284" s="51"/>
      <c r="H1284" s="51"/>
      <c r="I1284" s="51"/>
    </row>
    <row r="1285" ht="15.75" customHeight="1">
      <c r="A1285" s="65"/>
      <c r="B1285" s="66"/>
      <c r="C1285" s="67"/>
      <c r="D1285" s="67"/>
      <c r="F1285" s="51"/>
      <c r="G1285" s="51"/>
      <c r="H1285" s="51"/>
      <c r="I1285" s="51"/>
    </row>
    <row r="1286" ht="15.75" customHeight="1">
      <c r="A1286" s="65"/>
      <c r="B1286" s="66"/>
      <c r="C1286" s="67"/>
      <c r="D1286" s="67"/>
      <c r="F1286" s="51"/>
      <c r="G1286" s="51"/>
      <c r="H1286" s="51"/>
      <c r="I1286" s="51"/>
    </row>
    <row r="1287" ht="15.75" customHeight="1">
      <c r="A1287" s="65"/>
      <c r="B1287" s="66"/>
      <c r="C1287" s="67"/>
      <c r="D1287" s="67"/>
      <c r="F1287" s="51"/>
      <c r="G1287" s="51"/>
      <c r="H1287" s="51"/>
      <c r="I1287" s="51"/>
    </row>
    <row r="1288" ht="15.75" customHeight="1">
      <c r="A1288" s="65"/>
      <c r="B1288" s="66"/>
      <c r="C1288" s="67"/>
      <c r="D1288" s="67"/>
      <c r="F1288" s="51"/>
      <c r="G1288" s="51"/>
      <c r="H1288" s="51"/>
      <c r="I1288" s="51"/>
    </row>
    <row r="1289" ht="15.75" customHeight="1">
      <c r="A1289" s="65"/>
      <c r="B1289" s="66"/>
      <c r="C1289" s="67"/>
      <c r="D1289" s="67"/>
      <c r="F1289" s="51"/>
      <c r="G1289" s="51"/>
      <c r="H1289" s="51"/>
      <c r="I1289" s="51"/>
    </row>
    <row r="1290" ht="15.75" customHeight="1">
      <c r="A1290" s="65"/>
      <c r="B1290" s="66"/>
      <c r="C1290" s="67"/>
      <c r="D1290" s="67"/>
      <c r="F1290" s="51"/>
      <c r="G1290" s="51"/>
      <c r="H1290" s="51"/>
      <c r="I1290" s="51"/>
    </row>
    <row r="1291" ht="15.75" customHeight="1">
      <c r="A1291" s="65"/>
      <c r="B1291" s="66"/>
      <c r="C1291" s="67"/>
      <c r="D1291" s="67"/>
      <c r="F1291" s="51"/>
      <c r="G1291" s="51"/>
      <c r="H1291" s="51"/>
      <c r="I1291" s="51"/>
    </row>
    <row r="1292" ht="15.75" customHeight="1">
      <c r="A1292" s="65"/>
      <c r="B1292" s="66"/>
      <c r="C1292" s="67"/>
      <c r="D1292" s="67"/>
      <c r="F1292" s="51"/>
      <c r="G1292" s="51"/>
      <c r="H1292" s="51"/>
      <c r="I1292" s="51"/>
    </row>
    <row r="1293" ht="15.75" customHeight="1">
      <c r="A1293" s="65"/>
      <c r="B1293" s="66"/>
      <c r="C1293" s="67"/>
      <c r="D1293" s="67"/>
      <c r="F1293" s="51"/>
      <c r="G1293" s="51"/>
      <c r="H1293" s="51"/>
      <c r="I1293" s="51"/>
    </row>
    <row r="1294" ht="15.75" customHeight="1">
      <c r="A1294" s="65"/>
      <c r="B1294" s="66"/>
      <c r="C1294" s="67"/>
      <c r="D1294" s="67"/>
      <c r="F1294" s="51"/>
      <c r="G1294" s="51"/>
      <c r="H1294" s="51"/>
      <c r="I1294" s="51"/>
    </row>
    <row r="1295" ht="15.75" customHeight="1">
      <c r="A1295" s="65"/>
      <c r="B1295" s="66"/>
      <c r="C1295" s="67"/>
      <c r="D1295" s="67"/>
      <c r="F1295" s="51"/>
      <c r="G1295" s="51"/>
      <c r="H1295" s="51"/>
      <c r="I1295" s="51"/>
    </row>
    <row r="1296" ht="15.75" customHeight="1">
      <c r="A1296" s="65"/>
      <c r="B1296" s="66"/>
      <c r="C1296" s="67"/>
      <c r="D1296" s="67"/>
      <c r="F1296" s="51"/>
      <c r="G1296" s="51"/>
      <c r="H1296" s="51"/>
      <c r="I1296" s="51"/>
    </row>
    <row r="1297" ht="15.75" customHeight="1">
      <c r="A1297" s="65"/>
      <c r="B1297" s="66"/>
      <c r="C1297" s="67"/>
      <c r="D1297" s="67"/>
      <c r="F1297" s="51"/>
      <c r="G1297" s="51"/>
      <c r="H1297" s="51"/>
      <c r="I1297" s="51"/>
    </row>
    <row r="1298" ht="15.75" customHeight="1">
      <c r="A1298" s="65"/>
      <c r="B1298" s="66"/>
      <c r="C1298" s="67"/>
      <c r="D1298" s="67"/>
      <c r="F1298" s="51"/>
      <c r="G1298" s="51"/>
      <c r="H1298" s="51"/>
      <c r="I1298" s="51"/>
    </row>
    <row r="1299" ht="15.75" customHeight="1">
      <c r="A1299" s="65"/>
      <c r="B1299" s="66"/>
      <c r="C1299" s="67"/>
      <c r="D1299" s="67"/>
      <c r="F1299" s="51"/>
      <c r="G1299" s="51"/>
      <c r="H1299" s="51"/>
      <c r="I1299" s="51"/>
    </row>
    <row r="1300" ht="15.75" customHeight="1">
      <c r="A1300" s="65"/>
      <c r="B1300" s="66"/>
      <c r="C1300" s="67"/>
      <c r="D1300" s="67"/>
      <c r="F1300" s="51"/>
      <c r="G1300" s="51"/>
      <c r="H1300" s="51"/>
      <c r="I1300" s="51"/>
    </row>
    <row r="1301" ht="15.75" customHeight="1">
      <c r="A1301" s="65"/>
      <c r="B1301" s="66"/>
      <c r="C1301" s="67"/>
      <c r="D1301" s="67"/>
      <c r="F1301" s="51"/>
      <c r="G1301" s="51"/>
      <c r="H1301" s="51"/>
      <c r="I1301" s="51"/>
    </row>
    <row r="1302" ht="15.75" customHeight="1">
      <c r="A1302" s="65"/>
      <c r="B1302" s="66"/>
      <c r="C1302" s="67"/>
      <c r="D1302" s="67"/>
      <c r="F1302" s="51"/>
      <c r="G1302" s="51"/>
      <c r="H1302" s="51"/>
      <c r="I1302" s="51"/>
    </row>
    <row r="1303" ht="15.75" customHeight="1">
      <c r="A1303" s="65"/>
      <c r="B1303" s="66"/>
      <c r="C1303" s="67"/>
      <c r="D1303" s="67"/>
      <c r="F1303" s="51"/>
      <c r="G1303" s="51"/>
      <c r="H1303" s="51"/>
      <c r="I1303" s="51"/>
    </row>
    <row r="1304" ht="15.75" customHeight="1">
      <c r="A1304" s="65"/>
      <c r="B1304" s="66"/>
      <c r="C1304" s="67"/>
      <c r="D1304" s="67"/>
      <c r="F1304" s="51"/>
      <c r="G1304" s="51"/>
      <c r="H1304" s="51"/>
      <c r="I1304" s="51"/>
    </row>
    <row r="1305" ht="15.75" customHeight="1">
      <c r="A1305" s="65"/>
      <c r="B1305" s="66"/>
      <c r="C1305" s="67"/>
      <c r="D1305" s="67"/>
      <c r="F1305" s="51"/>
      <c r="G1305" s="51"/>
      <c r="H1305" s="51"/>
      <c r="I1305" s="51"/>
    </row>
    <row r="1306" ht="15.75" customHeight="1">
      <c r="A1306" s="65"/>
      <c r="B1306" s="66"/>
      <c r="C1306" s="67"/>
      <c r="D1306" s="67"/>
      <c r="F1306" s="51"/>
      <c r="G1306" s="51"/>
      <c r="H1306" s="51"/>
      <c r="I1306" s="51"/>
    </row>
    <row r="1307" ht="15.75" customHeight="1">
      <c r="A1307" s="65"/>
      <c r="B1307" s="66"/>
      <c r="C1307" s="67"/>
      <c r="D1307" s="67"/>
      <c r="F1307" s="51"/>
      <c r="G1307" s="51"/>
      <c r="H1307" s="51"/>
      <c r="I1307" s="51"/>
    </row>
    <row r="1308" ht="15.75" customHeight="1">
      <c r="A1308" s="65"/>
      <c r="B1308" s="66"/>
      <c r="C1308" s="67"/>
      <c r="D1308" s="67"/>
      <c r="F1308" s="51"/>
      <c r="G1308" s="51"/>
      <c r="H1308" s="51"/>
      <c r="I1308" s="51"/>
    </row>
    <row r="1309" ht="15.75" customHeight="1">
      <c r="A1309" s="65"/>
      <c r="B1309" s="66"/>
      <c r="C1309" s="67"/>
      <c r="D1309" s="67"/>
      <c r="F1309" s="51"/>
      <c r="G1309" s="51"/>
      <c r="H1309" s="51"/>
      <c r="I1309" s="51"/>
    </row>
    <row r="1310" ht="15.75" customHeight="1">
      <c r="A1310" s="65"/>
      <c r="B1310" s="66"/>
      <c r="C1310" s="67"/>
      <c r="D1310" s="67"/>
      <c r="F1310" s="51"/>
      <c r="G1310" s="51"/>
      <c r="H1310" s="51"/>
      <c r="I1310" s="51"/>
    </row>
    <row r="1311" ht="15.75" customHeight="1">
      <c r="A1311" s="65"/>
      <c r="B1311" s="66"/>
      <c r="C1311" s="67"/>
      <c r="D1311" s="67"/>
      <c r="F1311" s="51"/>
      <c r="G1311" s="51"/>
      <c r="H1311" s="51"/>
      <c r="I1311" s="51"/>
    </row>
    <row r="1312" ht="15.75" customHeight="1">
      <c r="A1312" s="65"/>
      <c r="B1312" s="66"/>
      <c r="C1312" s="67"/>
      <c r="D1312" s="67"/>
      <c r="F1312" s="51"/>
      <c r="G1312" s="51"/>
      <c r="H1312" s="51"/>
      <c r="I1312" s="51"/>
    </row>
    <row r="1313" ht="15.75" customHeight="1">
      <c r="A1313" s="65"/>
      <c r="B1313" s="66"/>
      <c r="C1313" s="67"/>
      <c r="D1313" s="67"/>
      <c r="F1313" s="51"/>
      <c r="G1313" s="51"/>
      <c r="H1313" s="51"/>
      <c r="I1313" s="51"/>
    </row>
    <row r="1314" ht="15.75" customHeight="1">
      <c r="A1314" s="65"/>
      <c r="B1314" s="66"/>
      <c r="C1314" s="67"/>
      <c r="D1314" s="67"/>
      <c r="F1314" s="51"/>
      <c r="G1314" s="51"/>
      <c r="H1314" s="51"/>
      <c r="I1314" s="51"/>
    </row>
    <row r="1315" ht="15.75" customHeight="1">
      <c r="A1315" s="65"/>
      <c r="B1315" s="66"/>
      <c r="C1315" s="67"/>
      <c r="D1315" s="67"/>
      <c r="F1315" s="51"/>
      <c r="G1315" s="51"/>
      <c r="H1315" s="51"/>
      <c r="I1315" s="51"/>
    </row>
    <row r="1316" ht="15.75" customHeight="1">
      <c r="A1316" s="65"/>
      <c r="B1316" s="66"/>
      <c r="C1316" s="67"/>
      <c r="D1316" s="67"/>
      <c r="F1316" s="51"/>
      <c r="G1316" s="51"/>
      <c r="H1316" s="51"/>
      <c r="I1316" s="51"/>
    </row>
    <row r="1317" ht="15.75" customHeight="1">
      <c r="A1317" s="65"/>
      <c r="B1317" s="66"/>
      <c r="C1317" s="67"/>
      <c r="D1317" s="67"/>
      <c r="F1317" s="51"/>
      <c r="G1317" s="51"/>
      <c r="H1317" s="51"/>
      <c r="I1317" s="51"/>
    </row>
    <row r="1318" ht="15.75" customHeight="1">
      <c r="A1318" s="65"/>
      <c r="B1318" s="66"/>
      <c r="C1318" s="67"/>
      <c r="D1318" s="67"/>
      <c r="F1318" s="51"/>
      <c r="G1318" s="51"/>
      <c r="H1318" s="51"/>
      <c r="I1318" s="51"/>
    </row>
    <row r="1319" ht="15.75" customHeight="1">
      <c r="A1319" s="65"/>
      <c r="B1319" s="66"/>
      <c r="C1319" s="67"/>
      <c r="D1319" s="67"/>
      <c r="F1319" s="51"/>
      <c r="G1319" s="51"/>
      <c r="H1319" s="51"/>
      <c r="I1319" s="51"/>
    </row>
    <row r="1320" ht="15.75" customHeight="1">
      <c r="A1320" s="65"/>
      <c r="B1320" s="66"/>
      <c r="C1320" s="67"/>
      <c r="D1320" s="67"/>
      <c r="F1320" s="51"/>
      <c r="G1320" s="51"/>
      <c r="H1320" s="51"/>
      <c r="I1320" s="51"/>
    </row>
    <row r="1321" ht="15.75" customHeight="1">
      <c r="A1321" s="65"/>
      <c r="B1321" s="66"/>
      <c r="C1321" s="67"/>
      <c r="D1321" s="67"/>
      <c r="F1321" s="51"/>
      <c r="G1321" s="51"/>
      <c r="H1321" s="51"/>
      <c r="I1321" s="51"/>
    </row>
    <row r="1322" ht="15.75" customHeight="1">
      <c r="A1322" s="65"/>
      <c r="B1322" s="66"/>
      <c r="C1322" s="67"/>
      <c r="D1322" s="67"/>
      <c r="F1322" s="51"/>
      <c r="G1322" s="51"/>
      <c r="H1322" s="51"/>
      <c r="I1322" s="51"/>
    </row>
    <row r="1323" ht="15.75" customHeight="1">
      <c r="A1323" s="65"/>
      <c r="B1323" s="66"/>
      <c r="C1323" s="67"/>
      <c r="D1323" s="67"/>
      <c r="F1323" s="51"/>
      <c r="G1323" s="51"/>
      <c r="H1323" s="51"/>
      <c r="I1323" s="51"/>
    </row>
    <row r="1324" ht="15.75" customHeight="1">
      <c r="A1324" s="65"/>
      <c r="B1324" s="66"/>
      <c r="C1324" s="67"/>
      <c r="D1324" s="67"/>
      <c r="F1324" s="51"/>
      <c r="G1324" s="51"/>
      <c r="H1324" s="51"/>
      <c r="I1324" s="51"/>
    </row>
    <row r="1325" ht="15.75" customHeight="1">
      <c r="A1325" s="65"/>
      <c r="B1325" s="66"/>
      <c r="C1325" s="67"/>
      <c r="D1325" s="67"/>
      <c r="F1325" s="51"/>
      <c r="G1325" s="51"/>
      <c r="H1325" s="51"/>
      <c r="I1325" s="51"/>
    </row>
    <row r="1326" ht="15.75" customHeight="1">
      <c r="A1326" s="65"/>
      <c r="B1326" s="66"/>
      <c r="C1326" s="67"/>
      <c r="D1326" s="67"/>
      <c r="F1326" s="51"/>
      <c r="G1326" s="51"/>
      <c r="H1326" s="51"/>
      <c r="I1326" s="51"/>
    </row>
    <row r="1327" ht="15.75" customHeight="1">
      <c r="A1327" s="65"/>
      <c r="B1327" s="66"/>
      <c r="C1327" s="67"/>
      <c r="D1327" s="67"/>
      <c r="F1327" s="51"/>
      <c r="G1327" s="51"/>
      <c r="H1327" s="51"/>
      <c r="I1327" s="51"/>
    </row>
    <row r="1328" ht="15.75" customHeight="1">
      <c r="A1328" s="65"/>
      <c r="B1328" s="66"/>
      <c r="C1328" s="67"/>
      <c r="D1328" s="67"/>
      <c r="F1328" s="51"/>
      <c r="G1328" s="51"/>
      <c r="H1328" s="51"/>
      <c r="I1328" s="51"/>
    </row>
    <row r="1329" ht="15.75" customHeight="1">
      <c r="A1329" s="65"/>
      <c r="B1329" s="66"/>
      <c r="C1329" s="67"/>
      <c r="D1329" s="67"/>
      <c r="F1329" s="51"/>
      <c r="G1329" s="51"/>
      <c r="H1329" s="51"/>
      <c r="I1329" s="51"/>
    </row>
    <row r="1330" ht="15.75" customHeight="1">
      <c r="A1330" s="65"/>
      <c r="B1330" s="66"/>
      <c r="C1330" s="67"/>
      <c r="D1330" s="67"/>
      <c r="F1330" s="51"/>
      <c r="G1330" s="51"/>
      <c r="H1330" s="51"/>
      <c r="I1330" s="51"/>
    </row>
    <row r="1331" ht="15.75" customHeight="1">
      <c r="A1331" s="65"/>
      <c r="B1331" s="66"/>
      <c r="C1331" s="67"/>
      <c r="D1331" s="67"/>
      <c r="F1331" s="51"/>
      <c r="G1331" s="51"/>
      <c r="H1331" s="51"/>
      <c r="I1331" s="51"/>
    </row>
    <row r="1332" ht="15.75" customHeight="1">
      <c r="A1332" s="65"/>
      <c r="B1332" s="66"/>
      <c r="C1332" s="67"/>
      <c r="D1332" s="67"/>
      <c r="F1332" s="51"/>
      <c r="G1332" s="51"/>
      <c r="H1332" s="51"/>
      <c r="I1332" s="51"/>
    </row>
    <row r="1333" ht="15.75" customHeight="1">
      <c r="A1333" s="65"/>
      <c r="B1333" s="66"/>
      <c r="C1333" s="67"/>
      <c r="D1333" s="67"/>
      <c r="F1333" s="51"/>
      <c r="G1333" s="51"/>
      <c r="H1333" s="51"/>
      <c r="I1333" s="51"/>
    </row>
    <row r="1334" ht="15.75" customHeight="1">
      <c r="A1334" s="65"/>
      <c r="B1334" s="66"/>
      <c r="C1334" s="67"/>
      <c r="D1334" s="67"/>
      <c r="F1334" s="51"/>
      <c r="G1334" s="51"/>
      <c r="H1334" s="51"/>
      <c r="I1334" s="51"/>
    </row>
    <row r="1335" ht="15.75" customHeight="1">
      <c r="A1335" s="65"/>
      <c r="B1335" s="66"/>
      <c r="C1335" s="67"/>
      <c r="D1335" s="67"/>
      <c r="F1335" s="51"/>
      <c r="G1335" s="51"/>
      <c r="H1335" s="51"/>
      <c r="I1335" s="51"/>
    </row>
    <row r="1336" ht="15.75" customHeight="1">
      <c r="A1336" s="65"/>
      <c r="B1336" s="66"/>
      <c r="C1336" s="67"/>
      <c r="D1336" s="67"/>
      <c r="F1336" s="51"/>
      <c r="G1336" s="51"/>
      <c r="H1336" s="51"/>
      <c r="I1336" s="51"/>
    </row>
    <row r="1337" ht="15.75" customHeight="1">
      <c r="A1337" s="65"/>
      <c r="B1337" s="66"/>
      <c r="C1337" s="67"/>
      <c r="D1337" s="67"/>
      <c r="F1337" s="51"/>
      <c r="G1337" s="51"/>
      <c r="H1337" s="51"/>
      <c r="I1337" s="51"/>
    </row>
    <row r="1338" ht="15.75" customHeight="1">
      <c r="A1338" s="65"/>
      <c r="B1338" s="66"/>
      <c r="C1338" s="67"/>
      <c r="D1338" s="67"/>
      <c r="F1338" s="51"/>
      <c r="G1338" s="51"/>
      <c r="H1338" s="51"/>
      <c r="I1338" s="51"/>
    </row>
    <row r="1339" ht="15.75" customHeight="1">
      <c r="A1339" s="65"/>
      <c r="B1339" s="66"/>
      <c r="C1339" s="67"/>
      <c r="D1339" s="67"/>
      <c r="F1339" s="51"/>
      <c r="G1339" s="51"/>
      <c r="H1339" s="51"/>
      <c r="I1339" s="51"/>
    </row>
    <row r="1340" ht="15.75" customHeight="1">
      <c r="A1340" s="65"/>
      <c r="B1340" s="66"/>
      <c r="C1340" s="67"/>
      <c r="D1340" s="67"/>
      <c r="F1340" s="51"/>
      <c r="G1340" s="51"/>
      <c r="H1340" s="51"/>
      <c r="I1340" s="51"/>
    </row>
    <row r="1341" ht="15.75" customHeight="1">
      <c r="A1341" s="65"/>
      <c r="B1341" s="66"/>
      <c r="C1341" s="67"/>
      <c r="D1341" s="67"/>
      <c r="F1341" s="51"/>
      <c r="G1341" s="51"/>
      <c r="H1341" s="51"/>
      <c r="I1341" s="51"/>
    </row>
    <row r="1342" ht="15.75" customHeight="1">
      <c r="A1342" s="65"/>
      <c r="B1342" s="66"/>
      <c r="C1342" s="67"/>
      <c r="D1342" s="67"/>
      <c r="F1342" s="51"/>
      <c r="G1342" s="51"/>
      <c r="H1342" s="51"/>
      <c r="I1342" s="51"/>
    </row>
    <row r="1343" ht="15.75" customHeight="1">
      <c r="A1343" s="65"/>
      <c r="B1343" s="66"/>
      <c r="C1343" s="67"/>
      <c r="D1343" s="67"/>
      <c r="F1343" s="51"/>
      <c r="G1343" s="51"/>
      <c r="H1343" s="51"/>
      <c r="I1343" s="51"/>
    </row>
    <row r="1344" ht="15.75" customHeight="1">
      <c r="A1344" s="65"/>
      <c r="B1344" s="66"/>
      <c r="C1344" s="67"/>
      <c r="D1344" s="67"/>
      <c r="F1344" s="51"/>
      <c r="G1344" s="51"/>
      <c r="H1344" s="51"/>
      <c r="I1344" s="51"/>
    </row>
    <row r="1345" ht="15.75" customHeight="1">
      <c r="A1345" s="65"/>
      <c r="B1345" s="66"/>
      <c r="C1345" s="67"/>
      <c r="D1345" s="67"/>
      <c r="F1345" s="51"/>
      <c r="G1345" s="51"/>
      <c r="H1345" s="51"/>
      <c r="I1345" s="51"/>
    </row>
    <row r="1346" ht="15.75" customHeight="1">
      <c r="A1346" s="65"/>
      <c r="B1346" s="66"/>
      <c r="C1346" s="67"/>
      <c r="D1346" s="67"/>
      <c r="F1346" s="51"/>
      <c r="G1346" s="51"/>
      <c r="H1346" s="51"/>
      <c r="I1346" s="51"/>
    </row>
    <row r="1347" ht="15.75" customHeight="1">
      <c r="A1347" s="65"/>
      <c r="B1347" s="66"/>
      <c r="C1347" s="67"/>
      <c r="D1347" s="67"/>
      <c r="F1347" s="51"/>
      <c r="G1347" s="51"/>
      <c r="H1347" s="51"/>
      <c r="I1347" s="51"/>
    </row>
    <row r="1348" ht="15.75" customHeight="1">
      <c r="A1348" s="65"/>
      <c r="B1348" s="66"/>
      <c r="C1348" s="67"/>
      <c r="D1348" s="67"/>
      <c r="F1348" s="51"/>
      <c r="G1348" s="51"/>
      <c r="H1348" s="51"/>
      <c r="I1348" s="51"/>
    </row>
    <row r="1349" ht="15.75" customHeight="1">
      <c r="A1349" s="65"/>
      <c r="B1349" s="66"/>
      <c r="C1349" s="67"/>
      <c r="D1349" s="67"/>
      <c r="F1349" s="51"/>
      <c r="G1349" s="51"/>
      <c r="H1349" s="51"/>
      <c r="I1349" s="51"/>
    </row>
    <row r="1350" ht="15.75" customHeight="1">
      <c r="A1350" s="65"/>
      <c r="B1350" s="66"/>
      <c r="C1350" s="67"/>
      <c r="D1350" s="67"/>
      <c r="F1350" s="51"/>
      <c r="G1350" s="51"/>
      <c r="H1350" s="51"/>
      <c r="I1350" s="51"/>
    </row>
    <row r="1351" ht="15.75" customHeight="1">
      <c r="A1351" s="65"/>
      <c r="B1351" s="66"/>
      <c r="C1351" s="67"/>
      <c r="D1351" s="67"/>
      <c r="F1351" s="51"/>
      <c r="G1351" s="51"/>
      <c r="H1351" s="51"/>
      <c r="I1351" s="51"/>
    </row>
    <row r="1352" ht="15.75" customHeight="1">
      <c r="A1352" s="65"/>
      <c r="B1352" s="66"/>
      <c r="C1352" s="67"/>
      <c r="D1352" s="67"/>
      <c r="F1352" s="51"/>
      <c r="G1352" s="51"/>
      <c r="H1352" s="51"/>
      <c r="I1352" s="51"/>
    </row>
    <row r="1353" ht="15.75" customHeight="1">
      <c r="A1353" s="65"/>
      <c r="B1353" s="66"/>
      <c r="C1353" s="67"/>
      <c r="D1353" s="67"/>
      <c r="F1353" s="51"/>
      <c r="G1353" s="51"/>
      <c r="H1353" s="51"/>
      <c r="I1353" s="51"/>
    </row>
    <row r="1354" ht="15.75" customHeight="1">
      <c r="A1354" s="65"/>
      <c r="B1354" s="66"/>
      <c r="C1354" s="67"/>
      <c r="D1354" s="67"/>
      <c r="F1354" s="51"/>
      <c r="G1354" s="51"/>
      <c r="H1354" s="51"/>
      <c r="I1354" s="51"/>
    </row>
    <row r="1355" ht="15.75" customHeight="1">
      <c r="A1355" s="65"/>
      <c r="B1355" s="66"/>
      <c r="C1355" s="67"/>
      <c r="D1355" s="67"/>
      <c r="F1355" s="51"/>
      <c r="G1355" s="51"/>
      <c r="H1355" s="51"/>
      <c r="I1355" s="51"/>
    </row>
    <row r="1356" ht="15.75" customHeight="1">
      <c r="A1356" s="65"/>
      <c r="B1356" s="66"/>
      <c r="C1356" s="67"/>
      <c r="D1356" s="67"/>
      <c r="F1356" s="51"/>
      <c r="G1356" s="51"/>
      <c r="H1356" s="51"/>
      <c r="I1356" s="51"/>
    </row>
    <row r="1357" ht="15.75" customHeight="1">
      <c r="A1357" s="65"/>
      <c r="B1357" s="66"/>
      <c r="C1357" s="67"/>
      <c r="D1357" s="67"/>
      <c r="F1357" s="51"/>
      <c r="G1357" s="51"/>
      <c r="H1357" s="51"/>
      <c r="I1357" s="51"/>
    </row>
    <row r="1358" ht="15.75" customHeight="1">
      <c r="A1358" s="65"/>
      <c r="B1358" s="66"/>
      <c r="C1358" s="67"/>
      <c r="D1358" s="67"/>
      <c r="F1358" s="51"/>
      <c r="G1358" s="51"/>
      <c r="H1358" s="51"/>
      <c r="I1358" s="51"/>
    </row>
    <row r="1359" ht="15.75" customHeight="1">
      <c r="A1359" s="65"/>
      <c r="B1359" s="66"/>
      <c r="C1359" s="67"/>
      <c r="D1359" s="67"/>
      <c r="F1359" s="51"/>
      <c r="G1359" s="51"/>
      <c r="H1359" s="51"/>
      <c r="I1359" s="51"/>
    </row>
    <row r="1360" ht="15.75" customHeight="1">
      <c r="A1360" s="65"/>
      <c r="B1360" s="66"/>
      <c r="C1360" s="67"/>
      <c r="D1360" s="67"/>
      <c r="F1360" s="51"/>
      <c r="G1360" s="51"/>
      <c r="H1360" s="51"/>
      <c r="I1360" s="51"/>
    </row>
    <row r="1361" ht="15.75" customHeight="1">
      <c r="A1361" s="65"/>
      <c r="B1361" s="66"/>
      <c r="C1361" s="67"/>
      <c r="D1361" s="67"/>
      <c r="F1361" s="51"/>
      <c r="G1361" s="51"/>
      <c r="H1361" s="51"/>
      <c r="I1361" s="51"/>
    </row>
    <row r="1362" ht="15.75" customHeight="1">
      <c r="A1362" s="65"/>
      <c r="B1362" s="66"/>
      <c r="C1362" s="67"/>
      <c r="D1362" s="67"/>
      <c r="F1362" s="51"/>
      <c r="G1362" s="51"/>
      <c r="H1362" s="51"/>
      <c r="I1362" s="51"/>
    </row>
    <row r="1363" ht="15.75" customHeight="1">
      <c r="A1363" s="65"/>
      <c r="B1363" s="66"/>
      <c r="C1363" s="67"/>
      <c r="D1363" s="67"/>
      <c r="F1363" s="51"/>
      <c r="G1363" s="51"/>
      <c r="H1363" s="51"/>
      <c r="I1363" s="51"/>
    </row>
    <row r="1364" ht="15.75" customHeight="1">
      <c r="A1364" s="65"/>
      <c r="B1364" s="66"/>
      <c r="C1364" s="67"/>
      <c r="D1364" s="67"/>
      <c r="F1364" s="51"/>
      <c r="G1364" s="51"/>
      <c r="H1364" s="51"/>
      <c r="I1364" s="51"/>
    </row>
    <row r="1365" ht="15.75" customHeight="1">
      <c r="A1365" s="65"/>
      <c r="B1365" s="66"/>
      <c r="C1365" s="67"/>
      <c r="D1365" s="67"/>
      <c r="F1365" s="51"/>
      <c r="G1365" s="51"/>
      <c r="H1365" s="51"/>
      <c r="I1365" s="51"/>
    </row>
    <row r="1366" ht="15.75" customHeight="1">
      <c r="A1366" s="65"/>
      <c r="B1366" s="66"/>
      <c r="C1366" s="67"/>
      <c r="D1366" s="67"/>
      <c r="F1366" s="51"/>
      <c r="G1366" s="51"/>
      <c r="H1366" s="51"/>
      <c r="I1366" s="51"/>
    </row>
    <row r="1367" ht="15.75" customHeight="1">
      <c r="A1367" s="65"/>
      <c r="B1367" s="66"/>
      <c r="C1367" s="67"/>
      <c r="D1367" s="67"/>
      <c r="F1367" s="51"/>
      <c r="G1367" s="51"/>
      <c r="H1367" s="51"/>
      <c r="I1367" s="51"/>
    </row>
    <row r="1368" ht="15.75" customHeight="1">
      <c r="A1368" s="65"/>
      <c r="B1368" s="66"/>
      <c r="C1368" s="67"/>
      <c r="D1368" s="67"/>
      <c r="F1368" s="51"/>
      <c r="G1368" s="51"/>
      <c r="H1368" s="51"/>
      <c r="I1368" s="51"/>
    </row>
    <row r="1369" ht="15.75" customHeight="1">
      <c r="A1369" s="65"/>
      <c r="B1369" s="66"/>
      <c r="C1369" s="67"/>
      <c r="D1369" s="67"/>
      <c r="F1369" s="51"/>
      <c r="G1369" s="51"/>
      <c r="H1369" s="51"/>
      <c r="I1369" s="51"/>
    </row>
    <row r="1370" ht="15.75" customHeight="1">
      <c r="A1370" s="65"/>
      <c r="B1370" s="66"/>
      <c r="C1370" s="67"/>
      <c r="D1370" s="67"/>
      <c r="F1370" s="51"/>
      <c r="G1370" s="51"/>
      <c r="H1370" s="51"/>
      <c r="I1370" s="51"/>
    </row>
    <row r="1371" ht="15.75" customHeight="1">
      <c r="A1371" s="65"/>
      <c r="B1371" s="66"/>
      <c r="C1371" s="67"/>
      <c r="D1371" s="67"/>
      <c r="F1371" s="51"/>
      <c r="G1371" s="51"/>
      <c r="H1371" s="51"/>
      <c r="I1371" s="51"/>
    </row>
    <row r="1372" ht="15.75" customHeight="1">
      <c r="A1372" s="65"/>
      <c r="B1372" s="66"/>
      <c r="C1372" s="67"/>
      <c r="D1372" s="67"/>
      <c r="F1372" s="51"/>
      <c r="G1372" s="51"/>
      <c r="H1372" s="51"/>
      <c r="I1372" s="51"/>
    </row>
    <row r="1373" ht="15.75" customHeight="1">
      <c r="A1373" s="65"/>
      <c r="B1373" s="66"/>
      <c r="C1373" s="67"/>
      <c r="D1373" s="67"/>
      <c r="F1373" s="51"/>
      <c r="G1373" s="51"/>
      <c r="H1373" s="51"/>
      <c r="I1373" s="51"/>
    </row>
    <row r="1374" ht="15.75" customHeight="1">
      <c r="A1374" s="65"/>
      <c r="B1374" s="66"/>
      <c r="C1374" s="67"/>
      <c r="D1374" s="67"/>
      <c r="F1374" s="51"/>
      <c r="G1374" s="51"/>
      <c r="H1374" s="51"/>
      <c r="I1374" s="51"/>
    </row>
    <row r="1375" ht="15.75" customHeight="1">
      <c r="A1375" s="65"/>
      <c r="B1375" s="66"/>
      <c r="C1375" s="67"/>
      <c r="D1375" s="67"/>
      <c r="F1375" s="51"/>
      <c r="G1375" s="51"/>
      <c r="H1375" s="51"/>
      <c r="I1375" s="51"/>
    </row>
    <row r="1376" ht="15.75" customHeight="1">
      <c r="A1376" s="65"/>
      <c r="B1376" s="66"/>
      <c r="C1376" s="67"/>
      <c r="D1376" s="67"/>
      <c r="F1376" s="51"/>
      <c r="G1376" s="51"/>
      <c r="H1376" s="51"/>
      <c r="I1376" s="51"/>
    </row>
    <row r="1377" ht="15.75" customHeight="1">
      <c r="A1377" s="65"/>
      <c r="B1377" s="66"/>
      <c r="C1377" s="67"/>
      <c r="D1377" s="67"/>
      <c r="F1377" s="51"/>
      <c r="G1377" s="51"/>
      <c r="H1377" s="51"/>
      <c r="I1377" s="51"/>
    </row>
    <row r="1378" ht="15.75" customHeight="1">
      <c r="A1378" s="65"/>
      <c r="B1378" s="66"/>
      <c r="C1378" s="67"/>
      <c r="D1378" s="67"/>
      <c r="F1378" s="51"/>
      <c r="G1378" s="51"/>
      <c r="H1378" s="51"/>
      <c r="I1378" s="51"/>
    </row>
    <row r="1379" ht="15.75" customHeight="1">
      <c r="A1379" s="65"/>
      <c r="B1379" s="66"/>
      <c r="C1379" s="67"/>
      <c r="D1379" s="67"/>
      <c r="F1379" s="51"/>
      <c r="G1379" s="51"/>
      <c r="H1379" s="51"/>
      <c r="I1379" s="51"/>
    </row>
    <row r="1380" ht="15.75" customHeight="1">
      <c r="A1380" s="65"/>
      <c r="B1380" s="66"/>
      <c r="C1380" s="67"/>
      <c r="D1380" s="67"/>
      <c r="F1380" s="51"/>
      <c r="G1380" s="51"/>
      <c r="H1380" s="51"/>
      <c r="I1380" s="51"/>
    </row>
    <row r="1381" ht="15.75" customHeight="1">
      <c r="A1381" s="65"/>
      <c r="B1381" s="66"/>
      <c r="C1381" s="67"/>
      <c r="D1381" s="67"/>
      <c r="F1381" s="51"/>
      <c r="G1381" s="51"/>
      <c r="H1381" s="51"/>
      <c r="I1381" s="51"/>
    </row>
    <row r="1382" ht="15.75" customHeight="1">
      <c r="A1382" s="65"/>
      <c r="B1382" s="66"/>
      <c r="C1382" s="67"/>
      <c r="D1382" s="67"/>
      <c r="F1382" s="51"/>
      <c r="G1382" s="51"/>
      <c r="H1382" s="51"/>
      <c r="I1382" s="51"/>
    </row>
    <row r="1383" ht="15.75" customHeight="1">
      <c r="A1383" s="65"/>
      <c r="B1383" s="66"/>
      <c r="C1383" s="67"/>
      <c r="D1383" s="67"/>
      <c r="F1383" s="51"/>
      <c r="G1383" s="51"/>
      <c r="H1383" s="51"/>
      <c r="I1383" s="51"/>
    </row>
    <row r="1384" ht="15.75" customHeight="1">
      <c r="A1384" s="65"/>
      <c r="B1384" s="66"/>
      <c r="C1384" s="67"/>
      <c r="D1384" s="67"/>
      <c r="F1384" s="51"/>
      <c r="G1384" s="51"/>
      <c r="H1384" s="51"/>
      <c r="I1384" s="51"/>
    </row>
    <row r="1385" ht="15.75" customHeight="1">
      <c r="A1385" s="65"/>
      <c r="B1385" s="66"/>
      <c r="C1385" s="67"/>
      <c r="D1385" s="67"/>
      <c r="F1385" s="51"/>
      <c r="G1385" s="51"/>
      <c r="H1385" s="51"/>
      <c r="I1385" s="51"/>
    </row>
    <row r="1386" ht="15.75" customHeight="1">
      <c r="A1386" s="65"/>
      <c r="B1386" s="66"/>
      <c r="C1386" s="67"/>
      <c r="D1386" s="67"/>
      <c r="F1386" s="51"/>
      <c r="G1386" s="51"/>
      <c r="H1386" s="51"/>
      <c r="I1386" s="51"/>
    </row>
    <row r="1387" ht="15.75" customHeight="1">
      <c r="A1387" s="65"/>
      <c r="B1387" s="66"/>
      <c r="C1387" s="67"/>
      <c r="D1387" s="67"/>
      <c r="F1387" s="51"/>
      <c r="G1387" s="51"/>
      <c r="H1387" s="51"/>
      <c r="I1387" s="51"/>
    </row>
    <row r="1388" ht="15.75" customHeight="1">
      <c r="A1388" s="65"/>
      <c r="B1388" s="66"/>
      <c r="C1388" s="67"/>
      <c r="D1388" s="67"/>
      <c r="F1388" s="51"/>
      <c r="G1388" s="51"/>
      <c r="H1388" s="51"/>
      <c r="I1388" s="51"/>
    </row>
    <row r="1389" ht="15.75" customHeight="1">
      <c r="A1389" s="65"/>
      <c r="B1389" s="66"/>
      <c r="C1389" s="67"/>
      <c r="D1389" s="67"/>
      <c r="F1389" s="51"/>
      <c r="G1389" s="51"/>
      <c r="H1389" s="51"/>
      <c r="I1389" s="51"/>
    </row>
    <row r="1390" ht="15.75" customHeight="1">
      <c r="A1390" s="65"/>
      <c r="B1390" s="66"/>
      <c r="C1390" s="67"/>
      <c r="D1390" s="67"/>
      <c r="F1390" s="51"/>
      <c r="G1390" s="51"/>
      <c r="H1390" s="51"/>
      <c r="I1390" s="51"/>
    </row>
    <row r="1391" ht="15.75" customHeight="1">
      <c r="A1391" s="65"/>
      <c r="B1391" s="66"/>
      <c r="C1391" s="67"/>
      <c r="D1391" s="67"/>
      <c r="F1391" s="51"/>
      <c r="G1391" s="51"/>
      <c r="H1391" s="51"/>
      <c r="I1391" s="51"/>
    </row>
    <row r="1392" ht="15.75" customHeight="1">
      <c r="A1392" s="65"/>
      <c r="B1392" s="66"/>
      <c r="C1392" s="67"/>
      <c r="D1392" s="67"/>
      <c r="F1392" s="51"/>
      <c r="G1392" s="51"/>
      <c r="H1392" s="51"/>
      <c r="I1392" s="51"/>
    </row>
    <row r="1393" ht="15.75" customHeight="1">
      <c r="A1393" s="65"/>
      <c r="B1393" s="66"/>
      <c r="C1393" s="67"/>
      <c r="D1393" s="67"/>
      <c r="F1393" s="51"/>
      <c r="G1393" s="51"/>
      <c r="H1393" s="51"/>
      <c r="I1393" s="51"/>
    </row>
    <row r="1394" ht="15.75" customHeight="1">
      <c r="A1394" s="65"/>
      <c r="B1394" s="66"/>
      <c r="C1394" s="67"/>
      <c r="D1394" s="67"/>
      <c r="F1394" s="51"/>
      <c r="G1394" s="51"/>
      <c r="H1394" s="51"/>
      <c r="I1394" s="51"/>
    </row>
    <row r="1395" ht="15.75" customHeight="1">
      <c r="A1395" s="65"/>
      <c r="B1395" s="66"/>
      <c r="C1395" s="67"/>
      <c r="D1395" s="67"/>
      <c r="F1395" s="51"/>
      <c r="G1395" s="51"/>
      <c r="H1395" s="51"/>
      <c r="I1395" s="51"/>
    </row>
    <row r="1396" ht="15.75" customHeight="1">
      <c r="A1396" s="65"/>
      <c r="B1396" s="66"/>
      <c r="C1396" s="67"/>
      <c r="D1396" s="67"/>
      <c r="F1396" s="51"/>
      <c r="G1396" s="51"/>
      <c r="H1396" s="51"/>
      <c r="I1396" s="51"/>
    </row>
    <row r="1397" ht="15.75" customHeight="1">
      <c r="A1397" s="65"/>
      <c r="B1397" s="66"/>
      <c r="C1397" s="67"/>
      <c r="D1397" s="67"/>
      <c r="F1397" s="51"/>
      <c r="G1397" s="51"/>
      <c r="H1397" s="51"/>
      <c r="I1397" s="51"/>
    </row>
    <row r="1398" ht="15.75" customHeight="1">
      <c r="A1398" s="65"/>
      <c r="B1398" s="66"/>
      <c r="C1398" s="67"/>
      <c r="D1398" s="67"/>
      <c r="F1398" s="51"/>
      <c r="G1398" s="51"/>
      <c r="H1398" s="51"/>
      <c r="I1398" s="51"/>
    </row>
    <row r="1399" ht="15.75" customHeight="1">
      <c r="A1399" s="65"/>
      <c r="B1399" s="66"/>
      <c r="C1399" s="67"/>
      <c r="D1399" s="67"/>
      <c r="F1399" s="51"/>
      <c r="G1399" s="51"/>
      <c r="H1399" s="51"/>
      <c r="I1399" s="51"/>
    </row>
    <row r="1400" ht="15.75" customHeight="1">
      <c r="A1400" s="65"/>
      <c r="B1400" s="66"/>
      <c r="C1400" s="67"/>
      <c r="D1400" s="67"/>
      <c r="F1400" s="51"/>
      <c r="G1400" s="51"/>
      <c r="H1400" s="51"/>
      <c r="I1400" s="51"/>
    </row>
    <row r="1401" ht="15.75" customHeight="1">
      <c r="A1401" s="65"/>
      <c r="B1401" s="66"/>
      <c r="C1401" s="67"/>
      <c r="D1401" s="67"/>
      <c r="F1401" s="51"/>
      <c r="G1401" s="51"/>
      <c r="H1401" s="51"/>
      <c r="I1401" s="51"/>
    </row>
    <row r="1402" ht="15.75" customHeight="1">
      <c r="A1402" s="65"/>
      <c r="B1402" s="66"/>
      <c r="C1402" s="67"/>
      <c r="D1402" s="67"/>
      <c r="F1402" s="51"/>
      <c r="G1402" s="51"/>
      <c r="H1402" s="51"/>
      <c r="I1402" s="51"/>
    </row>
    <row r="1403" ht="15.75" customHeight="1">
      <c r="A1403" s="65"/>
      <c r="B1403" s="66"/>
      <c r="C1403" s="67"/>
      <c r="D1403" s="67"/>
      <c r="F1403" s="51"/>
      <c r="G1403" s="51"/>
      <c r="H1403" s="51"/>
      <c r="I1403" s="51"/>
    </row>
    <row r="1404" ht="15.75" customHeight="1">
      <c r="A1404" s="65"/>
      <c r="B1404" s="66"/>
      <c r="C1404" s="67"/>
      <c r="D1404" s="67"/>
      <c r="F1404" s="51"/>
      <c r="G1404" s="51"/>
      <c r="H1404" s="51"/>
      <c r="I1404" s="51"/>
    </row>
    <row r="1405" ht="15.75" customHeight="1">
      <c r="A1405" s="65"/>
      <c r="B1405" s="66"/>
      <c r="C1405" s="67"/>
      <c r="D1405" s="67"/>
      <c r="F1405" s="51"/>
      <c r="G1405" s="51"/>
      <c r="H1405" s="51"/>
      <c r="I1405" s="51"/>
    </row>
    <row r="1406" ht="15.75" customHeight="1">
      <c r="A1406" s="65"/>
      <c r="B1406" s="66"/>
      <c r="C1406" s="67"/>
      <c r="D1406" s="67"/>
      <c r="F1406" s="51"/>
      <c r="G1406" s="51"/>
      <c r="H1406" s="51"/>
      <c r="I1406" s="51"/>
    </row>
    <row r="1407" ht="15.75" customHeight="1">
      <c r="A1407" s="65"/>
      <c r="B1407" s="66"/>
      <c r="C1407" s="67"/>
      <c r="D1407" s="67"/>
      <c r="F1407" s="51"/>
      <c r="G1407" s="51"/>
      <c r="H1407" s="51"/>
      <c r="I1407" s="51"/>
    </row>
    <row r="1408" ht="15.75" customHeight="1">
      <c r="A1408" s="65"/>
      <c r="B1408" s="66"/>
      <c r="C1408" s="67"/>
      <c r="D1408" s="67"/>
      <c r="F1408" s="51"/>
      <c r="G1408" s="51"/>
      <c r="H1408" s="51"/>
      <c r="I1408" s="51"/>
    </row>
    <row r="1409" ht="15.75" customHeight="1">
      <c r="A1409" s="65"/>
      <c r="B1409" s="66"/>
      <c r="C1409" s="67"/>
      <c r="D1409" s="67"/>
      <c r="F1409" s="51"/>
      <c r="G1409" s="51"/>
      <c r="H1409" s="51"/>
      <c r="I1409" s="51"/>
    </row>
    <row r="1410" ht="15.75" customHeight="1">
      <c r="A1410" s="65"/>
      <c r="B1410" s="66"/>
      <c r="C1410" s="67"/>
      <c r="D1410" s="67"/>
      <c r="F1410" s="51"/>
      <c r="G1410" s="51"/>
      <c r="H1410" s="51"/>
      <c r="I1410" s="51"/>
    </row>
    <row r="1411" ht="15.75" customHeight="1">
      <c r="A1411" s="65"/>
      <c r="B1411" s="66"/>
      <c r="C1411" s="67"/>
      <c r="D1411" s="67"/>
      <c r="F1411" s="51"/>
      <c r="G1411" s="51"/>
      <c r="H1411" s="51"/>
      <c r="I1411" s="51"/>
    </row>
    <row r="1412" ht="15.75" customHeight="1">
      <c r="A1412" s="65"/>
      <c r="B1412" s="66"/>
      <c r="C1412" s="67"/>
      <c r="D1412" s="67"/>
      <c r="F1412" s="51"/>
      <c r="G1412" s="51"/>
      <c r="H1412" s="51"/>
      <c r="I1412" s="51"/>
    </row>
    <row r="1413" ht="15.75" customHeight="1">
      <c r="A1413" s="65"/>
      <c r="B1413" s="66"/>
      <c r="C1413" s="67"/>
      <c r="D1413" s="67"/>
      <c r="F1413" s="51"/>
      <c r="G1413" s="51"/>
      <c r="H1413" s="51"/>
      <c r="I1413" s="51"/>
    </row>
    <row r="1414" ht="15.75" customHeight="1">
      <c r="A1414" s="65"/>
      <c r="B1414" s="66"/>
      <c r="C1414" s="67"/>
      <c r="D1414" s="67"/>
      <c r="F1414" s="51"/>
      <c r="G1414" s="51"/>
      <c r="H1414" s="51"/>
      <c r="I1414" s="51"/>
    </row>
    <row r="1415" ht="15.75" customHeight="1">
      <c r="A1415" s="65"/>
      <c r="B1415" s="66"/>
      <c r="C1415" s="67"/>
      <c r="D1415" s="67"/>
      <c r="F1415" s="51"/>
      <c r="G1415" s="51"/>
      <c r="H1415" s="51"/>
      <c r="I1415" s="51"/>
    </row>
    <row r="1416" ht="15.75" customHeight="1">
      <c r="A1416" s="65"/>
      <c r="B1416" s="66"/>
      <c r="C1416" s="67"/>
      <c r="D1416" s="67"/>
      <c r="F1416" s="51"/>
      <c r="G1416" s="51"/>
      <c r="H1416" s="51"/>
      <c r="I1416" s="51"/>
    </row>
    <row r="1417" ht="15.75" customHeight="1">
      <c r="A1417" s="65"/>
      <c r="B1417" s="66"/>
      <c r="C1417" s="67"/>
      <c r="D1417" s="67"/>
      <c r="F1417" s="51"/>
      <c r="G1417" s="51"/>
      <c r="H1417" s="51"/>
      <c r="I1417" s="51"/>
    </row>
    <row r="1418" ht="15.75" customHeight="1">
      <c r="A1418" s="65"/>
      <c r="B1418" s="66"/>
      <c r="C1418" s="67"/>
      <c r="D1418" s="67"/>
      <c r="F1418" s="51"/>
      <c r="G1418" s="51"/>
      <c r="H1418" s="51"/>
      <c r="I1418" s="51"/>
    </row>
    <row r="1419" ht="15.75" customHeight="1">
      <c r="A1419" s="65"/>
      <c r="B1419" s="66"/>
      <c r="C1419" s="67"/>
      <c r="D1419" s="67"/>
      <c r="F1419" s="51"/>
      <c r="G1419" s="51"/>
      <c r="H1419" s="51"/>
      <c r="I1419" s="51"/>
    </row>
    <row r="1420" ht="15.75" customHeight="1">
      <c r="A1420" s="65"/>
      <c r="B1420" s="66"/>
      <c r="C1420" s="67"/>
      <c r="D1420" s="67"/>
      <c r="F1420" s="51"/>
      <c r="G1420" s="51"/>
      <c r="H1420" s="51"/>
      <c r="I1420" s="51"/>
    </row>
    <row r="1421" ht="15.75" customHeight="1">
      <c r="A1421" s="65"/>
      <c r="B1421" s="66"/>
      <c r="C1421" s="67"/>
      <c r="D1421" s="67"/>
      <c r="F1421" s="51"/>
      <c r="G1421" s="51"/>
      <c r="H1421" s="51"/>
      <c r="I1421" s="51"/>
    </row>
    <row r="1422" ht="15.75" customHeight="1">
      <c r="A1422" s="65"/>
      <c r="B1422" s="66"/>
      <c r="C1422" s="67"/>
      <c r="D1422" s="67"/>
      <c r="F1422" s="51"/>
      <c r="G1422" s="51"/>
      <c r="H1422" s="51"/>
      <c r="I1422" s="51"/>
    </row>
    <row r="1423" ht="15.75" customHeight="1">
      <c r="A1423" s="65"/>
      <c r="B1423" s="66"/>
      <c r="C1423" s="67"/>
      <c r="D1423" s="67"/>
      <c r="F1423" s="51"/>
      <c r="G1423" s="51"/>
      <c r="H1423" s="51"/>
      <c r="I1423" s="51"/>
    </row>
    <row r="1424" ht="15.75" customHeight="1">
      <c r="A1424" s="65"/>
      <c r="B1424" s="66"/>
      <c r="C1424" s="67"/>
      <c r="D1424" s="67"/>
      <c r="F1424" s="51"/>
      <c r="G1424" s="51"/>
      <c r="H1424" s="51"/>
      <c r="I1424" s="51"/>
    </row>
    <row r="1425" ht="15.75" customHeight="1">
      <c r="A1425" s="65"/>
      <c r="B1425" s="66"/>
      <c r="C1425" s="67"/>
      <c r="D1425" s="67"/>
      <c r="F1425" s="51"/>
      <c r="G1425" s="51"/>
      <c r="H1425" s="51"/>
      <c r="I1425" s="51"/>
    </row>
    <row r="1426" ht="15.75" customHeight="1">
      <c r="A1426" s="65"/>
      <c r="B1426" s="66"/>
      <c r="C1426" s="67"/>
      <c r="D1426" s="67"/>
      <c r="F1426" s="51"/>
      <c r="G1426" s="51"/>
      <c r="H1426" s="51"/>
      <c r="I1426" s="51"/>
    </row>
    <row r="1427" ht="15.75" customHeight="1">
      <c r="A1427" s="65"/>
      <c r="B1427" s="66"/>
      <c r="C1427" s="67"/>
      <c r="D1427" s="67"/>
      <c r="F1427" s="51"/>
      <c r="G1427" s="51"/>
      <c r="H1427" s="51"/>
      <c r="I1427" s="51"/>
    </row>
    <row r="1428" ht="15.75" customHeight="1">
      <c r="A1428" s="65"/>
      <c r="B1428" s="66"/>
      <c r="C1428" s="67"/>
      <c r="D1428" s="67"/>
      <c r="F1428" s="51"/>
      <c r="G1428" s="51"/>
      <c r="H1428" s="51"/>
      <c r="I1428" s="51"/>
    </row>
    <row r="1429" ht="15.75" customHeight="1">
      <c r="A1429" s="65"/>
      <c r="B1429" s="66"/>
      <c r="C1429" s="67"/>
      <c r="D1429" s="67"/>
      <c r="F1429" s="51"/>
      <c r="G1429" s="51"/>
      <c r="H1429" s="51"/>
      <c r="I1429" s="51"/>
    </row>
    <row r="1430" ht="15.75" customHeight="1">
      <c r="A1430" s="65"/>
      <c r="B1430" s="66"/>
      <c r="C1430" s="67"/>
      <c r="D1430" s="67"/>
      <c r="F1430" s="51"/>
      <c r="G1430" s="51"/>
      <c r="H1430" s="51"/>
      <c r="I1430" s="51"/>
    </row>
    <row r="1431" ht="15.75" customHeight="1">
      <c r="A1431" s="65"/>
      <c r="B1431" s="66"/>
      <c r="C1431" s="67"/>
      <c r="D1431" s="67"/>
      <c r="F1431" s="51"/>
      <c r="G1431" s="51"/>
      <c r="H1431" s="51"/>
      <c r="I1431" s="51"/>
    </row>
    <row r="1432" ht="15.75" customHeight="1">
      <c r="A1432" s="65"/>
      <c r="B1432" s="66"/>
      <c r="C1432" s="67"/>
      <c r="D1432" s="67"/>
      <c r="F1432" s="51"/>
      <c r="G1432" s="51"/>
      <c r="H1432" s="51"/>
      <c r="I1432" s="51"/>
    </row>
    <row r="1433" ht="15.75" customHeight="1">
      <c r="A1433" s="65"/>
      <c r="B1433" s="66"/>
      <c r="C1433" s="67"/>
      <c r="D1433" s="67"/>
      <c r="F1433" s="51"/>
      <c r="G1433" s="51"/>
      <c r="H1433" s="51"/>
      <c r="I1433" s="51"/>
    </row>
    <row r="1434" ht="15.75" customHeight="1">
      <c r="A1434" s="65"/>
      <c r="B1434" s="66"/>
      <c r="C1434" s="67"/>
      <c r="D1434" s="67"/>
      <c r="F1434" s="51"/>
      <c r="G1434" s="51"/>
      <c r="H1434" s="51"/>
      <c r="I1434" s="51"/>
    </row>
    <row r="1435" ht="15.75" customHeight="1">
      <c r="A1435" s="65"/>
      <c r="B1435" s="66"/>
      <c r="C1435" s="67"/>
      <c r="D1435" s="67"/>
      <c r="F1435" s="51"/>
      <c r="G1435" s="51"/>
      <c r="H1435" s="51"/>
      <c r="I1435" s="51"/>
    </row>
    <row r="1436" ht="15.75" customHeight="1">
      <c r="A1436" s="65"/>
      <c r="B1436" s="66"/>
      <c r="C1436" s="67"/>
      <c r="D1436" s="67"/>
      <c r="F1436" s="51"/>
      <c r="G1436" s="51"/>
      <c r="H1436" s="51"/>
      <c r="I1436" s="51"/>
    </row>
    <row r="1437" ht="15.75" customHeight="1">
      <c r="A1437" s="65"/>
      <c r="B1437" s="66"/>
      <c r="C1437" s="67"/>
      <c r="D1437" s="67"/>
      <c r="F1437" s="51"/>
      <c r="G1437" s="51"/>
      <c r="H1437" s="51"/>
      <c r="I1437" s="51"/>
    </row>
    <row r="1438" ht="15.75" customHeight="1">
      <c r="A1438" s="65"/>
      <c r="B1438" s="66"/>
      <c r="C1438" s="67"/>
      <c r="D1438" s="67"/>
      <c r="F1438" s="51"/>
      <c r="G1438" s="51"/>
      <c r="H1438" s="51"/>
      <c r="I1438" s="51"/>
    </row>
    <row r="1439" ht="15.75" customHeight="1">
      <c r="A1439" s="65"/>
      <c r="B1439" s="66"/>
      <c r="C1439" s="67"/>
      <c r="D1439" s="67"/>
      <c r="F1439" s="51"/>
      <c r="G1439" s="51"/>
      <c r="H1439" s="51"/>
      <c r="I1439" s="51"/>
    </row>
    <row r="1440" ht="15.75" customHeight="1">
      <c r="A1440" s="65"/>
      <c r="B1440" s="66"/>
      <c r="C1440" s="67"/>
      <c r="D1440" s="67"/>
      <c r="F1440" s="51"/>
      <c r="G1440" s="51"/>
      <c r="H1440" s="51"/>
      <c r="I1440" s="51"/>
    </row>
    <row r="1441" ht="15.75" customHeight="1">
      <c r="A1441" s="65"/>
      <c r="B1441" s="66"/>
      <c r="C1441" s="67"/>
      <c r="D1441" s="67"/>
      <c r="F1441" s="51"/>
      <c r="G1441" s="51"/>
      <c r="H1441" s="51"/>
      <c r="I1441" s="51"/>
    </row>
    <row r="1442" ht="15.75" customHeight="1">
      <c r="A1442" s="65"/>
      <c r="B1442" s="66"/>
      <c r="C1442" s="67"/>
      <c r="D1442" s="67"/>
      <c r="F1442" s="51"/>
      <c r="G1442" s="51"/>
      <c r="H1442" s="51"/>
      <c r="I1442" s="51"/>
    </row>
    <row r="1443" ht="15.75" customHeight="1">
      <c r="A1443" s="65"/>
      <c r="B1443" s="66"/>
      <c r="C1443" s="67"/>
      <c r="D1443" s="67"/>
      <c r="F1443" s="51"/>
      <c r="G1443" s="51"/>
      <c r="H1443" s="51"/>
      <c r="I1443" s="51"/>
    </row>
    <row r="1444" ht="15.75" customHeight="1">
      <c r="A1444" s="65"/>
      <c r="B1444" s="66"/>
      <c r="C1444" s="67"/>
      <c r="D1444" s="67"/>
      <c r="F1444" s="51"/>
      <c r="G1444" s="51"/>
      <c r="H1444" s="51"/>
      <c r="I1444" s="51"/>
    </row>
    <row r="1445" ht="15.75" customHeight="1">
      <c r="A1445" s="65"/>
      <c r="B1445" s="66"/>
      <c r="C1445" s="67"/>
      <c r="D1445" s="67"/>
      <c r="F1445" s="51"/>
      <c r="G1445" s="51"/>
      <c r="H1445" s="51"/>
      <c r="I1445" s="51"/>
    </row>
    <row r="1446" ht="15.75" customHeight="1">
      <c r="A1446" s="65"/>
      <c r="B1446" s="66"/>
      <c r="C1446" s="67"/>
      <c r="D1446" s="67"/>
      <c r="F1446" s="51"/>
      <c r="G1446" s="51"/>
      <c r="H1446" s="51"/>
      <c r="I1446" s="51"/>
    </row>
    <row r="1447" ht="15.75" customHeight="1">
      <c r="A1447" s="65"/>
      <c r="B1447" s="66"/>
      <c r="C1447" s="67"/>
      <c r="D1447" s="67"/>
      <c r="F1447" s="51"/>
      <c r="G1447" s="51"/>
      <c r="H1447" s="51"/>
      <c r="I1447" s="51"/>
    </row>
    <row r="1448" ht="15.75" customHeight="1">
      <c r="A1448" s="65"/>
      <c r="B1448" s="66"/>
      <c r="C1448" s="67"/>
      <c r="D1448" s="67"/>
      <c r="F1448" s="51"/>
      <c r="G1448" s="51"/>
      <c r="H1448" s="51"/>
      <c r="I1448" s="51"/>
    </row>
    <row r="1449" ht="15.75" customHeight="1">
      <c r="A1449" s="65"/>
      <c r="B1449" s="66"/>
      <c r="C1449" s="67"/>
      <c r="D1449" s="67"/>
      <c r="F1449" s="51"/>
      <c r="G1449" s="51"/>
      <c r="H1449" s="51"/>
      <c r="I1449" s="51"/>
    </row>
    <row r="1450" ht="15.75" customHeight="1">
      <c r="A1450" s="65"/>
      <c r="B1450" s="66"/>
      <c r="C1450" s="67"/>
      <c r="D1450" s="67"/>
      <c r="F1450" s="51"/>
      <c r="G1450" s="51"/>
      <c r="H1450" s="51"/>
      <c r="I1450" s="51"/>
    </row>
    <row r="1451" ht="15.75" customHeight="1">
      <c r="A1451" s="65"/>
      <c r="B1451" s="66"/>
      <c r="C1451" s="67"/>
      <c r="D1451" s="67"/>
      <c r="F1451" s="51"/>
      <c r="G1451" s="51"/>
      <c r="H1451" s="51"/>
      <c r="I1451" s="51"/>
    </row>
    <row r="1452" ht="15.75" customHeight="1">
      <c r="A1452" s="65"/>
      <c r="B1452" s="66"/>
      <c r="C1452" s="67"/>
      <c r="D1452" s="67"/>
      <c r="F1452" s="51"/>
      <c r="G1452" s="51"/>
      <c r="H1452" s="51"/>
      <c r="I1452" s="51"/>
    </row>
    <row r="1453" ht="15.75" customHeight="1">
      <c r="A1453" s="65"/>
      <c r="B1453" s="66"/>
      <c r="C1453" s="67"/>
      <c r="D1453" s="67"/>
      <c r="F1453" s="51"/>
      <c r="G1453" s="51"/>
      <c r="H1453" s="51"/>
      <c r="I1453" s="51"/>
    </row>
    <row r="1454" ht="15.75" customHeight="1">
      <c r="A1454" s="65"/>
      <c r="B1454" s="66"/>
      <c r="C1454" s="67"/>
      <c r="D1454" s="67"/>
      <c r="F1454" s="51"/>
      <c r="G1454" s="51"/>
      <c r="H1454" s="51"/>
      <c r="I1454" s="51"/>
    </row>
    <row r="1455" ht="15.75" customHeight="1">
      <c r="A1455" s="65"/>
      <c r="B1455" s="66"/>
      <c r="C1455" s="67"/>
      <c r="D1455" s="67"/>
      <c r="F1455" s="51"/>
      <c r="G1455" s="51"/>
      <c r="H1455" s="51"/>
      <c r="I1455" s="51"/>
    </row>
    <row r="1456" ht="15.75" customHeight="1">
      <c r="A1456" s="65"/>
      <c r="B1456" s="66"/>
      <c r="C1456" s="67"/>
      <c r="D1456" s="67"/>
      <c r="F1456" s="51"/>
      <c r="G1456" s="51"/>
      <c r="H1456" s="51"/>
      <c r="I1456" s="51"/>
    </row>
    <row r="1457" ht="15.75" customHeight="1">
      <c r="A1457" s="65"/>
      <c r="B1457" s="66"/>
      <c r="C1457" s="67"/>
      <c r="D1457" s="67"/>
      <c r="F1457" s="51"/>
      <c r="G1457" s="51"/>
      <c r="H1457" s="51"/>
      <c r="I1457" s="51"/>
    </row>
    <row r="1458" ht="15.75" customHeight="1">
      <c r="A1458" s="65"/>
      <c r="B1458" s="66"/>
      <c r="C1458" s="67"/>
      <c r="D1458" s="67"/>
      <c r="F1458" s="51"/>
      <c r="G1458" s="51"/>
      <c r="H1458" s="51"/>
      <c r="I1458" s="51"/>
    </row>
    <row r="1459" ht="15.75" customHeight="1">
      <c r="A1459" s="65"/>
      <c r="B1459" s="66"/>
      <c r="C1459" s="67"/>
      <c r="D1459" s="67"/>
      <c r="F1459" s="51"/>
      <c r="G1459" s="51"/>
      <c r="H1459" s="51"/>
      <c r="I1459" s="51"/>
    </row>
    <row r="1460" ht="15.75" customHeight="1">
      <c r="A1460" s="65"/>
      <c r="B1460" s="66"/>
      <c r="C1460" s="67"/>
      <c r="D1460" s="67"/>
      <c r="F1460" s="51"/>
      <c r="G1460" s="51"/>
      <c r="H1460" s="51"/>
      <c r="I1460" s="51"/>
    </row>
    <row r="1461" ht="15.75" customHeight="1">
      <c r="A1461" s="65"/>
      <c r="B1461" s="66"/>
      <c r="C1461" s="67"/>
      <c r="D1461" s="67"/>
      <c r="F1461" s="51"/>
      <c r="G1461" s="51"/>
      <c r="H1461" s="51"/>
      <c r="I1461" s="51"/>
    </row>
    <row r="1462" ht="15.75" customHeight="1">
      <c r="A1462" s="65"/>
      <c r="B1462" s="66"/>
      <c r="C1462" s="67"/>
      <c r="D1462" s="67"/>
      <c r="F1462" s="51"/>
      <c r="G1462" s="51"/>
      <c r="H1462" s="51"/>
      <c r="I1462" s="51"/>
    </row>
    <row r="1463" ht="15.75" customHeight="1">
      <c r="A1463" s="65"/>
      <c r="B1463" s="66"/>
      <c r="C1463" s="67"/>
      <c r="D1463" s="67"/>
      <c r="F1463" s="51"/>
      <c r="G1463" s="51"/>
      <c r="H1463" s="51"/>
      <c r="I1463" s="51"/>
    </row>
    <row r="1464" ht="15.75" customHeight="1">
      <c r="A1464" s="65"/>
      <c r="B1464" s="66"/>
      <c r="C1464" s="67"/>
      <c r="D1464" s="67"/>
      <c r="F1464" s="51"/>
      <c r="G1464" s="51"/>
      <c r="H1464" s="51"/>
      <c r="I1464" s="51"/>
    </row>
    <row r="1465" ht="15.75" customHeight="1">
      <c r="A1465" s="65"/>
      <c r="B1465" s="66"/>
      <c r="C1465" s="67"/>
      <c r="D1465" s="67"/>
      <c r="F1465" s="51"/>
      <c r="G1465" s="51"/>
      <c r="H1465" s="51"/>
      <c r="I1465" s="51"/>
    </row>
    <row r="1466" ht="15.75" customHeight="1">
      <c r="A1466" s="65"/>
      <c r="B1466" s="66"/>
      <c r="C1466" s="67"/>
      <c r="D1466" s="67"/>
      <c r="F1466" s="51"/>
      <c r="G1466" s="51"/>
      <c r="H1466" s="51"/>
      <c r="I1466" s="51"/>
    </row>
    <row r="1467" ht="15.75" customHeight="1">
      <c r="A1467" s="65"/>
      <c r="B1467" s="66"/>
      <c r="C1467" s="67"/>
      <c r="D1467" s="67"/>
      <c r="F1467" s="51"/>
      <c r="G1467" s="51"/>
      <c r="H1467" s="51"/>
      <c r="I1467" s="51"/>
    </row>
    <row r="1468" ht="15.75" customHeight="1">
      <c r="A1468" s="65"/>
      <c r="B1468" s="66"/>
      <c r="C1468" s="67"/>
      <c r="D1468" s="67"/>
      <c r="F1468" s="51"/>
      <c r="G1468" s="51"/>
      <c r="H1468" s="51"/>
      <c r="I1468" s="51"/>
    </row>
    <row r="1469" ht="15.75" customHeight="1">
      <c r="A1469" s="65"/>
      <c r="B1469" s="66"/>
      <c r="C1469" s="67"/>
      <c r="D1469" s="67"/>
      <c r="F1469" s="51"/>
      <c r="G1469" s="51"/>
      <c r="H1469" s="51"/>
      <c r="I1469" s="51"/>
    </row>
    <row r="1470" ht="15.75" customHeight="1">
      <c r="A1470" s="65"/>
      <c r="B1470" s="66"/>
      <c r="C1470" s="67"/>
      <c r="D1470" s="67"/>
      <c r="F1470" s="51"/>
      <c r="G1470" s="51"/>
      <c r="H1470" s="51"/>
      <c r="I1470" s="51"/>
    </row>
    <row r="1471" ht="15.75" customHeight="1">
      <c r="A1471" s="65"/>
      <c r="B1471" s="66"/>
      <c r="C1471" s="67"/>
      <c r="D1471" s="67"/>
      <c r="F1471" s="51"/>
      <c r="G1471" s="51"/>
      <c r="H1471" s="51"/>
      <c r="I1471" s="51"/>
    </row>
    <row r="1472" ht="15.75" customHeight="1">
      <c r="A1472" s="65"/>
      <c r="B1472" s="66"/>
      <c r="C1472" s="67"/>
      <c r="D1472" s="67"/>
      <c r="F1472" s="51"/>
      <c r="G1472" s="51"/>
      <c r="H1472" s="51"/>
      <c r="I1472" s="51"/>
    </row>
    <row r="1473" ht="15.75" customHeight="1">
      <c r="A1473" s="65"/>
      <c r="B1473" s="66"/>
      <c r="C1473" s="67"/>
      <c r="D1473" s="67"/>
      <c r="F1473" s="51"/>
      <c r="G1473" s="51"/>
      <c r="H1473" s="51"/>
      <c r="I1473" s="51"/>
    </row>
    <row r="1474" ht="15.75" customHeight="1">
      <c r="A1474" s="65"/>
      <c r="B1474" s="66"/>
      <c r="C1474" s="67"/>
      <c r="D1474" s="67"/>
      <c r="F1474" s="51"/>
      <c r="G1474" s="51"/>
      <c r="H1474" s="51"/>
      <c r="I1474" s="51"/>
    </row>
    <row r="1475" ht="15.75" customHeight="1">
      <c r="A1475" s="65"/>
      <c r="B1475" s="66"/>
      <c r="C1475" s="67"/>
      <c r="D1475" s="67"/>
      <c r="F1475" s="51"/>
      <c r="G1475" s="51"/>
      <c r="H1475" s="51"/>
      <c r="I1475" s="51"/>
    </row>
    <row r="1476" ht="15.75" customHeight="1">
      <c r="A1476" s="65"/>
      <c r="B1476" s="66"/>
      <c r="C1476" s="67"/>
      <c r="D1476" s="67"/>
      <c r="F1476" s="51"/>
      <c r="G1476" s="51"/>
      <c r="H1476" s="51"/>
      <c r="I1476" s="51"/>
    </row>
    <row r="1477" ht="15.75" customHeight="1">
      <c r="A1477" s="65"/>
      <c r="B1477" s="66"/>
      <c r="C1477" s="67"/>
      <c r="D1477" s="67"/>
      <c r="F1477" s="51"/>
      <c r="G1477" s="51"/>
      <c r="H1477" s="51"/>
      <c r="I1477" s="51"/>
    </row>
    <row r="1478" ht="15.75" customHeight="1">
      <c r="A1478" s="65"/>
      <c r="B1478" s="66"/>
      <c r="C1478" s="67"/>
      <c r="D1478" s="67"/>
      <c r="F1478" s="51"/>
      <c r="G1478" s="51"/>
      <c r="H1478" s="51"/>
      <c r="I1478" s="51"/>
    </row>
    <row r="1479" ht="15.75" customHeight="1">
      <c r="A1479" s="65"/>
      <c r="B1479" s="66"/>
      <c r="C1479" s="67"/>
      <c r="D1479" s="67"/>
      <c r="F1479" s="51"/>
      <c r="G1479" s="51"/>
      <c r="H1479" s="51"/>
      <c r="I1479" s="51"/>
    </row>
    <row r="1480" ht="15.75" customHeight="1">
      <c r="A1480" s="65"/>
      <c r="B1480" s="66"/>
      <c r="C1480" s="67"/>
      <c r="D1480" s="67"/>
      <c r="F1480" s="51"/>
      <c r="G1480" s="51"/>
      <c r="H1480" s="51"/>
      <c r="I1480" s="51"/>
    </row>
    <row r="1481" ht="15.75" customHeight="1">
      <c r="A1481" s="65"/>
      <c r="B1481" s="66"/>
      <c r="C1481" s="67"/>
      <c r="D1481" s="67"/>
      <c r="F1481" s="51"/>
      <c r="G1481" s="51"/>
      <c r="H1481" s="51"/>
      <c r="I1481" s="51"/>
    </row>
    <row r="1482" ht="15.75" customHeight="1">
      <c r="A1482" s="65"/>
      <c r="B1482" s="66"/>
      <c r="C1482" s="67"/>
      <c r="D1482" s="67"/>
      <c r="F1482" s="51"/>
      <c r="G1482" s="51"/>
      <c r="H1482" s="51"/>
      <c r="I1482" s="51"/>
    </row>
    <row r="1483" ht="15.75" customHeight="1">
      <c r="A1483" s="65"/>
      <c r="B1483" s="66"/>
      <c r="C1483" s="67"/>
      <c r="D1483" s="67"/>
      <c r="F1483" s="51"/>
      <c r="G1483" s="51"/>
      <c r="H1483" s="51"/>
      <c r="I1483" s="51"/>
    </row>
    <row r="1484" ht="15.75" customHeight="1">
      <c r="A1484" s="65"/>
      <c r="B1484" s="66"/>
      <c r="C1484" s="67"/>
      <c r="D1484" s="67"/>
      <c r="F1484" s="51"/>
      <c r="G1484" s="51"/>
      <c r="H1484" s="51"/>
      <c r="I1484" s="51"/>
    </row>
    <row r="1485" ht="15.75" customHeight="1">
      <c r="A1485" s="65"/>
      <c r="B1485" s="66"/>
      <c r="C1485" s="67"/>
      <c r="D1485" s="67"/>
      <c r="F1485" s="51"/>
      <c r="G1485" s="51"/>
      <c r="H1485" s="51"/>
      <c r="I1485" s="51"/>
    </row>
    <row r="1486" ht="15.75" customHeight="1">
      <c r="A1486" s="65"/>
      <c r="B1486" s="66"/>
      <c r="C1486" s="67"/>
      <c r="D1486" s="67"/>
      <c r="F1486" s="51"/>
      <c r="G1486" s="51"/>
      <c r="H1486" s="51"/>
      <c r="I1486" s="51"/>
    </row>
    <row r="1487" ht="15.75" customHeight="1">
      <c r="A1487" s="65"/>
      <c r="B1487" s="66"/>
      <c r="C1487" s="67"/>
      <c r="D1487" s="67"/>
      <c r="F1487" s="51"/>
      <c r="G1487" s="51"/>
      <c r="H1487" s="51"/>
      <c r="I1487" s="51"/>
    </row>
    <row r="1488" ht="15.75" customHeight="1">
      <c r="A1488" s="65"/>
      <c r="B1488" s="66"/>
      <c r="C1488" s="67"/>
      <c r="D1488" s="67"/>
      <c r="F1488" s="51"/>
      <c r="G1488" s="51"/>
      <c r="H1488" s="51"/>
      <c r="I1488" s="51"/>
    </row>
    <row r="1489" ht="15.75" customHeight="1">
      <c r="A1489" s="65"/>
      <c r="B1489" s="66"/>
      <c r="C1489" s="67"/>
      <c r="D1489" s="67"/>
      <c r="F1489" s="51"/>
      <c r="G1489" s="51"/>
      <c r="H1489" s="51"/>
      <c r="I1489" s="51"/>
    </row>
    <row r="1490" ht="15.75" customHeight="1">
      <c r="A1490" s="65"/>
      <c r="B1490" s="66"/>
      <c r="C1490" s="67"/>
      <c r="D1490" s="67"/>
      <c r="F1490" s="51"/>
      <c r="G1490" s="51"/>
      <c r="H1490" s="51"/>
      <c r="I1490" s="51"/>
    </row>
    <row r="1491" ht="15.75" customHeight="1">
      <c r="A1491" s="65"/>
      <c r="B1491" s="66"/>
      <c r="C1491" s="67"/>
      <c r="D1491" s="67"/>
      <c r="F1491" s="51"/>
      <c r="G1491" s="51"/>
      <c r="H1491" s="51"/>
      <c r="I1491" s="51"/>
    </row>
    <row r="1492" ht="15.75" customHeight="1">
      <c r="A1492" s="65"/>
      <c r="B1492" s="66"/>
      <c r="C1492" s="67"/>
      <c r="D1492" s="67"/>
      <c r="F1492" s="51"/>
      <c r="G1492" s="51"/>
      <c r="H1492" s="51"/>
      <c r="I1492" s="51"/>
    </row>
    <row r="1493" ht="15.75" customHeight="1">
      <c r="A1493" s="65"/>
      <c r="B1493" s="66"/>
      <c r="C1493" s="67"/>
      <c r="D1493" s="67"/>
      <c r="F1493" s="51"/>
      <c r="G1493" s="51"/>
      <c r="H1493" s="51"/>
      <c r="I1493" s="51"/>
    </row>
    <row r="1494" ht="15.75" customHeight="1">
      <c r="A1494" s="65"/>
      <c r="B1494" s="66"/>
      <c r="C1494" s="67"/>
      <c r="D1494" s="67"/>
      <c r="F1494" s="51"/>
      <c r="G1494" s="51"/>
      <c r="H1494" s="51"/>
      <c r="I1494" s="51"/>
    </row>
    <row r="1495" ht="15.75" customHeight="1">
      <c r="A1495" s="65"/>
      <c r="B1495" s="66"/>
      <c r="C1495" s="67"/>
      <c r="D1495" s="67"/>
      <c r="F1495" s="51"/>
      <c r="G1495" s="51"/>
      <c r="H1495" s="51"/>
      <c r="I1495" s="51"/>
    </row>
    <row r="1496" ht="15.75" customHeight="1">
      <c r="A1496" s="65"/>
      <c r="B1496" s="66"/>
      <c r="C1496" s="67"/>
      <c r="D1496" s="67"/>
      <c r="F1496" s="51"/>
      <c r="G1496" s="51"/>
      <c r="H1496" s="51"/>
      <c r="I1496" s="51"/>
    </row>
    <row r="1497" ht="15.75" customHeight="1">
      <c r="A1497" s="65"/>
      <c r="B1497" s="66"/>
      <c r="C1497" s="67"/>
      <c r="D1497" s="67"/>
      <c r="F1497" s="51"/>
      <c r="G1497" s="51"/>
      <c r="H1497" s="51"/>
      <c r="I1497" s="51"/>
    </row>
    <row r="1498" ht="15.75" customHeight="1">
      <c r="A1498" s="65"/>
      <c r="B1498" s="66"/>
      <c r="C1498" s="67"/>
      <c r="D1498" s="67"/>
      <c r="F1498" s="51"/>
      <c r="G1498" s="51"/>
      <c r="H1498" s="51"/>
      <c r="I1498" s="51"/>
    </row>
    <row r="1499" ht="15.75" customHeight="1">
      <c r="A1499" s="65"/>
      <c r="B1499" s="66"/>
      <c r="C1499" s="67"/>
      <c r="D1499" s="67"/>
      <c r="F1499" s="51"/>
      <c r="G1499" s="51"/>
      <c r="H1499" s="51"/>
      <c r="I1499" s="51"/>
    </row>
    <row r="1500" ht="15.75" customHeight="1">
      <c r="A1500" s="65"/>
      <c r="B1500" s="66"/>
      <c r="C1500" s="67"/>
      <c r="D1500" s="67"/>
      <c r="F1500" s="51"/>
      <c r="G1500" s="51"/>
      <c r="H1500" s="51"/>
      <c r="I1500" s="51"/>
    </row>
  </sheetData>
  <dataValidations>
    <dataValidation type="list" allowBlank="1" showErrorMessage="1" sqref="C2:C1500">
      <formula1>"LAUR,GOLD,ASHC,FENC,STAR"</formula1>
    </dataValidation>
    <dataValidation type="list" allowBlank="1" showErrorMessage="1" sqref="D2:D1500">
      <formula1>"NY,CT"</formula1>
    </dataValidation>
  </dataValidations>
  <drawing r:id="rId1"/>
</worksheet>
</file>