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3rd Year" sheetId="5" r:id="rId1"/>
    <sheet name="2nd Year" sheetId="2" r:id="rId2"/>
    <sheet name="1st Year" sheetId="3" r:id="rId3"/>
    <sheet name="Cumulative" sheetId="1" r:id="rId4"/>
  </sheets>
  <calcPr calcId="171027"/>
</workbook>
</file>

<file path=xl/calcChain.xml><?xml version="1.0" encoding="utf-8"?>
<calcChain xmlns="http://schemas.openxmlformats.org/spreadsheetml/2006/main">
  <c r="F29" i="5" l="1"/>
  <c r="F28" i="5"/>
  <c r="J7" i="5"/>
  <c r="M65" i="5"/>
  <c r="M74" i="5"/>
  <c r="M78" i="5"/>
  <c r="J78" i="5"/>
  <c r="M77" i="5"/>
  <c r="J77" i="5"/>
  <c r="M76" i="5"/>
  <c r="J76" i="5"/>
  <c r="M75" i="5"/>
  <c r="J75" i="5"/>
  <c r="J74" i="5"/>
  <c r="M73" i="5"/>
  <c r="J73" i="5"/>
  <c r="L13" i="5" s="1"/>
  <c r="M69" i="5"/>
  <c r="J69" i="5"/>
  <c r="M68" i="5"/>
  <c r="J68" i="5"/>
  <c r="M67" i="5"/>
  <c r="J67" i="5"/>
  <c r="M66" i="5"/>
  <c r="J66" i="5"/>
  <c r="J65" i="5"/>
  <c r="M64" i="5"/>
  <c r="J64" i="5"/>
  <c r="L12" i="5" s="1"/>
  <c r="M63" i="5"/>
  <c r="J63" i="5"/>
  <c r="H13" i="5"/>
  <c r="H12" i="5"/>
  <c r="L11" i="5"/>
  <c r="H11" i="5"/>
  <c r="L10" i="5"/>
  <c r="H10" i="5"/>
  <c r="L9" i="5"/>
  <c r="H9" i="5"/>
  <c r="H8" i="5"/>
  <c r="M59" i="5"/>
  <c r="J59" i="5"/>
  <c r="M58" i="5"/>
  <c r="J58" i="5"/>
  <c r="M57" i="5"/>
  <c r="J57" i="5"/>
  <c r="M56" i="5"/>
  <c r="J56" i="5"/>
  <c r="M55" i="5"/>
  <c r="J55" i="5"/>
  <c r="M54" i="5"/>
  <c r="J54" i="5"/>
  <c r="M53" i="5"/>
  <c r="J53" i="5"/>
  <c r="M49" i="5"/>
  <c r="J49" i="5"/>
  <c r="M48" i="5"/>
  <c r="J48" i="5"/>
  <c r="M47" i="5"/>
  <c r="J47" i="5"/>
  <c r="M46" i="5"/>
  <c r="J46" i="5"/>
  <c r="M45" i="5"/>
  <c r="J45" i="5"/>
  <c r="M44" i="5"/>
  <c r="J44" i="5"/>
  <c r="M43" i="5"/>
  <c r="J43" i="5"/>
  <c r="M42" i="5"/>
  <c r="J42" i="5"/>
  <c r="M41" i="5"/>
  <c r="J41" i="5"/>
  <c r="M37" i="5"/>
  <c r="J37" i="5"/>
  <c r="M36" i="5"/>
  <c r="J36" i="5"/>
  <c r="M35" i="5"/>
  <c r="J35" i="5"/>
  <c r="M34" i="5"/>
  <c r="J34" i="5"/>
  <c r="M33" i="5"/>
  <c r="J33" i="5"/>
  <c r="M32" i="5"/>
  <c r="J32" i="5"/>
  <c r="M28" i="5"/>
  <c r="J28" i="5"/>
  <c r="M27" i="5"/>
  <c r="J27" i="5"/>
  <c r="L8" i="5" s="1"/>
  <c r="M26" i="5"/>
  <c r="J26" i="5"/>
  <c r="M25" i="5"/>
  <c r="J25" i="5"/>
  <c r="M24" i="5"/>
  <c r="J24" i="5"/>
  <c r="M23" i="5"/>
  <c r="J23" i="5"/>
  <c r="M22" i="5"/>
  <c r="J22" i="5"/>
  <c r="C28" i="5" l="1"/>
  <c r="C29" i="5"/>
  <c r="J13" i="5"/>
  <c r="K13" i="5" s="1"/>
  <c r="J12" i="5"/>
  <c r="I12" i="5" s="1"/>
  <c r="J11" i="5"/>
  <c r="I11" i="5" s="1"/>
  <c r="J10" i="5"/>
  <c r="I10" i="5" s="1"/>
  <c r="J9" i="5"/>
  <c r="K9" i="5" s="1"/>
  <c r="J8" i="5"/>
  <c r="I8" i="5" s="1"/>
  <c r="I13" i="5" l="1"/>
  <c r="K12" i="5"/>
  <c r="K11" i="5"/>
  <c r="K10" i="5"/>
  <c r="I9" i="5"/>
  <c r="K8" i="5"/>
  <c r="J3" i="3" l="1"/>
  <c r="J8" i="3"/>
  <c r="J14" i="2"/>
  <c r="J11" i="2"/>
  <c r="C25" i="5" l="1"/>
  <c r="C27" i="5" l="1"/>
  <c r="C26" i="5"/>
  <c r="C24" i="5"/>
  <c r="C47" i="5" l="1"/>
  <c r="C48" i="5"/>
  <c r="C49" i="5"/>
  <c r="C46" i="5"/>
  <c r="C38" i="5" l="1"/>
  <c r="C37" i="5"/>
  <c r="C36" i="5"/>
  <c r="C35" i="5"/>
  <c r="C34" i="5"/>
  <c r="F38" i="5"/>
  <c r="C5" i="5" l="1"/>
  <c r="C6" i="5"/>
  <c r="C4" i="5"/>
  <c r="C3" i="5"/>
  <c r="H7" i="5" l="1"/>
  <c r="C33" i="5" l="1"/>
  <c r="C45" i="5" l="1"/>
  <c r="C44" i="5"/>
  <c r="F24" i="5" l="1"/>
  <c r="F25" i="5"/>
  <c r="F26" i="5"/>
  <c r="F27" i="5"/>
  <c r="C50" i="5"/>
  <c r="C39" i="5"/>
  <c r="F34" i="5"/>
  <c r="F35" i="5"/>
  <c r="F36" i="5"/>
  <c r="F37" i="5"/>
  <c r="F39" i="5"/>
  <c r="C20" i="5"/>
  <c r="C19" i="5"/>
  <c r="C18" i="5"/>
  <c r="C17" i="5"/>
  <c r="C13" i="5"/>
  <c r="C12" i="5"/>
  <c r="F13" i="5"/>
  <c r="F12" i="5"/>
  <c r="C8" i="5"/>
  <c r="C7" i="5"/>
  <c r="F8" i="5"/>
  <c r="F138" i="5"/>
  <c r="F51" i="5"/>
  <c r="C51" i="5"/>
  <c r="F50" i="5"/>
  <c r="F49" i="5"/>
  <c r="F48" i="5"/>
  <c r="F47" i="5"/>
  <c r="F46" i="5"/>
  <c r="F45" i="5"/>
  <c r="F44" i="5"/>
  <c r="F40" i="5"/>
  <c r="C40" i="5"/>
  <c r="F33" i="5"/>
  <c r="F7" i="5"/>
  <c r="F6" i="5"/>
  <c r="F5" i="5"/>
  <c r="H6" i="5"/>
  <c r="F4" i="5"/>
  <c r="H5" i="5"/>
  <c r="H4" i="5"/>
  <c r="H3" i="5"/>
  <c r="F3" i="5"/>
  <c r="I7" i="5" l="1"/>
  <c r="C14" i="5"/>
  <c r="L4" i="5" s="1"/>
  <c r="E14" i="5"/>
  <c r="J5" i="5"/>
  <c r="J3" i="5"/>
  <c r="I3" i="5" s="1"/>
  <c r="J6" i="5"/>
  <c r="I6" i="5" s="1"/>
  <c r="F20" i="5"/>
  <c r="F19" i="5"/>
  <c r="F18" i="5"/>
  <c r="F17" i="5"/>
  <c r="L3" i="5"/>
  <c r="L6" i="5"/>
  <c r="L7" i="5"/>
  <c r="J59" i="2"/>
  <c r="J58" i="2"/>
  <c r="I5" i="5" l="1"/>
  <c r="L5" i="5"/>
  <c r="L16" i="5" s="1"/>
  <c r="L18" i="5" s="1"/>
  <c r="D14" i="5"/>
  <c r="F14" i="5" s="1"/>
  <c r="J4" i="5" s="1"/>
  <c r="K6" i="5"/>
  <c r="K7" i="5"/>
  <c r="K3" i="5"/>
  <c r="J71" i="2"/>
  <c r="J70" i="2"/>
  <c r="K5" i="5" l="1"/>
  <c r="J17" i="5"/>
  <c r="K4" i="5"/>
  <c r="I4" i="5"/>
  <c r="A6" i="1" s="1"/>
  <c r="L29" i="2"/>
  <c r="K29" i="2"/>
  <c r="K16" i="5" l="1"/>
  <c r="J16" i="5"/>
  <c r="K17" i="5"/>
  <c r="J18" i="5"/>
  <c r="B6" i="1" s="1"/>
  <c r="K18" i="5"/>
  <c r="C6" i="1" s="1"/>
  <c r="J74" i="2"/>
  <c r="J73" i="2"/>
  <c r="J72" i="2"/>
  <c r="J81" i="2" l="1"/>
  <c r="J80" i="2"/>
  <c r="M80" i="2" s="1"/>
  <c r="J79" i="2"/>
  <c r="M79" i="2" s="1"/>
  <c r="M81" i="2" l="1"/>
  <c r="K76" i="2" s="1"/>
  <c r="L76" i="2"/>
  <c r="M76" i="2" l="1"/>
  <c r="J51" i="2"/>
  <c r="J50" i="2"/>
  <c r="M28" i="2" l="1"/>
  <c r="J29" i="2"/>
  <c r="J30" i="2"/>
  <c r="M29" i="2"/>
  <c r="D52" i="2"/>
  <c r="M71" i="2" l="1"/>
  <c r="J35" i="2" l="1"/>
  <c r="J36" i="2"/>
  <c r="J37" i="2"/>
  <c r="J38" i="2"/>
  <c r="J34" i="2"/>
  <c r="C37" i="2"/>
  <c r="C36" i="2"/>
  <c r="C35" i="2"/>
  <c r="C30" i="3" l="1"/>
  <c r="M70" i="2" l="1"/>
  <c r="M72" i="2"/>
  <c r="M73" i="2"/>
  <c r="M74" i="2"/>
  <c r="J61" i="2" l="1"/>
  <c r="J62" i="2"/>
  <c r="J63" i="2"/>
  <c r="J64" i="2"/>
  <c r="J60" i="2"/>
  <c r="J43" i="2" l="1"/>
  <c r="J40" i="2"/>
  <c r="J41" i="2"/>
  <c r="J42" i="2"/>
  <c r="J39" i="2"/>
  <c r="L10" i="2" l="1"/>
  <c r="D8" i="2"/>
  <c r="F8" i="2" s="1"/>
  <c r="C8" i="2"/>
  <c r="F52" i="2" l="1"/>
  <c r="C52" i="2"/>
  <c r="C76" i="2"/>
  <c r="C77" i="2"/>
  <c r="C78" i="2"/>
  <c r="I61" i="3" l="1"/>
  <c r="I62" i="3"/>
  <c r="I63" i="3"/>
  <c r="I64" i="3"/>
  <c r="I65" i="3"/>
  <c r="I66" i="3"/>
  <c r="I67" i="3"/>
  <c r="I60" i="3"/>
  <c r="J52" i="3"/>
  <c r="I52" i="3" s="1"/>
  <c r="J53" i="3"/>
  <c r="I53" i="3" s="1"/>
  <c r="J59" i="3"/>
  <c r="I59" i="3" s="1"/>
  <c r="J58" i="3"/>
  <c r="I58" i="3" s="1"/>
  <c r="J57" i="3"/>
  <c r="I57" i="3" s="1"/>
  <c r="J56" i="3"/>
  <c r="I56" i="3" s="1"/>
  <c r="J55" i="3"/>
  <c r="I55" i="3" s="1"/>
  <c r="J54" i="3"/>
  <c r="I54" i="3" s="1"/>
  <c r="J41" i="3"/>
  <c r="I41" i="3" s="1"/>
  <c r="J40" i="3"/>
  <c r="I40" i="3" s="1"/>
  <c r="J39" i="3"/>
  <c r="I39" i="3" s="1"/>
  <c r="J38" i="3"/>
  <c r="I38" i="3" s="1"/>
  <c r="J37" i="3"/>
  <c r="I37" i="3" s="1"/>
  <c r="J32" i="3"/>
  <c r="J31" i="3"/>
  <c r="C3" i="3"/>
  <c r="C4" i="3"/>
  <c r="B4" i="3" s="1"/>
  <c r="C5" i="3"/>
  <c r="B5" i="3" s="1"/>
  <c r="C6" i="3"/>
  <c r="B6" i="3" s="1"/>
  <c r="C8" i="3"/>
  <c r="B8" i="3" s="1"/>
  <c r="C9" i="3"/>
  <c r="B9" i="3" s="1"/>
  <c r="C10" i="3"/>
  <c r="B10" i="3" s="1"/>
  <c r="C7" i="3"/>
  <c r="B7" i="3" s="1"/>
  <c r="B3" i="3"/>
  <c r="A2" i="1" l="1"/>
  <c r="F105" i="3"/>
  <c r="C105" i="3"/>
  <c r="F104" i="3"/>
  <c r="C104" i="3"/>
  <c r="F103" i="3"/>
  <c r="C103" i="3"/>
  <c r="F102" i="3"/>
  <c r="C102" i="3"/>
  <c r="F101" i="3"/>
  <c r="C101" i="3"/>
  <c r="F100" i="3"/>
  <c r="C100" i="3"/>
  <c r="F99" i="3"/>
  <c r="C99" i="3"/>
  <c r="F98" i="3"/>
  <c r="C98" i="3"/>
  <c r="F97" i="3"/>
  <c r="C97" i="3"/>
  <c r="F96" i="3"/>
  <c r="C96" i="3"/>
  <c r="F92" i="3"/>
  <c r="C92" i="3"/>
  <c r="F91" i="3"/>
  <c r="C91" i="3"/>
  <c r="F90" i="3"/>
  <c r="C90" i="3"/>
  <c r="F89" i="3"/>
  <c r="C89" i="3"/>
  <c r="F88" i="3"/>
  <c r="C88" i="3"/>
  <c r="F84" i="3"/>
  <c r="C84" i="3"/>
  <c r="F83" i="3"/>
  <c r="C83" i="3"/>
  <c r="F82" i="3"/>
  <c r="C82" i="3"/>
  <c r="F81" i="3"/>
  <c r="C81" i="3"/>
  <c r="F80" i="3"/>
  <c r="C80" i="3"/>
  <c r="F79" i="3"/>
  <c r="C79" i="3"/>
  <c r="F78" i="3"/>
  <c r="C78" i="3"/>
  <c r="F77" i="3"/>
  <c r="C77" i="3"/>
  <c r="M76" i="3"/>
  <c r="J76" i="3"/>
  <c r="F76" i="3"/>
  <c r="C76" i="3"/>
  <c r="M75" i="3"/>
  <c r="J75" i="3"/>
  <c r="F75" i="3"/>
  <c r="C75" i="3"/>
  <c r="M74" i="3"/>
  <c r="J74" i="3"/>
  <c r="F74" i="3"/>
  <c r="C74" i="3"/>
  <c r="M73" i="3"/>
  <c r="J73" i="3"/>
  <c r="F73" i="3"/>
  <c r="C73" i="3"/>
  <c r="M69" i="3"/>
  <c r="J69" i="3"/>
  <c r="F69" i="3"/>
  <c r="C69" i="3"/>
  <c r="M68" i="3"/>
  <c r="J68" i="3"/>
  <c r="F68" i="3"/>
  <c r="C68" i="3"/>
  <c r="M67" i="3"/>
  <c r="F67" i="3"/>
  <c r="C67" i="3"/>
  <c r="M66" i="3"/>
  <c r="F66" i="3"/>
  <c r="C66" i="3"/>
  <c r="M65" i="3"/>
  <c r="M64" i="3"/>
  <c r="M63" i="3"/>
  <c r="M62" i="3"/>
  <c r="C62" i="3"/>
  <c r="F62" i="3" s="1"/>
  <c r="M61" i="3"/>
  <c r="C61" i="3"/>
  <c r="F61" i="3" s="1"/>
  <c r="M60" i="3"/>
  <c r="C60" i="3"/>
  <c r="F60" i="3" s="1"/>
  <c r="M59" i="3"/>
  <c r="C59" i="3"/>
  <c r="F59" i="3" s="1"/>
  <c r="M58" i="3"/>
  <c r="C58" i="3"/>
  <c r="F58" i="3" s="1"/>
  <c r="M57" i="3"/>
  <c r="C57" i="3"/>
  <c r="F57" i="3" s="1"/>
  <c r="M56" i="3"/>
  <c r="C56" i="3"/>
  <c r="F56" i="3" s="1"/>
  <c r="M55" i="3"/>
  <c r="M54" i="3"/>
  <c r="M53" i="3"/>
  <c r="C53" i="3"/>
  <c r="F53" i="3" s="1"/>
  <c r="M52" i="3"/>
  <c r="C52" i="3"/>
  <c r="F52" i="3" s="1"/>
  <c r="M51" i="3"/>
  <c r="J51" i="3"/>
  <c r="I26" i="3" s="1"/>
  <c r="C51" i="3"/>
  <c r="F51" i="3" s="1"/>
  <c r="C48" i="3"/>
  <c r="F48" i="3" s="1"/>
  <c r="M47" i="3"/>
  <c r="J47" i="3"/>
  <c r="C47" i="3"/>
  <c r="F47" i="3" s="1"/>
  <c r="M46" i="3"/>
  <c r="J46" i="3"/>
  <c r="C46" i="3"/>
  <c r="F46" i="3" s="1"/>
  <c r="M45" i="3"/>
  <c r="J45" i="3"/>
  <c r="I27" i="3" s="1"/>
  <c r="C45" i="3"/>
  <c r="F45" i="3" s="1"/>
  <c r="M44" i="3"/>
  <c r="J44" i="3"/>
  <c r="M43" i="3"/>
  <c r="J43" i="3"/>
  <c r="M42" i="3"/>
  <c r="J42" i="3"/>
  <c r="F42" i="3"/>
  <c r="C42" i="3"/>
  <c r="M41" i="3"/>
  <c r="F41" i="3"/>
  <c r="C41" i="3"/>
  <c r="M40" i="3"/>
  <c r="F40" i="3"/>
  <c r="C40" i="3"/>
  <c r="M39" i="3"/>
  <c r="F39" i="3"/>
  <c r="C39" i="3"/>
  <c r="M38" i="3"/>
  <c r="C38" i="3"/>
  <c r="M37" i="3"/>
  <c r="F37" i="3"/>
  <c r="C37" i="3"/>
  <c r="M36" i="3"/>
  <c r="J36" i="3"/>
  <c r="F36" i="3"/>
  <c r="C36" i="3"/>
  <c r="M35" i="3"/>
  <c r="J35" i="3"/>
  <c r="F35" i="3"/>
  <c r="C35" i="3"/>
  <c r="M34" i="3"/>
  <c r="J34" i="3"/>
  <c r="C34" i="3"/>
  <c r="M33" i="3"/>
  <c r="J33" i="3"/>
  <c r="C33" i="3"/>
  <c r="M32" i="3"/>
  <c r="M31" i="3"/>
  <c r="F29" i="3"/>
  <c r="C29" i="3"/>
  <c r="F28" i="3"/>
  <c r="C28" i="3"/>
  <c r="H27" i="3"/>
  <c r="F27" i="3"/>
  <c r="C27" i="3"/>
  <c r="H26" i="3"/>
  <c r="F26" i="3"/>
  <c r="C26" i="3"/>
  <c r="I25" i="3"/>
  <c r="H25" i="3"/>
  <c r="F25" i="3"/>
  <c r="C25" i="3"/>
  <c r="I24" i="3"/>
  <c r="H24" i="3"/>
  <c r="F24" i="3"/>
  <c r="C24" i="3"/>
  <c r="H23" i="3"/>
  <c r="F23" i="3"/>
  <c r="C23" i="3"/>
  <c r="H22" i="3"/>
  <c r="F22" i="3"/>
  <c r="C22" i="3"/>
  <c r="I21" i="3"/>
  <c r="H21" i="3"/>
  <c r="F21" i="3"/>
  <c r="C21" i="3"/>
  <c r="I20" i="3"/>
  <c r="H20" i="3"/>
  <c r="F20" i="3"/>
  <c r="C20" i="3"/>
  <c r="I19" i="3"/>
  <c r="H19" i="3"/>
  <c r="F19" i="3"/>
  <c r="C19" i="3"/>
  <c r="H18" i="3"/>
  <c r="F18" i="3"/>
  <c r="C18" i="3"/>
  <c r="F17" i="3"/>
  <c r="C17" i="3"/>
  <c r="F13" i="3"/>
  <c r="C13" i="3"/>
  <c r="H12" i="3"/>
  <c r="F12" i="3"/>
  <c r="C12" i="3"/>
  <c r="H11" i="3"/>
  <c r="F11" i="3"/>
  <c r="C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J9" i="3" l="1"/>
  <c r="K9" i="3" s="1"/>
  <c r="D38" i="3"/>
  <c r="I23" i="3"/>
  <c r="E33" i="3"/>
  <c r="E34" i="3"/>
  <c r="E38" i="3"/>
  <c r="J10" i="3"/>
  <c r="K10" i="3" s="1"/>
  <c r="J11" i="3"/>
  <c r="K11" i="3" s="1"/>
  <c r="J12" i="3"/>
  <c r="K12" i="3" s="1"/>
  <c r="J6" i="3"/>
  <c r="K6" i="3" s="1"/>
  <c r="J5" i="3"/>
  <c r="K5" i="3" s="1"/>
  <c r="J4" i="3"/>
  <c r="K4" i="3" s="1"/>
  <c r="D34" i="3"/>
  <c r="F34" i="3" s="1"/>
  <c r="D33" i="3"/>
  <c r="F33" i="3" s="1"/>
  <c r="J7" i="3"/>
  <c r="K7" i="3" s="1"/>
  <c r="I18" i="3"/>
  <c r="I22" i="3"/>
  <c r="F38" i="3" l="1"/>
  <c r="K8" i="3" s="1"/>
  <c r="K3" i="3"/>
  <c r="K15" i="3" l="1"/>
  <c r="C2" i="1" s="1"/>
  <c r="J15" i="3"/>
  <c r="B2" i="1" s="1"/>
  <c r="C34" i="2"/>
  <c r="C40" i="2"/>
  <c r="C39" i="2"/>
  <c r="C38" i="2"/>
  <c r="F37" i="2"/>
  <c r="F36" i="2"/>
  <c r="F35" i="2"/>
  <c r="C33" i="2"/>
  <c r="C32" i="2"/>
  <c r="C31" i="2"/>
  <c r="C30" i="2"/>
  <c r="C29" i="2"/>
  <c r="C28" i="2"/>
  <c r="C27" i="2"/>
  <c r="C26" i="2"/>
  <c r="C25" i="2"/>
  <c r="F34" i="2"/>
  <c r="F33" i="2"/>
  <c r="H3" i="2" l="1"/>
  <c r="M30" i="2"/>
  <c r="J10" i="2" s="1"/>
  <c r="M27" i="2"/>
  <c r="M26" i="2"/>
  <c r="M25" i="2"/>
  <c r="M24" i="2"/>
  <c r="M23" i="2"/>
  <c r="C9" i="2"/>
  <c r="K10" i="2" l="1"/>
  <c r="H9" i="2"/>
  <c r="I10" i="2" l="1"/>
  <c r="C86" i="2"/>
  <c r="C85" i="2"/>
  <c r="C84" i="2"/>
  <c r="C83" i="2"/>
  <c r="L9" i="2" l="1"/>
  <c r="H14" i="2"/>
  <c r="H13" i="2"/>
  <c r="H12" i="2"/>
  <c r="H11" i="2"/>
  <c r="H10" i="2"/>
  <c r="H8" i="2"/>
  <c r="H7" i="2"/>
  <c r="H6" i="2"/>
  <c r="H5" i="2"/>
  <c r="H4" i="2"/>
  <c r="F86" i="2" l="1"/>
  <c r="F85" i="2"/>
  <c r="F84" i="2"/>
  <c r="F83" i="2"/>
  <c r="J76" i="2"/>
  <c r="J75" i="2"/>
  <c r="M75" i="2"/>
  <c r="J66" i="2"/>
  <c r="J65" i="2"/>
  <c r="F138" i="2"/>
  <c r="M66" i="2"/>
  <c r="M65" i="2"/>
  <c r="M64" i="2"/>
  <c r="M63" i="2"/>
  <c r="M62" i="2"/>
  <c r="M61" i="2"/>
  <c r="M60" i="2"/>
  <c r="M59" i="2"/>
  <c r="M58" i="2"/>
  <c r="C75" i="2"/>
  <c r="C74" i="2"/>
  <c r="C73" i="2"/>
  <c r="C72" i="2"/>
  <c r="C71" i="2"/>
  <c r="C70" i="2"/>
  <c r="C69" i="2"/>
  <c r="C68" i="2"/>
  <c r="C79" i="2"/>
  <c r="F79" i="2"/>
  <c r="F78" i="2"/>
  <c r="F77" i="2"/>
  <c r="F76" i="2"/>
  <c r="F75" i="2"/>
  <c r="F74" i="2"/>
  <c r="F73" i="2"/>
  <c r="F72" i="2"/>
  <c r="F71" i="2"/>
  <c r="F70" i="2"/>
  <c r="F69" i="2"/>
  <c r="F68" i="2"/>
  <c r="F64" i="2"/>
  <c r="C64" i="2"/>
  <c r="F63" i="2"/>
  <c r="C63" i="2"/>
  <c r="F62" i="2"/>
  <c r="C62" i="2"/>
  <c r="J54" i="2"/>
  <c r="J53" i="2"/>
  <c r="J52" i="2"/>
  <c r="J49" i="2"/>
  <c r="J48" i="2"/>
  <c r="M54" i="2"/>
  <c r="M53" i="2"/>
  <c r="M52" i="2"/>
  <c r="M51" i="2"/>
  <c r="M50" i="2"/>
  <c r="M49" i="2"/>
  <c r="M48" i="2"/>
  <c r="C58" i="2"/>
  <c r="C56" i="2"/>
  <c r="C55" i="2"/>
  <c r="C54" i="2"/>
  <c r="C53" i="2"/>
  <c r="F58" i="2"/>
  <c r="F57" i="2"/>
  <c r="C57" i="2"/>
  <c r="F56" i="2"/>
  <c r="F55" i="2"/>
  <c r="F54" i="2"/>
  <c r="F53" i="2"/>
  <c r="F51" i="2"/>
  <c r="F50" i="2"/>
  <c r="F49" i="2"/>
  <c r="F48" i="2"/>
  <c r="F47" i="2"/>
  <c r="F46" i="2"/>
  <c r="J44" i="2"/>
  <c r="L11" i="2" s="1"/>
  <c r="M44" i="2"/>
  <c r="M43" i="2"/>
  <c r="M42" i="2"/>
  <c r="M41" i="2"/>
  <c r="M40" i="2"/>
  <c r="M39" i="2"/>
  <c r="M38" i="2"/>
  <c r="M37" i="2"/>
  <c r="M36" i="2"/>
  <c r="M35" i="2"/>
  <c r="M34" i="2"/>
  <c r="F25" i="2"/>
  <c r="F26" i="2"/>
  <c r="F27" i="2"/>
  <c r="F28" i="2"/>
  <c r="F29" i="2"/>
  <c r="F30" i="2"/>
  <c r="F31" i="2"/>
  <c r="F32" i="2"/>
  <c r="F42" i="2"/>
  <c r="F41" i="2"/>
  <c r="F40" i="2"/>
  <c r="F39" i="2"/>
  <c r="F38" i="2"/>
  <c r="C19" i="2"/>
  <c r="C21" i="2"/>
  <c r="F21" i="2"/>
  <c r="F20" i="2"/>
  <c r="C20" i="2"/>
  <c r="F19" i="2"/>
  <c r="F15" i="2"/>
  <c r="F14" i="2"/>
  <c r="F13" i="2"/>
  <c r="C13" i="2"/>
  <c r="F12" i="2"/>
  <c r="C12" i="2"/>
  <c r="F11" i="2"/>
  <c r="C11" i="2"/>
  <c r="F10" i="2"/>
  <c r="C10" i="2"/>
  <c r="F9" i="2"/>
  <c r="F7" i="2"/>
  <c r="F6" i="2"/>
  <c r="F5" i="2"/>
  <c r="F4" i="2"/>
  <c r="F3" i="2"/>
  <c r="K11" i="2" l="1"/>
  <c r="J6" i="2"/>
  <c r="K6" i="2" s="1"/>
  <c r="J12" i="2"/>
  <c r="K12" i="2" s="1"/>
  <c r="J8" i="2"/>
  <c r="K8" i="2" s="1"/>
  <c r="J13" i="2"/>
  <c r="K13" i="2" s="1"/>
  <c r="J4" i="2"/>
  <c r="K4" i="2" s="1"/>
  <c r="J7" i="2"/>
  <c r="K7" i="2" s="1"/>
  <c r="L14" i="2"/>
  <c r="K14" i="2"/>
  <c r="J9" i="2"/>
  <c r="K9" i="2" s="1"/>
  <c r="C42" i="2"/>
  <c r="C41" i="2" s="1"/>
  <c r="J5" i="2" s="1"/>
  <c r="L13" i="2"/>
  <c r="L12" i="2"/>
  <c r="L4" i="2"/>
  <c r="C15" i="2"/>
  <c r="C14" i="2" s="1"/>
  <c r="L3" i="2" s="1"/>
  <c r="L8" i="2"/>
  <c r="L7" i="2"/>
  <c r="L6" i="2"/>
  <c r="I9" i="2" l="1"/>
  <c r="J3" i="2"/>
  <c r="J19" i="2" s="1"/>
  <c r="B4" i="1" s="1"/>
  <c r="L5" i="2"/>
  <c r="K5" i="2"/>
  <c r="I14" i="2"/>
  <c r="I13" i="2"/>
  <c r="I11" i="2"/>
  <c r="I12" i="2"/>
  <c r="I7" i="2"/>
  <c r="I8" i="2"/>
  <c r="I6" i="2"/>
  <c r="I4" i="2"/>
  <c r="K3" i="2" l="1"/>
  <c r="J18" i="2"/>
  <c r="K18" i="2"/>
  <c r="I5" i="2"/>
  <c r="I3" i="2"/>
  <c r="A4" i="1" s="1"/>
  <c r="E2" i="1" l="1"/>
  <c r="J17" i="2"/>
  <c r="K19" i="2"/>
  <c r="C4" i="1" s="1"/>
  <c r="E4" i="1" s="1"/>
  <c r="K17" i="2"/>
</calcChain>
</file>

<file path=xl/sharedStrings.xml><?xml version="1.0" encoding="utf-8"?>
<sst xmlns="http://schemas.openxmlformats.org/spreadsheetml/2006/main" count="900" uniqueCount="177">
  <si>
    <t>Course</t>
  </si>
  <si>
    <t>Course Load</t>
  </si>
  <si>
    <t>Course %</t>
  </si>
  <si>
    <t>Calculus (AM 1413)</t>
  </si>
  <si>
    <t>Physics 1 (PHYSICS 1401A)</t>
  </si>
  <si>
    <t>Statics (ES 1022Y)</t>
  </si>
  <si>
    <t>Design (ES 1050)</t>
  </si>
  <si>
    <t>Classical Studies (CLASSICS 1000)</t>
  </si>
  <si>
    <t>Physics 2 (PHYSICS 1402B)</t>
  </si>
  <si>
    <t>Final Average</t>
  </si>
  <si>
    <t>Cumulative Average</t>
  </si>
  <si>
    <t>2nd Year Average</t>
  </si>
  <si>
    <t>2nd Year Course Load</t>
  </si>
  <si>
    <t>YES/NO</t>
  </si>
  <si>
    <t>Component</t>
  </si>
  <si>
    <t>Weighting</t>
  </si>
  <si>
    <t>Awarded Marks</t>
  </si>
  <si>
    <t>Total Marks</t>
  </si>
  <si>
    <t>Component %</t>
  </si>
  <si>
    <t>Quiz #1</t>
  </si>
  <si>
    <t>Quiz #2</t>
  </si>
  <si>
    <t>Quiz #3</t>
  </si>
  <si>
    <t>Quiz #4</t>
  </si>
  <si>
    <t>Quiz #5</t>
  </si>
  <si>
    <t>Quiz #6</t>
  </si>
  <si>
    <t>1st Midterm</t>
  </si>
  <si>
    <t>2nd Midterm</t>
  </si>
  <si>
    <t>Final Exam</t>
  </si>
  <si>
    <t>Lab #7</t>
  </si>
  <si>
    <t>Lab #8</t>
  </si>
  <si>
    <t>Midterm Exam</t>
  </si>
  <si>
    <t>Applied Math II (AM 2270A)</t>
  </si>
  <si>
    <t>Applied Math III (AM 2276B)</t>
  </si>
  <si>
    <t>Computer Science II (COMPSCI 1037A)</t>
  </si>
  <si>
    <t>Lab #1</t>
  </si>
  <si>
    <t>Lab #2</t>
  </si>
  <si>
    <t>Lab #3</t>
  </si>
  <si>
    <t>Lab #4</t>
  </si>
  <si>
    <t>Lab #5</t>
  </si>
  <si>
    <t>Lab #6</t>
  </si>
  <si>
    <t>Assignment #1</t>
  </si>
  <si>
    <t>Assignment #2</t>
  </si>
  <si>
    <t>Assignment #3</t>
  </si>
  <si>
    <t>Introduction to Electrical Engineering (ECE 2238B)</t>
  </si>
  <si>
    <t>Assignment #4</t>
  </si>
  <si>
    <t>Digital Logic Systems (ECE 2277A)</t>
  </si>
  <si>
    <t>Engineering Communications (ES 2211G)</t>
  </si>
  <si>
    <t>Presentation #1</t>
  </si>
  <si>
    <t>Presentation #2</t>
  </si>
  <si>
    <t>Class Participation</t>
  </si>
  <si>
    <t>Discrete Structures (MATH 2151A)</t>
  </si>
  <si>
    <t>Software Design (SE 2203A)</t>
  </si>
  <si>
    <t>Algorithms and Data Structure (SE 2205B)</t>
  </si>
  <si>
    <t>Software Construction (SE 2250B)</t>
  </si>
  <si>
    <t>Term Project</t>
  </si>
  <si>
    <t>Applied Probability and Statistics (STATS 2141A)</t>
  </si>
  <si>
    <t>Grade Summary</t>
  </si>
  <si>
    <t>GPA</t>
  </si>
  <si>
    <t>Base</t>
  </si>
  <si>
    <t>Term 1 Average</t>
  </si>
  <si>
    <t>Term 2 Average</t>
  </si>
  <si>
    <t>Midterm #1</t>
  </si>
  <si>
    <t>Midterm #2</t>
  </si>
  <si>
    <t>Midterm #3</t>
  </si>
  <si>
    <t>Assignment #5</t>
  </si>
  <si>
    <t>Lab #9</t>
  </si>
  <si>
    <t>Lab #10</t>
  </si>
  <si>
    <t>YES</t>
  </si>
  <si>
    <t>Exercise #1</t>
  </si>
  <si>
    <t>Exercise #2</t>
  </si>
  <si>
    <t>Exercise #3</t>
  </si>
  <si>
    <t>Exercise #4</t>
  </si>
  <si>
    <t>% Done</t>
  </si>
  <si>
    <t>Assignment #6</t>
  </si>
  <si>
    <t>Extra Assign. Marks</t>
  </si>
  <si>
    <t>Laboratory #1</t>
  </si>
  <si>
    <t>Laboratory #2</t>
  </si>
  <si>
    <t>Design Project #1</t>
  </si>
  <si>
    <t>Laboratory #3</t>
  </si>
  <si>
    <t>Design Project #2</t>
  </si>
  <si>
    <t>Laboratory #4</t>
  </si>
  <si>
    <t>Graphics Assignment</t>
  </si>
  <si>
    <t>Laboratory #5</t>
  </si>
  <si>
    <t>Interview Assignment</t>
  </si>
  <si>
    <t>Laboratory #6</t>
  </si>
  <si>
    <t>Notebook (Fall)</t>
  </si>
  <si>
    <t>Design Project #3</t>
  </si>
  <si>
    <t>Library Quiz</t>
  </si>
  <si>
    <t>Modelling Assignment</t>
  </si>
  <si>
    <t>Notebook (Spring)</t>
  </si>
  <si>
    <t>MP #1</t>
  </si>
  <si>
    <t>Design Project 1</t>
  </si>
  <si>
    <t>MP #2</t>
  </si>
  <si>
    <t>Contributed %</t>
  </si>
  <si>
    <t>MP #3</t>
  </si>
  <si>
    <t>Problem Definition</t>
  </si>
  <si>
    <t>Midterm Exam I</t>
  </si>
  <si>
    <t>Sketch</t>
  </si>
  <si>
    <t>Midterm Exam II</t>
  </si>
  <si>
    <t>Presentation</t>
  </si>
  <si>
    <t>Final Report</t>
  </si>
  <si>
    <t>Design Project 2</t>
  </si>
  <si>
    <t>Programming (ES 1036B)</t>
  </si>
  <si>
    <t>Performance</t>
  </si>
  <si>
    <t>Attendance</t>
  </si>
  <si>
    <t>Critique</t>
  </si>
  <si>
    <t>Design Project 3</t>
  </si>
  <si>
    <t>Phase 1 Report</t>
  </si>
  <si>
    <t>SOTA Report</t>
  </si>
  <si>
    <t>Design Review 1</t>
  </si>
  <si>
    <t>Design Review 2</t>
  </si>
  <si>
    <t>Showcase</t>
  </si>
  <si>
    <t>Test 1</t>
  </si>
  <si>
    <t>Test 2</t>
  </si>
  <si>
    <t>Test 3</t>
  </si>
  <si>
    <t>Chemistry (CHEM 1024A)</t>
  </si>
  <si>
    <t>Materials (ES 1021B)</t>
  </si>
  <si>
    <t>Midterm Test</t>
  </si>
  <si>
    <t>Linear Algebra (AM 1411A)</t>
  </si>
  <si>
    <t>Test #1</t>
  </si>
  <si>
    <t>Test #2</t>
  </si>
  <si>
    <t>Test #3</t>
  </si>
  <si>
    <t>Matlab Test</t>
  </si>
  <si>
    <t>Lab Assignment</t>
  </si>
  <si>
    <t>Best Quiz #1</t>
  </si>
  <si>
    <t>Best Quiz #2</t>
  </si>
  <si>
    <t>1st Year Course Load</t>
  </si>
  <si>
    <t>1st Year Average</t>
  </si>
  <si>
    <t>Grade</t>
  </si>
  <si>
    <t>Bonus</t>
  </si>
  <si>
    <t>Quiz Total</t>
  </si>
  <si>
    <t>Crime and Punishment (CLASSICS 2301A)</t>
  </si>
  <si>
    <t>Pop Quiz #1</t>
  </si>
  <si>
    <t>Pop Quiz #2</t>
  </si>
  <si>
    <t>Cumulative GPA</t>
  </si>
  <si>
    <t>1st Year GPA</t>
  </si>
  <si>
    <t>2nd Year GPA</t>
  </si>
  <si>
    <t>Stage 1</t>
  </si>
  <si>
    <t>Stage 2</t>
  </si>
  <si>
    <t>Stage 3</t>
  </si>
  <si>
    <t>Networking: Principles, Protocols and Architectures (ECE 4436A)</t>
  </si>
  <si>
    <t>Database Management Systems (SE 3309A)</t>
  </si>
  <si>
    <t>Relational Model</t>
  </si>
  <si>
    <t>Database System</t>
  </si>
  <si>
    <t>Web Interface</t>
  </si>
  <si>
    <t>Requirement Spec.</t>
  </si>
  <si>
    <t>Operational Systems (SE 3313A)</t>
  </si>
  <si>
    <t>Web Technologies (SE 3316A)</t>
  </si>
  <si>
    <t>Lab Assignment #1</t>
  </si>
  <si>
    <t>Lab Assignment #2</t>
  </si>
  <si>
    <t>Lab Assignment #3</t>
  </si>
  <si>
    <t>Lab Assignment #4</t>
  </si>
  <si>
    <t>Software Requirements &amp; Analysis (SE 3352A)</t>
  </si>
  <si>
    <t>NO</t>
  </si>
  <si>
    <t>Pop Quizzes</t>
  </si>
  <si>
    <t>Total Done %</t>
  </si>
  <si>
    <t>Lab Assignment #5</t>
  </si>
  <si>
    <t>3rd Year Course Load</t>
  </si>
  <si>
    <t>3rd Year Average</t>
  </si>
  <si>
    <t>3rd Year GPA</t>
  </si>
  <si>
    <t>Microprocessors &amp; Microcomputers (ECE 3375B)</t>
  </si>
  <si>
    <t>Prog. Assignment</t>
  </si>
  <si>
    <t>Design Assignment</t>
  </si>
  <si>
    <t>Theoretical Foundations (SE 3310B)</t>
  </si>
  <si>
    <t>Computer Networks Applications (SE 3314B)</t>
  </si>
  <si>
    <t>HW Assignment #1</t>
  </si>
  <si>
    <t>HW Assignment #2</t>
  </si>
  <si>
    <t>HW Assignment #3</t>
  </si>
  <si>
    <t>Software Engineering Design I (SE 3350B)</t>
  </si>
  <si>
    <t>Project Charter/Plan</t>
  </si>
  <si>
    <t>Requirements Doc.</t>
  </si>
  <si>
    <t>Design Doc.</t>
  </si>
  <si>
    <t>Implementation</t>
  </si>
  <si>
    <t>Testing Doc.</t>
  </si>
  <si>
    <t>Project Evaluations</t>
  </si>
  <si>
    <t>Software Project &amp; Process Management (SE 3351B)</t>
  </si>
  <si>
    <t>Human-Computer Interface Design (SE 3353B)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</si>
</sst>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%"/>
    <numFmt numFmtId="166" formatCode="0.0%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166" fontId="2" fillId="0" borderId="17" xfId="1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6" fontId="2" fillId="0" borderId="19" xfId="0" applyNumberFormat="1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6" fontId="2" fillId="0" borderId="20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10" fontId="8" fillId="0" borderId="28" xfId="1" applyNumberFormat="1" applyFont="1" applyFill="1" applyBorder="1" applyAlignment="1">
      <alignment horizontal="center" vertical="center"/>
    </xf>
    <xf numFmtId="10" fontId="8" fillId="0" borderId="33" xfId="1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9" fontId="5" fillId="2" borderId="21" xfId="1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5" fillId="2" borderId="22" xfId="1" applyNumberFormat="1" applyFont="1" applyFill="1" applyBorder="1" applyAlignment="1">
      <alignment horizontal="center" vertical="center"/>
    </xf>
    <xf numFmtId="9" fontId="5" fillId="2" borderId="22" xfId="0" applyNumberFormat="1" applyFont="1" applyFill="1" applyBorder="1" applyAlignment="1">
      <alignment horizontal="center" vertical="center"/>
    </xf>
    <xf numFmtId="9" fontId="5" fillId="2" borderId="1" xfId="1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2" fontId="9" fillId="0" borderId="2" xfId="1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66" fontId="2" fillId="0" borderId="20" xfId="0" applyNumberFormat="1" applyFont="1" applyFill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17" xfId="0" applyNumberFormat="1" applyFont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166" fontId="2" fillId="0" borderId="22" xfId="0" applyNumberFormat="1" applyFont="1" applyBorder="1" applyAlignment="1">
      <alignment horizontal="center" vertical="center"/>
    </xf>
    <xf numFmtId="0" fontId="4" fillId="4" borderId="22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2" fillId="0" borderId="3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9" fontId="5" fillId="2" borderId="16" xfId="1" applyNumberFormat="1" applyFont="1" applyFill="1" applyBorder="1" applyAlignment="1">
      <alignment horizontal="center" vertical="center"/>
    </xf>
    <xf numFmtId="165" fontId="2" fillId="6" borderId="14" xfId="1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2" fontId="9" fillId="0" borderId="34" xfId="1" applyNumberFormat="1" applyFont="1" applyFill="1" applyBorder="1" applyAlignment="1">
      <alignment horizontal="center" vertical="center"/>
    </xf>
    <xf numFmtId="2" fontId="9" fillId="0" borderId="17" xfId="1" applyNumberFormat="1" applyFont="1" applyFill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7" xfId="1" applyNumberFormat="1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9" fontId="4" fillId="2" borderId="7" xfId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5" fontId="2" fillId="7" borderId="16" xfId="1" quotePrefix="1" applyNumberFormat="1" applyFont="1" applyFill="1" applyBorder="1" applyAlignment="1">
      <alignment horizontal="center" vertical="center"/>
    </xf>
    <xf numFmtId="167" fontId="2" fillId="7" borderId="38" xfId="1" quotePrefix="1" applyNumberFormat="1" applyFont="1" applyFill="1" applyBorder="1" applyAlignment="1">
      <alignment horizontal="center" vertical="center"/>
    </xf>
    <xf numFmtId="2" fontId="2" fillId="6" borderId="14" xfId="1" applyNumberFormat="1" applyFont="1" applyFill="1" applyBorder="1" applyAlignment="1">
      <alignment horizontal="center" vertical="center"/>
    </xf>
    <xf numFmtId="10" fontId="2" fillId="0" borderId="20" xfId="1" applyNumberFormat="1" applyFont="1" applyBorder="1" applyAlignment="1">
      <alignment horizontal="center" vertical="center"/>
    </xf>
    <xf numFmtId="10" fontId="2" fillId="0" borderId="8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166" fontId="2" fillId="0" borderId="8" xfId="1" applyNumberFormat="1" applyFont="1" applyBorder="1" applyAlignment="1" applyProtection="1">
      <alignment horizontal="center" vertical="center"/>
    </xf>
    <xf numFmtId="0" fontId="4" fillId="2" borderId="11" xfId="0" applyFont="1" applyFill="1" applyBorder="1" applyAlignment="1" applyProtection="1">
      <alignment horizontal="center" vertical="center"/>
    </xf>
    <xf numFmtId="166" fontId="2" fillId="0" borderId="2" xfId="0" applyNumberFormat="1" applyFont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166" fontId="2" fillId="0" borderId="7" xfId="1" applyNumberFormat="1" applyFont="1" applyBorder="1" applyAlignment="1" applyProtection="1">
      <alignment horizontal="center" vertical="center"/>
    </xf>
    <xf numFmtId="166" fontId="2" fillId="0" borderId="1" xfId="0" applyNumberFormat="1" applyFont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166" fontId="2" fillId="0" borderId="16" xfId="0" applyNumberFormat="1" applyFont="1" applyBorder="1" applyAlignment="1" applyProtection="1">
      <alignment horizontal="center" vertical="center"/>
    </xf>
    <xf numFmtId="0" fontId="4" fillId="2" borderId="16" xfId="0" applyFont="1" applyFill="1" applyBorder="1" applyAlignment="1" applyProtection="1">
      <alignment horizontal="center" vertical="center"/>
    </xf>
    <xf numFmtId="166" fontId="2" fillId="0" borderId="17" xfId="1" applyNumberFormat="1" applyFont="1" applyBorder="1" applyAlignment="1" applyProtection="1">
      <alignment horizontal="center" vertical="center"/>
    </xf>
    <xf numFmtId="0" fontId="0" fillId="0" borderId="0" xfId="0" applyProtection="1"/>
    <xf numFmtId="0" fontId="3" fillId="0" borderId="18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166" fontId="2" fillId="0" borderId="19" xfId="0" applyNumberFormat="1" applyFont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166" fontId="2" fillId="0" borderId="20" xfId="1" applyNumberFormat="1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166" fontId="2" fillId="9" borderId="19" xfId="0" applyNumberFormat="1" applyFont="1" applyFill="1" applyBorder="1" applyAlignment="1" applyProtection="1">
      <alignment horizontal="center" vertical="center"/>
    </xf>
    <xf numFmtId="166" fontId="2" fillId="9" borderId="1" xfId="0" applyNumberFormat="1" applyFont="1" applyFill="1" applyBorder="1" applyAlignment="1" applyProtection="1">
      <alignment horizontal="center" vertical="center"/>
    </xf>
    <xf numFmtId="166" fontId="2" fillId="9" borderId="16" xfId="0" applyNumberFormat="1" applyFont="1" applyFill="1" applyBorder="1" applyAlignment="1" applyProtection="1">
      <alignment horizontal="center" vertical="center"/>
    </xf>
    <xf numFmtId="9" fontId="4" fillId="2" borderId="37" xfId="1" applyFont="1" applyFill="1" applyBorder="1" applyAlignment="1" applyProtection="1">
      <alignment horizontal="center" vertical="center"/>
    </xf>
    <xf numFmtId="0" fontId="0" fillId="0" borderId="24" xfId="0" applyBorder="1" applyProtection="1"/>
    <xf numFmtId="9" fontId="5" fillId="2" borderId="23" xfId="1" applyNumberFormat="1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/>
    </xf>
    <xf numFmtId="165" fontId="8" fillId="0" borderId="16" xfId="1" applyNumberFormat="1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0" fillId="0" borderId="25" xfId="0" applyBorder="1" applyProtection="1"/>
    <xf numFmtId="164" fontId="2" fillId="0" borderId="0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0" fontId="8" fillId="0" borderId="16" xfId="1" applyNumberFormat="1" applyFont="1" applyFill="1" applyBorder="1" applyAlignment="1">
      <alignment horizontal="center" vertical="center"/>
    </xf>
    <xf numFmtId="0" fontId="0" fillId="0" borderId="12" xfId="0" applyBorder="1"/>
    <xf numFmtId="164" fontId="2" fillId="0" borderId="22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0" fontId="9" fillId="0" borderId="36" xfId="1" applyNumberFormat="1" applyFont="1" applyFill="1" applyBorder="1" applyAlignment="1">
      <alignment horizontal="center" vertical="center"/>
    </xf>
    <xf numFmtId="10" fontId="9" fillId="0" borderId="39" xfId="1" applyNumberFormat="1" applyFont="1" applyFill="1" applyBorder="1" applyAlignment="1">
      <alignment horizontal="center" vertical="center"/>
    </xf>
    <xf numFmtId="9" fontId="2" fillId="0" borderId="18" xfId="0" applyNumberFormat="1" applyFont="1" applyBorder="1" applyAlignment="1" applyProtection="1">
      <alignment horizontal="center" vertical="center"/>
    </xf>
    <xf numFmtId="9" fontId="2" fillId="0" borderId="40" xfId="0" applyNumberFormat="1" applyFont="1" applyBorder="1" applyAlignment="1" applyProtection="1">
      <alignment horizontal="center" vertical="center"/>
    </xf>
    <xf numFmtId="9" fontId="2" fillId="0" borderId="13" xfId="0" applyNumberFormat="1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10" fillId="3" borderId="24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10" fillId="3" borderId="29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2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66" fontId="2" fillId="9" borderId="19" xfId="0" applyNumberFormat="1" applyFont="1" applyFill="1" applyBorder="1" applyAlignment="1">
      <alignment horizontal="center" vertical="center"/>
    </xf>
    <xf numFmtId="166" fontId="2" fillId="9" borderId="1" xfId="0" applyNumberFormat="1" applyFont="1" applyFill="1" applyBorder="1" applyAlignment="1">
      <alignment horizontal="center" vertical="center"/>
    </xf>
    <xf numFmtId="166" fontId="2" fillId="9" borderId="16" xfId="0" applyNumberFormat="1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6" fontId="2" fillId="9" borderId="19" xfId="0" applyNumberFormat="1" applyFont="1" applyFill="1" applyBorder="1" applyAlignment="1" applyProtection="1">
      <alignment horizontal="center" vertical="center"/>
    </xf>
    <xf numFmtId="166" fontId="2" fillId="9" borderId="1" xfId="0" applyNumberFormat="1" applyFont="1" applyFill="1" applyBorder="1" applyAlignment="1" applyProtection="1">
      <alignment horizontal="center" vertical="center"/>
    </xf>
    <xf numFmtId="166" fontId="2" fillId="9" borderId="16" xfId="0" applyNumberFormat="1" applyFont="1" applyFill="1" applyBorder="1" applyAlignment="1" applyProtection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fill>
        <patternFill>
          <bgColor rgb="FF92D050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topLeftCell="A11" zoomScale="80" zoomScaleNormal="80" workbookViewId="0">
      <selection activeCell="I26" sqref="I26"/>
    </sheetView>
  </sheetViews>
  <sheetFormatPr defaultRowHeight="15" x14ac:dyDescent="0.25"/>
  <cols>
    <col min="1" max="1" width="12.28515625" customWidth="1"/>
    <col min="2" max="2" width="26" customWidth="1"/>
    <col min="3" max="3" width="13.42578125" customWidth="1"/>
    <col min="4" max="4" width="19.5703125" customWidth="1"/>
    <col min="5" max="5" width="14.85546875" customWidth="1"/>
    <col min="6" max="6" width="18" customWidth="1"/>
    <col min="7" max="7" width="3.7109375" customWidth="1"/>
    <col min="8" max="8" width="73.140625" customWidth="1"/>
    <col min="9" max="9" width="24.42578125" customWidth="1"/>
    <col min="10" max="10" width="14.42578125" customWidth="1"/>
    <col min="11" max="11" width="20.7109375" customWidth="1"/>
    <col min="12" max="12" width="16.85546875" customWidth="1"/>
    <col min="13" max="13" width="18.5703125" customWidth="1"/>
  </cols>
  <sheetData>
    <row r="1" spans="1:12" ht="20.100000000000001" customHeight="1" thickBot="1" x14ac:dyDescent="0.3">
      <c r="A1" s="146" t="s">
        <v>140</v>
      </c>
      <c r="B1" s="146"/>
      <c r="C1" s="146"/>
      <c r="D1" s="146"/>
      <c r="E1" s="146"/>
      <c r="F1" s="146"/>
      <c r="H1" s="147" t="s">
        <v>56</v>
      </c>
      <c r="I1" s="148"/>
      <c r="J1" s="148"/>
      <c r="K1" s="149"/>
      <c r="L1" s="150" t="s">
        <v>72</v>
      </c>
    </row>
    <row r="2" spans="1:12" ht="20.100000000000001" customHeight="1" thickBot="1" x14ac:dyDescent="0.3">
      <c r="A2" s="91" t="s">
        <v>13</v>
      </c>
      <c r="B2" s="92" t="s">
        <v>14</v>
      </c>
      <c r="C2" s="93" t="s">
        <v>15</v>
      </c>
      <c r="D2" s="93" t="s">
        <v>16</v>
      </c>
      <c r="E2" s="93" t="s">
        <v>17</v>
      </c>
      <c r="F2" s="94" t="s">
        <v>18</v>
      </c>
      <c r="H2" s="22" t="s">
        <v>0</v>
      </c>
      <c r="I2" s="27" t="s">
        <v>1</v>
      </c>
      <c r="J2" s="28" t="s">
        <v>2</v>
      </c>
      <c r="K2" s="4" t="s">
        <v>57</v>
      </c>
      <c r="L2" s="151"/>
    </row>
    <row r="3" spans="1:12" ht="20.100000000000001" customHeight="1" x14ac:dyDescent="0.25">
      <c r="A3" s="95" t="s">
        <v>67</v>
      </c>
      <c r="B3" s="96" t="s">
        <v>40</v>
      </c>
      <c r="C3" s="104">
        <f>IF(A3="YES",15%,"")</f>
        <v>0.15</v>
      </c>
      <c r="D3" s="97">
        <v>0</v>
      </c>
      <c r="E3" s="97">
        <v>15</v>
      </c>
      <c r="F3" s="98">
        <f t="shared" ref="F3" si="0">IF(A3="YES",D3/E3,"")</f>
        <v>0</v>
      </c>
      <c r="H3" s="22" t="str">
        <f>A1</f>
        <v>Networking: Principles, Protocols and Architectures (ECE 4436A)</v>
      </c>
      <c r="I3" s="29">
        <f>IF(J3="",0,0.5)</f>
        <v>0.5</v>
      </c>
      <c r="J3" s="42">
        <f>IF(ISERROR(ROUND(IFERROR(SUMPRODUCT(C3:C8,F3:F8)/SUM(C3:C8),""),2)),"",ROUND(IFERROR(SUMPRODUCT(C3:C8,F3:F8)/SUM(C3:C8),""),2))</f>
        <v>0</v>
      </c>
      <c r="K3" s="37" t="str">
        <f t="shared" ref="K3:K13" si="1">IF(J3="","",IF(AND(90%&lt;=J3),4,IF(AND(85%&lt;=J3,J3&lt;90%),3.9,IF(AND(80%&lt;=J3,J3&lt;85%),3.7,IF(AND(77%&lt;=J3,J3&lt;80%),3.3,IF(AND(73%&lt;=J3,J3&lt;77%),3,IF(AND(70%&lt;=J3,J3&lt;73%),2.7,IF(AND(67%&lt;=J3,J3&lt;70%),2.3,IF(AND(63%&lt;=J3,J3&lt;67%),2,IF(AND(60%&lt;=J3,J3&lt;63%),1.7,"F"))))))))))</f>
        <v>F</v>
      </c>
      <c r="L3" s="75">
        <f>SUM(C3:C8)</f>
        <v>1</v>
      </c>
    </row>
    <row r="4" spans="1:12" ht="20.100000000000001" customHeight="1" x14ac:dyDescent="0.25">
      <c r="A4" s="95" t="s">
        <v>67</v>
      </c>
      <c r="B4" s="96" t="s">
        <v>34</v>
      </c>
      <c r="C4" s="104">
        <f>IF(A4="YES",5%,"")</f>
        <v>0.05</v>
      </c>
      <c r="D4" s="97">
        <v>0</v>
      </c>
      <c r="E4" s="97">
        <v>100</v>
      </c>
      <c r="F4" s="98">
        <f>IF(A4="YES",D4/E4,"")</f>
        <v>0</v>
      </c>
      <c r="H4" s="11" t="str">
        <f>A10</f>
        <v>Database Management Systems (SE 3309A)</v>
      </c>
      <c r="I4" s="130">
        <f t="shared" ref="I4:I13" si="2">IF(J4="",0,0.5)</f>
        <v>0.5</v>
      </c>
      <c r="J4" s="45">
        <f>IF(ISERROR(ROUND(IFERROR(SUMPRODUCT(C12:C14,F12:F14)/SUM(C12:C14),""),2)),"",ROUND(IFERROR(SUMPRODUCT(C12:C14,F12:F14)/SUM(C12:C14),""),2))</f>
        <v>0</v>
      </c>
      <c r="K4" s="37" t="str">
        <f t="shared" si="1"/>
        <v>F</v>
      </c>
      <c r="L4" s="75">
        <f>SUM(C12:C14)</f>
        <v>1</v>
      </c>
    </row>
    <row r="5" spans="1:12" ht="20.100000000000001" customHeight="1" x14ac:dyDescent="0.25">
      <c r="A5" s="95" t="s">
        <v>67</v>
      </c>
      <c r="B5" s="96" t="s">
        <v>35</v>
      </c>
      <c r="C5" s="104">
        <f t="shared" ref="C5:C6" si="3">IF(A5="YES",5%,"")</f>
        <v>0.05</v>
      </c>
      <c r="D5" s="97">
        <v>0</v>
      </c>
      <c r="E5" s="97">
        <v>100</v>
      </c>
      <c r="F5" s="98">
        <f>IF(A5="YES",D5/E5,"")</f>
        <v>0</v>
      </c>
      <c r="H5" s="11" t="str">
        <f>A22</f>
        <v>Operational Systems (SE 3313A)</v>
      </c>
      <c r="I5" s="130">
        <f t="shared" si="2"/>
        <v>0.5</v>
      </c>
      <c r="J5" s="45">
        <f>IF(ISERROR(ROUND(IFERROR(SUMPRODUCT(C24:C29,F24:F29)/SUM(C24:C29),""),2)),"",ROUND(IFERROR(SUMPRODUCT(C24:C29,F24:F29)/SUM(C24:C29),""),2))</f>
        <v>0</v>
      </c>
      <c r="K5" s="37" t="str">
        <f t="shared" si="1"/>
        <v>F</v>
      </c>
      <c r="L5" s="75">
        <f>SUM(C24:C29)</f>
        <v>1</v>
      </c>
    </row>
    <row r="6" spans="1:12" ht="20.100000000000001" customHeight="1" x14ac:dyDescent="0.25">
      <c r="A6" s="95" t="s">
        <v>67</v>
      </c>
      <c r="B6" s="96" t="s">
        <v>36</v>
      </c>
      <c r="C6" s="104">
        <f t="shared" si="3"/>
        <v>0.05</v>
      </c>
      <c r="D6" s="97">
        <v>0</v>
      </c>
      <c r="E6" s="97">
        <v>100</v>
      </c>
      <c r="F6" s="98">
        <f>IF(A6="YES",D6/E6,"")</f>
        <v>0</v>
      </c>
      <c r="H6" s="11" t="str">
        <f>A31</f>
        <v>Web Technologies (SE 3316A)</v>
      </c>
      <c r="I6" s="130">
        <f t="shared" si="2"/>
        <v>0.5</v>
      </c>
      <c r="J6" s="45">
        <f>IF(ISERROR(ROUND(IFERROR(SUMPRODUCT(C33:C40,F33:F40)/SUM(C33:C40),""),2)),"",ROUND(IFERROR(SUMPRODUCT(C33:C40,F33:F40)/SUM(C33:C40),""),2))</f>
        <v>0</v>
      </c>
      <c r="K6" s="37" t="str">
        <f t="shared" si="1"/>
        <v>F</v>
      </c>
      <c r="L6" s="75">
        <f>SUM(C33:C40)</f>
        <v>1</v>
      </c>
    </row>
    <row r="7" spans="1:12" ht="20.100000000000001" customHeight="1" x14ac:dyDescent="0.25">
      <c r="A7" s="95" t="s">
        <v>67</v>
      </c>
      <c r="B7" s="96" t="s">
        <v>30</v>
      </c>
      <c r="C7" s="104">
        <f>IF(A7="YES",20%,"")</f>
        <v>0.2</v>
      </c>
      <c r="D7" s="97">
        <v>0</v>
      </c>
      <c r="E7" s="97">
        <v>100</v>
      </c>
      <c r="F7" s="98">
        <f>IF(A7="YES",D7/E7,"")</f>
        <v>0</v>
      </c>
      <c r="H7" s="11" t="str">
        <f>A42</f>
        <v>Software Requirements &amp; Analysis (SE 3352A)</v>
      </c>
      <c r="I7" s="130">
        <f t="shared" si="2"/>
        <v>0.5</v>
      </c>
      <c r="J7" s="45">
        <f>IF(ISERROR(ROUND(IFERROR(SUMPRODUCT(C44:C51,F44:F51)/SUM(C44:C51)+C52,""),2)),"",ROUND(IFERROR(SUMPRODUCT(C44:C51,F44:F51)/SUM(C44:C51)+C52,""),2))</f>
        <v>0.05</v>
      </c>
      <c r="K7" s="37" t="str">
        <f t="shared" si="1"/>
        <v>F</v>
      </c>
      <c r="L7" s="75">
        <f>SUM(C44:C51)</f>
        <v>1</v>
      </c>
    </row>
    <row r="8" spans="1:12" ht="20.100000000000001" customHeight="1" thickBot="1" x14ac:dyDescent="0.3">
      <c r="A8" s="105" t="s">
        <v>67</v>
      </c>
      <c r="B8" s="106" t="s">
        <v>27</v>
      </c>
      <c r="C8" s="107">
        <f>IF(A8="YES",50%,"")</f>
        <v>0.5</v>
      </c>
      <c r="D8" s="108">
        <v>0</v>
      </c>
      <c r="E8" s="108">
        <v>100</v>
      </c>
      <c r="F8" s="109">
        <f>IF(A8="YES",D8/E8,"")</f>
        <v>0</v>
      </c>
      <c r="G8" s="133"/>
      <c r="H8" s="66" t="str">
        <f>H20</f>
        <v>Microprocessors &amp; Microcomputers (ECE 3375B)</v>
      </c>
      <c r="I8" s="134">
        <f t="shared" si="2"/>
        <v>0</v>
      </c>
      <c r="J8" s="47" t="str">
        <f>IF(ISERROR(ROUND(IFERROR(SUMPRODUCT(J22:J28,M22:M28)/SUM(J22:J28),""),2)),"",ROUND(IFERROR(SUMPRODUCT(J22:J28,M22:M28)/SUM(J22:J28),""),2))</f>
        <v/>
      </c>
      <c r="K8" s="37" t="str">
        <f t="shared" si="1"/>
        <v/>
      </c>
      <c r="L8" s="75" t="str">
        <f>IF(SUM(J22:J28)=0%,"--",SUM(J22:J28))</f>
        <v>--</v>
      </c>
    </row>
    <row r="9" spans="1:12" ht="20.100000000000001" customHeight="1" thickBot="1" x14ac:dyDescent="0.3">
      <c r="H9" s="11" t="str">
        <f>H30</f>
        <v>Theoretical Foundations (SE 3310B)</v>
      </c>
      <c r="I9" s="130">
        <f>IF(J9="",0,0.5)</f>
        <v>0</v>
      </c>
      <c r="J9" s="45" t="str">
        <f>IF(ISERROR(ROUND(IFERROR(SUMPRODUCT(J32:J37,M32:M37)/SUM(J32:J37),""),2)),"",ROUND(IFERROR(SUMPRODUCT(J32:J37,M32:M37)/SUM(J32:J37),""),2))</f>
        <v/>
      </c>
      <c r="K9" s="37" t="str">
        <f t="shared" si="1"/>
        <v/>
      </c>
      <c r="L9" s="75" t="str">
        <f>IF(SUM(J32:J37)=0%,"--",SUM(J32:J37))</f>
        <v>--</v>
      </c>
    </row>
    <row r="10" spans="1:12" ht="20.100000000000001" customHeight="1" thickBot="1" x14ac:dyDescent="0.3">
      <c r="A10" s="147" t="s">
        <v>141</v>
      </c>
      <c r="B10" s="148"/>
      <c r="C10" s="148"/>
      <c r="D10" s="148"/>
      <c r="E10" s="148"/>
      <c r="F10" s="149"/>
      <c r="H10" s="11" t="str">
        <f>H39</f>
        <v>Computer Networks Applications (SE 3314B)</v>
      </c>
      <c r="I10" s="130">
        <f t="shared" si="2"/>
        <v>0</v>
      </c>
      <c r="J10" s="45" t="str">
        <f>IF(ISERROR(ROUND(IFERROR(SUMPRODUCT(J41:J49,M41:M49)/SUM(J41:J49),""),2)),"",ROUND(IFERROR(SUMPRODUCT(J41:J49,M41:M49)/SUM(J41:J49),""),2))</f>
        <v/>
      </c>
      <c r="K10" s="37" t="str">
        <f t="shared" si="1"/>
        <v/>
      </c>
      <c r="L10" s="75" t="str">
        <f>IF(SUM(J41:J49)=0%,"--",SUM(J41:J49))</f>
        <v>--</v>
      </c>
    </row>
    <row r="11" spans="1:12" ht="20.100000000000001" customHeight="1" thickBot="1" x14ac:dyDescent="0.3">
      <c r="A11" s="8" t="s">
        <v>13</v>
      </c>
      <c r="B11" s="2" t="s">
        <v>14</v>
      </c>
      <c r="C11" s="3" t="s">
        <v>15</v>
      </c>
      <c r="D11" s="3" t="s">
        <v>16</v>
      </c>
      <c r="E11" s="3" t="s">
        <v>17</v>
      </c>
      <c r="F11" s="9" t="s">
        <v>18</v>
      </c>
      <c r="H11" s="11" t="str">
        <f>H51</f>
        <v>Software Engineering Design I (SE 3350B)</v>
      </c>
      <c r="I11" s="130">
        <f t="shared" si="2"/>
        <v>0</v>
      </c>
      <c r="J11" s="45" t="str">
        <f>IF(ISERROR(ROUND(IFERROR(SUMPRODUCT(J53:J59,M53:M59)/SUM(J53:J59),""),2)),"",ROUND(IFERROR(SUMPRODUCT(J53:J59,M53:M59)/SUM(J53:J59),""),2))</f>
        <v/>
      </c>
      <c r="K11" s="37" t="str">
        <f t="shared" si="1"/>
        <v/>
      </c>
      <c r="L11" s="75" t="str">
        <f>IF(SUM(J53:J59)=0%,"--",SUM(J53:J59))</f>
        <v>--</v>
      </c>
    </row>
    <row r="12" spans="1:12" ht="20.100000000000001" customHeight="1" x14ac:dyDescent="0.25">
      <c r="A12" s="10" t="s">
        <v>67</v>
      </c>
      <c r="B12" s="11" t="s">
        <v>30</v>
      </c>
      <c r="C12" s="12">
        <f>IF(A12="YES",15%,"")</f>
        <v>0.15</v>
      </c>
      <c r="D12" s="13">
        <v>0</v>
      </c>
      <c r="E12" s="13">
        <v>15</v>
      </c>
      <c r="F12" s="14">
        <f t="shared" ref="F12" si="4">IF(A12="YES",D12/E12,"")</f>
        <v>0</v>
      </c>
      <c r="H12" s="11" t="str">
        <f>H61</f>
        <v>Software Project &amp; Process Management (SE 3351B)</v>
      </c>
      <c r="I12" s="130">
        <f t="shared" si="2"/>
        <v>0</v>
      </c>
      <c r="J12" s="45" t="str">
        <f>IF(ISERROR(ROUND(IFERROR(SUMPRODUCT(J63:J69,M63:M69)/SUM(J63:J69),""),2)),"",ROUND(IFERROR(SUMPRODUCT(J63:J69,M63:M69)/SUM(J63:J69),""),2))</f>
        <v/>
      </c>
      <c r="K12" s="37" t="str">
        <f t="shared" si="1"/>
        <v/>
      </c>
      <c r="L12" s="75" t="str">
        <f>IF(SUM(J63:J69)=0%,"--",SUM(J63:J69))</f>
        <v>--</v>
      </c>
    </row>
    <row r="13" spans="1:12" ht="20.100000000000001" customHeight="1" thickBot="1" x14ac:dyDescent="0.3">
      <c r="A13" s="10" t="s">
        <v>67</v>
      </c>
      <c r="B13" s="11" t="s">
        <v>27</v>
      </c>
      <c r="C13" s="12">
        <f>IF(A13="YES",50%,"")</f>
        <v>0.5</v>
      </c>
      <c r="D13" s="13">
        <v>0</v>
      </c>
      <c r="E13" s="13">
        <v>50</v>
      </c>
      <c r="F13" s="14">
        <f>IF(A13="YES",D13/E13,"")</f>
        <v>0</v>
      </c>
      <c r="H13" s="16" t="str">
        <f>H71</f>
        <v>Human-Computer Interface Design (SE 3353B)</v>
      </c>
      <c r="I13" s="131">
        <f t="shared" si="2"/>
        <v>0</v>
      </c>
      <c r="J13" s="124" t="str">
        <f>IF(ISERROR(ROUND(IFERROR(SUMPRODUCT(J73:J78,M73:M78)/SUM(J73:J78),""),2)),"",ROUND(IFERROR(SUMPRODUCT(J73:J78,M73:M78)/SUM(J73:J78),""),2))</f>
        <v/>
      </c>
      <c r="K13" s="38" t="str">
        <f t="shared" si="1"/>
        <v/>
      </c>
      <c r="L13" s="76" t="str">
        <f>IF(SUM(J73:J78)=0%,"--",SUM(J73:J78))</f>
        <v>--</v>
      </c>
    </row>
    <row r="14" spans="1:12" ht="20.100000000000001" customHeight="1" thickBot="1" x14ac:dyDescent="0.3">
      <c r="A14" s="15" t="s">
        <v>67</v>
      </c>
      <c r="B14" s="16" t="s">
        <v>54</v>
      </c>
      <c r="C14" s="17">
        <f>IF(A14="YES",SUM(C17:C20),"")</f>
        <v>0.35</v>
      </c>
      <c r="D14" s="90">
        <f>SUM(F17:F20)*100</f>
        <v>0</v>
      </c>
      <c r="E14" s="89">
        <f>SUM(C17:C20)*100</f>
        <v>35</v>
      </c>
      <c r="F14" s="19">
        <f>IF(A14="YES",D14/E14,"")</f>
        <v>0</v>
      </c>
    </row>
    <row r="15" spans="1:12" ht="20.100000000000001" customHeight="1" thickBot="1" x14ac:dyDescent="0.3">
      <c r="A15" s="152" t="s">
        <v>54</v>
      </c>
      <c r="B15" s="153"/>
      <c r="C15" s="153"/>
      <c r="D15" s="153"/>
      <c r="E15" s="153"/>
      <c r="F15" s="154"/>
      <c r="H15" s="127"/>
      <c r="I15" s="128"/>
      <c r="J15" s="34" t="s">
        <v>128</v>
      </c>
      <c r="K15" s="135" t="s">
        <v>57</v>
      </c>
      <c r="L15" s="136" t="s">
        <v>155</v>
      </c>
    </row>
    <row r="16" spans="1:12" ht="20.100000000000001" customHeight="1" thickBot="1" x14ac:dyDescent="0.3">
      <c r="A16" s="8" t="s">
        <v>13</v>
      </c>
      <c r="B16" s="20" t="s">
        <v>14</v>
      </c>
      <c r="C16" s="21" t="s">
        <v>15</v>
      </c>
      <c r="D16" s="21" t="s">
        <v>16</v>
      </c>
      <c r="E16" s="21" t="s">
        <v>17</v>
      </c>
      <c r="F16" s="9" t="s">
        <v>18</v>
      </c>
      <c r="H16" s="157" t="s">
        <v>59</v>
      </c>
      <c r="I16" s="158"/>
      <c r="J16" s="40">
        <f>SUMPRODUCT(I3:I7,J3:J7)/SUM(I3:I7)</f>
        <v>0.01</v>
      </c>
      <c r="K16" s="73">
        <f>SUMPRODUCT(I3:I7,K3:K7)/SUM(I3:I7)</f>
        <v>0</v>
      </c>
      <c r="L16" s="137">
        <f>AVERAGE(L3:L7)</f>
        <v>1</v>
      </c>
    </row>
    <row r="17" spans="1:13" ht="20.100000000000001" customHeight="1" thickBot="1" x14ac:dyDescent="0.3">
      <c r="A17" s="10" t="s">
        <v>67</v>
      </c>
      <c r="B17" s="22" t="s">
        <v>145</v>
      </c>
      <c r="C17" s="23">
        <f>IF(A17="YES",5%,"")</f>
        <v>0.05</v>
      </c>
      <c r="D17" s="24">
        <v>0</v>
      </c>
      <c r="E17" s="24">
        <v>5</v>
      </c>
      <c r="F17" s="86">
        <f>IF(A17="YES",(D17/E17)*C17,"")</f>
        <v>0</v>
      </c>
      <c r="H17" s="155" t="s">
        <v>60</v>
      </c>
      <c r="I17" s="156"/>
      <c r="J17" s="39" t="str">
        <f>IFERROR(SUMPRODUCT(I8:I13,J8:J13)/SUM(I8:I13),"")</f>
        <v/>
      </c>
      <c r="K17" s="74" t="str">
        <f>IFERROR(SUMPRODUCT(I8:I13,K8:K13)/SUM(I8:I13),"")</f>
        <v/>
      </c>
      <c r="L17" s="138">
        <v>0</v>
      </c>
    </row>
    <row r="18" spans="1:13" ht="20.100000000000001" customHeight="1" thickBot="1" x14ac:dyDescent="0.3">
      <c r="A18" s="10" t="s">
        <v>67</v>
      </c>
      <c r="B18" s="11" t="s">
        <v>142</v>
      </c>
      <c r="C18" s="12">
        <f>IF(A18="YES",10%,"")</f>
        <v>0.1</v>
      </c>
      <c r="D18" s="13">
        <v>0</v>
      </c>
      <c r="E18" s="13">
        <v>10</v>
      </c>
      <c r="F18" s="87">
        <f>IF(A18="YES",(D18/E18)*C18,"")</f>
        <v>0</v>
      </c>
      <c r="H18" s="159" t="s">
        <v>9</v>
      </c>
      <c r="I18" s="160"/>
      <c r="J18" s="132">
        <f>SUMPRODUCT(J3:J13,I3:I13)/SUM(I3:I13)</f>
        <v>0.01</v>
      </c>
      <c r="K18" s="74">
        <f>SUMPRODUCT(I3:I13,K3:K13)/SUM(I3:I13)</f>
        <v>0</v>
      </c>
      <c r="L18" s="138">
        <f>AVERAGE(L16:L17)</f>
        <v>0.5</v>
      </c>
    </row>
    <row r="19" spans="1:13" ht="20.100000000000001" customHeight="1" thickBot="1" x14ac:dyDescent="0.3">
      <c r="A19" s="10" t="s">
        <v>67</v>
      </c>
      <c r="B19" s="11" t="s">
        <v>143</v>
      </c>
      <c r="C19" s="12">
        <f>IF(A19="YES",10%,"")</f>
        <v>0.1</v>
      </c>
      <c r="D19" s="13">
        <v>0</v>
      </c>
      <c r="E19" s="13">
        <v>10</v>
      </c>
      <c r="F19" s="87">
        <f>IF(A19="YES",(D19/E19)*C19,"")</f>
        <v>0</v>
      </c>
    </row>
    <row r="20" spans="1:13" ht="20.100000000000001" customHeight="1" thickBot="1" x14ac:dyDescent="0.3">
      <c r="A20" s="15" t="s">
        <v>67</v>
      </c>
      <c r="B20" s="16" t="s">
        <v>144</v>
      </c>
      <c r="C20" s="17">
        <f>IF(A20="YES",10%,"")</f>
        <v>0.1</v>
      </c>
      <c r="D20" s="18">
        <v>0</v>
      </c>
      <c r="E20" s="18">
        <v>10</v>
      </c>
      <c r="F20" s="88">
        <f>IF(A20="YES",(D20/E20)*C20,"")</f>
        <v>0</v>
      </c>
      <c r="H20" s="143" t="s">
        <v>160</v>
      </c>
      <c r="I20" s="144"/>
      <c r="J20" s="144"/>
      <c r="K20" s="144"/>
      <c r="L20" s="144"/>
      <c r="M20" s="145"/>
    </row>
    <row r="21" spans="1:13" ht="20.100000000000001" customHeight="1" thickBot="1" x14ac:dyDescent="0.3">
      <c r="H21" s="91" t="s">
        <v>13</v>
      </c>
      <c r="I21" s="92" t="s">
        <v>14</v>
      </c>
      <c r="J21" s="93" t="s">
        <v>15</v>
      </c>
      <c r="K21" s="93" t="s">
        <v>16</v>
      </c>
      <c r="L21" s="93" t="s">
        <v>17</v>
      </c>
      <c r="M21" s="94" t="s">
        <v>18</v>
      </c>
    </row>
    <row r="22" spans="1:13" ht="20.100000000000001" customHeight="1" thickBot="1" x14ac:dyDescent="0.3">
      <c r="A22" s="143" t="s">
        <v>146</v>
      </c>
      <c r="B22" s="144"/>
      <c r="C22" s="144"/>
      <c r="D22" s="144"/>
      <c r="E22" s="144"/>
      <c r="F22" s="145"/>
      <c r="H22" s="95" t="s">
        <v>153</v>
      </c>
      <c r="I22" s="96" t="s">
        <v>34</v>
      </c>
      <c r="J22" s="104" t="str">
        <f>IF(H22="YES",5%,"")</f>
        <v/>
      </c>
      <c r="K22" s="97">
        <v>0</v>
      </c>
      <c r="L22" s="97">
        <v>25</v>
      </c>
      <c r="M22" s="116" t="str">
        <f>IF(H22="YES",K22/L22,"")</f>
        <v/>
      </c>
    </row>
    <row r="23" spans="1:13" ht="20.100000000000001" customHeight="1" thickBot="1" x14ac:dyDescent="0.3">
      <c r="A23" s="91" t="s">
        <v>13</v>
      </c>
      <c r="B23" s="92" t="s">
        <v>14</v>
      </c>
      <c r="C23" s="93" t="s">
        <v>15</v>
      </c>
      <c r="D23" s="93" t="s">
        <v>16</v>
      </c>
      <c r="E23" s="93" t="s">
        <v>17</v>
      </c>
      <c r="F23" s="94" t="s">
        <v>18</v>
      </c>
      <c r="H23" s="95" t="s">
        <v>153</v>
      </c>
      <c r="I23" s="96" t="s">
        <v>41</v>
      </c>
      <c r="J23" s="104" t="str">
        <f t="shared" ref="J23:J26" si="5">IF(H23="YES",5%,"")</f>
        <v/>
      </c>
      <c r="K23" s="97">
        <v>0</v>
      </c>
      <c r="L23" s="97">
        <v>25</v>
      </c>
      <c r="M23" s="98" t="str">
        <f t="shared" ref="M23:M26" si="6">IF(H23="YES",K23/L23,"")</f>
        <v/>
      </c>
    </row>
    <row r="24" spans="1:13" ht="20.100000000000001" customHeight="1" x14ac:dyDescent="0.25">
      <c r="A24" s="95" t="s">
        <v>67</v>
      </c>
      <c r="B24" s="96" t="s">
        <v>34</v>
      </c>
      <c r="C24" s="104">
        <f>IF(A24="YES",(20/3)%,"")</f>
        <v>6.6666666666666666E-2</v>
      </c>
      <c r="D24" s="97">
        <v>0</v>
      </c>
      <c r="E24" s="97">
        <v>10</v>
      </c>
      <c r="F24" s="98">
        <f t="shared" ref="F24" si="7">IF(A24="YES",D24/E24,"")</f>
        <v>0</v>
      </c>
      <c r="H24" s="95" t="s">
        <v>153</v>
      </c>
      <c r="I24" s="96" t="s">
        <v>36</v>
      </c>
      <c r="J24" s="104" t="str">
        <f t="shared" si="5"/>
        <v/>
      </c>
      <c r="K24" s="97">
        <v>0</v>
      </c>
      <c r="L24" s="97">
        <v>25</v>
      </c>
      <c r="M24" s="98" t="str">
        <f t="shared" si="6"/>
        <v/>
      </c>
    </row>
    <row r="25" spans="1:13" ht="20.100000000000001" customHeight="1" x14ac:dyDescent="0.25">
      <c r="A25" s="95" t="s">
        <v>67</v>
      </c>
      <c r="B25" s="96" t="s">
        <v>35</v>
      </c>
      <c r="C25" s="104">
        <f>IF(A25="YES",(20/3)%,"")</f>
        <v>6.6666666666666666E-2</v>
      </c>
      <c r="D25" s="97">
        <v>0</v>
      </c>
      <c r="E25" s="97">
        <v>24</v>
      </c>
      <c r="F25" s="98">
        <f t="shared" ref="F25:F27" si="8">IF(A25="YES",D25/E25,"")</f>
        <v>0</v>
      </c>
      <c r="H25" s="95" t="s">
        <v>153</v>
      </c>
      <c r="I25" s="96" t="s">
        <v>161</v>
      </c>
      <c r="J25" s="104" t="str">
        <f t="shared" si="5"/>
        <v/>
      </c>
      <c r="K25" s="97">
        <v>0</v>
      </c>
      <c r="L25" s="97">
        <v>20</v>
      </c>
      <c r="M25" s="98" t="str">
        <f t="shared" si="6"/>
        <v/>
      </c>
    </row>
    <row r="26" spans="1:13" ht="20.100000000000001" customHeight="1" x14ac:dyDescent="0.25">
      <c r="A26" s="95" t="s">
        <v>67</v>
      </c>
      <c r="B26" s="96" t="s">
        <v>36</v>
      </c>
      <c r="C26" s="104">
        <f t="shared" ref="C26" si="9">IF(A26="YES",(20/3)%,"")</f>
        <v>6.6666666666666666E-2</v>
      </c>
      <c r="D26" s="97">
        <v>0</v>
      </c>
      <c r="E26" s="97">
        <v>49</v>
      </c>
      <c r="F26" s="98">
        <f t="shared" si="8"/>
        <v>0</v>
      </c>
      <c r="H26" s="95" t="s">
        <v>153</v>
      </c>
      <c r="I26" s="96" t="s">
        <v>162</v>
      </c>
      <c r="J26" s="104" t="str">
        <f t="shared" si="5"/>
        <v/>
      </c>
      <c r="K26" s="97">
        <v>0</v>
      </c>
      <c r="L26" s="97">
        <v>20</v>
      </c>
      <c r="M26" s="98" t="str">
        <f t="shared" si="6"/>
        <v/>
      </c>
    </row>
    <row r="27" spans="1:13" ht="20.100000000000001" customHeight="1" x14ac:dyDescent="0.25">
      <c r="A27" s="95" t="s">
        <v>67</v>
      </c>
      <c r="B27" s="96" t="s">
        <v>37</v>
      </c>
      <c r="C27" s="104">
        <f>IF(A27="YES",20%,"")</f>
        <v>0.2</v>
      </c>
      <c r="D27" s="97">
        <v>0</v>
      </c>
      <c r="E27" s="97">
        <v>50</v>
      </c>
      <c r="F27" s="98">
        <f t="shared" si="8"/>
        <v>0</v>
      </c>
      <c r="H27" s="95" t="s">
        <v>153</v>
      </c>
      <c r="I27" s="96" t="s">
        <v>30</v>
      </c>
      <c r="J27" s="104" t="str">
        <f>IF(H27="YES",IF(M27&gt;=M28, 15%, 5%),"")</f>
        <v/>
      </c>
      <c r="K27" s="97">
        <v>0</v>
      </c>
      <c r="L27" s="97">
        <v>100</v>
      </c>
      <c r="M27" s="98" t="str">
        <f>IF(H27="YES",K27/L27,"")</f>
        <v/>
      </c>
    </row>
    <row r="28" spans="1:13" ht="20.100000000000001" customHeight="1" thickBot="1" x14ac:dyDescent="0.3">
      <c r="A28" s="95" t="s">
        <v>67</v>
      </c>
      <c r="B28" s="96" t="s">
        <v>30</v>
      </c>
      <c r="C28" s="104">
        <f>IF(A29="YES",IF(F28&gt;F29,10%,0%),"")</f>
        <v>0</v>
      </c>
      <c r="D28" s="97">
        <v>0</v>
      </c>
      <c r="E28" s="97">
        <v>35</v>
      </c>
      <c r="F28" s="98">
        <f>IF(A28="YES",D28/E28,"")</f>
        <v>0</v>
      </c>
      <c r="H28" s="105" t="s">
        <v>153</v>
      </c>
      <c r="I28" s="106" t="s">
        <v>27</v>
      </c>
      <c r="J28" s="107" t="str">
        <f>IF(H28="YES",IF(M27&lt;M28, 70%, 60%),"")</f>
        <v/>
      </c>
      <c r="K28" s="108">
        <v>0</v>
      </c>
      <c r="L28" s="108">
        <v>100</v>
      </c>
      <c r="M28" s="109" t="str">
        <f>IF(H28="YES",K28/L28,"")</f>
        <v/>
      </c>
    </row>
    <row r="29" spans="1:13" ht="20.100000000000001" customHeight="1" thickBot="1" x14ac:dyDescent="0.3">
      <c r="A29" s="105" t="s">
        <v>67</v>
      </c>
      <c r="B29" s="106" t="s">
        <v>27</v>
      </c>
      <c r="C29" s="107">
        <f>IF(A29="YES",IF(F28&lt;=F29,60%,50%),"")</f>
        <v>0.6</v>
      </c>
      <c r="D29" s="108">
        <v>0</v>
      </c>
      <c r="E29" s="108">
        <v>100</v>
      </c>
      <c r="F29" s="109">
        <f>IF(A29="YES",D29/E29,"")</f>
        <v>0</v>
      </c>
    </row>
    <row r="30" spans="1:13" ht="20.100000000000001" customHeight="1" thickBot="1" x14ac:dyDescent="0.3">
      <c r="A30" s="110"/>
      <c r="B30" s="110"/>
      <c r="C30" s="110"/>
      <c r="D30" s="110"/>
      <c r="E30" s="110"/>
      <c r="F30" s="110"/>
      <c r="H30" s="143" t="s">
        <v>163</v>
      </c>
      <c r="I30" s="144"/>
      <c r="J30" s="144"/>
      <c r="K30" s="144"/>
      <c r="L30" s="144"/>
      <c r="M30" s="145"/>
    </row>
    <row r="31" spans="1:13" ht="20.100000000000001" customHeight="1" thickBot="1" x14ac:dyDescent="0.3">
      <c r="A31" s="143" t="s">
        <v>147</v>
      </c>
      <c r="B31" s="144"/>
      <c r="C31" s="144"/>
      <c r="D31" s="144"/>
      <c r="E31" s="144"/>
      <c r="F31" s="145"/>
      <c r="H31" s="91" t="s">
        <v>13</v>
      </c>
      <c r="I31" s="92" t="s">
        <v>14</v>
      </c>
      <c r="J31" s="93" t="s">
        <v>15</v>
      </c>
      <c r="K31" s="93" t="s">
        <v>16</v>
      </c>
      <c r="L31" s="93" t="s">
        <v>17</v>
      </c>
      <c r="M31" s="94" t="s">
        <v>18</v>
      </c>
    </row>
    <row r="32" spans="1:13" ht="20.100000000000001" customHeight="1" thickBot="1" x14ac:dyDescent="0.3">
      <c r="A32" s="91" t="s">
        <v>13</v>
      </c>
      <c r="B32" s="111" t="s">
        <v>14</v>
      </c>
      <c r="C32" s="112" t="s">
        <v>15</v>
      </c>
      <c r="D32" s="112" t="s">
        <v>16</v>
      </c>
      <c r="E32" s="112" t="s">
        <v>17</v>
      </c>
      <c r="F32" s="94" t="s">
        <v>18</v>
      </c>
      <c r="H32" s="95" t="s">
        <v>153</v>
      </c>
      <c r="I32" s="139" t="s">
        <v>40</v>
      </c>
      <c r="J32" s="140" t="str">
        <f>IF(H32="YES",5%,"")</f>
        <v/>
      </c>
      <c r="K32" s="97">
        <v>0</v>
      </c>
      <c r="L32" s="97">
        <v>20</v>
      </c>
      <c r="M32" s="116" t="str">
        <f t="shared" ref="M32:M36" si="10">IF(H32="YES",K32/L32,"")</f>
        <v/>
      </c>
    </row>
    <row r="33" spans="1:13" ht="20.100000000000001" customHeight="1" x14ac:dyDescent="0.25">
      <c r="A33" s="95" t="s">
        <v>67</v>
      </c>
      <c r="B33" s="113" t="s">
        <v>154</v>
      </c>
      <c r="C33" s="114">
        <f>IF(A33="YES",5%,"")</f>
        <v>0.05</v>
      </c>
      <c r="D33" s="115">
        <v>0</v>
      </c>
      <c r="E33" s="115">
        <v>60</v>
      </c>
      <c r="F33" s="116">
        <f t="shared" ref="F33" si="11">IF(A33="YES",D33/E33,"")</f>
        <v>0</v>
      </c>
      <c r="H33" s="95" t="s">
        <v>153</v>
      </c>
      <c r="I33" s="141" t="s">
        <v>41</v>
      </c>
      <c r="J33" s="140" t="str">
        <f t="shared" ref="J33:J35" si="12">IF(H33="YES",5%,"")</f>
        <v/>
      </c>
      <c r="K33" s="97">
        <v>0</v>
      </c>
      <c r="L33" s="97">
        <v>20</v>
      </c>
      <c r="M33" s="98" t="str">
        <f t="shared" si="10"/>
        <v/>
      </c>
    </row>
    <row r="34" spans="1:13" ht="20.100000000000001" customHeight="1" x14ac:dyDescent="0.25">
      <c r="A34" s="95" t="s">
        <v>67</v>
      </c>
      <c r="B34" s="96" t="s">
        <v>148</v>
      </c>
      <c r="C34" s="104">
        <f>IF(A34="YES",((2/13)*30)%,"")</f>
        <v>4.6153846153846156E-2</v>
      </c>
      <c r="D34" s="97">
        <v>0</v>
      </c>
      <c r="E34" s="97">
        <v>20</v>
      </c>
      <c r="F34" s="98">
        <f t="shared" ref="F34:F37" si="13">IF(A34="YES",D34/E34,"")</f>
        <v>0</v>
      </c>
      <c r="H34" s="95" t="s">
        <v>153</v>
      </c>
      <c r="I34" s="141" t="s">
        <v>42</v>
      </c>
      <c r="J34" s="140" t="str">
        <f t="shared" si="12"/>
        <v/>
      </c>
      <c r="K34" s="97">
        <v>0</v>
      </c>
      <c r="L34" s="97">
        <v>20</v>
      </c>
      <c r="M34" s="98" t="str">
        <f t="shared" si="10"/>
        <v/>
      </c>
    </row>
    <row r="35" spans="1:13" ht="20.100000000000001" customHeight="1" x14ac:dyDescent="0.25">
      <c r="A35" s="95" t="s">
        <v>67</v>
      </c>
      <c r="B35" s="96" t="s">
        <v>149</v>
      </c>
      <c r="C35" s="104">
        <f>IF(A35="YES",((1/13)*30)%,"")</f>
        <v>2.3076923076923078E-2</v>
      </c>
      <c r="D35" s="97">
        <v>0</v>
      </c>
      <c r="E35" s="97">
        <v>10</v>
      </c>
      <c r="F35" s="98">
        <f t="shared" si="13"/>
        <v>0</v>
      </c>
      <c r="H35" s="95" t="s">
        <v>153</v>
      </c>
      <c r="I35" s="141" t="s">
        <v>44</v>
      </c>
      <c r="J35" s="140" t="str">
        <f t="shared" si="12"/>
        <v/>
      </c>
      <c r="K35" s="97">
        <v>0</v>
      </c>
      <c r="L35" s="97">
        <v>20</v>
      </c>
      <c r="M35" s="98" t="str">
        <f t="shared" si="10"/>
        <v/>
      </c>
    </row>
    <row r="36" spans="1:13" ht="20.100000000000001" customHeight="1" x14ac:dyDescent="0.25">
      <c r="A36" s="95" t="s">
        <v>67</v>
      </c>
      <c r="B36" s="96" t="s">
        <v>150</v>
      </c>
      <c r="C36" s="104">
        <f>IF(A36="YES",((3/13)*30)%,"")</f>
        <v>6.9230769230769235E-2</v>
      </c>
      <c r="D36" s="97">
        <v>0</v>
      </c>
      <c r="E36" s="97">
        <v>30</v>
      </c>
      <c r="F36" s="98">
        <f t="shared" si="13"/>
        <v>0</v>
      </c>
      <c r="H36" s="95" t="s">
        <v>153</v>
      </c>
      <c r="I36" s="141" t="s">
        <v>30</v>
      </c>
      <c r="J36" s="140" t="str">
        <f>IF(H36="YES",30%,"")</f>
        <v/>
      </c>
      <c r="K36" s="97">
        <v>0</v>
      </c>
      <c r="L36" s="97">
        <v>100</v>
      </c>
      <c r="M36" s="98" t="str">
        <f t="shared" si="10"/>
        <v/>
      </c>
    </row>
    <row r="37" spans="1:13" ht="20.100000000000001" customHeight="1" thickBot="1" x14ac:dyDescent="0.3">
      <c r="A37" s="95" t="s">
        <v>67</v>
      </c>
      <c r="B37" s="96" t="s">
        <v>151</v>
      </c>
      <c r="C37" s="104">
        <f>IF(A37="YES",((1/13)*30)%,"")</f>
        <v>2.3076923076923078E-2</v>
      </c>
      <c r="D37" s="97">
        <v>0</v>
      </c>
      <c r="E37" s="97">
        <v>10</v>
      </c>
      <c r="F37" s="98">
        <f t="shared" si="13"/>
        <v>0</v>
      </c>
      <c r="H37" s="105" t="s">
        <v>153</v>
      </c>
      <c r="I37" s="106" t="s">
        <v>27</v>
      </c>
      <c r="J37" s="142" t="str">
        <f>IF(H37="YES",50%,"")</f>
        <v/>
      </c>
      <c r="K37" s="108">
        <v>0</v>
      </c>
      <c r="L37" s="108">
        <v>100</v>
      </c>
      <c r="M37" s="109" t="str">
        <f>IF(H37="YES",K37/L37,"")</f>
        <v/>
      </c>
    </row>
    <row r="38" spans="1:13" ht="20.100000000000001" customHeight="1" thickBot="1" x14ac:dyDescent="0.3">
      <c r="A38" s="95" t="s">
        <v>67</v>
      </c>
      <c r="B38" s="96" t="s">
        <v>156</v>
      </c>
      <c r="C38" s="104">
        <f>IF(A38="YES",((6/13)*30)%,"")</f>
        <v>0.13846153846153847</v>
      </c>
      <c r="D38" s="97">
        <v>0</v>
      </c>
      <c r="E38" s="97">
        <v>60</v>
      </c>
      <c r="F38" s="98">
        <f t="shared" ref="F38" si="14">IF(A38="YES",D38/E38,"")</f>
        <v>0</v>
      </c>
    </row>
    <row r="39" spans="1:13" ht="20.100000000000001" customHeight="1" thickBot="1" x14ac:dyDescent="0.3">
      <c r="A39" s="95" t="s">
        <v>67</v>
      </c>
      <c r="B39" s="96" t="s">
        <v>30</v>
      </c>
      <c r="C39" s="104">
        <f>IF(A39="YES",15%,"")</f>
        <v>0.15</v>
      </c>
      <c r="D39" s="97">
        <v>0</v>
      </c>
      <c r="E39" s="97">
        <v>80</v>
      </c>
      <c r="F39" s="98">
        <f>IF(A39="YES",D39/E39,"")</f>
        <v>0</v>
      </c>
      <c r="H39" s="143" t="s">
        <v>164</v>
      </c>
      <c r="I39" s="144"/>
      <c r="J39" s="144"/>
      <c r="K39" s="144"/>
      <c r="L39" s="144"/>
      <c r="M39" s="145"/>
    </row>
    <row r="40" spans="1:13" ht="20.100000000000001" customHeight="1" thickBot="1" x14ac:dyDescent="0.3">
      <c r="A40" s="105" t="s">
        <v>67</v>
      </c>
      <c r="B40" s="106" t="s">
        <v>27</v>
      </c>
      <c r="C40" s="107">
        <f>IF(A40="YES",50%,"")</f>
        <v>0.5</v>
      </c>
      <c r="D40" s="108">
        <v>0</v>
      </c>
      <c r="E40" s="108">
        <v>100</v>
      </c>
      <c r="F40" s="109">
        <f>IF(A40="YES",D40/E40,"")</f>
        <v>0</v>
      </c>
      <c r="H40" s="91" t="s">
        <v>13</v>
      </c>
      <c r="I40" s="92" t="s">
        <v>14</v>
      </c>
      <c r="J40" s="93" t="s">
        <v>15</v>
      </c>
      <c r="K40" s="93" t="s">
        <v>16</v>
      </c>
      <c r="L40" s="93" t="s">
        <v>17</v>
      </c>
      <c r="M40" s="94" t="s">
        <v>18</v>
      </c>
    </row>
    <row r="41" spans="1:13" ht="20.100000000000001" customHeight="1" thickBot="1" x14ac:dyDescent="0.3">
      <c r="H41" s="95" t="s">
        <v>153</v>
      </c>
      <c r="I41" s="113" t="s">
        <v>165</v>
      </c>
      <c r="J41" s="140" t="str">
        <f>IF(H41="YES",10%,"")</f>
        <v/>
      </c>
      <c r="K41" s="115">
        <v>0</v>
      </c>
      <c r="L41" s="115">
        <v>20</v>
      </c>
      <c r="M41" s="116" t="str">
        <f t="shared" ref="M41:M48" si="15">IF(H41="YES",K41/L41,"")</f>
        <v/>
      </c>
    </row>
    <row r="42" spans="1:13" ht="20.100000000000001" customHeight="1" thickBot="1" x14ac:dyDescent="0.3">
      <c r="A42" s="143" t="s">
        <v>152</v>
      </c>
      <c r="B42" s="144"/>
      <c r="C42" s="144"/>
      <c r="D42" s="144"/>
      <c r="E42" s="144"/>
      <c r="F42" s="145"/>
      <c r="H42" s="95" t="s">
        <v>153</v>
      </c>
      <c r="I42" s="96" t="s">
        <v>166</v>
      </c>
      <c r="J42" s="140" t="str">
        <f>IF(H42="YES",10%,"")</f>
        <v/>
      </c>
      <c r="K42" s="97">
        <v>0</v>
      </c>
      <c r="L42" s="97">
        <v>20</v>
      </c>
      <c r="M42" s="98" t="str">
        <f t="shared" si="15"/>
        <v/>
      </c>
    </row>
    <row r="43" spans="1:13" ht="20.100000000000001" customHeight="1" thickBot="1" x14ac:dyDescent="0.3">
      <c r="A43" s="91" t="s">
        <v>13</v>
      </c>
      <c r="B43" s="117" t="s">
        <v>14</v>
      </c>
      <c r="C43" s="112" t="s">
        <v>15</v>
      </c>
      <c r="D43" s="112" t="s">
        <v>16</v>
      </c>
      <c r="E43" s="112" t="s">
        <v>17</v>
      </c>
      <c r="F43" s="94" t="s">
        <v>18</v>
      </c>
      <c r="H43" s="95" t="s">
        <v>153</v>
      </c>
      <c r="I43" s="96" t="s">
        <v>167</v>
      </c>
      <c r="J43" s="140" t="str">
        <f>IF(H43="YES",10%,"")</f>
        <v/>
      </c>
      <c r="K43" s="97">
        <v>0</v>
      </c>
      <c r="L43" s="97">
        <v>20</v>
      </c>
      <c r="M43" s="98" t="str">
        <f t="shared" si="15"/>
        <v/>
      </c>
    </row>
    <row r="44" spans="1:13" ht="20.100000000000001" customHeight="1" x14ac:dyDescent="0.25">
      <c r="A44" s="95" t="s">
        <v>67</v>
      </c>
      <c r="B44" s="96" t="s">
        <v>40</v>
      </c>
      <c r="C44" s="114">
        <f>IF(A44="YES",10%,"")</f>
        <v>0.1</v>
      </c>
      <c r="D44" s="115">
        <v>0</v>
      </c>
      <c r="E44" s="115">
        <v>100</v>
      </c>
      <c r="F44" s="116">
        <f t="shared" ref="F44:F45" si="16">IF(A44="YES",D44/E44,"")</f>
        <v>0</v>
      </c>
      <c r="H44" s="95" t="s">
        <v>153</v>
      </c>
      <c r="I44" s="96" t="s">
        <v>34</v>
      </c>
      <c r="J44" s="140" t="str">
        <f>IF(H44="YES",4%,"")</f>
        <v/>
      </c>
      <c r="K44" s="97">
        <v>0</v>
      </c>
      <c r="L44" s="97">
        <v>10</v>
      </c>
      <c r="M44" s="98" t="str">
        <f t="shared" si="15"/>
        <v/>
      </c>
    </row>
    <row r="45" spans="1:13" ht="20.100000000000001" customHeight="1" x14ac:dyDescent="0.25">
      <c r="A45" s="95" t="s">
        <v>67</v>
      </c>
      <c r="B45" s="96" t="s">
        <v>41</v>
      </c>
      <c r="C45" s="104">
        <f>IF(A45="YES",10%,"")</f>
        <v>0.1</v>
      </c>
      <c r="D45" s="97">
        <v>0</v>
      </c>
      <c r="E45" s="97">
        <v>100</v>
      </c>
      <c r="F45" s="98">
        <f t="shared" si="16"/>
        <v>0</v>
      </c>
      <c r="H45" s="95" t="s">
        <v>153</v>
      </c>
      <c r="I45" s="96" t="s">
        <v>35</v>
      </c>
      <c r="J45" s="140" t="str">
        <f t="shared" ref="J45:J48" si="17">IF(H45="YES",4%,"")</f>
        <v/>
      </c>
      <c r="K45" s="97">
        <v>0</v>
      </c>
      <c r="L45" s="97">
        <v>10</v>
      </c>
      <c r="M45" s="98" t="str">
        <f t="shared" si="15"/>
        <v/>
      </c>
    </row>
    <row r="46" spans="1:13" ht="20.100000000000001" customHeight="1" x14ac:dyDescent="0.25">
      <c r="A46" s="95" t="s">
        <v>67</v>
      </c>
      <c r="B46" s="96" t="s">
        <v>34</v>
      </c>
      <c r="C46" s="104">
        <f>IF(A46="YES",(15/4)%,"")</f>
        <v>3.7499999999999999E-2</v>
      </c>
      <c r="D46" s="97">
        <v>0</v>
      </c>
      <c r="E46" s="97">
        <v>10</v>
      </c>
      <c r="F46" s="98">
        <f t="shared" ref="F46:F49" si="18">IF(A46="YES",D46/E46,"")</f>
        <v>0</v>
      </c>
      <c r="H46" s="95" t="s">
        <v>153</v>
      </c>
      <c r="I46" s="96" t="s">
        <v>36</v>
      </c>
      <c r="J46" s="140" t="str">
        <f t="shared" si="17"/>
        <v/>
      </c>
      <c r="K46" s="97">
        <v>0</v>
      </c>
      <c r="L46" s="97">
        <v>10</v>
      </c>
      <c r="M46" s="98" t="str">
        <f t="shared" si="15"/>
        <v/>
      </c>
    </row>
    <row r="47" spans="1:13" ht="20.100000000000001" customHeight="1" x14ac:dyDescent="0.25">
      <c r="A47" s="95" t="s">
        <v>67</v>
      </c>
      <c r="B47" s="96" t="s">
        <v>35</v>
      </c>
      <c r="C47" s="104">
        <f t="shared" ref="C47:C49" si="19">IF(A47="YES",(15/4)%,"")</f>
        <v>3.7499999999999999E-2</v>
      </c>
      <c r="D47" s="97">
        <v>0</v>
      </c>
      <c r="E47" s="97">
        <v>10</v>
      </c>
      <c r="F47" s="98">
        <f t="shared" si="18"/>
        <v>0</v>
      </c>
      <c r="H47" s="95" t="s">
        <v>153</v>
      </c>
      <c r="I47" s="96" t="s">
        <v>37</v>
      </c>
      <c r="J47" s="140" t="str">
        <f t="shared" si="17"/>
        <v/>
      </c>
      <c r="K47" s="97">
        <v>0</v>
      </c>
      <c r="L47" s="97">
        <v>10</v>
      </c>
      <c r="M47" s="98" t="str">
        <f t="shared" si="15"/>
        <v/>
      </c>
    </row>
    <row r="48" spans="1:13" ht="20.100000000000001" customHeight="1" x14ac:dyDescent="0.25">
      <c r="A48" s="95" t="s">
        <v>67</v>
      </c>
      <c r="B48" s="96" t="s">
        <v>36</v>
      </c>
      <c r="C48" s="104">
        <f t="shared" si="19"/>
        <v>3.7499999999999999E-2</v>
      </c>
      <c r="D48" s="97">
        <v>0</v>
      </c>
      <c r="E48" s="97">
        <v>10</v>
      </c>
      <c r="F48" s="98">
        <f t="shared" si="18"/>
        <v>0</v>
      </c>
      <c r="H48" s="95" t="s">
        <v>153</v>
      </c>
      <c r="I48" s="96" t="s">
        <v>38</v>
      </c>
      <c r="J48" s="140" t="str">
        <f t="shared" si="17"/>
        <v/>
      </c>
      <c r="K48" s="97">
        <v>0</v>
      </c>
      <c r="L48" s="97">
        <v>10</v>
      </c>
      <c r="M48" s="98" t="str">
        <f t="shared" si="15"/>
        <v/>
      </c>
    </row>
    <row r="49" spans="1:13" ht="20.100000000000001" customHeight="1" thickBot="1" x14ac:dyDescent="0.3">
      <c r="A49" s="95" t="s">
        <v>67</v>
      </c>
      <c r="B49" s="96" t="s">
        <v>37</v>
      </c>
      <c r="C49" s="104">
        <f t="shared" si="19"/>
        <v>3.7499999999999999E-2</v>
      </c>
      <c r="D49" s="97">
        <v>0</v>
      </c>
      <c r="E49" s="97">
        <v>10</v>
      </c>
      <c r="F49" s="98">
        <f t="shared" si="18"/>
        <v>0</v>
      </c>
      <c r="H49" s="105" t="s">
        <v>153</v>
      </c>
      <c r="I49" s="106" t="s">
        <v>27</v>
      </c>
      <c r="J49" s="142" t="str">
        <f>IF(H49="YES",50%,"")</f>
        <v/>
      </c>
      <c r="K49" s="108">
        <v>0</v>
      </c>
      <c r="L49" s="108">
        <v>100</v>
      </c>
      <c r="M49" s="109" t="str">
        <f>IF(H49="YES",K49/L49,"")</f>
        <v/>
      </c>
    </row>
    <row r="50" spans="1:13" ht="20.100000000000001" customHeight="1" thickBot="1" x14ac:dyDescent="0.3">
      <c r="A50" s="95" t="s">
        <v>67</v>
      </c>
      <c r="B50" s="96" t="s">
        <v>30</v>
      </c>
      <c r="C50" s="104">
        <f>IF(A50="YES",15%,"")</f>
        <v>0.15</v>
      </c>
      <c r="D50" s="97">
        <v>0</v>
      </c>
      <c r="E50" s="97">
        <v>50</v>
      </c>
      <c r="F50" s="98">
        <f>IF(A50="YES",D50/E50,"")</f>
        <v>0</v>
      </c>
    </row>
    <row r="51" spans="1:13" ht="20.100000000000001" customHeight="1" thickBot="1" x14ac:dyDescent="0.3">
      <c r="A51" s="105" t="s">
        <v>67</v>
      </c>
      <c r="B51" s="106" t="s">
        <v>27</v>
      </c>
      <c r="C51" s="107">
        <f>IF(A51="YES",50%,"")</f>
        <v>0.5</v>
      </c>
      <c r="D51" s="97">
        <v>0</v>
      </c>
      <c r="E51" s="108">
        <v>100</v>
      </c>
      <c r="F51" s="109">
        <f>IF(A51="YES",D51/E51,"")</f>
        <v>0</v>
      </c>
      <c r="H51" s="143" t="s">
        <v>168</v>
      </c>
      <c r="I51" s="144"/>
      <c r="J51" s="144"/>
      <c r="K51" s="144"/>
      <c r="L51" s="144"/>
      <c r="M51" s="145"/>
    </row>
    <row r="52" spans="1:13" ht="20.100000000000001" customHeight="1" thickBot="1" x14ac:dyDescent="0.3">
      <c r="A52" s="110"/>
      <c r="B52" s="92" t="s">
        <v>129</v>
      </c>
      <c r="C52" s="122">
        <v>0.05</v>
      </c>
      <c r="D52" s="129"/>
      <c r="E52" s="110"/>
      <c r="F52" s="110"/>
      <c r="H52" s="91" t="s">
        <v>13</v>
      </c>
      <c r="I52" s="92" t="s">
        <v>14</v>
      </c>
      <c r="J52" s="93" t="s">
        <v>15</v>
      </c>
      <c r="K52" s="93" t="s">
        <v>16</v>
      </c>
      <c r="L52" s="93" t="s">
        <v>17</v>
      </c>
      <c r="M52" s="94" t="s">
        <v>18</v>
      </c>
    </row>
    <row r="53" spans="1:13" ht="20.100000000000001" customHeight="1" x14ac:dyDescent="0.25">
      <c r="H53" s="95" t="s">
        <v>153</v>
      </c>
      <c r="I53" s="113" t="s">
        <v>169</v>
      </c>
      <c r="J53" s="140" t="str">
        <f>IF(H53="YES",10%,"")</f>
        <v/>
      </c>
      <c r="K53" s="115">
        <v>0</v>
      </c>
      <c r="L53" s="115">
        <v>100</v>
      </c>
      <c r="M53" s="116" t="str">
        <f t="shared" ref="M53:M58" si="20">IF(H53="YES",K53/L53,"")</f>
        <v/>
      </c>
    </row>
    <row r="54" spans="1:13" ht="20.100000000000001" customHeight="1" x14ac:dyDescent="0.25">
      <c r="H54" s="95" t="s">
        <v>153</v>
      </c>
      <c r="I54" s="96" t="s">
        <v>170</v>
      </c>
      <c r="J54" s="140" t="str">
        <f>IF(H54="YES",15%,"")</f>
        <v/>
      </c>
      <c r="K54" s="97">
        <v>0</v>
      </c>
      <c r="L54" s="97">
        <v>100</v>
      </c>
      <c r="M54" s="98" t="str">
        <f t="shared" si="20"/>
        <v/>
      </c>
    </row>
    <row r="55" spans="1:13" ht="20.100000000000001" customHeight="1" x14ac:dyDescent="0.25">
      <c r="H55" s="95" t="s">
        <v>153</v>
      </c>
      <c r="I55" s="96" t="s">
        <v>171</v>
      </c>
      <c r="J55" s="140" t="str">
        <f>IF(H55="YES",25%,"")</f>
        <v/>
      </c>
      <c r="K55" s="97">
        <v>0</v>
      </c>
      <c r="L55" s="97">
        <v>100</v>
      </c>
      <c r="M55" s="98" t="str">
        <f t="shared" si="20"/>
        <v/>
      </c>
    </row>
    <row r="56" spans="1:13" ht="20.100000000000001" customHeight="1" x14ac:dyDescent="0.25">
      <c r="H56" s="95" t="s">
        <v>153</v>
      </c>
      <c r="I56" s="96" t="s">
        <v>172</v>
      </c>
      <c r="J56" s="140" t="str">
        <f>IF(H56="YES",25%,"")</f>
        <v/>
      </c>
      <c r="K56" s="97">
        <v>0</v>
      </c>
      <c r="L56" s="97">
        <v>100</v>
      </c>
      <c r="M56" s="98" t="str">
        <f t="shared" si="20"/>
        <v/>
      </c>
    </row>
    <row r="57" spans="1:13" ht="20.100000000000001" customHeight="1" x14ac:dyDescent="0.25">
      <c r="H57" s="95" t="s">
        <v>153</v>
      </c>
      <c r="I57" s="96" t="s">
        <v>173</v>
      </c>
      <c r="J57" s="140" t="str">
        <f>IF(H57="YES",10%,"")</f>
        <v/>
      </c>
      <c r="K57" s="97">
        <v>0</v>
      </c>
      <c r="L57" s="97">
        <v>100</v>
      </c>
      <c r="M57" s="98" t="str">
        <f t="shared" si="20"/>
        <v/>
      </c>
    </row>
    <row r="58" spans="1:13" ht="20.100000000000001" customHeight="1" x14ac:dyDescent="0.25">
      <c r="H58" s="95" t="s">
        <v>153</v>
      </c>
      <c r="I58" s="96" t="s">
        <v>100</v>
      </c>
      <c r="J58" s="140" t="str">
        <f>IF(H58="YES",10%,"")</f>
        <v/>
      </c>
      <c r="K58" s="97">
        <v>0</v>
      </c>
      <c r="L58" s="97">
        <v>100</v>
      </c>
      <c r="M58" s="98" t="str">
        <f t="shared" si="20"/>
        <v/>
      </c>
    </row>
    <row r="59" spans="1:13" ht="20.100000000000001" customHeight="1" thickBot="1" x14ac:dyDescent="0.3">
      <c r="H59" s="105" t="s">
        <v>153</v>
      </c>
      <c r="I59" s="106" t="s">
        <v>174</v>
      </c>
      <c r="J59" s="142" t="str">
        <f>IF(H59="YES",5%,"")</f>
        <v/>
      </c>
      <c r="K59" s="108">
        <v>0</v>
      </c>
      <c r="L59" s="108">
        <v>100</v>
      </c>
      <c r="M59" s="109" t="str">
        <f>IF(H59="YES",K59/L59,"")</f>
        <v/>
      </c>
    </row>
    <row r="60" spans="1:13" ht="20.100000000000001" customHeight="1" thickBot="1" x14ac:dyDescent="0.3"/>
    <row r="61" spans="1:13" ht="20.100000000000001" customHeight="1" thickBot="1" x14ac:dyDescent="0.3">
      <c r="H61" s="143" t="s">
        <v>175</v>
      </c>
      <c r="I61" s="144"/>
      <c r="J61" s="144"/>
      <c r="K61" s="144"/>
      <c r="L61" s="144"/>
      <c r="M61" s="145"/>
    </row>
    <row r="62" spans="1:13" ht="20.100000000000001" customHeight="1" thickBot="1" x14ac:dyDescent="0.3">
      <c r="H62" s="91" t="s">
        <v>13</v>
      </c>
      <c r="I62" s="92" t="s">
        <v>14</v>
      </c>
      <c r="J62" s="93" t="s">
        <v>15</v>
      </c>
      <c r="K62" s="93" t="s">
        <v>16</v>
      </c>
      <c r="L62" s="93" t="s">
        <v>17</v>
      </c>
      <c r="M62" s="94" t="s">
        <v>18</v>
      </c>
    </row>
    <row r="63" spans="1:13" ht="20.100000000000001" customHeight="1" x14ac:dyDescent="0.25">
      <c r="H63" s="95" t="s">
        <v>153</v>
      </c>
      <c r="I63" s="96" t="s">
        <v>40</v>
      </c>
      <c r="J63" s="104" t="str">
        <f>IF(H63="YES",6%,"")</f>
        <v/>
      </c>
      <c r="K63" s="97">
        <v>0</v>
      </c>
      <c r="L63" s="97">
        <v>20</v>
      </c>
      <c r="M63" s="116" t="str">
        <f>IF(H63="YES",K63/L63,"")</f>
        <v/>
      </c>
    </row>
    <row r="64" spans="1:13" ht="20.100000000000001" customHeight="1" x14ac:dyDescent="0.25">
      <c r="H64" s="95" t="s">
        <v>153</v>
      </c>
      <c r="I64" s="96" t="s">
        <v>41</v>
      </c>
      <c r="J64" s="104" t="str">
        <f t="shared" ref="J64:J67" si="21">IF(H64="YES",6%,"")</f>
        <v/>
      </c>
      <c r="K64" s="97">
        <v>0</v>
      </c>
      <c r="L64" s="97">
        <v>20</v>
      </c>
      <c r="M64" s="98" t="str">
        <f t="shared" ref="M64:M68" si="22">IF(H64="YES",K64/L64,"")</f>
        <v/>
      </c>
    </row>
    <row r="65" spans="8:13" ht="20.100000000000001" customHeight="1" x14ac:dyDescent="0.25">
      <c r="H65" s="95" t="s">
        <v>153</v>
      </c>
      <c r="I65" s="96" t="s">
        <v>42</v>
      </c>
      <c r="J65" s="104" t="str">
        <f t="shared" si="21"/>
        <v/>
      </c>
      <c r="K65" s="97">
        <v>0</v>
      </c>
      <c r="L65" s="97">
        <v>20</v>
      </c>
      <c r="M65" s="98" t="str">
        <f>IF(H65="YES",K65/L65,"")</f>
        <v/>
      </c>
    </row>
    <row r="66" spans="8:13" ht="20.100000000000001" customHeight="1" x14ac:dyDescent="0.25">
      <c r="H66" s="95" t="s">
        <v>153</v>
      </c>
      <c r="I66" s="96" t="s">
        <v>44</v>
      </c>
      <c r="J66" s="104" t="str">
        <f>IF(H66="YES",6%,"")</f>
        <v/>
      </c>
      <c r="K66" s="97">
        <v>0</v>
      </c>
      <c r="L66" s="97">
        <v>20</v>
      </c>
      <c r="M66" s="98" t="str">
        <f t="shared" si="22"/>
        <v/>
      </c>
    </row>
    <row r="67" spans="8:13" ht="20.100000000000001" customHeight="1" x14ac:dyDescent="0.25">
      <c r="H67" s="95" t="s">
        <v>153</v>
      </c>
      <c r="I67" s="96" t="s">
        <v>64</v>
      </c>
      <c r="J67" s="104" t="str">
        <f t="shared" si="21"/>
        <v/>
      </c>
      <c r="K67" s="97">
        <v>0</v>
      </c>
      <c r="L67" s="97">
        <v>20</v>
      </c>
      <c r="M67" s="98" t="str">
        <f t="shared" si="22"/>
        <v/>
      </c>
    </row>
    <row r="68" spans="8:13" ht="20.100000000000001" customHeight="1" x14ac:dyDescent="0.25">
      <c r="H68" s="95" t="s">
        <v>153</v>
      </c>
      <c r="I68" s="96" t="s">
        <v>30</v>
      </c>
      <c r="J68" s="104" t="str">
        <f>IF(H68="YES",20%,"")</f>
        <v/>
      </c>
      <c r="K68" s="97">
        <v>0</v>
      </c>
      <c r="L68" s="97">
        <v>100</v>
      </c>
      <c r="M68" s="98" t="str">
        <f t="shared" si="22"/>
        <v/>
      </c>
    </row>
    <row r="69" spans="8:13" ht="20.100000000000001" customHeight="1" thickBot="1" x14ac:dyDescent="0.3">
      <c r="H69" s="105" t="s">
        <v>153</v>
      </c>
      <c r="I69" s="106" t="s">
        <v>27</v>
      </c>
      <c r="J69" s="107" t="str">
        <f>IF(H69="YES",50%,"")</f>
        <v/>
      </c>
      <c r="K69" s="108">
        <v>0</v>
      </c>
      <c r="L69" s="108">
        <v>100</v>
      </c>
      <c r="M69" s="109" t="str">
        <f>IF(H69="YES",K69/L69,"")</f>
        <v/>
      </c>
    </row>
    <row r="70" spans="8:13" ht="20.100000000000001" customHeight="1" thickBot="1" x14ac:dyDescent="0.3"/>
    <row r="71" spans="8:13" ht="20.100000000000001" customHeight="1" thickBot="1" x14ac:dyDescent="0.3">
      <c r="H71" s="143" t="s">
        <v>176</v>
      </c>
      <c r="I71" s="144"/>
      <c r="J71" s="144"/>
      <c r="K71" s="144"/>
      <c r="L71" s="144"/>
      <c r="M71" s="145"/>
    </row>
    <row r="72" spans="8:13" ht="20.100000000000001" customHeight="1" thickBot="1" x14ac:dyDescent="0.3">
      <c r="H72" s="91" t="s">
        <v>13</v>
      </c>
      <c r="I72" s="92" t="s">
        <v>14</v>
      </c>
      <c r="J72" s="93" t="s">
        <v>15</v>
      </c>
      <c r="K72" s="93" t="s">
        <v>16</v>
      </c>
      <c r="L72" s="93" t="s">
        <v>17</v>
      </c>
      <c r="M72" s="94" t="s">
        <v>18</v>
      </c>
    </row>
    <row r="73" spans="8:13" ht="20.100000000000001" customHeight="1" x14ac:dyDescent="0.25">
      <c r="H73" s="95" t="s">
        <v>153</v>
      </c>
      <c r="I73" s="96" t="s">
        <v>40</v>
      </c>
      <c r="J73" s="104" t="str">
        <f>IF(H73="YES",5%,"")</f>
        <v/>
      </c>
      <c r="K73" s="97">
        <v>0</v>
      </c>
      <c r="L73" s="97">
        <v>20</v>
      </c>
      <c r="M73" s="116" t="str">
        <f>IF(H73="YES",K73/L73,"")</f>
        <v/>
      </c>
    </row>
    <row r="74" spans="8:13" ht="20.100000000000001" customHeight="1" x14ac:dyDescent="0.25">
      <c r="H74" s="95" t="s">
        <v>153</v>
      </c>
      <c r="I74" s="96" t="s">
        <v>41</v>
      </c>
      <c r="J74" s="104" t="str">
        <f t="shared" ref="J74:J76" si="23">IF(H74="YES",5%,"")</f>
        <v/>
      </c>
      <c r="K74" s="97">
        <v>0</v>
      </c>
      <c r="L74" s="97">
        <v>20</v>
      </c>
      <c r="M74" s="98" t="str">
        <f>IF(H74="YES",K74/L74,"")</f>
        <v/>
      </c>
    </row>
    <row r="75" spans="8:13" ht="20.100000000000001" customHeight="1" x14ac:dyDescent="0.25">
      <c r="H75" s="95" t="s">
        <v>153</v>
      </c>
      <c r="I75" s="96" t="s">
        <v>42</v>
      </c>
      <c r="J75" s="104" t="str">
        <f t="shared" si="23"/>
        <v/>
      </c>
      <c r="K75" s="97">
        <v>0</v>
      </c>
      <c r="L75" s="97">
        <v>20</v>
      </c>
      <c r="M75" s="98" t="str">
        <f t="shared" ref="M75:M77" si="24">IF(H75="YES",K75/L75,"")</f>
        <v/>
      </c>
    </row>
    <row r="76" spans="8:13" ht="20.100000000000001" customHeight="1" x14ac:dyDescent="0.25">
      <c r="H76" s="95" t="s">
        <v>153</v>
      </c>
      <c r="I76" s="96" t="s">
        <v>44</v>
      </c>
      <c r="J76" s="104" t="str">
        <f t="shared" si="23"/>
        <v/>
      </c>
      <c r="K76" s="97">
        <v>0</v>
      </c>
      <c r="L76" s="97">
        <v>20</v>
      </c>
      <c r="M76" s="98" t="str">
        <f t="shared" si="24"/>
        <v/>
      </c>
    </row>
    <row r="77" spans="8:13" ht="20.100000000000001" customHeight="1" x14ac:dyDescent="0.25">
      <c r="H77" s="95" t="s">
        <v>153</v>
      </c>
      <c r="I77" s="96" t="s">
        <v>30</v>
      </c>
      <c r="J77" s="104" t="str">
        <f>IF(H77="YES",25%,"")</f>
        <v/>
      </c>
      <c r="K77" s="97">
        <v>0</v>
      </c>
      <c r="L77" s="97">
        <v>100</v>
      </c>
      <c r="M77" s="98" t="str">
        <f t="shared" si="24"/>
        <v/>
      </c>
    </row>
    <row r="78" spans="8:13" ht="20.100000000000001" customHeight="1" thickBot="1" x14ac:dyDescent="0.3">
      <c r="H78" s="105" t="s">
        <v>153</v>
      </c>
      <c r="I78" s="106" t="s">
        <v>27</v>
      </c>
      <c r="J78" s="107" t="str">
        <f>IF(H78="YES",55%,"")</f>
        <v/>
      </c>
      <c r="K78" s="108">
        <v>0</v>
      </c>
      <c r="L78" s="108">
        <v>100</v>
      </c>
      <c r="M78" s="109" t="str">
        <f>IF(H78="YES",K78/L78,"")</f>
        <v/>
      </c>
    </row>
    <row r="79" spans="8:13" ht="20.100000000000001" customHeight="1" x14ac:dyDescent="0.25"/>
    <row r="80" spans="8:13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38" spans="6:6" x14ac:dyDescent="0.25">
      <c r="F138" t="str">
        <f>IF(A138="YES",D138/E138,"")</f>
        <v/>
      </c>
    </row>
  </sheetData>
  <mergeCells count="17">
    <mergeCell ref="H39:M39"/>
    <mergeCell ref="H51:M51"/>
    <mergeCell ref="H61:M61"/>
    <mergeCell ref="H71:M71"/>
    <mergeCell ref="A42:F42"/>
    <mergeCell ref="A1:F1"/>
    <mergeCell ref="H1:K1"/>
    <mergeCell ref="L1:L2"/>
    <mergeCell ref="A15:F15"/>
    <mergeCell ref="A10:F10"/>
    <mergeCell ref="A22:F22"/>
    <mergeCell ref="A31:F31"/>
    <mergeCell ref="H17:I17"/>
    <mergeCell ref="H16:I16"/>
    <mergeCell ref="H18:I18"/>
    <mergeCell ref="H20:M20"/>
    <mergeCell ref="H30:M30"/>
  </mergeCells>
  <conditionalFormatting sqref="H3:L7">
    <cfRule type="expression" dxfId="14" priority="3">
      <formula>AND($L3=100%)</formula>
    </cfRule>
  </conditionalFormatting>
  <conditionalFormatting sqref="H8:L13">
    <cfRule type="expression" dxfId="13" priority="1">
      <formula>AND($L8=100%)</formula>
    </cfRule>
  </conditionalFormatting>
  <pageMargins left="0.7" right="0.7" top="0.75" bottom="0.75" header="0.3" footer="0.3"/>
  <pageSetup orientation="portrait" r:id="rId1"/>
  <ignoredErrors>
    <ignoredError sqref="C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2" zoomScale="85" zoomScaleNormal="85" workbookViewId="0">
      <selection activeCell="J15" sqref="J15"/>
    </sheetView>
  </sheetViews>
  <sheetFormatPr defaultRowHeight="15" x14ac:dyDescent="0.25"/>
  <cols>
    <col min="1" max="1" width="12.28515625" customWidth="1"/>
    <col min="2" max="2" width="26" customWidth="1"/>
    <col min="3" max="3" width="13.42578125" customWidth="1"/>
    <col min="4" max="4" width="19.5703125" customWidth="1"/>
    <col min="5" max="5" width="14.85546875" customWidth="1"/>
    <col min="6" max="6" width="18" customWidth="1"/>
    <col min="7" max="7" width="7.28515625" customWidth="1"/>
    <col min="8" max="8" width="57" customWidth="1"/>
    <col min="9" max="9" width="22.85546875" customWidth="1"/>
    <col min="10" max="10" width="14.42578125" customWidth="1"/>
    <col min="11" max="11" width="20.140625" customWidth="1"/>
    <col min="12" max="12" width="16" customWidth="1"/>
    <col min="13" max="13" width="19.140625" customWidth="1"/>
  </cols>
  <sheetData>
    <row r="1" spans="1:12" ht="20.100000000000001" customHeight="1" thickBot="1" x14ac:dyDescent="0.3">
      <c r="A1" s="146" t="s">
        <v>31</v>
      </c>
      <c r="B1" s="146"/>
      <c r="C1" s="146"/>
      <c r="D1" s="146"/>
      <c r="E1" s="146"/>
      <c r="F1" s="146"/>
      <c r="H1" s="147" t="s">
        <v>56</v>
      </c>
      <c r="I1" s="148"/>
      <c r="J1" s="148"/>
      <c r="K1" s="149"/>
      <c r="L1" s="150" t="s">
        <v>72</v>
      </c>
    </row>
    <row r="2" spans="1:12" ht="20.100000000000001" customHeight="1" thickBot="1" x14ac:dyDescent="0.3">
      <c r="A2" s="91" t="s">
        <v>13</v>
      </c>
      <c r="B2" s="92" t="s">
        <v>14</v>
      </c>
      <c r="C2" s="93" t="s">
        <v>15</v>
      </c>
      <c r="D2" s="93" t="s">
        <v>16</v>
      </c>
      <c r="E2" s="93" t="s">
        <v>17</v>
      </c>
      <c r="F2" s="94" t="s">
        <v>18</v>
      </c>
      <c r="H2" s="22" t="s">
        <v>0</v>
      </c>
      <c r="I2" s="27" t="s">
        <v>1</v>
      </c>
      <c r="J2" s="28" t="s">
        <v>2</v>
      </c>
      <c r="K2" s="4" t="s">
        <v>57</v>
      </c>
      <c r="L2" s="151"/>
    </row>
    <row r="3" spans="1:12" ht="20.100000000000001" customHeight="1" x14ac:dyDescent="0.25">
      <c r="A3" s="95" t="s">
        <v>67</v>
      </c>
      <c r="B3" s="96" t="s">
        <v>19</v>
      </c>
      <c r="C3" s="168"/>
      <c r="D3" s="97">
        <v>0</v>
      </c>
      <c r="E3" s="97">
        <v>30</v>
      </c>
      <c r="F3" s="98">
        <f t="shared" ref="F3:F7" si="0">IF(A3="YES",D3/E3,"")</f>
        <v>0</v>
      </c>
      <c r="H3" s="22" t="str">
        <f>A1</f>
        <v>Applied Math II (AM 2270A)</v>
      </c>
      <c r="I3" s="29">
        <f t="shared" ref="I3:I14" si="1">IF(J3="",0,0.5)</f>
        <v>0.5</v>
      </c>
      <c r="J3" s="42">
        <f>ROUND(IFERROR(SUMPRODUCT(C3:C15,F3:F15)/SUM(C3:C15),""),2)</f>
        <v>0</v>
      </c>
      <c r="K3" s="37" t="str">
        <f>IF(J3="","",IF(AND(90%&lt;=J3),4,IF(AND(85%&lt;=J3,J3&lt;90%),3.9,IF(AND(80%&lt;=J3,J3&lt;85%),3.7,IF(AND(77%&lt;=J3,J3&lt;80%),3.3,IF(AND(73%&lt;=J3,J3&lt;77%),3,IF(AND(70%&lt;=J3,J3&lt;73%),2.7,IF(AND(67%&lt;=J3,J3&lt;70%),2.3,IF(AND(63%&lt;=J3,J3&lt;67%),2,IF(AND(60%&lt;=J3,J3&lt;63%),1.7,"F"))))))))))</f>
        <v>F</v>
      </c>
      <c r="L3" s="75">
        <f>SUM(C3:C15)</f>
        <v>1</v>
      </c>
    </row>
    <row r="4" spans="1:12" ht="20.100000000000001" customHeight="1" x14ac:dyDescent="0.25">
      <c r="A4" s="95" t="s">
        <v>67</v>
      </c>
      <c r="B4" s="96" t="s">
        <v>20</v>
      </c>
      <c r="C4" s="169"/>
      <c r="D4" s="97">
        <v>0</v>
      </c>
      <c r="E4" s="97">
        <v>30</v>
      </c>
      <c r="F4" s="98">
        <f t="shared" si="0"/>
        <v>0</v>
      </c>
      <c r="H4" s="30" t="str">
        <f>A17</f>
        <v>Crime and Punishment (CLASSICS 2301A)</v>
      </c>
      <c r="I4" s="36">
        <f t="shared" si="1"/>
        <v>0.5</v>
      </c>
      <c r="J4" s="45">
        <f>ROUND(IFERROR(SUMPRODUCT(C19:C21,F19:F21)/SUM(C19:C21),""),2)</f>
        <v>0</v>
      </c>
      <c r="K4" s="37" t="str">
        <f t="shared" ref="K4:K7" si="2">IF(J4="","",IF(AND(90%&lt;=J4),4,IF(AND(85%&lt;=J4,J4&lt;90%),3.9,IF(AND(80%&lt;=J4,J4&lt;85%),3.7,IF(AND(77%&lt;=J4,J4&lt;80%),3.3,IF(AND(73%&lt;=J4,J4&lt;77%),3,IF(AND(70%&lt;=J4,J4&lt;73%),2.7,IF(AND(67%&lt;=J4,J4&lt;70%),2.3,IF(AND(63%&lt;=J4,J4&lt;67%),2,IF(AND(60%&lt;=J4,J4&lt;63%),1.7,"F"))))))))))</f>
        <v>F</v>
      </c>
      <c r="L4" s="75">
        <f>IF(SUM(C19:C21)=0%,"--",SUM(C19:C21))</f>
        <v>1</v>
      </c>
    </row>
    <row r="5" spans="1:12" ht="20.100000000000001" customHeight="1" x14ac:dyDescent="0.25">
      <c r="A5" s="95" t="s">
        <v>67</v>
      </c>
      <c r="B5" s="96" t="s">
        <v>21</v>
      </c>
      <c r="C5" s="169"/>
      <c r="D5" s="97">
        <v>0</v>
      </c>
      <c r="E5" s="97">
        <v>30</v>
      </c>
      <c r="F5" s="98">
        <f t="shared" si="0"/>
        <v>0</v>
      </c>
      <c r="H5" s="11" t="str">
        <f>A23</f>
        <v>Computer Science II (COMPSCI 1037A)</v>
      </c>
      <c r="I5" s="36">
        <f t="shared" si="1"/>
        <v>0.5</v>
      </c>
      <c r="J5" s="45">
        <f>ROUND(IFERROR(SUMPRODUCT(C25:C42,F25:F42)/SUM(C25:C42),""),2)</f>
        <v>0</v>
      </c>
      <c r="K5" s="37" t="str">
        <f t="shared" si="2"/>
        <v>F</v>
      </c>
      <c r="L5" s="75">
        <f>SUM(C25:C42)</f>
        <v>1</v>
      </c>
    </row>
    <row r="6" spans="1:12" ht="20.100000000000001" customHeight="1" x14ac:dyDescent="0.25">
      <c r="A6" s="95" t="s">
        <v>67</v>
      </c>
      <c r="B6" s="96" t="s">
        <v>22</v>
      </c>
      <c r="C6" s="169"/>
      <c r="D6" s="97">
        <v>0</v>
      </c>
      <c r="E6" s="97">
        <v>30</v>
      </c>
      <c r="F6" s="98">
        <f t="shared" si="0"/>
        <v>0</v>
      </c>
      <c r="H6" s="11" t="str">
        <f>A44</f>
        <v>Digital Logic Systems (ECE 2277A)</v>
      </c>
      <c r="I6" s="36">
        <f t="shared" si="1"/>
        <v>0.5</v>
      </c>
      <c r="J6" s="45">
        <f>ROUND(IFERROR(SUMPRODUCT(C52:C58,F52:F58)/SUM(C52:C58),""),2)</f>
        <v>0</v>
      </c>
      <c r="K6" s="37" t="str">
        <f t="shared" si="2"/>
        <v>F</v>
      </c>
      <c r="L6" s="75">
        <f>SUM(C46:C58)</f>
        <v>1</v>
      </c>
    </row>
    <row r="7" spans="1:12" ht="20.100000000000001" customHeight="1" thickBot="1" x14ac:dyDescent="0.3">
      <c r="A7" s="95" t="s">
        <v>67</v>
      </c>
      <c r="B7" s="96" t="s">
        <v>23</v>
      </c>
      <c r="C7" s="170"/>
      <c r="D7" s="97">
        <v>0</v>
      </c>
      <c r="E7" s="97">
        <v>30</v>
      </c>
      <c r="F7" s="98">
        <f t="shared" si="0"/>
        <v>0</v>
      </c>
      <c r="H7" s="11" t="str">
        <f>A60</f>
        <v>Discrete Structures (MATH 2151A)</v>
      </c>
      <c r="I7" s="36">
        <f t="shared" si="1"/>
        <v>0.5</v>
      </c>
      <c r="J7" s="45">
        <f>ROUND(IFERROR(SUMPRODUCT(C62:C64,F62:F64)/SUM(C62:C64),""),2)</f>
        <v>0</v>
      </c>
      <c r="K7" s="37" t="str">
        <f t="shared" si="2"/>
        <v>F</v>
      </c>
      <c r="L7" s="75">
        <f>SUM(C62:C64)</f>
        <v>1</v>
      </c>
    </row>
    <row r="8" spans="1:12" ht="20.100000000000001" customHeight="1" thickBot="1" x14ac:dyDescent="0.3">
      <c r="A8" s="99" t="s">
        <v>67</v>
      </c>
      <c r="B8" s="92" t="s">
        <v>130</v>
      </c>
      <c r="C8" s="100">
        <f>IF(A8="YES",15%,"")</f>
        <v>0.15</v>
      </c>
      <c r="D8" s="101">
        <f>SUM(D3:D7)-MIN(D3:D7)</f>
        <v>0</v>
      </c>
      <c r="E8" s="102">
        <v>120</v>
      </c>
      <c r="F8" s="103">
        <f t="shared" ref="F8" si="3">IF(A8="YES",D8/E8,"")</f>
        <v>0</v>
      </c>
      <c r="H8" s="11" t="str">
        <f>A66</f>
        <v>Software Design (SE 2203A)</v>
      </c>
      <c r="I8" s="36">
        <f t="shared" si="1"/>
        <v>0.5</v>
      </c>
      <c r="J8" s="45">
        <f>ROUND(IFERROR(SUMPRODUCT(C68:C79,F68:F79)/SUM(C68:C79) + C80,""),2)</f>
        <v>0.05</v>
      </c>
      <c r="K8" s="37" t="str">
        <f>IF(J8="","",IF(AND(90%&lt;=J8),4,IF(AND(85%&lt;=J8,J8&lt;90%),3.9,IF(AND(80%&lt;=J8,J8&lt;85%),3.7,IF(AND(77%&lt;=J8,J8&lt;80%),3.3,IF(AND(73%&lt;=J8,J8&lt;77%),3,IF(AND(70%&lt;=J8,J8&lt;73%),2.7,IF(AND(67%&lt;=J8,J8&lt;70%),2.3,IF(AND(63%&lt;=J8,J8&lt;67%),2,IF(AND(60%&lt;=J8,J8&lt;63%),1.7,"F"))))))))))</f>
        <v>F</v>
      </c>
      <c r="L8" s="75">
        <f>SUM(C68:C79)</f>
        <v>1</v>
      </c>
    </row>
    <row r="9" spans="1:12" ht="20.100000000000001" customHeight="1" x14ac:dyDescent="0.25">
      <c r="A9" s="95" t="s">
        <v>67</v>
      </c>
      <c r="B9" s="96" t="s">
        <v>40</v>
      </c>
      <c r="C9" s="104">
        <f>IF(A9="YES",2%,"")</f>
        <v>0.02</v>
      </c>
      <c r="D9" s="97">
        <v>0</v>
      </c>
      <c r="E9" s="97">
        <v>20</v>
      </c>
      <c r="F9" s="98">
        <f t="shared" ref="F9:F15" si="4">IF(A9="YES",D9/E9,"")</f>
        <v>0</v>
      </c>
      <c r="H9" s="11" t="str">
        <f>A81</f>
        <v>Applied Probability and Statistics (STATS 2141A)</v>
      </c>
      <c r="I9" s="36">
        <f t="shared" si="1"/>
        <v>0.5</v>
      </c>
      <c r="J9" s="45">
        <f>ROUND(IFERROR((SUMPRODUCT(C83:C86,F83:F86)/SUM(C83:C86)),""),2)</f>
        <v>0</v>
      </c>
      <c r="K9" s="37" t="str">
        <f t="shared" ref="K9:K13" si="5">IF(J9="","",IF(AND(90%&lt;=J9),4,IF(AND(85%&lt;=J9,J9&lt;90%),3.9,IF(AND(80%&lt;=J9,J9&lt;85%),3.7,IF(AND(77%&lt;=J9,J9&lt;80%),3.3,IF(AND(73%&lt;=J9,J9&lt;77%),3,IF(AND(70%&lt;=J9,J9&lt;73%),2.7,IF(AND(67%&lt;=J9,J9&lt;70%),2.3,IF(AND(63%&lt;=J9,J9&lt;67%),2,IF(AND(60%&lt;=J9,J9&lt;63%),1.7,"F"))))))))))</f>
        <v>F</v>
      </c>
      <c r="L9" s="75">
        <f>SUM(C83:C86)</f>
        <v>1</v>
      </c>
    </row>
    <row r="10" spans="1:12" ht="20.100000000000001" customHeight="1" x14ac:dyDescent="0.25">
      <c r="A10" s="95" t="s">
        <v>67</v>
      </c>
      <c r="B10" s="96" t="s">
        <v>41</v>
      </c>
      <c r="C10" s="104">
        <f t="shared" ref="C10:C13" si="6">IF(A10="YES",2%,"")</f>
        <v>0.02</v>
      </c>
      <c r="D10" s="97">
        <v>0</v>
      </c>
      <c r="E10" s="97">
        <v>20</v>
      </c>
      <c r="F10" s="98">
        <f t="shared" si="4"/>
        <v>0</v>
      </c>
      <c r="H10" s="11" t="str">
        <f>H21</f>
        <v>Applied Math III (AM 2276B)</v>
      </c>
      <c r="I10" s="36">
        <f t="shared" si="1"/>
        <v>0.5</v>
      </c>
      <c r="J10" s="45">
        <f>ROUND(IFERROR(SUMPRODUCT(J29:J30,M29:M30)/SUM(J29:J30),""),2)</f>
        <v>0</v>
      </c>
      <c r="K10" s="37" t="str">
        <f t="shared" si="5"/>
        <v>F</v>
      </c>
      <c r="L10" s="75">
        <f>IF(SUM(J23:J30)=0%,"--",SUM(J23:J30))</f>
        <v>1</v>
      </c>
    </row>
    <row r="11" spans="1:12" ht="20.100000000000001" customHeight="1" x14ac:dyDescent="0.25">
      <c r="A11" s="95" t="s">
        <v>67</v>
      </c>
      <c r="B11" s="96" t="s">
        <v>42</v>
      </c>
      <c r="C11" s="104">
        <f t="shared" si="6"/>
        <v>0.02</v>
      </c>
      <c r="D11" s="97">
        <v>0</v>
      </c>
      <c r="E11" s="97">
        <v>20</v>
      </c>
      <c r="F11" s="98">
        <f t="shared" si="4"/>
        <v>0</v>
      </c>
      <c r="H11" s="11" t="str">
        <f>H32</f>
        <v>Introduction to Electrical Engineering (ECE 2238B)</v>
      </c>
      <c r="I11" s="36">
        <f t="shared" si="1"/>
        <v>0.5</v>
      </c>
      <c r="J11" s="47">
        <f>ROUND(IFERROR(SUMPRODUCT(J34:J44,M34:M44)/SUM(J34:J44)+J45,""),2)</f>
        <v>0.05</v>
      </c>
      <c r="K11" s="37" t="str">
        <f t="shared" si="5"/>
        <v>F</v>
      </c>
      <c r="L11" s="75">
        <f>IF(SUM(J34:J44)=0%,"--",SUM(J34:J44))</f>
        <v>1</v>
      </c>
    </row>
    <row r="12" spans="1:12" ht="20.100000000000001" customHeight="1" x14ac:dyDescent="0.25">
      <c r="A12" s="95" t="s">
        <v>67</v>
      </c>
      <c r="B12" s="96" t="s">
        <v>44</v>
      </c>
      <c r="C12" s="104">
        <f t="shared" si="6"/>
        <v>0.02</v>
      </c>
      <c r="D12" s="97">
        <v>0</v>
      </c>
      <c r="E12" s="97">
        <v>20</v>
      </c>
      <c r="F12" s="98">
        <f t="shared" si="4"/>
        <v>0</v>
      </c>
      <c r="H12" s="11" t="str">
        <f>H46</f>
        <v>Engineering Communications (ES 2211G)</v>
      </c>
      <c r="I12" s="36">
        <f t="shared" si="1"/>
        <v>0.5</v>
      </c>
      <c r="J12" s="45">
        <f>ROUND(IFERROR(SUMPRODUCT(J48:J54,M48:M54)/SUM(J48:J54),""),2)</f>
        <v>0</v>
      </c>
      <c r="K12" s="37" t="str">
        <f t="shared" si="5"/>
        <v>F</v>
      </c>
      <c r="L12" s="75">
        <f>IF(SUM(J48:J54)=0%,"--",SUM(J48:J54))</f>
        <v>0.99999999999999989</v>
      </c>
    </row>
    <row r="13" spans="1:12" ht="20.100000000000001" customHeight="1" x14ac:dyDescent="0.25">
      <c r="A13" s="95" t="s">
        <v>67</v>
      </c>
      <c r="B13" s="96" t="s">
        <v>64</v>
      </c>
      <c r="C13" s="104">
        <f t="shared" si="6"/>
        <v>0.02</v>
      </c>
      <c r="D13" s="97">
        <v>0</v>
      </c>
      <c r="E13" s="97">
        <v>20</v>
      </c>
      <c r="F13" s="98">
        <f t="shared" si="4"/>
        <v>0</v>
      </c>
      <c r="H13" s="11" t="str">
        <f>H56</f>
        <v>Algorithms and Data Structure (SE 2205B)</v>
      </c>
      <c r="I13" s="36">
        <f t="shared" si="1"/>
        <v>0.5</v>
      </c>
      <c r="J13" s="45">
        <f>ROUND(IFERROR(SUMPRODUCT(J58:J66,M58:M66)/SUM(J58:J66) + J67,""),2)</f>
        <v>0.05</v>
      </c>
      <c r="K13" s="37" t="str">
        <f t="shared" si="5"/>
        <v>F</v>
      </c>
      <c r="L13" s="75">
        <f>IF(SUM(J58:J66)=0%,"--",SUM(J58:J66))</f>
        <v>1</v>
      </c>
    </row>
    <row r="14" spans="1:12" ht="20.100000000000001" customHeight="1" thickBot="1" x14ac:dyDescent="0.3">
      <c r="A14" s="95" t="s">
        <v>67</v>
      </c>
      <c r="B14" s="96" t="s">
        <v>30</v>
      </c>
      <c r="C14" s="104" t="str">
        <f>IF(A14="YES",IF(OR(C15=45%,C15=""),30%,""),"")</f>
        <v/>
      </c>
      <c r="D14" s="97">
        <v>0</v>
      </c>
      <c r="E14" s="97">
        <v>100</v>
      </c>
      <c r="F14" s="98">
        <f t="shared" si="4"/>
        <v>0</v>
      </c>
      <c r="H14" s="16" t="str">
        <f>H68</f>
        <v>Software Construction (SE 2250B)</v>
      </c>
      <c r="I14" s="41">
        <f t="shared" si="1"/>
        <v>0.5</v>
      </c>
      <c r="J14" s="124">
        <f>ROUND(IFERROR(SUMPRODUCT(J70:J76,M70:M76)/SUM(J70:J76),""),2)</f>
        <v>0</v>
      </c>
      <c r="K14" s="38" t="str">
        <f>IF(J14="","",IF(AND(90%&lt;=J14),4,IF(AND(85%&lt;=J14,J14&lt;90%),3.9,IF(AND(80%&lt;=J14,J14&lt;85%),3.7,IF(AND(77%&lt;=J14,J14&lt;80%),3.3,IF(AND(73%&lt;=J14,J14&lt;77%),3,IF(AND(70%&lt;=J14,J14&lt;73%),2.7,IF(AND(67%&lt;=J14,J14&lt;70%),2.3,IF(AND(63%&lt;=J14,J14&lt;67%),2,IF(AND(60%&lt;=J14,J14&lt;63%),1.7,"F"))))))))))</f>
        <v>F</v>
      </c>
      <c r="L14" s="76">
        <f>IF(SUM(J70:J75,J79:J81)=0%,"--",SUM(J70:J75,J79:J81))</f>
        <v>1</v>
      </c>
    </row>
    <row r="15" spans="1:12" ht="20.100000000000001" customHeight="1" thickBot="1" x14ac:dyDescent="0.3">
      <c r="A15" s="105" t="s">
        <v>67</v>
      </c>
      <c r="B15" s="106" t="s">
        <v>27</v>
      </c>
      <c r="C15" s="107">
        <f>IF(A15="YES",IF(F14&lt;=F15,75%,45%),"")</f>
        <v>0.75</v>
      </c>
      <c r="D15" s="108">
        <v>0</v>
      </c>
      <c r="E15" s="108">
        <v>100</v>
      </c>
      <c r="F15" s="109">
        <f t="shared" si="4"/>
        <v>0</v>
      </c>
    </row>
    <row r="16" spans="1:12" ht="20.100000000000001" customHeight="1" thickBot="1" x14ac:dyDescent="0.3">
      <c r="A16" s="110"/>
      <c r="B16" s="110"/>
      <c r="C16" s="110"/>
      <c r="D16" s="110"/>
      <c r="E16" s="110"/>
      <c r="F16" s="110"/>
      <c r="H16" s="164"/>
      <c r="I16" s="165"/>
      <c r="J16" s="34" t="s">
        <v>128</v>
      </c>
      <c r="K16" s="35" t="s">
        <v>57</v>
      </c>
    </row>
    <row r="17" spans="1:13" ht="20.100000000000001" customHeight="1" thickBot="1" x14ac:dyDescent="0.3">
      <c r="A17" s="143" t="s">
        <v>131</v>
      </c>
      <c r="B17" s="144"/>
      <c r="C17" s="144"/>
      <c r="D17" s="144"/>
      <c r="E17" s="144"/>
      <c r="F17" s="145"/>
      <c r="H17" s="157" t="s">
        <v>59</v>
      </c>
      <c r="I17" s="158"/>
      <c r="J17" s="40">
        <f>SUMPRODUCT(I3:I9,J3:J9)/SUM(I3:I9)</f>
        <v>7.1428571428571435E-3</v>
      </c>
      <c r="K17" s="73">
        <f>SUMPRODUCT(I3:I9,K3:K9)/SUM(I3:I9)</f>
        <v>0</v>
      </c>
    </row>
    <row r="18" spans="1:13" ht="20.100000000000001" customHeight="1" thickBot="1" x14ac:dyDescent="0.3">
      <c r="A18" s="91" t="s">
        <v>13</v>
      </c>
      <c r="B18" s="111" t="s">
        <v>14</v>
      </c>
      <c r="C18" s="112" t="s">
        <v>15</v>
      </c>
      <c r="D18" s="112" t="s">
        <v>16</v>
      </c>
      <c r="E18" s="112" t="s">
        <v>17</v>
      </c>
      <c r="F18" s="94" t="s">
        <v>18</v>
      </c>
      <c r="H18" s="155" t="s">
        <v>60</v>
      </c>
      <c r="I18" s="156"/>
      <c r="J18" s="39">
        <f>IFERROR(SUMPRODUCT(I10:I14,J10:J14)/SUM(I10:I14),"")</f>
        <v>0.02</v>
      </c>
      <c r="K18" s="74">
        <f>IFERROR(SUMPRODUCT(I10:I14,K10:K14)/SUM(I10:I14),"")</f>
        <v>0</v>
      </c>
    </row>
    <row r="19" spans="1:13" ht="20.100000000000001" customHeight="1" thickBot="1" x14ac:dyDescent="0.3">
      <c r="A19" s="95" t="s">
        <v>67</v>
      </c>
      <c r="B19" s="113" t="s">
        <v>25</v>
      </c>
      <c r="C19" s="114">
        <f>IF(A19="YES",25%,"")</f>
        <v>0.25</v>
      </c>
      <c r="D19" s="115">
        <v>0</v>
      </c>
      <c r="E19" s="115">
        <v>50</v>
      </c>
      <c r="F19" s="116">
        <f t="shared" ref="F19:F21" si="7">IF(A19="YES",D19/E19,"")</f>
        <v>0</v>
      </c>
      <c r="H19" s="166" t="s">
        <v>9</v>
      </c>
      <c r="I19" s="167"/>
      <c r="J19" s="126">
        <f>SUM(J3:J14)/12</f>
        <v>1.2500000000000002E-2</v>
      </c>
      <c r="K19" s="74">
        <f>SUMPRODUCT(I3:I14,K3:K14)/SUM(I3:I14)</f>
        <v>0</v>
      </c>
    </row>
    <row r="20" spans="1:13" ht="20.100000000000001" customHeight="1" thickBot="1" x14ac:dyDescent="0.3">
      <c r="A20" s="95" t="s">
        <v>67</v>
      </c>
      <c r="B20" s="96" t="s">
        <v>26</v>
      </c>
      <c r="C20" s="104">
        <f>IF(A20="YES",25%,"")</f>
        <v>0.25</v>
      </c>
      <c r="D20" s="97">
        <v>0</v>
      </c>
      <c r="E20" s="97">
        <v>50</v>
      </c>
      <c r="F20" s="98">
        <f t="shared" si="7"/>
        <v>0</v>
      </c>
    </row>
    <row r="21" spans="1:13" ht="20.100000000000001" customHeight="1" thickBot="1" x14ac:dyDescent="0.3">
      <c r="A21" s="105" t="s">
        <v>67</v>
      </c>
      <c r="B21" s="106" t="s">
        <v>27</v>
      </c>
      <c r="C21" s="107">
        <f>IF(A21="YES",50%,"")</f>
        <v>0.5</v>
      </c>
      <c r="D21" s="108">
        <v>0</v>
      </c>
      <c r="E21" s="108">
        <v>100</v>
      </c>
      <c r="F21" s="109">
        <f t="shared" si="7"/>
        <v>0</v>
      </c>
      <c r="H21" s="147" t="s">
        <v>32</v>
      </c>
      <c r="I21" s="148"/>
      <c r="J21" s="148"/>
      <c r="K21" s="148"/>
      <c r="L21" s="148"/>
      <c r="M21" s="149"/>
    </row>
    <row r="22" spans="1:13" ht="20.100000000000001" customHeight="1" thickBot="1" x14ac:dyDescent="0.3">
      <c r="A22" s="110"/>
      <c r="B22" s="110"/>
      <c r="C22" s="110"/>
      <c r="D22" s="110"/>
      <c r="E22" s="110"/>
      <c r="F22" s="110"/>
      <c r="H22" s="8" t="s">
        <v>13</v>
      </c>
      <c r="I22" s="2" t="s">
        <v>14</v>
      </c>
      <c r="J22" s="3" t="s">
        <v>15</v>
      </c>
      <c r="K22" s="3" t="s">
        <v>16</v>
      </c>
      <c r="L22" s="3" t="s">
        <v>17</v>
      </c>
      <c r="M22" s="9" t="s">
        <v>18</v>
      </c>
    </row>
    <row r="23" spans="1:13" ht="20.100000000000001" customHeight="1" thickBot="1" x14ac:dyDescent="0.3">
      <c r="A23" s="143" t="s">
        <v>33</v>
      </c>
      <c r="B23" s="144"/>
      <c r="C23" s="144"/>
      <c r="D23" s="144"/>
      <c r="E23" s="144"/>
      <c r="F23" s="145"/>
      <c r="H23" s="10" t="s">
        <v>67</v>
      </c>
      <c r="I23" s="11" t="s">
        <v>19</v>
      </c>
      <c r="J23" s="161"/>
      <c r="K23" s="13">
        <v>0</v>
      </c>
      <c r="L23" s="13">
        <v>10</v>
      </c>
      <c r="M23" s="14">
        <f t="shared" ref="M23:M27" si="8">IF(H23="YES",K23/L23,"")</f>
        <v>0</v>
      </c>
    </row>
    <row r="24" spans="1:13" ht="20.100000000000001" customHeight="1" thickBot="1" x14ac:dyDescent="0.3">
      <c r="A24" s="91" t="s">
        <v>13</v>
      </c>
      <c r="B24" s="117" t="s">
        <v>14</v>
      </c>
      <c r="C24" s="112" t="s">
        <v>15</v>
      </c>
      <c r="D24" s="112" t="s">
        <v>16</v>
      </c>
      <c r="E24" s="112" t="s">
        <v>17</v>
      </c>
      <c r="F24" s="94" t="s">
        <v>18</v>
      </c>
      <c r="H24" s="10" t="s">
        <v>67</v>
      </c>
      <c r="I24" s="11" t="s">
        <v>20</v>
      </c>
      <c r="J24" s="162"/>
      <c r="K24" s="13">
        <v>0</v>
      </c>
      <c r="L24" s="13">
        <v>10</v>
      </c>
      <c r="M24" s="14">
        <f t="shared" si="8"/>
        <v>0</v>
      </c>
    </row>
    <row r="25" spans="1:13" ht="20.100000000000001" customHeight="1" x14ac:dyDescent="0.25">
      <c r="A25" s="95" t="s">
        <v>67</v>
      </c>
      <c r="B25" s="96" t="s">
        <v>34</v>
      </c>
      <c r="C25" s="114">
        <f t="shared" ref="C25:C34" si="9">IF(A25="YES",1.6%,"")</f>
        <v>1.6E-2</v>
      </c>
      <c r="D25" s="115">
        <v>0</v>
      </c>
      <c r="E25" s="115">
        <v>2</v>
      </c>
      <c r="F25" s="116">
        <f t="shared" ref="F25:F37" si="10">IF(A25="YES",D25/E25,"")</f>
        <v>0</v>
      </c>
      <c r="H25" s="10" t="s">
        <v>67</v>
      </c>
      <c r="I25" s="11" t="s">
        <v>21</v>
      </c>
      <c r="J25" s="162"/>
      <c r="K25" s="13">
        <v>0</v>
      </c>
      <c r="L25" s="13">
        <v>10</v>
      </c>
      <c r="M25" s="14">
        <f t="shared" si="8"/>
        <v>0</v>
      </c>
    </row>
    <row r="26" spans="1:13" ht="20.100000000000001" customHeight="1" x14ac:dyDescent="0.25">
      <c r="A26" s="95" t="s">
        <v>67</v>
      </c>
      <c r="B26" s="96" t="s">
        <v>35</v>
      </c>
      <c r="C26" s="104">
        <f t="shared" si="9"/>
        <v>1.6E-2</v>
      </c>
      <c r="D26" s="97">
        <v>0</v>
      </c>
      <c r="E26" s="97">
        <v>2</v>
      </c>
      <c r="F26" s="98">
        <f t="shared" si="10"/>
        <v>0</v>
      </c>
      <c r="H26" s="10" t="s">
        <v>67</v>
      </c>
      <c r="I26" s="11" t="s">
        <v>22</v>
      </c>
      <c r="J26" s="162"/>
      <c r="K26" s="13">
        <v>0</v>
      </c>
      <c r="L26" s="13">
        <v>10</v>
      </c>
      <c r="M26" s="14">
        <f t="shared" si="8"/>
        <v>0</v>
      </c>
    </row>
    <row r="27" spans="1:13" ht="20.100000000000001" customHeight="1" x14ac:dyDescent="0.25">
      <c r="A27" s="95" t="s">
        <v>67</v>
      </c>
      <c r="B27" s="96" t="s">
        <v>36</v>
      </c>
      <c r="C27" s="104">
        <f t="shared" si="9"/>
        <v>1.6E-2</v>
      </c>
      <c r="D27" s="97">
        <v>0</v>
      </c>
      <c r="E27" s="97">
        <v>2</v>
      </c>
      <c r="F27" s="98">
        <f t="shared" si="10"/>
        <v>0</v>
      </c>
      <c r="H27" s="10" t="s">
        <v>67</v>
      </c>
      <c r="I27" s="11" t="s">
        <v>23</v>
      </c>
      <c r="J27" s="162"/>
      <c r="K27" s="13">
        <v>0</v>
      </c>
      <c r="L27" s="13">
        <v>10</v>
      </c>
      <c r="M27" s="14">
        <f t="shared" si="8"/>
        <v>0</v>
      </c>
    </row>
    <row r="28" spans="1:13" ht="20.100000000000001" customHeight="1" thickBot="1" x14ac:dyDescent="0.3">
      <c r="A28" s="95" t="s">
        <v>67</v>
      </c>
      <c r="B28" s="96" t="s">
        <v>37</v>
      </c>
      <c r="C28" s="104">
        <f t="shared" si="9"/>
        <v>1.6E-2</v>
      </c>
      <c r="D28" s="97">
        <v>0</v>
      </c>
      <c r="E28" s="97">
        <v>2</v>
      </c>
      <c r="F28" s="98">
        <f t="shared" si="10"/>
        <v>0</v>
      </c>
      <c r="H28" s="10" t="s">
        <v>67</v>
      </c>
      <c r="I28" s="11" t="s">
        <v>24</v>
      </c>
      <c r="J28" s="163"/>
      <c r="K28" s="13">
        <v>0</v>
      </c>
      <c r="L28" s="13">
        <v>10</v>
      </c>
      <c r="M28" s="14">
        <f>IF(H28="YES",K28/L28,"")</f>
        <v>0</v>
      </c>
    </row>
    <row r="29" spans="1:13" ht="20.100000000000001" customHeight="1" thickBot="1" x14ac:dyDescent="0.3">
      <c r="A29" s="95" t="s">
        <v>67</v>
      </c>
      <c r="B29" s="96" t="s">
        <v>38</v>
      </c>
      <c r="C29" s="104">
        <f t="shared" si="9"/>
        <v>1.6E-2</v>
      </c>
      <c r="D29" s="97">
        <v>0</v>
      </c>
      <c r="E29" s="97">
        <v>2</v>
      </c>
      <c r="F29" s="98">
        <f t="shared" si="10"/>
        <v>0</v>
      </c>
      <c r="H29" s="77" t="s">
        <v>67</v>
      </c>
      <c r="I29" s="2" t="s">
        <v>130</v>
      </c>
      <c r="J29" s="78">
        <f>IF(H29="YES",40%,"")</f>
        <v>0.4</v>
      </c>
      <c r="K29" s="80">
        <f>SUM(K23:K28)-MIN(K23:K28)</f>
        <v>0</v>
      </c>
      <c r="L29" s="80">
        <f>SUM(L23:L28)-10</f>
        <v>50</v>
      </c>
      <c r="M29" s="79">
        <f>IF(H29="YES",K29/L29,"")</f>
        <v>0</v>
      </c>
    </row>
    <row r="30" spans="1:13" ht="20.100000000000001" customHeight="1" thickBot="1" x14ac:dyDescent="0.3">
      <c r="A30" s="95" t="s">
        <v>67</v>
      </c>
      <c r="B30" s="96" t="s">
        <v>39</v>
      </c>
      <c r="C30" s="104">
        <f t="shared" si="9"/>
        <v>1.6E-2</v>
      </c>
      <c r="D30" s="97">
        <v>0</v>
      </c>
      <c r="E30" s="97">
        <v>2</v>
      </c>
      <c r="F30" s="98">
        <f t="shared" si="10"/>
        <v>0</v>
      </c>
      <c r="H30" s="15" t="s">
        <v>67</v>
      </c>
      <c r="I30" s="16" t="s">
        <v>27</v>
      </c>
      <c r="J30" s="17">
        <f>IF(H30="YES",60%,"")</f>
        <v>0.6</v>
      </c>
      <c r="K30" s="18">
        <v>0</v>
      </c>
      <c r="L30" s="18">
        <v>100</v>
      </c>
      <c r="M30" s="19">
        <f>IF(H30="YES",K30/L30,"")</f>
        <v>0</v>
      </c>
    </row>
    <row r="31" spans="1:13" ht="20.100000000000001" customHeight="1" thickBot="1" x14ac:dyDescent="0.3">
      <c r="A31" s="95" t="s">
        <v>67</v>
      </c>
      <c r="B31" s="96" t="s">
        <v>28</v>
      </c>
      <c r="C31" s="104">
        <f t="shared" si="9"/>
        <v>1.6E-2</v>
      </c>
      <c r="D31" s="97">
        <v>0</v>
      </c>
      <c r="E31" s="97">
        <v>2</v>
      </c>
      <c r="F31" s="98">
        <f t="shared" si="10"/>
        <v>0</v>
      </c>
    </row>
    <row r="32" spans="1:13" ht="20.100000000000001" customHeight="1" thickBot="1" x14ac:dyDescent="0.3">
      <c r="A32" s="95" t="s">
        <v>67</v>
      </c>
      <c r="B32" s="96" t="s">
        <v>29</v>
      </c>
      <c r="C32" s="104">
        <f t="shared" si="9"/>
        <v>1.6E-2</v>
      </c>
      <c r="D32" s="97">
        <v>0</v>
      </c>
      <c r="E32" s="97">
        <v>2</v>
      </c>
      <c r="F32" s="98">
        <f t="shared" si="10"/>
        <v>0</v>
      </c>
      <c r="H32" s="147" t="s">
        <v>43</v>
      </c>
      <c r="I32" s="148"/>
      <c r="J32" s="148"/>
      <c r="K32" s="148"/>
      <c r="L32" s="148"/>
      <c r="M32" s="149"/>
    </row>
    <row r="33" spans="1:13" ht="20.100000000000001" customHeight="1" thickBot="1" x14ac:dyDescent="0.3">
      <c r="A33" s="95" t="s">
        <v>67</v>
      </c>
      <c r="B33" s="96" t="s">
        <v>65</v>
      </c>
      <c r="C33" s="104">
        <f t="shared" si="9"/>
        <v>1.6E-2</v>
      </c>
      <c r="D33" s="97">
        <v>0</v>
      </c>
      <c r="E33" s="97">
        <v>2</v>
      </c>
      <c r="F33" s="98">
        <f t="shared" si="10"/>
        <v>0</v>
      </c>
      <c r="H33" s="8" t="s">
        <v>13</v>
      </c>
      <c r="I33" s="26" t="s">
        <v>14</v>
      </c>
      <c r="J33" s="21" t="s">
        <v>15</v>
      </c>
      <c r="K33" s="21" t="s">
        <v>16</v>
      </c>
      <c r="L33" s="21" t="s">
        <v>17</v>
      </c>
      <c r="M33" s="9" t="s">
        <v>18</v>
      </c>
    </row>
    <row r="34" spans="1:13" ht="20.100000000000001" customHeight="1" x14ac:dyDescent="0.25">
      <c r="A34" s="95" t="s">
        <v>67</v>
      </c>
      <c r="B34" s="96" t="s">
        <v>66</v>
      </c>
      <c r="C34" s="104">
        <f t="shared" si="9"/>
        <v>1.6E-2</v>
      </c>
      <c r="D34" s="97">
        <v>0</v>
      </c>
      <c r="E34" s="97">
        <v>2</v>
      </c>
      <c r="F34" s="98">
        <f t="shared" si="10"/>
        <v>0</v>
      </c>
      <c r="H34" s="10" t="s">
        <v>67</v>
      </c>
      <c r="I34" s="11" t="s">
        <v>34</v>
      </c>
      <c r="J34" s="23">
        <f>IF(H34="YES",4%,"")</f>
        <v>0.04</v>
      </c>
      <c r="K34" s="24">
        <v>0</v>
      </c>
      <c r="L34" s="24">
        <v>100</v>
      </c>
      <c r="M34" s="25">
        <f t="shared" ref="M34:M38" si="11">IF(H34="YES",K34/L34,"")</f>
        <v>0</v>
      </c>
    </row>
    <row r="35" spans="1:13" ht="20.100000000000001" customHeight="1" x14ac:dyDescent="0.25">
      <c r="A35" s="95" t="s">
        <v>67</v>
      </c>
      <c r="B35" s="96" t="s">
        <v>19</v>
      </c>
      <c r="C35" s="104">
        <f>IF(A35="YES",3%,"")</f>
        <v>0.03</v>
      </c>
      <c r="D35" s="97">
        <v>0</v>
      </c>
      <c r="E35" s="97">
        <v>9</v>
      </c>
      <c r="F35" s="98">
        <f t="shared" si="10"/>
        <v>0</v>
      </c>
      <c r="H35" s="10" t="s">
        <v>67</v>
      </c>
      <c r="I35" s="11" t="s">
        <v>35</v>
      </c>
      <c r="J35" s="12">
        <f t="shared" ref="J35:J37" si="12">IF(H35="YES",4%,"")</f>
        <v>0.04</v>
      </c>
      <c r="K35" s="13">
        <v>0</v>
      </c>
      <c r="L35" s="13">
        <v>100</v>
      </c>
      <c r="M35" s="14">
        <f t="shared" si="11"/>
        <v>0</v>
      </c>
    </row>
    <row r="36" spans="1:13" ht="20.100000000000001" customHeight="1" x14ac:dyDescent="0.25">
      <c r="A36" s="95" t="s">
        <v>67</v>
      </c>
      <c r="B36" s="96" t="s">
        <v>20</v>
      </c>
      <c r="C36" s="104">
        <f>IF(A36="YES",3%,"")</f>
        <v>0.03</v>
      </c>
      <c r="D36" s="97">
        <v>0</v>
      </c>
      <c r="E36" s="97">
        <v>9</v>
      </c>
      <c r="F36" s="98">
        <f t="shared" si="10"/>
        <v>0</v>
      </c>
      <c r="H36" s="10" t="s">
        <v>67</v>
      </c>
      <c r="I36" s="11" t="s">
        <v>36</v>
      </c>
      <c r="J36" s="12">
        <f t="shared" si="12"/>
        <v>0.04</v>
      </c>
      <c r="K36" s="13">
        <v>0</v>
      </c>
      <c r="L36" s="13">
        <v>100</v>
      </c>
      <c r="M36" s="14">
        <f t="shared" si="11"/>
        <v>0</v>
      </c>
    </row>
    <row r="37" spans="1:13" ht="20.100000000000001" customHeight="1" x14ac:dyDescent="0.25">
      <c r="A37" s="95" t="s">
        <v>67</v>
      </c>
      <c r="B37" s="96" t="s">
        <v>21</v>
      </c>
      <c r="C37" s="104">
        <f>IF(A37="YES",3%,"")</f>
        <v>0.03</v>
      </c>
      <c r="D37" s="97">
        <v>0</v>
      </c>
      <c r="E37" s="97">
        <v>9</v>
      </c>
      <c r="F37" s="98">
        <f t="shared" si="10"/>
        <v>0</v>
      </c>
      <c r="H37" s="10" t="s">
        <v>67</v>
      </c>
      <c r="I37" s="11" t="s">
        <v>37</v>
      </c>
      <c r="J37" s="12">
        <f t="shared" si="12"/>
        <v>0.04</v>
      </c>
      <c r="K37" s="13">
        <v>0</v>
      </c>
      <c r="L37" s="13">
        <v>100</v>
      </c>
      <c r="M37" s="14">
        <f t="shared" si="11"/>
        <v>0</v>
      </c>
    </row>
    <row r="38" spans="1:13" ht="20.100000000000001" customHeight="1" x14ac:dyDescent="0.25">
      <c r="A38" s="95" t="s">
        <v>67</v>
      </c>
      <c r="B38" s="96" t="s">
        <v>40</v>
      </c>
      <c r="C38" s="104">
        <f>IF(A38="YES",5%,"")</f>
        <v>0.05</v>
      </c>
      <c r="D38" s="97">
        <v>0</v>
      </c>
      <c r="E38" s="97">
        <v>100</v>
      </c>
      <c r="F38" s="98">
        <f>IF(A38="YES",D38/E38,"")</f>
        <v>0</v>
      </c>
      <c r="H38" s="10" t="s">
        <v>67</v>
      </c>
      <c r="I38" s="11" t="s">
        <v>38</v>
      </c>
      <c r="J38" s="12">
        <f>IF(H38="YES",4%,"")</f>
        <v>0.04</v>
      </c>
      <c r="K38" s="13">
        <v>0</v>
      </c>
      <c r="L38" s="13">
        <v>100</v>
      </c>
      <c r="M38" s="14">
        <f t="shared" si="11"/>
        <v>0</v>
      </c>
    </row>
    <row r="39" spans="1:13" ht="20.100000000000001" customHeight="1" x14ac:dyDescent="0.25">
      <c r="A39" s="95" t="s">
        <v>67</v>
      </c>
      <c r="B39" s="96" t="s">
        <v>41</v>
      </c>
      <c r="C39" s="104">
        <f>IF(A39="YES",5%,"")</f>
        <v>0.05</v>
      </c>
      <c r="D39" s="97">
        <v>0</v>
      </c>
      <c r="E39" s="97">
        <v>100</v>
      </c>
      <c r="F39" s="98">
        <f>IF(A39="YES",D39/E39,"")</f>
        <v>0</v>
      </c>
      <c r="H39" s="10" t="s">
        <v>67</v>
      </c>
      <c r="I39" s="11" t="s">
        <v>40</v>
      </c>
      <c r="J39" s="12">
        <f>IF(H39="YES",2.5%,"")</f>
        <v>2.5000000000000001E-2</v>
      </c>
      <c r="K39" s="13">
        <v>0</v>
      </c>
      <c r="L39" s="13">
        <v>100</v>
      </c>
      <c r="M39" s="14">
        <f t="shared" ref="M39:M44" si="13">IF(H39="YES",K39/L39,"")</f>
        <v>0</v>
      </c>
    </row>
    <row r="40" spans="1:13" ht="20.100000000000001" customHeight="1" x14ac:dyDescent="0.25">
      <c r="A40" s="95" t="s">
        <v>67</v>
      </c>
      <c r="B40" s="96" t="s">
        <v>42</v>
      </c>
      <c r="C40" s="104">
        <f>IF(A40="YES",5%,"")</f>
        <v>0.05</v>
      </c>
      <c r="D40" s="97">
        <v>0</v>
      </c>
      <c r="E40" s="97">
        <v>100</v>
      </c>
      <c r="F40" s="98">
        <f>IF(A40="YES",D40/E40,"")</f>
        <v>0</v>
      </c>
      <c r="H40" s="10" t="s">
        <v>67</v>
      </c>
      <c r="I40" s="11" t="s">
        <v>41</v>
      </c>
      <c r="J40" s="12">
        <f t="shared" ref="J40:J42" si="14">IF(H40="YES",2.5%,"")</f>
        <v>2.5000000000000001E-2</v>
      </c>
      <c r="K40" s="13">
        <v>0</v>
      </c>
      <c r="L40" s="13">
        <v>100</v>
      </c>
      <c r="M40" s="14">
        <f t="shared" si="13"/>
        <v>0</v>
      </c>
    </row>
    <row r="41" spans="1:13" ht="20.100000000000001" customHeight="1" x14ac:dyDescent="0.25">
      <c r="A41" s="95" t="s">
        <v>67</v>
      </c>
      <c r="B41" s="96" t="s">
        <v>30</v>
      </c>
      <c r="C41" s="104" t="str">
        <f>IF(A41="YES",IF(OR(C42=40%,C42=""),20%,""),"")</f>
        <v/>
      </c>
      <c r="D41" s="97">
        <v>0</v>
      </c>
      <c r="E41" s="97">
        <v>100</v>
      </c>
      <c r="F41" s="98">
        <f>IF(A41="YES",D41/E41,"")</f>
        <v>0</v>
      </c>
      <c r="H41" s="10" t="s">
        <v>67</v>
      </c>
      <c r="I41" s="11" t="s">
        <v>42</v>
      </c>
      <c r="J41" s="12">
        <f t="shared" si="14"/>
        <v>2.5000000000000001E-2</v>
      </c>
      <c r="K41" s="13">
        <v>0</v>
      </c>
      <c r="L41" s="13">
        <v>100</v>
      </c>
      <c r="M41" s="14">
        <f t="shared" si="13"/>
        <v>0</v>
      </c>
    </row>
    <row r="42" spans="1:13" ht="20.100000000000001" customHeight="1" thickBot="1" x14ac:dyDescent="0.3">
      <c r="A42" s="105" t="s">
        <v>67</v>
      </c>
      <c r="B42" s="106" t="s">
        <v>27</v>
      </c>
      <c r="C42" s="107">
        <f>IF(A42="YES",IF(F41&lt;=F42,60%,40%),"")</f>
        <v>0.6</v>
      </c>
      <c r="D42" s="108">
        <v>0</v>
      </c>
      <c r="E42" s="108">
        <v>100</v>
      </c>
      <c r="F42" s="109">
        <f>IF(A42="YES",D42/E42,"")</f>
        <v>0</v>
      </c>
      <c r="H42" s="10" t="s">
        <v>67</v>
      </c>
      <c r="I42" s="11" t="s">
        <v>44</v>
      </c>
      <c r="J42" s="12">
        <f t="shared" si="14"/>
        <v>2.5000000000000001E-2</v>
      </c>
      <c r="K42" s="13">
        <v>0</v>
      </c>
      <c r="L42" s="13">
        <v>100</v>
      </c>
      <c r="M42" s="14">
        <f t="shared" si="13"/>
        <v>0</v>
      </c>
    </row>
    <row r="43" spans="1:13" ht="20.100000000000001" customHeight="1" thickBot="1" x14ac:dyDescent="0.3">
      <c r="A43" s="110"/>
      <c r="B43" s="110"/>
      <c r="C43" s="110"/>
      <c r="D43" s="110"/>
      <c r="E43" s="110"/>
      <c r="F43" s="118"/>
      <c r="H43" s="10" t="s">
        <v>67</v>
      </c>
      <c r="I43" s="11" t="s">
        <v>30</v>
      </c>
      <c r="J43" s="12">
        <f>IF(H43="YES",20%,"")</f>
        <v>0.2</v>
      </c>
      <c r="K43" s="13">
        <v>0</v>
      </c>
      <c r="L43" s="13">
        <v>100</v>
      </c>
      <c r="M43" s="14">
        <f t="shared" si="13"/>
        <v>0</v>
      </c>
    </row>
    <row r="44" spans="1:13" ht="20.100000000000001" customHeight="1" thickBot="1" x14ac:dyDescent="0.3">
      <c r="A44" s="143" t="s">
        <v>45</v>
      </c>
      <c r="B44" s="144"/>
      <c r="C44" s="144"/>
      <c r="D44" s="144"/>
      <c r="E44" s="144"/>
      <c r="F44" s="145"/>
      <c r="H44" s="15" t="s">
        <v>67</v>
      </c>
      <c r="I44" s="16" t="s">
        <v>27</v>
      </c>
      <c r="J44" s="17">
        <f>IF(H44="YES",50%,"")</f>
        <v>0.5</v>
      </c>
      <c r="K44" s="18">
        <v>0</v>
      </c>
      <c r="L44" s="18">
        <v>100</v>
      </c>
      <c r="M44" s="19">
        <f t="shared" si="13"/>
        <v>0</v>
      </c>
    </row>
    <row r="45" spans="1:13" ht="20.100000000000001" customHeight="1" thickBot="1" x14ac:dyDescent="0.3">
      <c r="A45" s="91" t="s">
        <v>13</v>
      </c>
      <c r="B45" s="92" t="s">
        <v>14</v>
      </c>
      <c r="C45" s="93" t="s">
        <v>15</v>
      </c>
      <c r="D45" s="93" t="s">
        <v>16</v>
      </c>
      <c r="E45" s="93" t="s">
        <v>17</v>
      </c>
      <c r="F45" s="94" t="s">
        <v>18</v>
      </c>
      <c r="I45" s="11" t="s">
        <v>129</v>
      </c>
      <c r="J45" s="81">
        <v>0.05</v>
      </c>
    </row>
    <row r="46" spans="1:13" ht="20.100000000000001" customHeight="1" thickBot="1" x14ac:dyDescent="0.3">
      <c r="A46" s="95" t="s">
        <v>67</v>
      </c>
      <c r="B46" s="96" t="s">
        <v>19</v>
      </c>
      <c r="C46" s="119"/>
      <c r="D46" s="97">
        <v>0</v>
      </c>
      <c r="E46" s="97">
        <v>10</v>
      </c>
      <c r="F46" s="98">
        <f t="shared" ref="F46:F50" si="15">IF(A46="YES",D46/E46,"")</f>
        <v>0</v>
      </c>
      <c r="H46" s="147" t="s">
        <v>46</v>
      </c>
      <c r="I46" s="148"/>
      <c r="J46" s="148"/>
      <c r="K46" s="148"/>
      <c r="L46" s="148"/>
      <c r="M46" s="149"/>
    </row>
    <row r="47" spans="1:13" ht="20.100000000000001" customHeight="1" thickBot="1" x14ac:dyDescent="0.3">
      <c r="A47" s="95" t="s">
        <v>67</v>
      </c>
      <c r="B47" s="96" t="s">
        <v>20</v>
      </c>
      <c r="C47" s="120"/>
      <c r="D47" s="97">
        <v>0</v>
      </c>
      <c r="E47" s="97">
        <v>10</v>
      </c>
      <c r="F47" s="98">
        <f t="shared" si="15"/>
        <v>0</v>
      </c>
      <c r="H47" s="8" t="s">
        <v>13</v>
      </c>
      <c r="I47" s="2" t="s">
        <v>14</v>
      </c>
      <c r="J47" s="3" t="s">
        <v>15</v>
      </c>
      <c r="K47" s="3" t="s">
        <v>16</v>
      </c>
      <c r="L47" s="3" t="s">
        <v>17</v>
      </c>
      <c r="M47" s="9" t="s">
        <v>18</v>
      </c>
    </row>
    <row r="48" spans="1:13" ht="20.100000000000001" customHeight="1" x14ac:dyDescent="0.25">
      <c r="A48" s="95" t="s">
        <v>67</v>
      </c>
      <c r="B48" s="96" t="s">
        <v>21</v>
      </c>
      <c r="C48" s="120"/>
      <c r="D48" s="97">
        <v>0</v>
      </c>
      <c r="E48" s="97">
        <v>10</v>
      </c>
      <c r="F48" s="98">
        <f t="shared" si="15"/>
        <v>0</v>
      </c>
      <c r="H48" s="10" t="s">
        <v>67</v>
      </c>
      <c r="I48" s="11" t="s">
        <v>40</v>
      </c>
      <c r="J48" s="12">
        <f>IF(H48="YES",10%,"")</f>
        <v>0.1</v>
      </c>
      <c r="K48" s="13">
        <v>0</v>
      </c>
      <c r="L48" s="13">
        <v>100</v>
      </c>
      <c r="M48" s="14">
        <f t="shared" ref="M48:M54" si="16">IF(H48="YES",K48/L48,"")</f>
        <v>0</v>
      </c>
    </row>
    <row r="49" spans="1:13" ht="20.100000000000001" customHeight="1" x14ac:dyDescent="0.25">
      <c r="A49" s="95" t="s">
        <v>67</v>
      </c>
      <c r="B49" s="96" t="s">
        <v>22</v>
      </c>
      <c r="C49" s="120"/>
      <c r="D49" s="97">
        <v>0</v>
      </c>
      <c r="E49" s="97">
        <v>10</v>
      </c>
      <c r="F49" s="98">
        <f t="shared" si="15"/>
        <v>0</v>
      </c>
      <c r="H49" s="10" t="s">
        <v>67</v>
      </c>
      <c r="I49" s="11" t="s">
        <v>41</v>
      </c>
      <c r="J49" s="12">
        <f>IF(H49="YES",15%,"")</f>
        <v>0.15</v>
      </c>
      <c r="K49" s="13">
        <v>0</v>
      </c>
      <c r="L49" s="13">
        <v>100</v>
      </c>
      <c r="M49" s="14">
        <f t="shared" si="16"/>
        <v>0</v>
      </c>
    </row>
    <row r="50" spans="1:13" ht="20.100000000000001" customHeight="1" x14ac:dyDescent="0.25">
      <c r="A50" s="95" t="s">
        <v>67</v>
      </c>
      <c r="B50" s="96" t="s">
        <v>23</v>
      </c>
      <c r="C50" s="120"/>
      <c r="D50" s="97">
        <v>0</v>
      </c>
      <c r="E50" s="97">
        <v>10</v>
      </c>
      <c r="F50" s="98">
        <f t="shared" si="15"/>
        <v>0</v>
      </c>
      <c r="H50" s="10" t="s">
        <v>67</v>
      </c>
      <c r="I50" s="11" t="s">
        <v>42</v>
      </c>
      <c r="J50" s="12">
        <f>IF(H50="YES",10%,"")</f>
        <v>0.1</v>
      </c>
      <c r="K50" s="13">
        <v>0</v>
      </c>
      <c r="L50" s="13">
        <v>100</v>
      </c>
      <c r="M50" s="14">
        <f t="shared" si="16"/>
        <v>0</v>
      </c>
    </row>
    <row r="51" spans="1:13" ht="20.100000000000001" customHeight="1" thickBot="1" x14ac:dyDescent="0.3">
      <c r="A51" s="95" t="s">
        <v>67</v>
      </c>
      <c r="B51" s="96" t="s">
        <v>24</v>
      </c>
      <c r="C51" s="121"/>
      <c r="D51" s="97">
        <v>0</v>
      </c>
      <c r="E51" s="97">
        <v>10</v>
      </c>
      <c r="F51" s="98">
        <f t="shared" ref="F51" si="17">IF(A51="YES",D51/E51,"")</f>
        <v>0</v>
      </c>
      <c r="H51" s="10" t="s">
        <v>67</v>
      </c>
      <c r="I51" s="11" t="s">
        <v>44</v>
      </c>
      <c r="J51" s="12">
        <f>IF(H51="YES",30%,"")</f>
        <v>0.3</v>
      </c>
      <c r="K51" s="13">
        <v>0</v>
      </c>
      <c r="L51" s="13">
        <v>100</v>
      </c>
      <c r="M51" s="14">
        <f t="shared" si="16"/>
        <v>0</v>
      </c>
    </row>
    <row r="52" spans="1:13" ht="20.100000000000001" customHeight="1" thickBot="1" x14ac:dyDescent="0.3">
      <c r="A52" s="99" t="s">
        <v>67</v>
      </c>
      <c r="B52" s="92" t="s">
        <v>130</v>
      </c>
      <c r="C52" s="100">
        <f>10%</f>
        <v>0.1</v>
      </c>
      <c r="D52" s="101">
        <f>SUM(D46:D51)-MIN(D46:D51)</f>
        <v>0</v>
      </c>
      <c r="E52" s="102">
        <v>50</v>
      </c>
      <c r="F52" s="103">
        <f t="shared" ref="F52:F58" si="18">IF(A52="YES",D52/E52,"")</f>
        <v>0</v>
      </c>
      <c r="H52" s="10" t="s">
        <v>67</v>
      </c>
      <c r="I52" s="11" t="s">
        <v>47</v>
      </c>
      <c r="J52" s="12">
        <f>IF(H52="YES",10%,"")</f>
        <v>0.1</v>
      </c>
      <c r="K52" s="13">
        <v>0</v>
      </c>
      <c r="L52" s="13">
        <v>100</v>
      </c>
      <c r="M52" s="14">
        <f t="shared" si="16"/>
        <v>0</v>
      </c>
    </row>
    <row r="53" spans="1:13" ht="20.100000000000001" customHeight="1" x14ac:dyDescent="0.25">
      <c r="A53" s="95" t="s">
        <v>67</v>
      </c>
      <c r="B53" s="96" t="s">
        <v>34</v>
      </c>
      <c r="C53" s="104">
        <f>IF(A53="YES",5%,"")</f>
        <v>0.05</v>
      </c>
      <c r="D53" s="97">
        <v>0</v>
      </c>
      <c r="E53" s="97">
        <v>20</v>
      </c>
      <c r="F53" s="98">
        <f t="shared" si="18"/>
        <v>0</v>
      </c>
      <c r="H53" s="10" t="s">
        <v>67</v>
      </c>
      <c r="I53" s="11" t="s">
        <v>48</v>
      </c>
      <c r="J53" s="12">
        <f>IF(H53="YES",10%,"")</f>
        <v>0.1</v>
      </c>
      <c r="K53" s="13">
        <v>0</v>
      </c>
      <c r="L53" s="13">
        <v>100</v>
      </c>
      <c r="M53" s="14">
        <f t="shared" si="16"/>
        <v>0</v>
      </c>
    </row>
    <row r="54" spans="1:13" ht="20.100000000000001" customHeight="1" thickBot="1" x14ac:dyDescent="0.3">
      <c r="A54" s="95" t="s">
        <v>67</v>
      </c>
      <c r="B54" s="96" t="s">
        <v>35</v>
      </c>
      <c r="C54" s="104">
        <f>IF(A54="YES",5%,"")</f>
        <v>0.05</v>
      </c>
      <c r="D54" s="97">
        <v>0</v>
      </c>
      <c r="E54" s="97">
        <v>20</v>
      </c>
      <c r="F54" s="98">
        <f t="shared" si="18"/>
        <v>0</v>
      </c>
      <c r="H54" s="15" t="s">
        <v>67</v>
      </c>
      <c r="I54" s="16" t="s">
        <v>49</v>
      </c>
      <c r="J54" s="17">
        <f>IF(H54="YES",15%,"")</f>
        <v>0.15</v>
      </c>
      <c r="K54" s="18">
        <v>0</v>
      </c>
      <c r="L54" s="18">
        <v>15</v>
      </c>
      <c r="M54" s="19">
        <f t="shared" si="16"/>
        <v>0</v>
      </c>
    </row>
    <row r="55" spans="1:13" ht="20.100000000000001" customHeight="1" thickBot="1" x14ac:dyDescent="0.3">
      <c r="A55" s="95" t="s">
        <v>67</v>
      </c>
      <c r="B55" s="96" t="s">
        <v>36</v>
      </c>
      <c r="C55" s="104">
        <f>IF(A55="YES",5%,"")</f>
        <v>0.05</v>
      </c>
      <c r="D55" s="97">
        <v>0</v>
      </c>
      <c r="E55" s="97">
        <v>20</v>
      </c>
      <c r="F55" s="98">
        <f t="shared" si="18"/>
        <v>0</v>
      </c>
    </row>
    <row r="56" spans="1:13" ht="20.100000000000001" customHeight="1" thickBot="1" x14ac:dyDescent="0.3">
      <c r="A56" s="95" t="s">
        <v>67</v>
      </c>
      <c r="B56" s="96" t="s">
        <v>37</v>
      </c>
      <c r="C56" s="104">
        <f>IF(A56="YES",5%,"")</f>
        <v>0.05</v>
      </c>
      <c r="D56" s="97">
        <v>0</v>
      </c>
      <c r="E56" s="97">
        <v>20</v>
      </c>
      <c r="F56" s="98">
        <f t="shared" si="18"/>
        <v>0</v>
      </c>
      <c r="H56" s="147" t="s">
        <v>52</v>
      </c>
      <c r="I56" s="148"/>
      <c r="J56" s="148"/>
      <c r="K56" s="148"/>
      <c r="L56" s="148"/>
      <c r="M56" s="149"/>
    </row>
    <row r="57" spans="1:13" ht="20.100000000000001" customHeight="1" thickBot="1" x14ac:dyDescent="0.3">
      <c r="A57" s="95" t="s">
        <v>67</v>
      </c>
      <c r="B57" s="96" t="s">
        <v>30</v>
      </c>
      <c r="C57" s="104">
        <f>IF(A57="YES",20%,"")</f>
        <v>0.2</v>
      </c>
      <c r="D57" s="97">
        <v>0</v>
      </c>
      <c r="E57" s="97">
        <v>90</v>
      </c>
      <c r="F57" s="98">
        <f t="shared" si="18"/>
        <v>0</v>
      </c>
      <c r="H57" s="8" t="s">
        <v>13</v>
      </c>
      <c r="I57" s="26" t="s">
        <v>14</v>
      </c>
      <c r="J57" s="21" t="s">
        <v>15</v>
      </c>
      <c r="K57" s="21" t="s">
        <v>16</v>
      </c>
      <c r="L57" s="21" t="s">
        <v>17</v>
      </c>
      <c r="M57" s="9" t="s">
        <v>18</v>
      </c>
    </row>
    <row r="58" spans="1:13" ht="20.100000000000001" customHeight="1" thickBot="1" x14ac:dyDescent="0.3">
      <c r="A58" s="105" t="s">
        <v>67</v>
      </c>
      <c r="B58" s="106" t="s">
        <v>27</v>
      </c>
      <c r="C58" s="107">
        <f>IF(A58="YES",50%,"")</f>
        <v>0.5</v>
      </c>
      <c r="D58" s="108">
        <v>0</v>
      </c>
      <c r="E58" s="108">
        <v>100</v>
      </c>
      <c r="F58" s="109">
        <f t="shared" si="18"/>
        <v>0</v>
      </c>
      <c r="H58" s="10" t="s">
        <v>67</v>
      </c>
      <c r="I58" s="11" t="s">
        <v>40</v>
      </c>
      <c r="J58" s="23">
        <f>IF(H58="YES",9%,"")</f>
        <v>0.09</v>
      </c>
      <c r="K58" s="24">
        <v>0</v>
      </c>
      <c r="L58" s="24">
        <v>50</v>
      </c>
      <c r="M58" s="25">
        <f t="shared" ref="M58:M59" si="19">IF(H58="YES",K58/L58,"")</f>
        <v>0</v>
      </c>
    </row>
    <row r="59" spans="1:13" ht="20.100000000000001" customHeight="1" thickBot="1" x14ac:dyDescent="0.3">
      <c r="A59" s="110"/>
      <c r="B59" s="110"/>
      <c r="C59" s="110"/>
      <c r="D59" s="110"/>
      <c r="E59" s="110"/>
      <c r="F59" s="110"/>
      <c r="H59" s="10" t="s">
        <v>67</v>
      </c>
      <c r="I59" s="11" t="s">
        <v>41</v>
      </c>
      <c r="J59" s="12">
        <f>IF(H59="YES",9%,"")</f>
        <v>0.09</v>
      </c>
      <c r="K59" s="13">
        <v>0</v>
      </c>
      <c r="L59" s="13">
        <v>50</v>
      </c>
      <c r="M59" s="14">
        <f t="shared" si="19"/>
        <v>0</v>
      </c>
    </row>
    <row r="60" spans="1:13" ht="20.100000000000001" customHeight="1" thickBot="1" x14ac:dyDescent="0.3">
      <c r="A60" s="143" t="s">
        <v>50</v>
      </c>
      <c r="B60" s="144"/>
      <c r="C60" s="144"/>
      <c r="D60" s="144"/>
      <c r="E60" s="144"/>
      <c r="F60" s="145"/>
      <c r="H60" s="10" t="s">
        <v>67</v>
      </c>
      <c r="I60" s="11" t="s">
        <v>34</v>
      </c>
      <c r="J60" s="12">
        <f>IF(H60="YES",(12/5)%,"")</f>
        <v>2.4E-2</v>
      </c>
      <c r="K60" s="13">
        <v>0</v>
      </c>
      <c r="L60" s="13">
        <v>20</v>
      </c>
      <c r="M60" s="14">
        <f t="shared" ref="M60:M66" si="20">IF(H60="YES",K60/L60,"")</f>
        <v>0</v>
      </c>
    </row>
    <row r="61" spans="1:13" ht="20.100000000000001" customHeight="1" thickBot="1" x14ac:dyDescent="0.3">
      <c r="A61" s="91" t="s">
        <v>13</v>
      </c>
      <c r="B61" s="111" t="s">
        <v>14</v>
      </c>
      <c r="C61" s="112" t="s">
        <v>15</v>
      </c>
      <c r="D61" s="112" t="s">
        <v>16</v>
      </c>
      <c r="E61" s="112" t="s">
        <v>17</v>
      </c>
      <c r="F61" s="94" t="s">
        <v>18</v>
      </c>
      <c r="H61" s="10" t="s">
        <v>67</v>
      </c>
      <c r="I61" s="11" t="s">
        <v>35</v>
      </c>
      <c r="J61" s="12">
        <f t="shared" ref="J61:J64" si="21">IF(H61="YES",(12/5)%,"")</f>
        <v>2.4E-2</v>
      </c>
      <c r="K61" s="13">
        <v>0</v>
      </c>
      <c r="L61" s="13">
        <v>20</v>
      </c>
      <c r="M61" s="14">
        <f t="shared" si="20"/>
        <v>0</v>
      </c>
    </row>
    <row r="62" spans="1:13" ht="20.100000000000001" customHeight="1" x14ac:dyDescent="0.25">
      <c r="A62" s="95" t="s">
        <v>67</v>
      </c>
      <c r="B62" s="113" t="s">
        <v>25</v>
      </c>
      <c r="C62" s="114">
        <f>IF(A62="YES",25%,"")</f>
        <v>0.25</v>
      </c>
      <c r="D62" s="115">
        <v>0</v>
      </c>
      <c r="E62" s="115">
        <v>55</v>
      </c>
      <c r="F62" s="116">
        <f t="shared" ref="F62:F64" si="22">IF(A62="YES",D62/E62,"")</f>
        <v>0</v>
      </c>
      <c r="H62" s="10" t="s">
        <v>67</v>
      </c>
      <c r="I62" s="11" t="s">
        <v>36</v>
      </c>
      <c r="J62" s="12">
        <f t="shared" si="21"/>
        <v>2.4E-2</v>
      </c>
      <c r="K62" s="13">
        <v>0</v>
      </c>
      <c r="L62" s="13">
        <v>20</v>
      </c>
      <c r="M62" s="14">
        <f t="shared" si="20"/>
        <v>0</v>
      </c>
    </row>
    <row r="63" spans="1:13" ht="20.100000000000001" customHeight="1" x14ac:dyDescent="0.25">
      <c r="A63" s="95" t="s">
        <v>67</v>
      </c>
      <c r="B63" s="96" t="s">
        <v>26</v>
      </c>
      <c r="C63" s="104">
        <f>IF(A63="YES",25%,"")</f>
        <v>0.25</v>
      </c>
      <c r="D63" s="97">
        <v>0</v>
      </c>
      <c r="E63" s="97">
        <v>55</v>
      </c>
      <c r="F63" s="98">
        <f t="shared" si="22"/>
        <v>0</v>
      </c>
      <c r="H63" s="10" t="s">
        <v>67</v>
      </c>
      <c r="I63" s="11" t="s">
        <v>37</v>
      </c>
      <c r="J63" s="12">
        <f t="shared" si="21"/>
        <v>2.4E-2</v>
      </c>
      <c r="K63" s="13">
        <v>0</v>
      </c>
      <c r="L63" s="13">
        <v>20</v>
      </c>
      <c r="M63" s="14">
        <f t="shared" si="20"/>
        <v>0</v>
      </c>
    </row>
    <row r="64" spans="1:13" ht="20.100000000000001" customHeight="1" thickBot="1" x14ac:dyDescent="0.3">
      <c r="A64" s="105" t="s">
        <v>67</v>
      </c>
      <c r="B64" s="106" t="s">
        <v>27</v>
      </c>
      <c r="C64" s="107">
        <f>IF(A64="YES",50%,"")</f>
        <v>0.5</v>
      </c>
      <c r="D64" s="108">
        <v>0</v>
      </c>
      <c r="E64" s="108">
        <v>65</v>
      </c>
      <c r="F64" s="109">
        <f t="shared" si="22"/>
        <v>0</v>
      </c>
      <c r="H64" s="10" t="s">
        <v>67</v>
      </c>
      <c r="I64" s="11" t="s">
        <v>38</v>
      </c>
      <c r="J64" s="12">
        <f t="shared" si="21"/>
        <v>2.4E-2</v>
      </c>
      <c r="K64" s="13">
        <v>0</v>
      </c>
      <c r="L64" s="13">
        <v>20</v>
      </c>
      <c r="M64" s="14">
        <f t="shared" si="20"/>
        <v>0</v>
      </c>
    </row>
    <row r="65" spans="1:13" ht="20.100000000000001" customHeight="1" thickBot="1" x14ac:dyDescent="0.3">
      <c r="A65" s="110"/>
      <c r="B65" s="110"/>
      <c r="C65" s="110"/>
      <c r="D65" s="110"/>
      <c r="E65" s="110"/>
      <c r="F65" s="110"/>
      <c r="H65" s="10" t="s">
        <v>67</v>
      </c>
      <c r="I65" s="11" t="s">
        <v>30</v>
      </c>
      <c r="J65" s="12">
        <f>IF(H65="YES",20%,"")</f>
        <v>0.2</v>
      </c>
      <c r="K65" s="13">
        <v>0</v>
      </c>
      <c r="L65" s="13">
        <v>50</v>
      </c>
      <c r="M65" s="14">
        <f t="shared" si="20"/>
        <v>0</v>
      </c>
    </row>
    <row r="66" spans="1:13" ht="20.100000000000001" customHeight="1" thickBot="1" x14ac:dyDescent="0.3">
      <c r="A66" s="143" t="s">
        <v>51</v>
      </c>
      <c r="B66" s="144"/>
      <c r="C66" s="144"/>
      <c r="D66" s="144"/>
      <c r="E66" s="144"/>
      <c r="F66" s="145"/>
      <c r="H66" s="15" t="s">
        <v>67</v>
      </c>
      <c r="I66" s="16" t="s">
        <v>27</v>
      </c>
      <c r="J66" s="17">
        <f>IF(H66="YES",50%,"")</f>
        <v>0.5</v>
      </c>
      <c r="K66" s="18">
        <v>0</v>
      </c>
      <c r="L66" s="18">
        <v>100</v>
      </c>
      <c r="M66" s="19">
        <f t="shared" si="20"/>
        <v>0</v>
      </c>
    </row>
    <row r="67" spans="1:13" ht="20.100000000000001" customHeight="1" thickBot="1" x14ac:dyDescent="0.3">
      <c r="A67" s="91" t="s">
        <v>13</v>
      </c>
      <c r="B67" s="117" t="s">
        <v>14</v>
      </c>
      <c r="C67" s="112" t="s">
        <v>15</v>
      </c>
      <c r="D67" s="112" t="s">
        <v>16</v>
      </c>
      <c r="E67" s="112" t="s">
        <v>17</v>
      </c>
      <c r="F67" s="94" t="s">
        <v>18</v>
      </c>
      <c r="I67" s="11" t="s">
        <v>129</v>
      </c>
      <c r="J67" s="81">
        <v>0.05</v>
      </c>
    </row>
    <row r="68" spans="1:13" ht="20.100000000000001" customHeight="1" thickBot="1" x14ac:dyDescent="0.3">
      <c r="A68" s="95" t="s">
        <v>67</v>
      </c>
      <c r="B68" s="96" t="s">
        <v>34</v>
      </c>
      <c r="C68" s="114">
        <f t="shared" ref="C68:C75" si="23">IF(A68="YES",(20/8)%,"")</f>
        <v>2.5000000000000001E-2</v>
      </c>
      <c r="D68" s="115">
        <v>0</v>
      </c>
      <c r="E68" s="115">
        <v>10</v>
      </c>
      <c r="F68" s="116">
        <f t="shared" ref="F68:F76" si="24">IF(A68="YES",D68/E68,"")</f>
        <v>0</v>
      </c>
      <c r="H68" s="147" t="s">
        <v>53</v>
      </c>
      <c r="I68" s="148"/>
      <c r="J68" s="148"/>
      <c r="K68" s="148"/>
      <c r="L68" s="148"/>
      <c r="M68" s="149"/>
    </row>
    <row r="69" spans="1:13" ht="20.100000000000001" customHeight="1" thickBot="1" x14ac:dyDescent="0.3">
      <c r="A69" s="95" t="s">
        <v>67</v>
      </c>
      <c r="B69" s="96" t="s">
        <v>35</v>
      </c>
      <c r="C69" s="104">
        <f t="shared" si="23"/>
        <v>2.5000000000000001E-2</v>
      </c>
      <c r="D69" s="97">
        <v>0</v>
      </c>
      <c r="E69" s="97">
        <v>10</v>
      </c>
      <c r="F69" s="98">
        <f t="shared" si="24"/>
        <v>0</v>
      </c>
      <c r="H69" s="8" t="s">
        <v>13</v>
      </c>
      <c r="I69" s="2" t="s">
        <v>14</v>
      </c>
      <c r="J69" s="3" t="s">
        <v>15</v>
      </c>
      <c r="K69" s="3" t="s">
        <v>16</v>
      </c>
      <c r="L69" s="3" t="s">
        <v>17</v>
      </c>
      <c r="M69" s="9" t="s">
        <v>18</v>
      </c>
    </row>
    <row r="70" spans="1:13" ht="20.100000000000001" customHeight="1" x14ac:dyDescent="0.25">
      <c r="A70" s="95" t="s">
        <v>67</v>
      </c>
      <c r="B70" s="96" t="s">
        <v>36</v>
      </c>
      <c r="C70" s="104">
        <f t="shared" si="23"/>
        <v>2.5000000000000001E-2</v>
      </c>
      <c r="D70" s="97">
        <v>0</v>
      </c>
      <c r="E70" s="97">
        <v>10</v>
      </c>
      <c r="F70" s="98">
        <f t="shared" si="24"/>
        <v>0</v>
      </c>
      <c r="H70" s="10" t="s">
        <v>67</v>
      </c>
      <c r="I70" s="11" t="s">
        <v>132</v>
      </c>
      <c r="J70" s="12">
        <f>IF(H70="YES",(10/2)%,"")</f>
        <v>0.05</v>
      </c>
      <c r="K70" s="13">
        <v>0</v>
      </c>
      <c r="L70" s="13">
        <v>40</v>
      </c>
      <c r="M70" s="14">
        <f t="shared" ref="M70" si="25">IF(H70="YES",K70/L70,"")</f>
        <v>0</v>
      </c>
    </row>
    <row r="71" spans="1:13" ht="20.100000000000001" customHeight="1" x14ac:dyDescent="0.25">
      <c r="A71" s="95" t="s">
        <v>67</v>
      </c>
      <c r="B71" s="96" t="s">
        <v>37</v>
      </c>
      <c r="C71" s="104">
        <f t="shared" si="23"/>
        <v>2.5000000000000001E-2</v>
      </c>
      <c r="D71" s="97">
        <v>0</v>
      </c>
      <c r="E71" s="97">
        <v>10</v>
      </c>
      <c r="F71" s="98">
        <f t="shared" si="24"/>
        <v>0</v>
      </c>
      <c r="H71" s="10" t="s">
        <v>67</v>
      </c>
      <c r="I71" s="11" t="s">
        <v>133</v>
      </c>
      <c r="J71" s="12">
        <f>IF(H71="YES",(10/2)%,"")</f>
        <v>0.05</v>
      </c>
      <c r="K71" s="13">
        <v>0</v>
      </c>
      <c r="L71" s="13">
        <v>40</v>
      </c>
      <c r="M71" s="14">
        <f t="shared" ref="M71" si="26">IF(H71="YES",K71/L71,"")</f>
        <v>0</v>
      </c>
    </row>
    <row r="72" spans="1:13" ht="20.100000000000001" customHeight="1" x14ac:dyDescent="0.25">
      <c r="A72" s="95" t="s">
        <v>67</v>
      </c>
      <c r="B72" s="96" t="s">
        <v>68</v>
      </c>
      <c r="C72" s="104">
        <f t="shared" si="23"/>
        <v>2.5000000000000001E-2</v>
      </c>
      <c r="D72" s="97">
        <v>0</v>
      </c>
      <c r="E72" s="97">
        <v>10</v>
      </c>
      <c r="F72" s="98">
        <f t="shared" si="24"/>
        <v>0</v>
      </c>
      <c r="H72" s="10" t="s">
        <v>67</v>
      </c>
      <c r="I72" s="11" t="s">
        <v>34</v>
      </c>
      <c r="J72" s="12">
        <f>IF(H72="YES",(20/3)%,"")</f>
        <v>6.6666666666666666E-2</v>
      </c>
      <c r="K72" s="13">
        <v>0</v>
      </c>
      <c r="L72" s="13">
        <v>20</v>
      </c>
      <c r="M72" s="14">
        <f t="shared" ref="M72:M74" si="27">IF(H72="YES",K72/L72,"")</f>
        <v>0</v>
      </c>
    </row>
    <row r="73" spans="1:13" ht="20.100000000000001" customHeight="1" x14ac:dyDescent="0.25">
      <c r="A73" s="95" t="s">
        <v>67</v>
      </c>
      <c r="B73" s="96" t="s">
        <v>69</v>
      </c>
      <c r="C73" s="104">
        <f t="shared" si="23"/>
        <v>2.5000000000000001E-2</v>
      </c>
      <c r="D73" s="97">
        <v>0</v>
      </c>
      <c r="E73" s="97">
        <v>10</v>
      </c>
      <c r="F73" s="98">
        <f t="shared" si="24"/>
        <v>0</v>
      </c>
      <c r="H73" s="10" t="s">
        <v>67</v>
      </c>
      <c r="I73" s="11" t="s">
        <v>35</v>
      </c>
      <c r="J73" s="12">
        <f>IF(H73="YES",(20/3)%,"")</f>
        <v>6.6666666666666666E-2</v>
      </c>
      <c r="K73" s="13">
        <v>0</v>
      </c>
      <c r="L73" s="13">
        <v>20</v>
      </c>
      <c r="M73" s="14">
        <f t="shared" si="27"/>
        <v>0</v>
      </c>
    </row>
    <row r="74" spans="1:13" ht="20.100000000000001" customHeight="1" x14ac:dyDescent="0.25">
      <c r="A74" s="95" t="s">
        <v>67</v>
      </c>
      <c r="B74" s="96" t="s">
        <v>70</v>
      </c>
      <c r="C74" s="104">
        <f t="shared" si="23"/>
        <v>2.5000000000000001E-2</v>
      </c>
      <c r="D74" s="97">
        <v>0</v>
      </c>
      <c r="E74" s="97">
        <v>10</v>
      </c>
      <c r="F74" s="98">
        <f t="shared" si="24"/>
        <v>0</v>
      </c>
      <c r="H74" s="10" t="s">
        <v>67</v>
      </c>
      <c r="I74" s="11" t="s">
        <v>36</v>
      </c>
      <c r="J74" s="12">
        <f>IF(H74="YES",(20/3)%,"")</f>
        <v>6.6666666666666666E-2</v>
      </c>
      <c r="K74" s="13">
        <v>0</v>
      </c>
      <c r="L74" s="13">
        <v>20</v>
      </c>
      <c r="M74" s="14">
        <f t="shared" si="27"/>
        <v>0</v>
      </c>
    </row>
    <row r="75" spans="1:13" ht="20.100000000000001" customHeight="1" x14ac:dyDescent="0.25">
      <c r="A75" s="95" t="s">
        <v>67</v>
      </c>
      <c r="B75" s="96" t="s">
        <v>71</v>
      </c>
      <c r="C75" s="104">
        <f t="shared" si="23"/>
        <v>2.5000000000000001E-2</v>
      </c>
      <c r="D75" s="97">
        <v>0</v>
      </c>
      <c r="E75" s="97">
        <v>10</v>
      </c>
      <c r="F75" s="98">
        <f t="shared" si="24"/>
        <v>0</v>
      </c>
      <c r="H75" s="10" t="s">
        <v>67</v>
      </c>
      <c r="I75" s="11" t="s">
        <v>30</v>
      </c>
      <c r="J75" s="12">
        <f>IF(H75="YES",15%,"")</f>
        <v>0.15</v>
      </c>
      <c r="K75" s="13">
        <v>0</v>
      </c>
      <c r="L75" s="13">
        <v>45</v>
      </c>
      <c r="M75" s="14">
        <f>IF(H75="YES",K75/L75,"")</f>
        <v>0</v>
      </c>
    </row>
    <row r="76" spans="1:13" ht="20.100000000000001" customHeight="1" thickBot="1" x14ac:dyDescent="0.3">
      <c r="A76" s="95" t="s">
        <v>67</v>
      </c>
      <c r="B76" s="96" t="s">
        <v>40</v>
      </c>
      <c r="C76" s="104">
        <f>IF(A76="YES",10%,"")</f>
        <v>0.1</v>
      </c>
      <c r="D76" s="97">
        <v>0</v>
      </c>
      <c r="E76" s="97">
        <v>40</v>
      </c>
      <c r="F76" s="98">
        <f t="shared" si="24"/>
        <v>0</v>
      </c>
      <c r="H76" s="15" t="s">
        <v>67</v>
      </c>
      <c r="I76" s="16" t="s">
        <v>54</v>
      </c>
      <c r="J76" s="17">
        <f>IF(H76="YES",55%,"")</f>
        <v>0.55000000000000004</v>
      </c>
      <c r="K76" s="90">
        <f>SUM(M79:M81)*100</f>
        <v>0</v>
      </c>
      <c r="L76" s="89">
        <f>SUM(J79:J81)*100</f>
        <v>55.000000000000007</v>
      </c>
      <c r="M76" s="19">
        <f>IF(H76="YES",K76/L76,"")</f>
        <v>0</v>
      </c>
    </row>
    <row r="77" spans="1:13" ht="20.100000000000001" customHeight="1" thickBot="1" x14ac:dyDescent="0.3">
      <c r="A77" s="95" t="s">
        <v>67</v>
      </c>
      <c r="B77" s="96" t="s">
        <v>41</v>
      </c>
      <c r="C77" s="104">
        <f>IF(A77="YES",10%,"")</f>
        <v>0.1</v>
      </c>
      <c r="D77" s="97">
        <v>0</v>
      </c>
      <c r="E77" s="97">
        <v>40</v>
      </c>
      <c r="F77" s="98">
        <f>IF(A77="YES",D77/E77,"")</f>
        <v>0</v>
      </c>
      <c r="H77" s="152" t="s">
        <v>54</v>
      </c>
      <c r="I77" s="153"/>
      <c r="J77" s="153"/>
      <c r="K77" s="153"/>
      <c r="L77" s="153"/>
      <c r="M77" s="154"/>
    </row>
    <row r="78" spans="1:13" ht="20.100000000000001" customHeight="1" thickBot="1" x14ac:dyDescent="0.3">
      <c r="A78" s="95" t="s">
        <v>67</v>
      </c>
      <c r="B78" s="96" t="s">
        <v>42</v>
      </c>
      <c r="C78" s="104">
        <f>IF(A78="YES",10%,"")</f>
        <v>0.1</v>
      </c>
      <c r="D78" s="97">
        <v>0</v>
      </c>
      <c r="E78" s="97">
        <v>60</v>
      </c>
      <c r="F78" s="98">
        <f>IF(A78="YES",D78/E78,"")</f>
        <v>0</v>
      </c>
      <c r="H78" s="8" t="s">
        <v>13</v>
      </c>
      <c r="I78" s="20" t="s">
        <v>14</v>
      </c>
      <c r="J78" s="21" t="s">
        <v>15</v>
      </c>
      <c r="K78" s="21" t="s">
        <v>16</v>
      </c>
      <c r="L78" s="21" t="s">
        <v>17</v>
      </c>
      <c r="M78" s="9" t="s">
        <v>18</v>
      </c>
    </row>
    <row r="79" spans="1:13" ht="20.100000000000001" customHeight="1" thickBot="1" x14ac:dyDescent="0.3">
      <c r="A79" s="105" t="s">
        <v>67</v>
      </c>
      <c r="B79" s="106" t="s">
        <v>27</v>
      </c>
      <c r="C79" s="107">
        <f>IF(A79="YES",50%,"")</f>
        <v>0.5</v>
      </c>
      <c r="D79" s="108">
        <v>0</v>
      </c>
      <c r="E79" s="108">
        <v>50</v>
      </c>
      <c r="F79" s="109">
        <f>IF(A79="YES",D79/E79,"")</f>
        <v>0</v>
      </c>
      <c r="H79" s="10" t="s">
        <v>67</v>
      </c>
      <c r="I79" s="22" t="s">
        <v>137</v>
      </c>
      <c r="J79" s="23">
        <f>IF(H79="YES",15%,"")</f>
        <v>0.15</v>
      </c>
      <c r="K79" s="24">
        <v>0</v>
      </c>
      <c r="L79" s="24">
        <v>45</v>
      </c>
      <c r="M79" s="86">
        <f>IF(H79="YES",(K79/L79)*J79,"")</f>
        <v>0</v>
      </c>
    </row>
    <row r="80" spans="1:13" ht="20.100000000000001" customHeight="1" thickBot="1" x14ac:dyDescent="0.3">
      <c r="A80" s="110"/>
      <c r="B80" s="96" t="s">
        <v>129</v>
      </c>
      <c r="C80" s="122">
        <v>0.05</v>
      </c>
      <c r="D80" s="123"/>
      <c r="E80" s="110"/>
      <c r="F80" s="110"/>
      <c r="H80" s="10" t="s">
        <v>67</v>
      </c>
      <c r="I80" s="11" t="s">
        <v>138</v>
      </c>
      <c r="J80" s="12">
        <f>IF(H80="YES",15%,"")</f>
        <v>0.15</v>
      </c>
      <c r="K80" s="13">
        <v>0</v>
      </c>
      <c r="L80" s="13">
        <v>45</v>
      </c>
      <c r="M80" s="87">
        <f>IF(H80="YES",(K80/L80)*J80,"")</f>
        <v>0</v>
      </c>
    </row>
    <row r="81" spans="1:13" ht="20.100000000000001" customHeight="1" thickBot="1" x14ac:dyDescent="0.3">
      <c r="A81" s="143" t="s">
        <v>55</v>
      </c>
      <c r="B81" s="144"/>
      <c r="C81" s="144"/>
      <c r="D81" s="144"/>
      <c r="E81" s="144"/>
      <c r="F81" s="145"/>
      <c r="H81" s="15" t="s">
        <v>67</v>
      </c>
      <c r="I81" s="16" t="s">
        <v>139</v>
      </c>
      <c r="J81" s="17">
        <f>IF(H81="YES",25%,"")</f>
        <v>0.25</v>
      </c>
      <c r="K81" s="18">
        <v>0</v>
      </c>
      <c r="L81" s="18">
        <v>75</v>
      </c>
      <c r="M81" s="88">
        <f>IF(H81="YES",(K81/L81)*J81,"")</f>
        <v>0</v>
      </c>
    </row>
    <row r="82" spans="1:13" ht="20.100000000000001" customHeight="1" thickBot="1" x14ac:dyDescent="0.3">
      <c r="A82" s="91" t="s">
        <v>13</v>
      </c>
      <c r="B82" s="92" t="s">
        <v>14</v>
      </c>
      <c r="C82" s="93" t="s">
        <v>15</v>
      </c>
      <c r="D82" s="93" t="s">
        <v>16</v>
      </c>
      <c r="E82" s="93" t="s">
        <v>17</v>
      </c>
      <c r="F82" s="94" t="s">
        <v>18</v>
      </c>
    </row>
    <row r="83" spans="1:13" ht="20.100000000000001" customHeight="1" x14ac:dyDescent="0.25">
      <c r="A83" s="95" t="s">
        <v>67</v>
      </c>
      <c r="B83" s="96" t="s">
        <v>61</v>
      </c>
      <c r="C83" s="104">
        <f>IF(A83="YES",10%,"")</f>
        <v>0.1</v>
      </c>
      <c r="D83" s="97">
        <v>0</v>
      </c>
      <c r="E83" s="97">
        <v>150</v>
      </c>
      <c r="F83" s="98">
        <f t="shared" ref="F83:F85" si="28">IF(A83="YES",D83/E83,"")</f>
        <v>0</v>
      </c>
    </row>
    <row r="84" spans="1:13" ht="20.100000000000001" customHeight="1" x14ac:dyDescent="0.25">
      <c r="A84" s="95" t="s">
        <v>67</v>
      </c>
      <c r="B84" s="96" t="s">
        <v>62</v>
      </c>
      <c r="C84" s="104">
        <f>IF(A84="YES",20%,"")</f>
        <v>0.2</v>
      </c>
      <c r="D84" s="97">
        <v>0</v>
      </c>
      <c r="E84" s="97">
        <v>120</v>
      </c>
      <c r="F84" s="98">
        <f t="shared" si="28"/>
        <v>0</v>
      </c>
    </row>
    <row r="85" spans="1:13" ht="20.100000000000001" customHeight="1" x14ac:dyDescent="0.25">
      <c r="A85" s="95" t="s">
        <v>67</v>
      </c>
      <c r="B85" s="96" t="s">
        <v>63</v>
      </c>
      <c r="C85" s="104">
        <f>IF(A85="YES",20%,"")</f>
        <v>0.2</v>
      </c>
      <c r="D85" s="97">
        <v>0</v>
      </c>
      <c r="E85" s="97">
        <v>100</v>
      </c>
      <c r="F85" s="98">
        <f t="shared" si="28"/>
        <v>0</v>
      </c>
    </row>
    <row r="86" spans="1:13" ht="20.100000000000001" customHeight="1" thickBot="1" x14ac:dyDescent="0.3">
      <c r="A86" s="105" t="s">
        <v>67</v>
      </c>
      <c r="B86" s="106" t="s">
        <v>27</v>
      </c>
      <c r="C86" s="107">
        <f>IF(A86="YES",50%,"")</f>
        <v>0.5</v>
      </c>
      <c r="D86" s="108">
        <v>0</v>
      </c>
      <c r="E86" s="108">
        <v>150</v>
      </c>
      <c r="F86" s="109">
        <f>IF(A86="YES",D86/E86,"")</f>
        <v>0</v>
      </c>
    </row>
    <row r="87" spans="1:13" ht="20.100000000000001" customHeight="1" x14ac:dyDescent="0.25"/>
    <row r="88" spans="1:13" ht="20.100000000000001" customHeight="1" x14ac:dyDescent="0.25"/>
    <row r="89" spans="1:13" ht="20.100000000000001" customHeight="1" x14ac:dyDescent="0.25"/>
    <row r="90" spans="1:13" ht="20.100000000000001" customHeight="1" x14ac:dyDescent="0.25"/>
    <row r="91" spans="1:13" ht="20.100000000000001" customHeight="1" x14ac:dyDescent="0.25"/>
    <row r="92" spans="1:13" ht="18.75" customHeight="1" x14ac:dyDescent="0.25"/>
    <row r="93" spans="1:13" ht="18.75" customHeight="1" x14ac:dyDescent="0.25"/>
    <row r="94" spans="1:13" ht="18.75" customHeight="1" x14ac:dyDescent="0.25"/>
    <row r="95" spans="1:13" ht="18.75" customHeight="1" x14ac:dyDescent="0.25"/>
    <row r="96" spans="1:13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38" spans="6:6" x14ac:dyDescent="0.25">
      <c r="F138" t="str">
        <f>IF(A138="YES",D138/E138,"")</f>
        <v/>
      </c>
    </row>
  </sheetData>
  <mergeCells count="21">
    <mergeCell ref="L1:L2"/>
    <mergeCell ref="A1:F1"/>
    <mergeCell ref="H1:K1"/>
    <mergeCell ref="H16:I16"/>
    <mergeCell ref="H19:I19"/>
    <mergeCell ref="H17:I17"/>
    <mergeCell ref="H18:I18"/>
    <mergeCell ref="C3:C7"/>
    <mergeCell ref="A17:F17"/>
    <mergeCell ref="A60:F60"/>
    <mergeCell ref="A66:F66"/>
    <mergeCell ref="A81:F81"/>
    <mergeCell ref="H21:M21"/>
    <mergeCell ref="A23:F23"/>
    <mergeCell ref="A44:F44"/>
    <mergeCell ref="J23:J28"/>
    <mergeCell ref="H32:M32"/>
    <mergeCell ref="H46:M46"/>
    <mergeCell ref="H56:M56"/>
    <mergeCell ref="H68:M68"/>
    <mergeCell ref="H77:M77"/>
  </mergeCells>
  <conditionalFormatting sqref="H3:L14">
    <cfRule type="expression" dxfId="12" priority="2">
      <formula>AND($L3=100%)</formula>
    </cfRule>
  </conditionalFormatting>
  <pageMargins left="0.7" right="0.7" top="0.75" bottom="0.75" header="0.3" footer="0.3"/>
  <pageSetup orientation="portrait" r:id="rId1"/>
  <ignoredErrors>
    <ignoredError sqref="J51 J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88" zoomScale="97" zoomScaleNormal="97" workbookViewId="0">
      <selection activeCell="J4" sqref="J4"/>
    </sheetView>
  </sheetViews>
  <sheetFormatPr defaultRowHeight="15" x14ac:dyDescent="0.25"/>
  <cols>
    <col min="2" max="2" width="25.42578125" customWidth="1"/>
    <col min="3" max="3" width="13.85546875" customWidth="1"/>
    <col min="4" max="4" width="19.28515625" customWidth="1"/>
    <col min="5" max="5" width="14.28515625" bestFit="1" customWidth="1"/>
    <col min="6" max="6" width="17.42578125" customWidth="1"/>
    <col min="7" max="7" width="4.28515625" customWidth="1"/>
    <col min="8" max="8" width="38" customWidth="1"/>
    <col min="9" max="9" width="21.5703125" customWidth="1"/>
    <col min="10" max="10" width="14.85546875" customWidth="1"/>
    <col min="11" max="11" width="18.140625" customWidth="1"/>
    <col min="12" max="12" width="14.5703125" customWidth="1"/>
    <col min="13" max="13" width="17.5703125" customWidth="1"/>
  </cols>
  <sheetData>
    <row r="1" spans="1:13" ht="24" thickBot="1" x14ac:dyDescent="0.3">
      <c r="A1" s="171" t="s">
        <v>3</v>
      </c>
      <c r="B1" s="171"/>
      <c r="C1" s="171"/>
      <c r="D1" s="171"/>
      <c r="E1" s="171"/>
      <c r="F1" s="171"/>
      <c r="G1" s="5"/>
      <c r="H1" s="175" t="s">
        <v>56</v>
      </c>
      <c r="I1" s="171"/>
      <c r="J1" s="171"/>
      <c r="K1" s="176"/>
      <c r="L1" s="5"/>
      <c r="M1" s="5"/>
    </row>
    <row r="2" spans="1:13" ht="19.5" thickBot="1" x14ac:dyDescent="0.3">
      <c r="A2" s="8" t="s">
        <v>13</v>
      </c>
      <c r="B2" s="2" t="s">
        <v>14</v>
      </c>
      <c r="C2" s="3" t="s">
        <v>15</v>
      </c>
      <c r="D2" s="3" t="s">
        <v>16</v>
      </c>
      <c r="E2" s="3" t="s">
        <v>17</v>
      </c>
      <c r="F2" s="9" t="s">
        <v>18</v>
      </c>
      <c r="G2" s="5"/>
      <c r="H2" s="22" t="s">
        <v>0</v>
      </c>
      <c r="I2" s="27" t="s">
        <v>1</v>
      </c>
      <c r="J2" s="28" t="s">
        <v>2</v>
      </c>
      <c r="K2" s="3" t="s">
        <v>57</v>
      </c>
      <c r="L2" s="5"/>
      <c r="M2" s="5"/>
    </row>
    <row r="3" spans="1:13" ht="18.75" x14ac:dyDescent="0.25">
      <c r="A3" s="10" t="s">
        <v>67</v>
      </c>
      <c r="B3" s="11" t="str">
        <f>IF(C3=(20/6)%,"BEST Quiz #1", "Quiz #1")</f>
        <v>Quiz #1</v>
      </c>
      <c r="C3" s="12">
        <f t="shared" ref="C3:C6" si="0">IF(AND((A3="YES"),AND(D3&lt;&gt;MIN(D$3:D$10),D3&lt;&gt;SMALL(D$3:D$10,2))),(20/6)%,IF(A3="YES",0%,""))</f>
        <v>0</v>
      </c>
      <c r="D3" s="13">
        <v>0</v>
      </c>
      <c r="E3" s="13">
        <v>20</v>
      </c>
      <c r="F3" s="14">
        <f t="shared" ref="F3:F10" si="1">IF(A3="YES",D3/E3,"")</f>
        <v>0</v>
      </c>
      <c r="G3" s="5"/>
      <c r="H3" s="22" t="str">
        <f>A1</f>
        <v>Calculus (AM 1413)</v>
      </c>
      <c r="I3" s="29">
        <v>1</v>
      </c>
      <c r="J3" s="42">
        <f>SUMPRODUCT(C3:C13,F3:F13)/SUM(C3:C13)</f>
        <v>0</v>
      </c>
      <c r="K3" s="43" t="str">
        <f t="shared" ref="K3:K8" si="2">IF(AND(90%&lt;=J3,J3&lt;=100%),4,IF(AND(85%&lt;=J3,J3&lt;90%),3.9,IF(AND(80%&lt;=J3,J3&lt;85%),3.7,IF(AND(77%&lt;=J3,J3&lt;80%),3.3,IF(AND(73%&lt;=J3,J3&lt;77%),3,IF(AND(70%&lt;=J3,J3&lt;73%),2.7,IF(AND(67%&lt;=J3,J3&lt;70%),2.3,IF(AND(63%&lt;=J3,J3&lt;67%),2,IF(AND(60%&lt;=J3,J3&lt;63%),1.7,"F")))))))))</f>
        <v>F</v>
      </c>
      <c r="L3" s="5"/>
      <c r="M3" s="5"/>
    </row>
    <row r="4" spans="1:13" ht="18.75" x14ac:dyDescent="0.25">
      <c r="A4" s="10" t="s">
        <v>67</v>
      </c>
      <c r="B4" s="11" t="str">
        <f>IF(C4=(20/6)%,"BEST Quiz #2", "Quiz #2")</f>
        <v>Quiz #2</v>
      </c>
      <c r="C4" s="12">
        <f t="shared" si="0"/>
        <v>0</v>
      </c>
      <c r="D4" s="13">
        <v>0</v>
      </c>
      <c r="E4" s="13">
        <v>20</v>
      </c>
      <c r="F4" s="14">
        <f t="shared" si="1"/>
        <v>0</v>
      </c>
      <c r="G4" s="5"/>
      <c r="H4" s="30" t="str">
        <f>A71</f>
        <v>Chemistry (CHEM 1024A)</v>
      </c>
      <c r="I4" s="44">
        <v>0.5</v>
      </c>
      <c r="J4" s="45">
        <f>SUMPRODUCT(C73:C84,F73:F84)/SUM(C73:C84)</f>
        <v>0</v>
      </c>
      <c r="K4" s="7" t="str">
        <f t="shared" si="2"/>
        <v>F</v>
      </c>
      <c r="L4" s="5"/>
      <c r="M4" s="5"/>
    </row>
    <row r="5" spans="1:13" ht="18.75" x14ac:dyDescent="0.25">
      <c r="A5" s="10" t="s">
        <v>67</v>
      </c>
      <c r="B5" s="11" t="str">
        <f>IF(C5=(20/6)%,"BEST Quiz #3", "Quiz #3")</f>
        <v>Quiz #3</v>
      </c>
      <c r="C5" s="12">
        <f t="shared" si="0"/>
        <v>0</v>
      </c>
      <c r="D5" s="13">
        <v>0</v>
      </c>
      <c r="E5" s="13">
        <v>20</v>
      </c>
      <c r="F5" s="14">
        <f t="shared" si="1"/>
        <v>0</v>
      </c>
      <c r="G5" s="5"/>
      <c r="H5" s="11" t="str">
        <f>A86</f>
        <v>Linear Algebra (AM 1411A)</v>
      </c>
      <c r="I5" s="31">
        <v>0.5</v>
      </c>
      <c r="J5" s="45">
        <f>SUMPRODUCT(C88:C92,F88:F92)/SUM(C88:C92)</f>
        <v>0</v>
      </c>
      <c r="K5" s="7" t="str">
        <f t="shared" si="2"/>
        <v>F</v>
      </c>
      <c r="L5" s="5"/>
      <c r="M5" s="5"/>
    </row>
    <row r="6" spans="1:13" ht="18.75" x14ac:dyDescent="0.25">
      <c r="A6" s="10" t="s">
        <v>67</v>
      </c>
      <c r="B6" s="11" t="str">
        <f>IF(C6=(20/6)%,"BEST Quiz #4", "Quiz #4")</f>
        <v>Quiz #4</v>
      </c>
      <c r="C6" s="12">
        <f t="shared" si="0"/>
        <v>0</v>
      </c>
      <c r="D6" s="13">
        <v>0</v>
      </c>
      <c r="E6" s="13">
        <v>20</v>
      </c>
      <c r="F6" s="14">
        <f t="shared" si="1"/>
        <v>0</v>
      </c>
      <c r="G6" s="5"/>
      <c r="H6" s="11" t="str">
        <f>A94</f>
        <v>Physics 1 (PHYSICS 1401A)</v>
      </c>
      <c r="I6" s="31">
        <v>0.5</v>
      </c>
      <c r="J6" s="45">
        <f>SUMPRODUCT(C96:C105,F96:F105)/SUM(C96:C105)</f>
        <v>0</v>
      </c>
      <c r="K6" s="7" t="str">
        <f t="shared" si="2"/>
        <v>F</v>
      </c>
      <c r="L6" s="5"/>
      <c r="M6" s="5"/>
    </row>
    <row r="7" spans="1:13" ht="18.75" x14ac:dyDescent="0.25">
      <c r="A7" s="10" t="s">
        <v>67</v>
      </c>
      <c r="B7" s="11" t="str">
        <f>IF(C7=(20/6)%,"BEST Quiz #5", "Quiz #5")</f>
        <v>Quiz #5</v>
      </c>
      <c r="C7" s="12">
        <f>IF(AND((A7="YES"),AND(D7&lt;&gt;MIN(D$3:D$10),D7&lt;&gt;SMALL(D$3:D$10,2))),(20/6)%,IF(A7="YES",0%,""))</f>
        <v>0</v>
      </c>
      <c r="D7" s="13">
        <v>0</v>
      </c>
      <c r="E7" s="13">
        <v>20</v>
      </c>
      <c r="F7" s="14">
        <f t="shared" si="1"/>
        <v>0</v>
      </c>
      <c r="G7" s="5"/>
      <c r="H7" s="11" t="str">
        <f>A15</f>
        <v>Statics (ES 1022Y)</v>
      </c>
      <c r="I7" s="31">
        <v>0.5</v>
      </c>
      <c r="J7" s="45">
        <f>IF(AND((SUMPRODUCT(C17:C29,F17:F29)/SUM(C17:C29))&gt;100%),100%,SUMPRODUCT(C17:C29,F17:F29)/SUM(C17:C29))</f>
        <v>0</v>
      </c>
      <c r="K7" s="7" t="str">
        <f t="shared" si="2"/>
        <v>F</v>
      </c>
      <c r="L7" s="5"/>
      <c r="M7" s="5"/>
    </row>
    <row r="8" spans="1:13" ht="18.75" x14ac:dyDescent="0.25">
      <c r="A8" s="10" t="s">
        <v>67</v>
      </c>
      <c r="B8" s="11" t="str">
        <f>IF(C8=(20/6)%,"BEST Quiz #6", "Quiz #6")</f>
        <v>Quiz #6</v>
      </c>
      <c r="C8" s="12">
        <f t="shared" ref="C8:C10" si="3">IF(AND((A8="YES"),AND(D8&lt;&gt;MIN(D$3:D$10),D8&lt;&gt;SMALL(D$3:D$10,2))),(20/6)%,IF(A8="YES",0%,""))</f>
        <v>0</v>
      </c>
      <c r="D8" s="13">
        <v>0</v>
      </c>
      <c r="E8" s="13">
        <v>20</v>
      </c>
      <c r="F8" s="14">
        <f t="shared" si="1"/>
        <v>0</v>
      </c>
      <c r="G8" s="5"/>
      <c r="H8" s="11" t="str">
        <f>A31</f>
        <v>Design (ES 1050)</v>
      </c>
      <c r="I8" s="31">
        <v>2</v>
      </c>
      <c r="J8" s="45">
        <f>(SUMPRODUCT(C33:C42,F33:F42)/SUM(C33:C42))</f>
        <v>0</v>
      </c>
      <c r="K8" s="7" t="str">
        <f t="shared" si="2"/>
        <v>F</v>
      </c>
      <c r="L8" s="5"/>
      <c r="M8" s="5"/>
    </row>
    <row r="9" spans="1:13" ht="18.75" x14ac:dyDescent="0.25">
      <c r="A9" s="10" t="s">
        <v>67</v>
      </c>
      <c r="B9" s="11" t="str">
        <f>IF(C9=(20/6)%,"BEST Quiz #7", "Quiz #7")</f>
        <v>Quiz #7</v>
      </c>
      <c r="C9" s="12">
        <f t="shared" si="3"/>
        <v>0</v>
      </c>
      <c r="D9" s="13">
        <v>0</v>
      </c>
      <c r="E9" s="13">
        <v>20</v>
      </c>
      <c r="F9" s="14">
        <f t="shared" si="1"/>
        <v>0</v>
      </c>
      <c r="G9" s="5"/>
      <c r="H9" s="11" t="str">
        <f>A64</f>
        <v>Classical Studies (CLASSICS 1000)</v>
      </c>
      <c r="I9" s="31">
        <v>1</v>
      </c>
      <c r="J9" s="45">
        <f>SUMPRODUCT(C66:C69,F66:F69)/SUM(C66:C69)</f>
        <v>0</v>
      </c>
      <c r="K9" s="7" t="str">
        <f>IF(AND(90%&lt;=J9,J9&lt;=100%),4,IF(AND(85%&lt;=J9,J9&lt;90%),3.9,IF(AND(80%&lt;=J9,J9&lt;85%),3.7,IF(AND(77%&lt;=J9,J9&lt;80%),3.3,IF(AND(73%&lt;=J9,J9&lt;77%),3,IF(AND(70%&lt;=J9,J9&lt;73%),2.7,IF(AND(67%&lt;=J9,J9&lt;70%),2.3,IF(AND(63%&lt;=J9,J9&lt;67%),2,IF(AND(60%&lt;=J9,J9&lt;63%),1.7,"F")))))))))</f>
        <v>F</v>
      </c>
      <c r="L9" s="5"/>
      <c r="M9" s="5"/>
    </row>
    <row r="10" spans="1:13" ht="18.75" x14ac:dyDescent="0.25">
      <c r="A10" s="10" t="s">
        <v>67</v>
      </c>
      <c r="B10" s="11" t="str">
        <f>IF(C10=(20/6)%,"BEST Quiz #8", "Quiz #8")</f>
        <v>Quiz #8</v>
      </c>
      <c r="C10" s="12">
        <f t="shared" si="3"/>
        <v>0</v>
      </c>
      <c r="D10" s="13">
        <v>0</v>
      </c>
      <c r="E10" s="13">
        <v>20</v>
      </c>
      <c r="F10" s="14">
        <f t="shared" si="1"/>
        <v>0</v>
      </c>
      <c r="G10" s="5"/>
      <c r="H10" s="11" t="str">
        <f>H71</f>
        <v>Materials (ES 1021B)</v>
      </c>
      <c r="I10" s="32">
        <v>0.5</v>
      </c>
      <c r="J10" s="46">
        <f>SUMPRODUCT(J73:J76,M73:M76)/SUM(J73:J76)</f>
        <v>0</v>
      </c>
      <c r="K10" s="7" t="str">
        <f>IF(AND(90%&lt;=J10,J10&lt;=100%),4,IF(AND(85%&lt;=J10,J10&lt;90%),3.9,IF(AND(80%&lt;=J10,J10&lt;85%),3.7,IF(AND(77%&lt;=J10,J10&lt;80%),3.3,IF(AND(73%&lt;=J10,J10&lt;77%),3,IF(AND(70%&lt;=J10,J10&lt;73%),2.7,IF(AND(67%&lt;=J10,J10&lt;70%),2.3,IF(AND(63%&lt;=J10,J10&lt;67%),2,IF(AND(60%&lt;=J10,J10&lt;63%),1.7,"F")))))))))</f>
        <v>F</v>
      </c>
      <c r="L10" s="5"/>
      <c r="M10" s="5"/>
    </row>
    <row r="11" spans="1:13" ht="18.75" x14ac:dyDescent="0.25">
      <c r="A11" s="10" t="s">
        <v>67</v>
      </c>
      <c r="B11" s="11" t="s">
        <v>25</v>
      </c>
      <c r="C11" s="12">
        <f>IF(A11="YES",20%,"")</f>
        <v>0.2</v>
      </c>
      <c r="D11" s="13">
        <v>0</v>
      </c>
      <c r="E11" s="13">
        <v>100</v>
      </c>
      <c r="F11" s="14">
        <f>IF(A11="YES",D11/E11,"")</f>
        <v>0</v>
      </c>
      <c r="G11" s="5"/>
      <c r="H11" s="11" t="str">
        <f>H49</f>
        <v>Programming (ES 1036B)</v>
      </c>
      <c r="I11" s="32">
        <v>0.5</v>
      </c>
      <c r="J11" s="47">
        <f>SUMPRODUCT(J51:J69,M51:M69)/SUM(J51:J69)</f>
        <v>0</v>
      </c>
      <c r="K11" s="7" t="str">
        <f>IF(AND(90%&lt;=J11,J11&lt;=100%),4,IF(AND(85%&lt;=J11,J11&lt;90%),3.9,IF(AND(80%&lt;=J11,J11&lt;85%),3.7,IF(AND(77%&lt;=J11,J11&lt;80%),3.3,IF(AND(73%&lt;=J11,J11&lt;77%),3,IF(AND(70%&lt;=J11,J11&lt;73%),2.7,IF(AND(67%&lt;=J11,J11&lt;70%),2.3,IF(AND(63%&lt;=J11,J11&lt;67%),2,IF(AND(60%&lt;=J11,J11&lt;63%),1.7,"F")))))))))</f>
        <v>F</v>
      </c>
      <c r="L11" s="5"/>
      <c r="M11" s="5"/>
    </row>
    <row r="12" spans="1:13" ht="19.5" thickBot="1" x14ac:dyDescent="0.3">
      <c r="A12" s="10" t="s">
        <v>67</v>
      </c>
      <c r="B12" s="11" t="s">
        <v>26</v>
      </c>
      <c r="C12" s="12">
        <f>IF(A12="YES",20%,"")</f>
        <v>0.2</v>
      </c>
      <c r="D12" s="13">
        <v>0</v>
      </c>
      <c r="E12" s="13">
        <v>100</v>
      </c>
      <c r="F12" s="14">
        <f>IF(A12="YES",D12/E12,"")</f>
        <v>0</v>
      </c>
      <c r="G12" s="5"/>
      <c r="H12" s="16" t="str">
        <f>H29</f>
        <v>Physics 2 (PHYSICS 1402B)</v>
      </c>
      <c r="I12" s="33">
        <v>0.5</v>
      </c>
      <c r="J12" s="70">
        <f>SUMPRODUCT(J31:J47,M31:M47)/SUM(J31:J47)</f>
        <v>0</v>
      </c>
      <c r="K12" s="48" t="str">
        <f>IF(AND(90%&lt;=J12,J12&lt;=100%),4,IF(AND(85%&lt;=J12,J12&lt;90%),3.9,IF(AND(80%&lt;=J12,J12&lt;85%),3.7,IF(AND(77%&lt;=J12,J12&lt;80%),3.3,IF(AND(73%&lt;=J12,J12&lt;77%),3,IF(AND(70%&lt;=J12,J12&lt;73%),2.7,IF(AND(67%&lt;=J12,J12&lt;70%),2.3,IF(AND(63%&lt;=J12,J12&lt;67%),2,IF(AND(60%&lt;=J12,J12&lt;63%),1.7,"F")))))))))</f>
        <v>F</v>
      </c>
      <c r="L12" s="5"/>
      <c r="M12" s="5"/>
    </row>
    <row r="13" spans="1:13" ht="19.5" thickBot="1" x14ac:dyDescent="0.3">
      <c r="A13" s="15" t="s">
        <v>67</v>
      </c>
      <c r="B13" s="16" t="s">
        <v>27</v>
      </c>
      <c r="C13" s="17">
        <f>IF(A13="YES",40%,"")</f>
        <v>0.4</v>
      </c>
      <c r="D13" s="18">
        <v>0</v>
      </c>
      <c r="E13" s="18">
        <v>100</v>
      </c>
      <c r="F13" s="19">
        <f>IF(A13="YES",D13/E13,"")</f>
        <v>0</v>
      </c>
      <c r="G13" s="5"/>
      <c r="H13" s="5"/>
      <c r="I13" s="5"/>
      <c r="J13" s="5"/>
      <c r="K13" s="5"/>
      <c r="L13" s="5"/>
      <c r="M13" s="5"/>
    </row>
    <row r="14" spans="1:13" ht="19.5" thickBot="1" x14ac:dyDescent="0.3">
      <c r="A14" s="5"/>
      <c r="B14" s="5"/>
      <c r="C14" s="5"/>
      <c r="D14" s="5"/>
      <c r="E14" s="5"/>
      <c r="F14" s="5"/>
      <c r="G14" s="5"/>
      <c r="H14" s="177"/>
      <c r="I14" s="178"/>
      <c r="J14" s="34" t="s">
        <v>58</v>
      </c>
      <c r="K14" s="35" t="s">
        <v>57</v>
      </c>
      <c r="L14" s="5"/>
      <c r="M14" s="5"/>
    </row>
    <row r="15" spans="1:13" ht="24" thickBot="1" x14ac:dyDescent="0.3">
      <c r="A15" s="171" t="s">
        <v>5</v>
      </c>
      <c r="B15" s="171"/>
      <c r="C15" s="171"/>
      <c r="D15" s="171"/>
      <c r="E15" s="171"/>
      <c r="F15" s="171"/>
      <c r="G15" s="5"/>
      <c r="H15" s="159" t="s">
        <v>9</v>
      </c>
      <c r="I15" s="160"/>
      <c r="J15" s="125">
        <f>SUMPRODUCT(I3:I12,J3:J12)/SUM(I3:I12)</f>
        <v>0</v>
      </c>
      <c r="K15" s="49">
        <f>SUMPRODUCT(I3:I12,K3:K12)/SUM(I3:I12)</f>
        <v>0</v>
      </c>
      <c r="L15" s="5"/>
      <c r="M15" s="5"/>
    </row>
    <row r="16" spans="1:13" ht="19.5" thickBot="1" x14ac:dyDescent="0.3">
      <c r="A16" s="8" t="s">
        <v>13</v>
      </c>
      <c r="B16" s="20" t="s">
        <v>14</v>
      </c>
      <c r="C16" s="21" t="s">
        <v>15</v>
      </c>
      <c r="D16" s="21" t="s">
        <v>16</v>
      </c>
      <c r="E16" s="21" t="s">
        <v>17</v>
      </c>
      <c r="F16" s="21" t="s">
        <v>18</v>
      </c>
      <c r="G16" s="5"/>
      <c r="H16" s="5"/>
      <c r="I16" s="5"/>
      <c r="J16" s="5"/>
      <c r="K16" s="5"/>
      <c r="L16" s="5"/>
      <c r="M16" s="5"/>
    </row>
    <row r="17" spans="1:13" ht="19.5" thickBot="1" x14ac:dyDescent="0.3">
      <c r="A17" s="10" t="s">
        <v>67</v>
      </c>
      <c r="B17" s="22" t="s">
        <v>49</v>
      </c>
      <c r="C17" s="23">
        <f>IF(A17="YES",5%,"")</f>
        <v>0.05</v>
      </c>
      <c r="D17" s="24">
        <v>0</v>
      </c>
      <c r="E17" s="24">
        <v>100</v>
      </c>
      <c r="F17" s="25">
        <f t="shared" ref="F17:F29" si="4">IF(A17="YES",D17/E17,"")</f>
        <v>0</v>
      </c>
      <c r="G17" s="5"/>
      <c r="H17" s="50" t="s">
        <v>0</v>
      </c>
      <c r="I17" s="51" t="s">
        <v>72</v>
      </c>
      <c r="J17" s="5"/>
      <c r="K17" s="5"/>
      <c r="L17" s="5"/>
      <c r="M17" s="5"/>
    </row>
    <row r="18" spans="1:13" ht="18.75" x14ac:dyDescent="0.25">
      <c r="A18" s="10" t="s">
        <v>67</v>
      </c>
      <c r="B18" s="11" t="s">
        <v>40</v>
      </c>
      <c r="C18" s="12">
        <f t="shared" ref="C18:C23" si="5">IF(A18="YES",(10/6)%,"")</f>
        <v>1.6666666666666666E-2</v>
      </c>
      <c r="D18" s="13">
        <v>0</v>
      </c>
      <c r="E18" s="13">
        <v>50</v>
      </c>
      <c r="F18" s="14">
        <f t="shared" si="4"/>
        <v>0</v>
      </c>
      <c r="G18" s="5"/>
      <c r="H18" s="52" t="str">
        <f>A1</f>
        <v>Calculus (AM 1413)</v>
      </c>
      <c r="I18" s="53">
        <f>SUM(C3:C13)</f>
        <v>0.8</v>
      </c>
      <c r="J18" s="5"/>
      <c r="K18" s="5"/>
      <c r="L18" s="5"/>
      <c r="M18" s="5"/>
    </row>
    <row r="19" spans="1:13" ht="18.75" x14ac:dyDescent="0.25">
      <c r="A19" s="10" t="s">
        <v>67</v>
      </c>
      <c r="B19" s="11" t="s">
        <v>41</v>
      </c>
      <c r="C19" s="12">
        <f t="shared" si="5"/>
        <v>1.6666666666666666E-2</v>
      </c>
      <c r="D19" s="13">
        <v>0</v>
      </c>
      <c r="E19" s="13">
        <v>50</v>
      </c>
      <c r="F19" s="14">
        <f t="shared" si="4"/>
        <v>0</v>
      </c>
      <c r="G19" s="5"/>
      <c r="H19" s="11" t="str">
        <f>A71</f>
        <v>Chemistry (CHEM 1024A)</v>
      </c>
      <c r="I19" s="54">
        <f>SUM(C73:C84)</f>
        <v>1.0000000000000002</v>
      </c>
      <c r="J19" s="5"/>
      <c r="K19" s="55"/>
      <c r="L19" s="5"/>
      <c r="M19" s="5"/>
    </row>
    <row r="20" spans="1:13" ht="18.75" x14ac:dyDescent="0.25">
      <c r="A20" s="10" t="s">
        <v>67</v>
      </c>
      <c r="B20" s="11" t="s">
        <v>42</v>
      </c>
      <c r="C20" s="12">
        <f t="shared" si="5"/>
        <v>1.6666666666666666E-2</v>
      </c>
      <c r="D20" s="13">
        <v>0</v>
      </c>
      <c r="E20" s="13">
        <v>50</v>
      </c>
      <c r="F20" s="14">
        <f t="shared" si="4"/>
        <v>0</v>
      </c>
      <c r="G20" s="5"/>
      <c r="H20" s="11" t="str">
        <f>A86</f>
        <v>Linear Algebra (AM 1411A)</v>
      </c>
      <c r="I20" s="54">
        <f>SUM(C88:C92)</f>
        <v>1</v>
      </c>
      <c r="J20" s="5"/>
      <c r="K20" s="5"/>
      <c r="L20" s="5"/>
      <c r="M20" s="5"/>
    </row>
    <row r="21" spans="1:13" ht="18.75" x14ac:dyDescent="0.25">
      <c r="A21" s="10" t="s">
        <v>67</v>
      </c>
      <c r="B21" s="11" t="s">
        <v>44</v>
      </c>
      <c r="C21" s="12">
        <f t="shared" si="5"/>
        <v>1.6666666666666666E-2</v>
      </c>
      <c r="D21" s="13">
        <v>0</v>
      </c>
      <c r="E21" s="13">
        <v>50</v>
      </c>
      <c r="F21" s="14">
        <f t="shared" si="4"/>
        <v>0</v>
      </c>
      <c r="G21" s="5"/>
      <c r="H21" s="11" t="str">
        <f>A94</f>
        <v>Physics 1 (PHYSICS 1401A)</v>
      </c>
      <c r="I21" s="54">
        <f>SUM(C96:C105)</f>
        <v>1</v>
      </c>
      <c r="J21" s="5"/>
      <c r="K21" s="5"/>
      <c r="L21" s="5"/>
      <c r="M21" s="5"/>
    </row>
    <row r="22" spans="1:13" ht="18.75" x14ac:dyDescent="0.25">
      <c r="A22" s="10" t="s">
        <v>67</v>
      </c>
      <c r="B22" s="11" t="s">
        <v>64</v>
      </c>
      <c r="C22" s="12">
        <f t="shared" si="5"/>
        <v>1.6666666666666666E-2</v>
      </c>
      <c r="D22" s="13">
        <v>0</v>
      </c>
      <c r="E22" s="13">
        <v>50</v>
      </c>
      <c r="F22" s="14">
        <f t="shared" si="4"/>
        <v>0</v>
      </c>
      <c r="G22" s="5"/>
      <c r="H22" s="11" t="str">
        <f>A15</f>
        <v>Statics (ES 1022Y)</v>
      </c>
      <c r="I22" s="54">
        <f>SUM(C17:C29)</f>
        <v>1</v>
      </c>
      <c r="J22" s="5"/>
      <c r="K22" s="5"/>
      <c r="L22" s="5"/>
      <c r="M22" s="5"/>
    </row>
    <row r="23" spans="1:13" ht="18.75" x14ac:dyDescent="0.25">
      <c r="A23" s="10" t="s">
        <v>67</v>
      </c>
      <c r="B23" s="11" t="s">
        <v>73</v>
      </c>
      <c r="C23" s="12">
        <f t="shared" si="5"/>
        <v>1.6666666666666666E-2</v>
      </c>
      <c r="D23" s="13">
        <v>0</v>
      </c>
      <c r="E23" s="13">
        <v>50</v>
      </c>
      <c r="F23" s="14">
        <f t="shared" si="4"/>
        <v>0</v>
      </c>
      <c r="G23" s="5"/>
      <c r="H23" s="11" t="str">
        <f>A31</f>
        <v>Design (ES 1050)</v>
      </c>
      <c r="I23" s="54">
        <f>SUM(C35:C37,C39:C42)+(SUM(C45:C48,C51:C53,C56:C62))/2</f>
        <v>1</v>
      </c>
      <c r="J23" s="5"/>
      <c r="K23" s="5"/>
      <c r="L23" s="5"/>
      <c r="M23" s="5"/>
    </row>
    <row r="24" spans="1:13" ht="18.75" x14ac:dyDescent="0.25">
      <c r="A24" s="10" t="s">
        <v>67</v>
      </c>
      <c r="B24" s="11" t="s">
        <v>19</v>
      </c>
      <c r="C24" s="12">
        <f>IF(A24="YES",2.5%,"")</f>
        <v>2.5000000000000001E-2</v>
      </c>
      <c r="D24" s="13">
        <v>0</v>
      </c>
      <c r="E24" s="13">
        <v>20</v>
      </c>
      <c r="F24" s="14">
        <f t="shared" si="4"/>
        <v>0</v>
      </c>
      <c r="G24" s="5"/>
      <c r="H24" s="11" t="str">
        <f>A64</f>
        <v>Classical Studies (CLASSICS 1000)</v>
      </c>
      <c r="I24" s="54">
        <f>SUM(C66:C69)</f>
        <v>1</v>
      </c>
      <c r="J24" s="5"/>
      <c r="K24" s="5"/>
      <c r="L24" s="5"/>
      <c r="M24" s="5"/>
    </row>
    <row r="25" spans="1:13" ht="18.75" x14ac:dyDescent="0.25">
      <c r="A25" s="10" t="s">
        <v>67</v>
      </c>
      <c r="B25" s="11" t="s">
        <v>20</v>
      </c>
      <c r="C25" s="12">
        <f>IF(A25="YES",2.5%,"")</f>
        <v>2.5000000000000001E-2</v>
      </c>
      <c r="D25" s="13">
        <v>0</v>
      </c>
      <c r="E25" s="13">
        <v>20</v>
      </c>
      <c r="F25" s="14">
        <f t="shared" si="4"/>
        <v>0</v>
      </c>
      <c r="G25" s="5"/>
      <c r="H25" s="11" t="str">
        <f>H71</f>
        <v>Materials (ES 1021B)</v>
      </c>
      <c r="I25" s="54">
        <f>SUM(J73:J76)</f>
        <v>1</v>
      </c>
      <c r="J25" s="5"/>
      <c r="K25" s="5"/>
      <c r="L25" s="5"/>
      <c r="M25" s="5"/>
    </row>
    <row r="26" spans="1:13" ht="18.75" x14ac:dyDescent="0.25">
      <c r="A26" s="10" t="s">
        <v>67</v>
      </c>
      <c r="B26" s="11" t="s">
        <v>21</v>
      </c>
      <c r="C26" s="12">
        <f>IF(A26="YES",2.5%,"")</f>
        <v>2.5000000000000001E-2</v>
      </c>
      <c r="D26" s="13">
        <v>0</v>
      </c>
      <c r="E26" s="13">
        <v>20</v>
      </c>
      <c r="F26" s="14">
        <f t="shared" si="4"/>
        <v>0</v>
      </c>
      <c r="G26" s="5"/>
      <c r="H26" s="11" t="str">
        <f>H49</f>
        <v>Programming (ES 1036B)</v>
      </c>
      <c r="I26" s="54">
        <f>SUM(J51:J69)</f>
        <v>0.9</v>
      </c>
      <c r="J26" s="5"/>
      <c r="K26" s="5"/>
      <c r="L26" s="5"/>
      <c r="M26" s="5"/>
    </row>
    <row r="27" spans="1:13" ht="19.5" thickBot="1" x14ac:dyDescent="0.3">
      <c r="A27" s="10" t="s">
        <v>67</v>
      </c>
      <c r="B27" s="11" t="s">
        <v>22</v>
      </c>
      <c r="C27" s="12">
        <f>IF(A27="YES",2.5%,"")</f>
        <v>2.5000000000000001E-2</v>
      </c>
      <c r="D27" s="13">
        <v>0</v>
      </c>
      <c r="E27" s="13">
        <v>20</v>
      </c>
      <c r="F27" s="14">
        <f t="shared" si="4"/>
        <v>0</v>
      </c>
      <c r="G27" s="5"/>
      <c r="H27" s="16" t="str">
        <f>H29</f>
        <v>Physics 2 (PHYSICS 1402B)</v>
      </c>
      <c r="I27" s="56">
        <f>SUM(J31:J47)</f>
        <v>0.94000000000000006</v>
      </c>
      <c r="J27" s="5"/>
      <c r="K27" s="5"/>
      <c r="L27" s="5"/>
      <c r="M27" s="5"/>
    </row>
    <row r="28" spans="1:13" ht="18.75" x14ac:dyDescent="0.25">
      <c r="A28" s="10" t="s">
        <v>67</v>
      </c>
      <c r="B28" s="11" t="s">
        <v>30</v>
      </c>
      <c r="C28" s="12">
        <f>IF(A28="YES",25%,"")</f>
        <v>0.25</v>
      </c>
      <c r="D28" s="13">
        <v>0</v>
      </c>
      <c r="E28" s="13">
        <v>60</v>
      </c>
      <c r="F28" s="14">
        <f t="shared" si="4"/>
        <v>0</v>
      </c>
      <c r="G28" s="5"/>
      <c r="H28" s="5"/>
      <c r="I28" s="5"/>
      <c r="J28" s="5"/>
      <c r="K28" s="5"/>
      <c r="L28" s="5"/>
      <c r="M28" s="5"/>
    </row>
    <row r="29" spans="1:13" ht="24" thickBot="1" x14ac:dyDescent="0.3">
      <c r="A29" s="15" t="s">
        <v>67</v>
      </c>
      <c r="B29" s="16" t="s">
        <v>27</v>
      </c>
      <c r="C29" s="17">
        <f>IF(A29="YES",50%,"")</f>
        <v>0.5</v>
      </c>
      <c r="D29" s="18">
        <v>0</v>
      </c>
      <c r="E29" s="18">
        <v>100</v>
      </c>
      <c r="F29" s="19">
        <f t="shared" si="4"/>
        <v>0</v>
      </c>
      <c r="G29" s="5"/>
      <c r="H29" s="171" t="s">
        <v>8</v>
      </c>
      <c r="I29" s="171"/>
      <c r="J29" s="171"/>
      <c r="K29" s="171"/>
      <c r="L29" s="171"/>
      <c r="M29" s="171"/>
    </row>
    <row r="30" spans="1:13" ht="19.5" thickBot="1" x14ac:dyDescent="0.3">
      <c r="A30" s="5"/>
      <c r="B30" s="5" t="s">
        <v>74</v>
      </c>
      <c r="C30" s="5">
        <f>14.24+2.07+2.08</f>
        <v>18.39</v>
      </c>
      <c r="D30" s="5"/>
      <c r="E30" s="5"/>
      <c r="F30" s="5"/>
      <c r="G30" s="5"/>
      <c r="H30" s="8" t="s">
        <v>13</v>
      </c>
      <c r="I30" s="22" t="s">
        <v>14</v>
      </c>
      <c r="J30" s="27" t="s">
        <v>15</v>
      </c>
      <c r="K30" s="27" t="s">
        <v>16</v>
      </c>
      <c r="L30" s="27" t="s">
        <v>17</v>
      </c>
      <c r="M30" s="21" t="s">
        <v>18</v>
      </c>
    </row>
    <row r="31" spans="1:13" ht="24" thickBot="1" x14ac:dyDescent="0.3">
      <c r="A31" s="171" t="s">
        <v>6</v>
      </c>
      <c r="B31" s="171"/>
      <c r="C31" s="171"/>
      <c r="D31" s="171"/>
      <c r="E31" s="171"/>
      <c r="F31" s="171"/>
      <c r="G31" s="5"/>
      <c r="H31" s="10" t="s">
        <v>67</v>
      </c>
      <c r="I31" s="22" t="s">
        <v>75</v>
      </c>
      <c r="J31" s="23">
        <f t="shared" ref="J31:J36" si="6">IF(H31="YES",(15/6)%,"")</f>
        <v>2.5000000000000001E-2</v>
      </c>
      <c r="K31" s="24">
        <v>0</v>
      </c>
      <c r="L31" s="24">
        <v>10</v>
      </c>
      <c r="M31" s="25">
        <f t="shared" ref="M31:M47" si="7">IF(H31="YES",K31/L31,"")</f>
        <v>0</v>
      </c>
    </row>
    <row r="32" spans="1:13" ht="19.5" thickBot="1" x14ac:dyDescent="0.3">
      <c r="A32" s="8" t="s">
        <v>13</v>
      </c>
      <c r="B32" s="20" t="s">
        <v>14</v>
      </c>
      <c r="C32" s="21" t="s">
        <v>15</v>
      </c>
      <c r="D32" s="21" t="s">
        <v>16</v>
      </c>
      <c r="E32" s="21" t="s">
        <v>17</v>
      </c>
      <c r="F32" s="21" t="s">
        <v>18</v>
      </c>
      <c r="G32" s="5"/>
      <c r="H32" s="10" t="s">
        <v>67</v>
      </c>
      <c r="I32" s="11" t="s">
        <v>76</v>
      </c>
      <c r="J32" s="12">
        <f t="shared" si="6"/>
        <v>2.5000000000000001E-2</v>
      </c>
      <c r="K32" s="13">
        <v>0</v>
      </c>
      <c r="L32" s="13">
        <v>10</v>
      </c>
      <c r="M32" s="14">
        <f t="shared" si="7"/>
        <v>0</v>
      </c>
    </row>
    <row r="33" spans="1:13" ht="18.75" x14ac:dyDescent="0.25">
      <c r="A33" s="10" t="s">
        <v>67</v>
      </c>
      <c r="B33" s="22" t="s">
        <v>77</v>
      </c>
      <c r="C33" s="23">
        <f>IF(A33="YES",35/200,"")</f>
        <v>0.17499999999999999</v>
      </c>
      <c r="D33" s="57">
        <f>SUM(F45:F48)*100</f>
        <v>0</v>
      </c>
      <c r="E33" s="58">
        <f>SUM(C45:C48)*100</f>
        <v>35</v>
      </c>
      <c r="F33" s="25">
        <f t="shared" ref="F33:F40" si="8">IF(A33="YES",D33/E33,"")</f>
        <v>0</v>
      </c>
      <c r="G33" s="5"/>
      <c r="H33" s="10" t="s">
        <v>67</v>
      </c>
      <c r="I33" s="11" t="s">
        <v>78</v>
      </c>
      <c r="J33" s="12">
        <f t="shared" si="6"/>
        <v>2.5000000000000001E-2</v>
      </c>
      <c r="K33" s="13">
        <v>0</v>
      </c>
      <c r="L33" s="13">
        <v>10</v>
      </c>
      <c r="M33" s="14">
        <f t="shared" si="7"/>
        <v>0</v>
      </c>
    </row>
    <row r="34" spans="1:13" ht="18.75" x14ac:dyDescent="0.25">
      <c r="A34" s="10" t="s">
        <v>67</v>
      </c>
      <c r="B34" s="11" t="s">
        <v>79</v>
      </c>
      <c r="C34" s="59">
        <f>IF(A34="YES",30/200,"")</f>
        <v>0.15</v>
      </c>
      <c r="D34" s="60">
        <f>SUM(F51:F53)*100</f>
        <v>0</v>
      </c>
      <c r="E34" s="61">
        <f>SUM(C51:C53)*100</f>
        <v>30</v>
      </c>
      <c r="F34" s="62">
        <f t="shared" si="8"/>
        <v>0</v>
      </c>
      <c r="G34" s="44"/>
      <c r="H34" s="10" t="s">
        <v>67</v>
      </c>
      <c r="I34" s="11" t="s">
        <v>80</v>
      </c>
      <c r="J34" s="12">
        <f t="shared" si="6"/>
        <v>2.5000000000000001E-2</v>
      </c>
      <c r="K34" s="13">
        <v>0</v>
      </c>
      <c r="L34" s="13">
        <v>10</v>
      </c>
      <c r="M34" s="14">
        <f t="shared" si="7"/>
        <v>0</v>
      </c>
    </row>
    <row r="35" spans="1:13" ht="18.75" x14ac:dyDescent="0.25">
      <c r="A35" s="10" t="s">
        <v>67</v>
      </c>
      <c r="B35" s="11" t="s">
        <v>81</v>
      </c>
      <c r="C35" s="12">
        <f>IF(A35="YES",10/200,"")</f>
        <v>0.05</v>
      </c>
      <c r="D35" s="13">
        <v>0</v>
      </c>
      <c r="E35" s="13">
        <v>100</v>
      </c>
      <c r="F35" s="14">
        <f t="shared" si="8"/>
        <v>0</v>
      </c>
      <c r="G35" s="44"/>
      <c r="H35" s="10" t="s">
        <v>67</v>
      </c>
      <c r="I35" s="11" t="s">
        <v>82</v>
      </c>
      <c r="J35" s="12">
        <f t="shared" si="6"/>
        <v>2.5000000000000001E-2</v>
      </c>
      <c r="K35" s="13">
        <v>0</v>
      </c>
      <c r="L35" s="13">
        <v>10</v>
      </c>
      <c r="M35" s="14">
        <f t="shared" si="7"/>
        <v>0</v>
      </c>
    </row>
    <row r="36" spans="1:13" ht="18.75" x14ac:dyDescent="0.25">
      <c r="A36" s="10" t="s">
        <v>67</v>
      </c>
      <c r="B36" s="11" t="s">
        <v>83</v>
      </c>
      <c r="C36" s="12">
        <f>IF(A36="YES",10/200,"")</f>
        <v>0.05</v>
      </c>
      <c r="D36" s="13">
        <v>0</v>
      </c>
      <c r="E36" s="13">
        <v>100</v>
      </c>
      <c r="F36" s="14">
        <f t="shared" si="8"/>
        <v>0</v>
      </c>
      <c r="G36" s="5"/>
      <c r="H36" s="10" t="s">
        <v>67</v>
      </c>
      <c r="I36" s="11" t="s">
        <v>84</v>
      </c>
      <c r="J36" s="12">
        <f t="shared" si="6"/>
        <v>2.5000000000000001E-2</v>
      </c>
      <c r="K36" s="13">
        <v>0</v>
      </c>
      <c r="L36" s="13">
        <v>10</v>
      </c>
      <c r="M36" s="14">
        <f t="shared" si="7"/>
        <v>0</v>
      </c>
    </row>
    <row r="37" spans="1:13" ht="18.75" x14ac:dyDescent="0.25">
      <c r="A37" s="10" t="s">
        <v>67</v>
      </c>
      <c r="B37" s="11" t="s">
        <v>85</v>
      </c>
      <c r="C37" s="12">
        <f>IF(A37="YES",5/200,"")</f>
        <v>2.5000000000000001E-2</v>
      </c>
      <c r="D37" s="13">
        <v>0</v>
      </c>
      <c r="E37" s="13">
        <v>100</v>
      </c>
      <c r="F37" s="14">
        <f t="shared" si="8"/>
        <v>0</v>
      </c>
      <c r="G37" s="5"/>
      <c r="H37" s="10" t="s">
        <v>67</v>
      </c>
      <c r="I37" s="11" t="str">
        <f>IF(J37=2%,"BEST Assign. #1", "Assign. #1")</f>
        <v>Assign. #1</v>
      </c>
      <c r="J37" s="12">
        <f>IF(AND((H37="YES"),AND(K37&lt;&gt;MIN(K$37:K$41),K37&lt;&gt;SMALL(K$37:K$41,2))),2%,IF(H37="YES",0%,""))</f>
        <v>0</v>
      </c>
      <c r="K37" s="13">
        <v>0</v>
      </c>
      <c r="L37" s="13">
        <v>4</v>
      </c>
      <c r="M37" s="14">
        <f t="shared" si="7"/>
        <v>0</v>
      </c>
    </row>
    <row r="38" spans="1:13" ht="18.75" x14ac:dyDescent="0.25">
      <c r="A38" s="10" t="s">
        <v>67</v>
      </c>
      <c r="B38" s="11" t="s">
        <v>86</v>
      </c>
      <c r="C38" s="12">
        <f>IF(A38="YES",70/200,"")</f>
        <v>0.35</v>
      </c>
      <c r="D38" s="61">
        <f>SUM(F56:F62)*100</f>
        <v>0</v>
      </c>
      <c r="E38" s="61">
        <f>SUM(C56:C62)*100</f>
        <v>70</v>
      </c>
      <c r="F38" s="14">
        <f t="shared" si="8"/>
        <v>0</v>
      </c>
      <c r="G38" s="5"/>
      <c r="H38" s="10" t="s">
        <v>67</v>
      </c>
      <c r="I38" s="11" t="str">
        <f>IF(J38=2%,"BEST Assign. #2", "Assign. #2")</f>
        <v>Assign. #2</v>
      </c>
      <c r="J38" s="12">
        <f>IF(AND((H38="YES"),AND(K38&lt;&gt;MIN(K$37:K$41),K38&lt;&gt;SMALL(K$37:K$41,2))),2%,IF(H38="YES",0%,""))</f>
        <v>0</v>
      </c>
      <c r="K38" s="13">
        <v>0</v>
      </c>
      <c r="L38" s="13">
        <v>4</v>
      </c>
      <c r="M38" s="14">
        <f t="shared" si="7"/>
        <v>0</v>
      </c>
    </row>
    <row r="39" spans="1:13" ht="18.75" x14ac:dyDescent="0.25">
      <c r="A39" s="10" t="s">
        <v>67</v>
      </c>
      <c r="B39" s="11" t="s">
        <v>87</v>
      </c>
      <c r="C39" s="12">
        <f>IF(A39="YES",5/200,"")</f>
        <v>2.5000000000000001E-2</v>
      </c>
      <c r="D39" s="13">
        <v>0</v>
      </c>
      <c r="E39" s="13">
        <v>15</v>
      </c>
      <c r="F39" s="14">
        <f t="shared" si="8"/>
        <v>0</v>
      </c>
      <c r="G39" s="5"/>
      <c r="H39" s="10" t="s">
        <v>67</v>
      </c>
      <c r="I39" s="11" t="str">
        <f>IF(J39=2%,"BEST Assign. #3", "Assign. #3")</f>
        <v>Assign. #3</v>
      </c>
      <c r="J39" s="12">
        <f>IF(AND((H39="YES"),AND(K39&lt;&gt;MIN(K$37:K$41),K39&lt;&gt;SMALL(K$37:K$41,2))),2%,IF(H39="YES",0%,""))</f>
        <v>0</v>
      </c>
      <c r="K39" s="13">
        <v>0</v>
      </c>
      <c r="L39" s="13">
        <v>4</v>
      </c>
      <c r="M39" s="14">
        <f t="shared" si="7"/>
        <v>0</v>
      </c>
    </row>
    <row r="40" spans="1:13" ht="18.75" x14ac:dyDescent="0.25">
      <c r="A40" s="10" t="s">
        <v>67</v>
      </c>
      <c r="B40" s="11" t="s">
        <v>88</v>
      </c>
      <c r="C40" s="12">
        <f>IF(A40="YES",10/200,"")</f>
        <v>0.05</v>
      </c>
      <c r="D40" s="13">
        <v>0</v>
      </c>
      <c r="E40" s="13">
        <v>129</v>
      </c>
      <c r="F40" s="14">
        <f t="shared" si="8"/>
        <v>0</v>
      </c>
      <c r="G40" s="5"/>
      <c r="H40" s="10" t="s">
        <v>67</v>
      </c>
      <c r="I40" s="11" t="str">
        <f>IF(J40=2%,"BEST Assign. #4", "Assign. #4")</f>
        <v>Assign. #4</v>
      </c>
      <c r="J40" s="12">
        <f>IF(AND((H40="YES"),AND(K40&lt;&gt;MIN(K$37:K$41),K40&lt;&gt;SMALL(K$37:K$41,2))),2%,IF(H40="YES",0%,""))</f>
        <v>0</v>
      </c>
      <c r="K40" s="13">
        <v>0</v>
      </c>
      <c r="L40" s="13">
        <v>4</v>
      </c>
      <c r="M40" s="14">
        <f t="shared" si="7"/>
        <v>0</v>
      </c>
    </row>
    <row r="41" spans="1:13" ht="18.75" x14ac:dyDescent="0.25">
      <c r="A41" s="10" t="s">
        <v>67</v>
      </c>
      <c r="B41" s="11" t="s">
        <v>89</v>
      </c>
      <c r="C41" s="12">
        <f>IF(A41="YES",5/200,"")</f>
        <v>2.5000000000000001E-2</v>
      </c>
      <c r="D41" s="13">
        <v>0</v>
      </c>
      <c r="E41" s="13">
        <v>100</v>
      </c>
      <c r="F41" s="14">
        <f>IF(A41="YES",D41/E41,"")</f>
        <v>0</v>
      </c>
      <c r="G41" s="5"/>
      <c r="H41" s="10" t="s">
        <v>67</v>
      </c>
      <c r="I41" s="11" t="str">
        <f>IF(J41=2%,"BEST Assign. #5", "Assign. #5")</f>
        <v>Assign. #5</v>
      </c>
      <c r="J41" s="12">
        <f>IF(AND((H41="YES"),AND(K41&lt;&gt;MIN(K$37:K$41),K41&lt;&gt;SMALL(K$37:K$41,2))),2%,IF(H41="YES",0%,""))</f>
        <v>0</v>
      </c>
      <c r="K41" s="13">
        <v>0</v>
      </c>
      <c r="L41" s="13">
        <v>4</v>
      </c>
      <c r="M41" s="14">
        <f t="shared" si="7"/>
        <v>0</v>
      </c>
    </row>
    <row r="42" spans="1:13" ht="19.5" thickBot="1" x14ac:dyDescent="0.3">
      <c r="A42" s="15" t="s">
        <v>67</v>
      </c>
      <c r="B42" s="16" t="s">
        <v>27</v>
      </c>
      <c r="C42" s="17">
        <f>IF(A42="YES",20/200,"")</f>
        <v>0.1</v>
      </c>
      <c r="D42" s="18">
        <v>0</v>
      </c>
      <c r="E42" s="18">
        <v>100</v>
      </c>
      <c r="F42" s="19">
        <f>IF(A42="YES",D42/E42,"")</f>
        <v>0</v>
      </c>
      <c r="G42" s="5"/>
      <c r="H42" s="10" t="s">
        <v>67</v>
      </c>
      <c r="I42" s="11" t="s">
        <v>90</v>
      </c>
      <c r="J42" s="12">
        <f>IF(H42="YES",(6/3)%,"")</f>
        <v>0.02</v>
      </c>
      <c r="K42" s="13">
        <v>0</v>
      </c>
      <c r="L42" s="13">
        <v>12</v>
      </c>
      <c r="M42" s="14">
        <f t="shared" si="7"/>
        <v>0</v>
      </c>
    </row>
    <row r="43" spans="1:13" ht="21.75" thickBot="1" x14ac:dyDescent="0.3">
      <c r="A43" s="172" t="s">
        <v>91</v>
      </c>
      <c r="B43" s="173"/>
      <c r="C43" s="173"/>
      <c r="D43" s="173"/>
      <c r="E43" s="173"/>
      <c r="F43" s="174"/>
      <c r="G43" s="5"/>
      <c r="H43" s="10" t="s">
        <v>67</v>
      </c>
      <c r="I43" s="11" t="s">
        <v>92</v>
      </c>
      <c r="J43" s="12">
        <f>IF(H43="YES",(6/3)%,"")</f>
        <v>0.02</v>
      </c>
      <c r="K43" s="13">
        <v>0</v>
      </c>
      <c r="L43" s="13">
        <v>14</v>
      </c>
      <c r="M43" s="14">
        <f t="shared" si="7"/>
        <v>0</v>
      </c>
    </row>
    <row r="44" spans="1:13" ht="19.5" thickBot="1" x14ac:dyDescent="0.3">
      <c r="A44" s="63" t="s">
        <v>13</v>
      </c>
      <c r="B44" s="64" t="s">
        <v>14</v>
      </c>
      <c r="C44" s="65" t="s">
        <v>15</v>
      </c>
      <c r="D44" s="65" t="s">
        <v>16</v>
      </c>
      <c r="E44" s="65" t="s">
        <v>17</v>
      </c>
      <c r="F44" s="65" t="s">
        <v>93</v>
      </c>
      <c r="G44" s="44"/>
      <c r="H44" s="10" t="s">
        <v>67</v>
      </c>
      <c r="I44" s="11" t="s">
        <v>94</v>
      </c>
      <c r="J44" s="12">
        <f>IF(H44="YES",(6/3)%,"")</f>
        <v>0.02</v>
      </c>
      <c r="K44" s="13">
        <v>0</v>
      </c>
      <c r="L44" s="13">
        <v>13</v>
      </c>
      <c r="M44" s="14">
        <f t="shared" si="7"/>
        <v>0</v>
      </c>
    </row>
    <row r="45" spans="1:13" ht="18.75" x14ac:dyDescent="0.25">
      <c r="A45" s="10" t="s">
        <v>67</v>
      </c>
      <c r="B45" s="22" t="s">
        <v>95</v>
      </c>
      <c r="C45" s="23">
        <f>IF(A45="YES",5%,"")</f>
        <v>0.05</v>
      </c>
      <c r="D45" s="24">
        <v>0</v>
      </c>
      <c r="E45" s="24">
        <v>100</v>
      </c>
      <c r="F45" s="25">
        <f>IF(A45="YES",(D45/E45)*(C45),"")</f>
        <v>0</v>
      </c>
      <c r="G45" s="5"/>
      <c r="H45" s="10" t="s">
        <v>67</v>
      </c>
      <c r="I45" s="11" t="s">
        <v>96</v>
      </c>
      <c r="J45" s="12">
        <f>IF(H45="YES",16%,"")</f>
        <v>0.16</v>
      </c>
      <c r="K45" s="13">
        <v>0</v>
      </c>
      <c r="L45" s="13">
        <v>40</v>
      </c>
      <c r="M45" s="14">
        <f t="shared" si="7"/>
        <v>0</v>
      </c>
    </row>
    <row r="46" spans="1:13" ht="18.75" x14ac:dyDescent="0.25">
      <c r="A46" s="10" t="s">
        <v>67</v>
      </c>
      <c r="B46" s="11" t="s">
        <v>97</v>
      </c>
      <c r="C46" s="12">
        <f>IF(A46="YES",5%,"")</f>
        <v>0.05</v>
      </c>
      <c r="D46" s="13">
        <v>0</v>
      </c>
      <c r="E46" s="13">
        <v>100</v>
      </c>
      <c r="F46" s="14">
        <f>IF(A46="YES",(D46/E46)*(C46),"")</f>
        <v>0</v>
      </c>
      <c r="G46" s="5"/>
      <c r="H46" s="10" t="s">
        <v>67</v>
      </c>
      <c r="I46" s="11" t="s">
        <v>98</v>
      </c>
      <c r="J46" s="12">
        <f>IF(H46="YES",17%,"")</f>
        <v>0.17</v>
      </c>
      <c r="K46" s="13">
        <v>0</v>
      </c>
      <c r="L46" s="13">
        <v>40</v>
      </c>
      <c r="M46" s="14">
        <f t="shared" si="7"/>
        <v>0</v>
      </c>
    </row>
    <row r="47" spans="1:13" ht="19.5" thickBot="1" x14ac:dyDescent="0.3">
      <c r="A47" s="10" t="s">
        <v>67</v>
      </c>
      <c r="B47" s="11" t="s">
        <v>99</v>
      </c>
      <c r="C47" s="12">
        <f>IF(A47="YES",5%,"")</f>
        <v>0.05</v>
      </c>
      <c r="D47" s="13">
        <v>0</v>
      </c>
      <c r="E47" s="13">
        <v>100</v>
      </c>
      <c r="F47" s="14">
        <f>IF(A47="YES",(D47/E47)*(C47),"")</f>
        <v>0</v>
      </c>
      <c r="G47" s="5"/>
      <c r="H47" s="15" t="s">
        <v>67</v>
      </c>
      <c r="I47" s="16" t="s">
        <v>27</v>
      </c>
      <c r="J47" s="17">
        <f>IF(H47="YES",40%,"")</f>
        <v>0.4</v>
      </c>
      <c r="K47" s="18">
        <v>0</v>
      </c>
      <c r="L47" s="18">
        <v>100</v>
      </c>
      <c r="M47" s="19">
        <f t="shared" si="7"/>
        <v>0</v>
      </c>
    </row>
    <row r="48" spans="1:13" ht="19.5" thickBot="1" x14ac:dyDescent="0.3">
      <c r="A48" s="10" t="s">
        <v>67</v>
      </c>
      <c r="B48" s="11" t="s">
        <v>100</v>
      </c>
      <c r="C48" s="12">
        <f>IF(A48="YES",20%,"")</f>
        <v>0.2</v>
      </c>
      <c r="D48" s="13">
        <v>0</v>
      </c>
      <c r="E48" s="13">
        <v>100</v>
      </c>
      <c r="F48" s="14">
        <f>IF(A48="YES",(D48/E48)*(C48),"")</f>
        <v>0</v>
      </c>
      <c r="G48" s="5"/>
      <c r="H48" s="5"/>
      <c r="I48" s="5"/>
      <c r="J48" s="5"/>
      <c r="K48" s="5"/>
      <c r="L48" s="5"/>
      <c r="M48" s="5"/>
    </row>
    <row r="49" spans="1:13" ht="24" thickBot="1" x14ac:dyDescent="0.3">
      <c r="A49" s="172" t="s">
        <v>101</v>
      </c>
      <c r="B49" s="173"/>
      <c r="C49" s="173"/>
      <c r="D49" s="173"/>
      <c r="E49" s="173"/>
      <c r="F49" s="174"/>
      <c r="G49" s="5"/>
      <c r="H49" s="171" t="s">
        <v>102</v>
      </c>
      <c r="I49" s="171"/>
      <c r="J49" s="171"/>
      <c r="K49" s="171"/>
      <c r="L49" s="171"/>
      <c r="M49" s="171"/>
    </row>
    <row r="50" spans="1:13" ht="19.5" thickBot="1" x14ac:dyDescent="0.3">
      <c r="A50" s="63" t="s">
        <v>13</v>
      </c>
      <c r="B50" s="64" t="s">
        <v>14</v>
      </c>
      <c r="C50" s="65" t="s">
        <v>15</v>
      </c>
      <c r="D50" s="65" t="s">
        <v>16</v>
      </c>
      <c r="E50" s="65" t="s">
        <v>17</v>
      </c>
      <c r="F50" s="65" t="s">
        <v>93</v>
      </c>
      <c r="G50" s="5"/>
      <c r="H50" s="8" t="s">
        <v>13</v>
      </c>
      <c r="I50" s="20" t="s">
        <v>14</v>
      </c>
      <c r="J50" s="21" t="s">
        <v>15</v>
      </c>
      <c r="K50" s="21" t="s">
        <v>16</v>
      </c>
      <c r="L50" s="21" t="s">
        <v>17</v>
      </c>
      <c r="M50" s="21" t="s">
        <v>18</v>
      </c>
    </row>
    <row r="51" spans="1:13" ht="18.75" x14ac:dyDescent="0.25">
      <c r="A51" s="10" t="s">
        <v>67</v>
      </c>
      <c r="B51" s="22" t="s">
        <v>103</v>
      </c>
      <c r="C51" s="23">
        <f>IF(A51="YES",12%,"")</f>
        <v>0.12</v>
      </c>
      <c r="D51" s="24">
        <v>0</v>
      </c>
      <c r="E51" s="24">
        <v>12</v>
      </c>
      <c r="F51" s="25">
        <f>IF(A51="YES",(D51/E51)*(C51),"")</f>
        <v>0</v>
      </c>
      <c r="G51" s="5"/>
      <c r="H51" s="10" t="s">
        <v>67</v>
      </c>
      <c r="I51" s="22" t="s">
        <v>104</v>
      </c>
      <c r="J51" s="23">
        <f>IF(H51="YES",5%,"")</f>
        <v>0.05</v>
      </c>
      <c r="K51" s="24">
        <v>0</v>
      </c>
      <c r="L51" s="24">
        <v>5</v>
      </c>
      <c r="M51" s="25">
        <f t="shared" ref="M51:M69" si="9">IF(H51="YES",K51/L51,"")</f>
        <v>0</v>
      </c>
    </row>
    <row r="52" spans="1:13" ht="18.75" x14ac:dyDescent="0.25">
      <c r="A52" s="10" t="s">
        <v>67</v>
      </c>
      <c r="B52" s="11" t="s">
        <v>105</v>
      </c>
      <c r="C52" s="12">
        <f>IF(A52="YES",3%,"")</f>
        <v>0.03</v>
      </c>
      <c r="D52" s="13">
        <v>0</v>
      </c>
      <c r="E52" s="13">
        <v>3</v>
      </c>
      <c r="F52" s="14">
        <f>IF(A52="YES",(D52/E52)*(C52),"")</f>
        <v>0</v>
      </c>
      <c r="G52" s="5"/>
      <c r="H52" s="10" t="s">
        <v>67</v>
      </c>
      <c r="I52" s="11" t="str">
        <f>IF(J52=(10/6)%,"BEST Quiz #1", "Quiz #1")</f>
        <v>Quiz #1</v>
      </c>
      <c r="J52" s="12">
        <f t="shared" ref="J52:J59" si="10">IF(AND((H52="YES"),AND(K52&lt;&gt;MIN(K$52:K$59),K52&lt;&gt;SMALL(K$52:K$59,2))),(10/6)%,IF(H52="YES",0%,""))</f>
        <v>0</v>
      </c>
      <c r="K52" s="13">
        <v>0</v>
      </c>
      <c r="L52" s="13">
        <v>10</v>
      </c>
      <c r="M52" s="14">
        <f t="shared" si="9"/>
        <v>0</v>
      </c>
    </row>
    <row r="53" spans="1:13" ht="19.5" thickBot="1" x14ac:dyDescent="0.3">
      <c r="A53" s="15" t="s">
        <v>67</v>
      </c>
      <c r="B53" s="16" t="s">
        <v>100</v>
      </c>
      <c r="C53" s="17">
        <f>IF(A53="YES",15%,"")</f>
        <v>0.15</v>
      </c>
      <c r="D53" s="18">
        <v>0</v>
      </c>
      <c r="E53" s="18">
        <v>100</v>
      </c>
      <c r="F53" s="19">
        <f>IF(A53="YES",(D53/E53)*(C53),"")</f>
        <v>0</v>
      </c>
      <c r="G53" s="5"/>
      <c r="H53" s="10" t="s">
        <v>67</v>
      </c>
      <c r="I53" s="11" t="str">
        <f>IF(J53=(10/6)%,"BEST Quiz #2", "Quiz #2")</f>
        <v>Quiz #2</v>
      </c>
      <c r="J53" s="12">
        <f t="shared" si="10"/>
        <v>0</v>
      </c>
      <c r="K53" s="13">
        <v>0</v>
      </c>
      <c r="L53" s="13">
        <v>10</v>
      </c>
      <c r="M53" s="14">
        <f t="shared" si="9"/>
        <v>0</v>
      </c>
    </row>
    <row r="54" spans="1:13" ht="21.75" thickBot="1" x14ac:dyDescent="0.3">
      <c r="A54" s="172" t="s">
        <v>106</v>
      </c>
      <c r="B54" s="173"/>
      <c r="C54" s="173"/>
      <c r="D54" s="173"/>
      <c r="E54" s="173"/>
      <c r="F54" s="174"/>
      <c r="G54" s="5"/>
      <c r="H54" s="10" t="s">
        <v>67</v>
      </c>
      <c r="I54" s="11" t="str">
        <f>IF(J54=(10/6)%,"BEST Quiz #3", "Quiz #3")</f>
        <v>Quiz #3</v>
      </c>
      <c r="J54" s="12">
        <f t="shared" si="10"/>
        <v>0</v>
      </c>
      <c r="K54" s="13">
        <v>0</v>
      </c>
      <c r="L54" s="13">
        <v>10</v>
      </c>
      <c r="M54" s="14">
        <f t="shared" si="9"/>
        <v>0</v>
      </c>
    </row>
    <row r="55" spans="1:13" ht="19.5" thickBot="1" x14ac:dyDescent="0.3">
      <c r="A55" s="63" t="s">
        <v>13</v>
      </c>
      <c r="B55" s="64" t="s">
        <v>14</v>
      </c>
      <c r="C55" s="65" t="s">
        <v>15</v>
      </c>
      <c r="D55" s="65" t="s">
        <v>16</v>
      </c>
      <c r="E55" s="65" t="s">
        <v>17</v>
      </c>
      <c r="F55" s="65" t="s">
        <v>93</v>
      </c>
      <c r="G55" s="5"/>
      <c r="H55" s="10" t="s">
        <v>67</v>
      </c>
      <c r="I55" s="11" t="str">
        <f>IF(J55=(10/6)%,"BEST Quiz #4", "Quiz #4")</f>
        <v>Quiz #4</v>
      </c>
      <c r="J55" s="12">
        <f t="shared" si="10"/>
        <v>0</v>
      </c>
      <c r="K55" s="13">
        <v>0</v>
      </c>
      <c r="L55" s="13">
        <v>10</v>
      </c>
      <c r="M55" s="14">
        <f t="shared" si="9"/>
        <v>0</v>
      </c>
    </row>
    <row r="56" spans="1:13" ht="18.75" x14ac:dyDescent="0.25">
      <c r="A56" s="10" t="s">
        <v>67</v>
      </c>
      <c r="B56" s="22" t="s">
        <v>107</v>
      </c>
      <c r="C56" s="23">
        <f>IF(A56="YES",5%,"")</f>
        <v>0.05</v>
      </c>
      <c r="D56" s="24">
        <v>0</v>
      </c>
      <c r="E56" s="24">
        <v>100</v>
      </c>
      <c r="F56" s="25">
        <f t="shared" ref="F56:F62" si="11">IF(A56="YES",(D56/E56)*(C56),"")</f>
        <v>0</v>
      </c>
      <c r="G56" s="5"/>
      <c r="H56" s="10" t="s">
        <v>67</v>
      </c>
      <c r="I56" s="11" t="str">
        <f>IF(J56=(10/6)%,"BEST Quiz #5", "Quiz #5")</f>
        <v>Quiz #5</v>
      </c>
      <c r="J56" s="12">
        <f t="shared" si="10"/>
        <v>0</v>
      </c>
      <c r="K56" s="13">
        <v>0</v>
      </c>
      <c r="L56" s="13">
        <v>10</v>
      </c>
      <c r="M56" s="14">
        <f t="shared" si="9"/>
        <v>0</v>
      </c>
    </row>
    <row r="57" spans="1:13" ht="18.75" x14ac:dyDescent="0.25">
      <c r="A57" s="10" t="s">
        <v>67</v>
      </c>
      <c r="B57" s="11" t="s">
        <v>108</v>
      </c>
      <c r="C57" s="12">
        <f>IF(A57="YES",10%,"")</f>
        <v>0.1</v>
      </c>
      <c r="D57" s="13">
        <v>0</v>
      </c>
      <c r="E57" s="13">
        <v>100</v>
      </c>
      <c r="F57" s="14">
        <f t="shared" si="11"/>
        <v>0</v>
      </c>
      <c r="G57" s="5"/>
      <c r="H57" s="10" t="s">
        <v>67</v>
      </c>
      <c r="I57" s="11" t="str">
        <f>IF(J57=(10/6)%,"BEST Quiz #6", "Quiz #6")</f>
        <v>Quiz #6</v>
      </c>
      <c r="J57" s="12">
        <f t="shared" si="10"/>
        <v>0</v>
      </c>
      <c r="K57" s="13">
        <v>0</v>
      </c>
      <c r="L57" s="13">
        <v>10</v>
      </c>
      <c r="M57" s="14">
        <f t="shared" si="9"/>
        <v>0</v>
      </c>
    </row>
    <row r="58" spans="1:13" ht="18.75" x14ac:dyDescent="0.25">
      <c r="A58" s="10" t="s">
        <v>67</v>
      </c>
      <c r="B58" s="11" t="s">
        <v>109</v>
      </c>
      <c r="C58" s="12">
        <f>IF(A58="YES",2%,"")</f>
        <v>0.02</v>
      </c>
      <c r="D58" s="13">
        <v>0</v>
      </c>
      <c r="E58" s="13">
        <v>2</v>
      </c>
      <c r="F58" s="14">
        <f t="shared" si="11"/>
        <v>0</v>
      </c>
      <c r="G58" s="44"/>
      <c r="H58" s="10" t="s">
        <v>67</v>
      </c>
      <c r="I58" s="11" t="str">
        <f>IF(J58=(10/6)%,"BEST Quiz #7", "Quiz #7")</f>
        <v>Quiz #7</v>
      </c>
      <c r="J58" s="12">
        <f t="shared" si="10"/>
        <v>0</v>
      </c>
      <c r="K58" s="13">
        <v>0</v>
      </c>
      <c r="L58" s="13">
        <v>10</v>
      </c>
      <c r="M58" s="14">
        <f t="shared" si="9"/>
        <v>0</v>
      </c>
    </row>
    <row r="59" spans="1:13" ht="18.75" x14ac:dyDescent="0.25">
      <c r="A59" s="10" t="s">
        <v>67</v>
      </c>
      <c r="B59" s="11" t="s">
        <v>110</v>
      </c>
      <c r="C59" s="12">
        <f>IF(A59="YES",3%,"")</f>
        <v>0.03</v>
      </c>
      <c r="D59" s="13">
        <v>0</v>
      </c>
      <c r="E59" s="13">
        <v>3</v>
      </c>
      <c r="F59" s="14">
        <f t="shared" si="11"/>
        <v>0</v>
      </c>
      <c r="G59" s="44"/>
      <c r="H59" s="10" t="s">
        <v>67</v>
      </c>
      <c r="I59" s="11" t="str">
        <f>IF(J59=(10/6)%,"BEST Quiz #8", "Quiz #8")</f>
        <v>Quiz #8</v>
      </c>
      <c r="J59" s="12">
        <f t="shared" si="10"/>
        <v>0</v>
      </c>
      <c r="K59" s="13">
        <v>0</v>
      </c>
      <c r="L59" s="13">
        <v>10</v>
      </c>
      <c r="M59" s="14">
        <f t="shared" si="9"/>
        <v>0</v>
      </c>
    </row>
    <row r="60" spans="1:13" ht="18.75" x14ac:dyDescent="0.25">
      <c r="A60" s="10" t="s">
        <v>67</v>
      </c>
      <c r="B60" s="11" t="s">
        <v>99</v>
      </c>
      <c r="C60" s="12">
        <f>IF(A60="YES",5%,"")</f>
        <v>0.05</v>
      </c>
      <c r="D60" s="13">
        <v>0</v>
      </c>
      <c r="E60" s="13">
        <v>5</v>
      </c>
      <c r="F60" s="14">
        <f t="shared" si="11"/>
        <v>0</v>
      </c>
      <c r="G60" s="44"/>
      <c r="H60" s="10" t="s">
        <v>67</v>
      </c>
      <c r="I60" s="11" t="str">
        <f>IF(J60=2.5%,"BEST Lab #1", "Lab #1")</f>
        <v>BEST Lab #1</v>
      </c>
      <c r="J60" s="12">
        <v>2.5000000000000001E-2</v>
      </c>
      <c r="K60" s="13">
        <v>0</v>
      </c>
      <c r="L60" s="13">
        <v>15</v>
      </c>
      <c r="M60" s="14">
        <f t="shared" si="9"/>
        <v>0</v>
      </c>
    </row>
    <row r="61" spans="1:13" ht="18.75" x14ac:dyDescent="0.25">
      <c r="A61" s="10" t="s">
        <v>67</v>
      </c>
      <c r="B61" s="11" t="s">
        <v>111</v>
      </c>
      <c r="C61" s="12">
        <f>IF(A61="YES",10%,"")</f>
        <v>0.1</v>
      </c>
      <c r="D61" s="13">
        <v>0</v>
      </c>
      <c r="E61" s="13">
        <v>100</v>
      </c>
      <c r="F61" s="14">
        <f t="shared" si="11"/>
        <v>0</v>
      </c>
      <c r="G61" s="5"/>
      <c r="H61" s="10" t="s">
        <v>67</v>
      </c>
      <c r="I61" s="11" t="str">
        <f>IF(J61=2.5%,"BEST Lab #2", "Lab #2")</f>
        <v>BEST Lab #2</v>
      </c>
      <c r="J61" s="12">
        <v>2.5000000000000001E-2</v>
      </c>
      <c r="K61" s="13">
        <v>0</v>
      </c>
      <c r="L61" s="13">
        <v>15</v>
      </c>
      <c r="M61" s="14">
        <f t="shared" si="9"/>
        <v>0</v>
      </c>
    </row>
    <row r="62" spans="1:13" ht="19.5" thickBot="1" x14ac:dyDescent="0.3">
      <c r="A62" s="15" t="s">
        <v>67</v>
      </c>
      <c r="B62" s="16" t="s">
        <v>100</v>
      </c>
      <c r="C62" s="17">
        <f>IF(A62="YES",35%,"")</f>
        <v>0.35</v>
      </c>
      <c r="D62" s="18">
        <v>0</v>
      </c>
      <c r="E62" s="18">
        <v>100</v>
      </c>
      <c r="F62" s="19">
        <f t="shared" si="11"/>
        <v>0</v>
      </c>
      <c r="G62" s="5"/>
      <c r="H62" s="10" t="s">
        <v>67</v>
      </c>
      <c r="I62" s="11" t="str">
        <f>IF(J62=2.5%,"BEST Lab #3", "Lab #3")</f>
        <v>BEST Lab #3</v>
      </c>
      <c r="J62" s="12">
        <v>2.5000000000000001E-2</v>
      </c>
      <c r="K62" s="13">
        <v>0</v>
      </c>
      <c r="L62" s="13">
        <v>15</v>
      </c>
      <c r="M62" s="14">
        <f t="shared" si="9"/>
        <v>0</v>
      </c>
    </row>
    <row r="63" spans="1:13" ht="18.75" x14ac:dyDescent="0.25">
      <c r="A63" s="5"/>
      <c r="B63" s="5"/>
      <c r="C63" s="5"/>
      <c r="D63" s="5"/>
      <c r="E63" s="5"/>
      <c r="F63" s="5"/>
      <c r="G63" s="5"/>
      <c r="H63" s="10" t="s">
        <v>67</v>
      </c>
      <c r="I63" s="11" t="str">
        <f>IF(J63=2.5%,"BEST Lab #4", "Lab #4")</f>
        <v>BEST Lab #4</v>
      </c>
      <c r="J63" s="12">
        <v>2.5000000000000001E-2</v>
      </c>
      <c r="K63" s="13">
        <v>0</v>
      </c>
      <c r="L63" s="13">
        <v>15</v>
      </c>
      <c r="M63" s="14">
        <f t="shared" si="9"/>
        <v>0</v>
      </c>
    </row>
    <row r="64" spans="1:13" ht="24" thickBot="1" x14ac:dyDescent="0.3">
      <c r="A64" s="171" t="s">
        <v>7</v>
      </c>
      <c r="B64" s="171"/>
      <c r="C64" s="171"/>
      <c r="D64" s="171"/>
      <c r="E64" s="171"/>
      <c r="F64" s="171"/>
      <c r="G64" s="5"/>
      <c r="H64" s="10" t="s">
        <v>67</v>
      </c>
      <c r="I64" s="11" t="str">
        <f>IF(J64=2.5%,"BEST Lab #5", "Lab #5")</f>
        <v>BEST Lab #5</v>
      </c>
      <c r="J64" s="12">
        <v>2.5000000000000001E-2</v>
      </c>
      <c r="K64" s="13">
        <v>0</v>
      </c>
      <c r="L64" s="13">
        <v>15</v>
      </c>
      <c r="M64" s="14">
        <f t="shared" si="9"/>
        <v>0</v>
      </c>
    </row>
    <row r="65" spans="1:13" ht="19.5" thickBot="1" x14ac:dyDescent="0.3">
      <c r="A65" s="8" t="s">
        <v>13</v>
      </c>
      <c r="B65" s="20" t="s">
        <v>14</v>
      </c>
      <c r="C65" s="21" t="s">
        <v>15</v>
      </c>
      <c r="D65" s="21" t="s">
        <v>16</v>
      </c>
      <c r="E65" s="21" t="s">
        <v>17</v>
      </c>
      <c r="F65" s="21" t="s">
        <v>18</v>
      </c>
      <c r="G65" s="5"/>
      <c r="H65" s="10" t="s">
        <v>67</v>
      </c>
      <c r="I65" s="11" t="str">
        <f>IF(J65=2.5%,"BEST Lab #6", "Lab #6")</f>
        <v>Lab #6</v>
      </c>
      <c r="J65" s="12">
        <v>0</v>
      </c>
      <c r="K65" s="13">
        <v>0</v>
      </c>
      <c r="L65" s="13">
        <v>15</v>
      </c>
      <c r="M65" s="14">
        <f t="shared" si="9"/>
        <v>0</v>
      </c>
    </row>
    <row r="66" spans="1:13" ht="18.75" x14ac:dyDescent="0.25">
      <c r="A66" s="10" t="s">
        <v>67</v>
      </c>
      <c r="B66" s="22" t="s">
        <v>112</v>
      </c>
      <c r="C66" s="23">
        <f>IF(A66="YES",20%,"")</f>
        <v>0.2</v>
      </c>
      <c r="D66" s="24">
        <v>0</v>
      </c>
      <c r="E66" s="24">
        <v>100</v>
      </c>
      <c r="F66" s="25">
        <f t="shared" ref="F66:F69" si="12">IF(A66="YES",D66/E66,"")</f>
        <v>0</v>
      </c>
      <c r="G66" s="5"/>
      <c r="H66" s="10" t="s">
        <v>67</v>
      </c>
      <c r="I66" s="11" t="str">
        <f>IF(J66=2.5%,"BEST Lab #7", "Lab #7")</f>
        <v>BEST Lab #7</v>
      </c>
      <c r="J66" s="12">
        <v>2.5000000000000001E-2</v>
      </c>
      <c r="K66" s="13">
        <v>0</v>
      </c>
      <c r="L66" s="13">
        <v>15</v>
      </c>
      <c r="M66" s="14">
        <f t="shared" si="9"/>
        <v>0</v>
      </c>
    </row>
    <row r="67" spans="1:13" ht="18.75" x14ac:dyDescent="0.25">
      <c r="A67" s="10" t="s">
        <v>67</v>
      </c>
      <c r="B67" s="11" t="s">
        <v>113</v>
      </c>
      <c r="C67" s="12">
        <f>IF(A67="YES",25%,"")</f>
        <v>0.25</v>
      </c>
      <c r="D67" s="13">
        <v>0</v>
      </c>
      <c r="E67" s="13">
        <v>100</v>
      </c>
      <c r="F67" s="14">
        <f t="shared" si="12"/>
        <v>0</v>
      </c>
      <c r="G67" s="5"/>
      <c r="H67" s="10" t="s">
        <v>67</v>
      </c>
      <c r="I67" s="11" t="str">
        <f>IF(J67=2.5%,"BEST Lab #8", "Lab #8")</f>
        <v>Lab #8</v>
      </c>
      <c r="J67" s="12">
        <v>0</v>
      </c>
      <c r="K67" s="13">
        <v>0</v>
      </c>
      <c r="L67" s="13">
        <v>15</v>
      </c>
      <c r="M67" s="14">
        <f t="shared" si="9"/>
        <v>0</v>
      </c>
    </row>
    <row r="68" spans="1:13" ht="18.75" x14ac:dyDescent="0.25">
      <c r="A68" s="10" t="s">
        <v>67</v>
      </c>
      <c r="B68" s="11" t="s">
        <v>114</v>
      </c>
      <c r="C68" s="12">
        <f>IF(A68="YES",25%,"")</f>
        <v>0.25</v>
      </c>
      <c r="D68" s="13">
        <v>0</v>
      </c>
      <c r="E68" s="13">
        <v>100</v>
      </c>
      <c r="F68" s="14">
        <f t="shared" si="12"/>
        <v>0</v>
      </c>
      <c r="G68" s="5"/>
      <c r="H68" s="10" t="s">
        <v>67</v>
      </c>
      <c r="I68" s="11" t="s">
        <v>30</v>
      </c>
      <c r="J68" s="12">
        <f>IF(H68="YES",20%,"")</f>
        <v>0.2</v>
      </c>
      <c r="K68" s="13">
        <v>0</v>
      </c>
      <c r="L68" s="13">
        <v>70</v>
      </c>
      <c r="M68" s="14">
        <f t="shared" si="9"/>
        <v>0</v>
      </c>
    </row>
    <row r="69" spans="1:13" ht="19.5" thickBot="1" x14ac:dyDescent="0.3">
      <c r="A69" s="15" t="s">
        <v>67</v>
      </c>
      <c r="B69" s="16" t="s">
        <v>27</v>
      </c>
      <c r="C69" s="17">
        <f>IF(A69="YES",30%,"")</f>
        <v>0.3</v>
      </c>
      <c r="D69" s="18">
        <v>0</v>
      </c>
      <c r="E69" s="18">
        <v>100</v>
      </c>
      <c r="F69" s="19">
        <f t="shared" si="12"/>
        <v>0</v>
      </c>
      <c r="G69" s="5"/>
      <c r="H69" s="15" t="s">
        <v>67</v>
      </c>
      <c r="I69" s="16" t="s">
        <v>27</v>
      </c>
      <c r="J69" s="17">
        <f>IF(H69="YES",50%,"")</f>
        <v>0.5</v>
      </c>
      <c r="K69" s="18">
        <v>0</v>
      </c>
      <c r="L69" s="18">
        <v>100</v>
      </c>
      <c r="M69" s="19">
        <f t="shared" si="9"/>
        <v>0</v>
      </c>
    </row>
    <row r="70" spans="1:13" ht="18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24" thickBot="1" x14ac:dyDescent="0.3">
      <c r="A71" s="171" t="s">
        <v>115</v>
      </c>
      <c r="B71" s="171"/>
      <c r="C71" s="171"/>
      <c r="D71" s="171"/>
      <c r="E71" s="171"/>
      <c r="F71" s="171"/>
      <c r="G71" s="5"/>
      <c r="H71" s="171" t="s">
        <v>116</v>
      </c>
      <c r="I71" s="171"/>
      <c r="J71" s="171"/>
      <c r="K71" s="171"/>
      <c r="L71" s="171"/>
      <c r="M71" s="171"/>
    </row>
    <row r="72" spans="1:13" ht="19.5" thickBot="1" x14ac:dyDescent="0.3">
      <c r="A72" s="8" t="s">
        <v>13</v>
      </c>
      <c r="B72" s="2" t="s">
        <v>14</v>
      </c>
      <c r="C72" s="3" t="s">
        <v>15</v>
      </c>
      <c r="D72" s="3" t="s">
        <v>16</v>
      </c>
      <c r="E72" s="3" t="s">
        <v>17</v>
      </c>
      <c r="F72" s="21" t="s">
        <v>18</v>
      </c>
      <c r="G72" s="5"/>
      <c r="H72" s="8" t="s">
        <v>13</v>
      </c>
      <c r="I72" s="22" t="s">
        <v>14</v>
      </c>
      <c r="J72" s="27" t="s">
        <v>15</v>
      </c>
      <c r="K72" s="27" t="s">
        <v>16</v>
      </c>
      <c r="L72" s="27" t="s">
        <v>17</v>
      </c>
      <c r="M72" s="21" t="s">
        <v>18</v>
      </c>
    </row>
    <row r="73" spans="1:13" ht="18.75" x14ac:dyDescent="0.25">
      <c r="A73" s="10" t="s">
        <v>67</v>
      </c>
      <c r="B73" s="22" t="s">
        <v>19</v>
      </c>
      <c r="C73" s="23">
        <f>IF(A73="YES",2%,"")</f>
        <v>0.02</v>
      </c>
      <c r="D73" s="24">
        <v>0</v>
      </c>
      <c r="E73" s="24">
        <v>8</v>
      </c>
      <c r="F73" s="25">
        <f t="shared" ref="F73:F84" si="13">IF(A73="YES",D73/E73,"")</f>
        <v>0</v>
      </c>
      <c r="G73" s="5"/>
      <c r="H73" s="10" t="s">
        <v>67</v>
      </c>
      <c r="I73" s="22" t="s">
        <v>61</v>
      </c>
      <c r="J73" s="23">
        <f>IF(H73="YES",15%,"")</f>
        <v>0.15</v>
      </c>
      <c r="K73" s="24">
        <v>0</v>
      </c>
      <c r="L73" s="24">
        <v>20</v>
      </c>
      <c r="M73" s="25">
        <f>IF(H73="YES",K73/L73,"")</f>
        <v>0</v>
      </c>
    </row>
    <row r="74" spans="1:13" ht="18.75" x14ac:dyDescent="0.25">
      <c r="A74" s="10" t="s">
        <v>67</v>
      </c>
      <c r="B74" s="11" t="s">
        <v>20</v>
      </c>
      <c r="C74" s="12">
        <f>IF(A74="YES",2%,"")</f>
        <v>0.02</v>
      </c>
      <c r="D74" s="13">
        <v>0</v>
      </c>
      <c r="E74" s="13">
        <v>10</v>
      </c>
      <c r="F74" s="14">
        <f t="shared" si="13"/>
        <v>0</v>
      </c>
      <c r="G74" s="5"/>
      <c r="H74" s="10" t="s">
        <v>67</v>
      </c>
      <c r="I74" s="11" t="s">
        <v>62</v>
      </c>
      <c r="J74" s="12">
        <f>IF(H74="YES",15%,"")</f>
        <v>0.15</v>
      </c>
      <c r="K74" s="13">
        <v>0</v>
      </c>
      <c r="L74" s="13">
        <v>20</v>
      </c>
      <c r="M74" s="14">
        <f>IF(H74="YES",K74/L74,"")</f>
        <v>0</v>
      </c>
    </row>
    <row r="75" spans="1:13" ht="18.75" x14ac:dyDescent="0.25">
      <c r="A75" s="10" t="s">
        <v>67</v>
      </c>
      <c r="B75" s="11" t="s">
        <v>21</v>
      </c>
      <c r="C75" s="12">
        <f>IF(A75="YES",2%,"")</f>
        <v>0.02</v>
      </c>
      <c r="D75" s="13">
        <v>0</v>
      </c>
      <c r="E75" s="13">
        <v>10</v>
      </c>
      <c r="F75" s="14">
        <f t="shared" si="13"/>
        <v>0</v>
      </c>
      <c r="G75" s="5"/>
      <c r="H75" s="10" t="s">
        <v>67</v>
      </c>
      <c r="I75" s="11" t="s">
        <v>63</v>
      </c>
      <c r="J75" s="12">
        <f>IF(H75="YES",15%,"")</f>
        <v>0.15</v>
      </c>
      <c r="K75" s="13">
        <v>0</v>
      </c>
      <c r="L75" s="13">
        <v>20</v>
      </c>
      <c r="M75" s="14">
        <f>IF(H75="YES",K75/L75,"")</f>
        <v>0</v>
      </c>
    </row>
    <row r="76" spans="1:13" ht="19.5" thickBot="1" x14ac:dyDescent="0.3">
      <c r="A76" s="10" t="s">
        <v>67</v>
      </c>
      <c r="B76" s="11" t="s">
        <v>22</v>
      </c>
      <c r="C76" s="12">
        <f>IF(A76="YES",2%,"")</f>
        <v>0.02</v>
      </c>
      <c r="D76" s="13">
        <v>0</v>
      </c>
      <c r="E76" s="13">
        <v>10</v>
      </c>
      <c r="F76" s="14">
        <f t="shared" si="13"/>
        <v>0</v>
      </c>
      <c r="G76" s="5"/>
      <c r="H76" s="15" t="s">
        <v>67</v>
      </c>
      <c r="I76" s="16" t="s">
        <v>27</v>
      </c>
      <c r="J76" s="17">
        <f>IF(H76="YES",55%,"")</f>
        <v>0.55000000000000004</v>
      </c>
      <c r="K76" s="18">
        <v>0</v>
      </c>
      <c r="L76" s="18">
        <v>60</v>
      </c>
      <c r="M76" s="19">
        <f>IF(H76="YES",K76/L76,"")</f>
        <v>0</v>
      </c>
    </row>
    <row r="77" spans="1:13" ht="18.75" x14ac:dyDescent="0.25">
      <c r="A77" s="10" t="s">
        <v>67</v>
      </c>
      <c r="B77" s="11" t="s">
        <v>23</v>
      </c>
      <c r="C77" s="12">
        <f>IF(A77="YES",2%,"")</f>
        <v>0.02</v>
      </c>
      <c r="D77" s="13">
        <v>0</v>
      </c>
      <c r="E77" s="13">
        <v>10</v>
      </c>
      <c r="F77" s="14">
        <f t="shared" si="13"/>
        <v>0</v>
      </c>
      <c r="G77" s="44"/>
      <c r="H77" s="44"/>
      <c r="I77" s="44"/>
      <c r="J77" s="44"/>
      <c r="K77" s="44"/>
      <c r="L77" s="44"/>
      <c r="M77" s="44"/>
    </row>
    <row r="78" spans="1:13" ht="18.75" x14ac:dyDescent="0.25">
      <c r="A78" s="10" t="s">
        <v>67</v>
      </c>
      <c r="B78" s="11" t="s">
        <v>117</v>
      </c>
      <c r="C78" s="12">
        <f>IF(A78="YES",30%,"")</f>
        <v>0.3</v>
      </c>
      <c r="D78" s="13">
        <v>0</v>
      </c>
      <c r="E78" s="13">
        <v>100</v>
      </c>
      <c r="F78" s="14">
        <f t="shared" si="13"/>
        <v>0</v>
      </c>
      <c r="G78" s="44"/>
      <c r="H78" s="44"/>
      <c r="I78" s="44"/>
      <c r="J78" s="44"/>
      <c r="K78" s="44"/>
      <c r="L78" s="44"/>
      <c r="M78" s="44"/>
    </row>
    <row r="79" spans="1:13" ht="18.75" x14ac:dyDescent="0.25">
      <c r="A79" s="10" t="s">
        <v>67</v>
      </c>
      <c r="B79" s="11" t="s">
        <v>75</v>
      </c>
      <c r="C79" s="12">
        <f>IF(A79="YES",3%,"")</f>
        <v>0.03</v>
      </c>
      <c r="D79" s="13">
        <v>0</v>
      </c>
      <c r="E79" s="13">
        <v>5</v>
      </c>
      <c r="F79" s="14">
        <f t="shared" si="13"/>
        <v>0</v>
      </c>
      <c r="G79" s="5"/>
      <c r="H79" s="5"/>
      <c r="I79" s="5"/>
      <c r="J79" s="5"/>
      <c r="K79" s="5"/>
      <c r="L79" s="5"/>
      <c r="M79" s="5"/>
    </row>
    <row r="80" spans="1:13" ht="18.75" x14ac:dyDescent="0.25">
      <c r="A80" s="10" t="s">
        <v>67</v>
      </c>
      <c r="B80" s="11" t="s">
        <v>76</v>
      </c>
      <c r="C80" s="12">
        <f>IF(A80="YES",3%,"")</f>
        <v>0.03</v>
      </c>
      <c r="D80" s="13">
        <v>0</v>
      </c>
      <c r="E80" s="13">
        <v>5</v>
      </c>
      <c r="F80" s="14">
        <f t="shared" si="13"/>
        <v>0</v>
      </c>
      <c r="G80" s="5"/>
      <c r="H80" s="5"/>
      <c r="I80" s="5"/>
      <c r="J80" s="5"/>
      <c r="K80" s="5"/>
      <c r="L80" s="5"/>
      <c r="M80" s="5"/>
    </row>
    <row r="81" spans="1:13" ht="18.75" x14ac:dyDescent="0.25">
      <c r="A81" s="10" t="s">
        <v>67</v>
      </c>
      <c r="B81" s="11" t="s">
        <v>78</v>
      </c>
      <c r="C81" s="12">
        <f>IF(A81="YES",3%,"")</f>
        <v>0.03</v>
      </c>
      <c r="D81" s="13">
        <v>0</v>
      </c>
      <c r="E81" s="13">
        <v>5</v>
      </c>
      <c r="F81" s="14">
        <f t="shared" si="13"/>
        <v>0</v>
      </c>
      <c r="G81" s="5"/>
      <c r="H81" s="5"/>
      <c r="I81" s="5"/>
      <c r="J81" s="5"/>
      <c r="K81" s="5"/>
      <c r="L81" s="5"/>
      <c r="M81" s="5"/>
    </row>
    <row r="82" spans="1:13" ht="18.75" x14ac:dyDescent="0.25">
      <c r="A82" s="10" t="s">
        <v>67</v>
      </c>
      <c r="B82" s="11" t="s">
        <v>80</v>
      </c>
      <c r="C82" s="12">
        <f>IF(A82="YES",3%,"")</f>
        <v>0.03</v>
      </c>
      <c r="D82" s="13">
        <v>0</v>
      </c>
      <c r="E82" s="13">
        <v>5</v>
      </c>
      <c r="F82" s="14">
        <f t="shared" si="13"/>
        <v>0</v>
      </c>
      <c r="G82" s="5"/>
      <c r="H82" s="5"/>
      <c r="I82" s="5"/>
      <c r="J82" s="5"/>
      <c r="K82" s="5"/>
      <c r="L82" s="5"/>
      <c r="M82" s="5"/>
    </row>
    <row r="83" spans="1:13" ht="18.75" x14ac:dyDescent="0.25">
      <c r="A83" s="10" t="s">
        <v>67</v>
      </c>
      <c r="B83" s="11" t="s">
        <v>82</v>
      </c>
      <c r="C83" s="12">
        <f>IF(A83="YES",3%,"")</f>
        <v>0.03</v>
      </c>
      <c r="D83" s="13">
        <v>0</v>
      </c>
      <c r="E83" s="13">
        <v>5</v>
      </c>
      <c r="F83" s="14">
        <f t="shared" si="13"/>
        <v>0</v>
      </c>
      <c r="G83" s="5"/>
      <c r="H83" s="5"/>
      <c r="I83" s="5"/>
      <c r="J83" s="5"/>
      <c r="K83" s="5"/>
      <c r="L83" s="5"/>
      <c r="M83" s="5"/>
    </row>
    <row r="84" spans="1:13" ht="19.5" thickBot="1" x14ac:dyDescent="0.3">
      <c r="A84" s="15" t="s">
        <v>67</v>
      </c>
      <c r="B84" s="16" t="s">
        <v>27</v>
      </c>
      <c r="C84" s="17">
        <f>IF(A84="YES",45%,"")</f>
        <v>0.45</v>
      </c>
      <c r="D84" s="18">
        <v>0</v>
      </c>
      <c r="E84" s="18">
        <v>45</v>
      </c>
      <c r="F84" s="19">
        <f t="shared" si="13"/>
        <v>0</v>
      </c>
      <c r="G84" s="5"/>
      <c r="H84" s="5"/>
      <c r="I84" s="5"/>
      <c r="J84" s="5"/>
      <c r="K84" s="5"/>
      <c r="L84" s="5"/>
      <c r="M84" s="5"/>
    </row>
    <row r="85" spans="1:13" ht="18.75" x14ac:dyDescent="0.25">
      <c r="A85" s="5"/>
      <c r="B85" s="5"/>
      <c r="C85" s="5"/>
      <c r="D85" s="5"/>
      <c r="E85" s="5"/>
      <c r="F85" s="5"/>
      <c r="G85" s="5"/>
      <c r="H85" s="5"/>
      <c r="I85" s="5"/>
      <c r="J85" s="66"/>
      <c r="K85" s="5"/>
      <c r="L85" s="5"/>
      <c r="M85" s="5"/>
    </row>
    <row r="86" spans="1:13" ht="24" thickBot="1" x14ac:dyDescent="0.3">
      <c r="A86" s="171" t="s">
        <v>118</v>
      </c>
      <c r="B86" s="171"/>
      <c r="C86" s="171"/>
      <c r="D86" s="171"/>
      <c r="E86" s="171"/>
      <c r="F86" s="171"/>
      <c r="G86" s="5"/>
      <c r="H86" s="5"/>
      <c r="I86" s="5"/>
      <c r="J86" s="5"/>
      <c r="K86" s="5"/>
      <c r="L86" s="5"/>
      <c r="M86" s="5"/>
    </row>
    <row r="87" spans="1:13" ht="19.5" thickBot="1" x14ac:dyDescent="0.3">
      <c r="A87" s="8" t="s">
        <v>13</v>
      </c>
      <c r="B87" s="22" t="s">
        <v>14</v>
      </c>
      <c r="C87" s="27" t="s">
        <v>15</v>
      </c>
      <c r="D87" s="27" t="s">
        <v>16</v>
      </c>
      <c r="E87" s="27" t="s">
        <v>17</v>
      </c>
      <c r="F87" s="21" t="s">
        <v>18</v>
      </c>
      <c r="G87" s="5"/>
      <c r="H87" s="5"/>
      <c r="I87" s="5"/>
      <c r="J87" s="5"/>
      <c r="K87" s="5"/>
      <c r="L87" s="5"/>
      <c r="M87" s="5"/>
    </row>
    <row r="88" spans="1:13" ht="18.75" x14ac:dyDescent="0.25">
      <c r="A88" s="10" t="s">
        <v>67</v>
      </c>
      <c r="B88" s="22" t="s">
        <v>119</v>
      </c>
      <c r="C88" s="23">
        <f>IF(A88="YES",10%,"")</f>
        <v>0.1</v>
      </c>
      <c r="D88" s="24">
        <v>0</v>
      </c>
      <c r="E88" s="24">
        <v>30</v>
      </c>
      <c r="F88" s="25">
        <f>IF(A88="YES",D88/E88,"")</f>
        <v>0</v>
      </c>
      <c r="G88" s="5"/>
      <c r="H88" s="5"/>
      <c r="I88" s="5"/>
      <c r="J88" s="5"/>
      <c r="K88" s="5"/>
      <c r="L88" s="5"/>
      <c r="M88" s="5"/>
    </row>
    <row r="89" spans="1:13" ht="18.75" x14ac:dyDescent="0.25">
      <c r="A89" s="10" t="s">
        <v>67</v>
      </c>
      <c r="B89" s="11" t="s">
        <v>120</v>
      </c>
      <c r="C89" s="12">
        <f>IF(A89="YES",10%,"")</f>
        <v>0.1</v>
      </c>
      <c r="D89" s="13">
        <v>0</v>
      </c>
      <c r="E89" s="13">
        <v>30</v>
      </c>
      <c r="F89" s="14">
        <f>IF(A89="YES",D89/E89,"")</f>
        <v>0</v>
      </c>
      <c r="G89" s="5"/>
      <c r="H89" s="5"/>
      <c r="I89" s="5"/>
      <c r="J89" s="5"/>
      <c r="K89" s="5"/>
      <c r="L89" s="5"/>
      <c r="M89" s="5"/>
    </row>
    <row r="90" spans="1:13" ht="18.75" x14ac:dyDescent="0.25">
      <c r="A90" s="10" t="s">
        <v>67</v>
      </c>
      <c r="B90" s="11" t="s">
        <v>121</v>
      </c>
      <c r="C90" s="12">
        <f>IF(A90="YES",10%,"")</f>
        <v>0.1</v>
      </c>
      <c r="D90" s="13">
        <v>0</v>
      </c>
      <c r="E90" s="13">
        <v>30</v>
      </c>
      <c r="F90" s="14">
        <f>IF(A90="YES",D90/E90,"")</f>
        <v>0</v>
      </c>
      <c r="G90" s="5"/>
      <c r="H90" s="66"/>
      <c r="I90" s="66"/>
      <c r="J90" s="66"/>
      <c r="K90" s="66"/>
      <c r="L90" s="66"/>
      <c r="M90" s="66"/>
    </row>
    <row r="91" spans="1:13" ht="18.75" x14ac:dyDescent="0.25">
      <c r="A91" s="10" t="s">
        <v>67</v>
      </c>
      <c r="B91" s="11" t="s">
        <v>122</v>
      </c>
      <c r="C91" s="12">
        <f>IF(A91="YES",10%,"")</f>
        <v>0.1</v>
      </c>
      <c r="D91" s="13">
        <v>0</v>
      </c>
      <c r="E91" s="13">
        <v>15</v>
      </c>
      <c r="F91" s="14">
        <f>IF(A91="YES",D91/E91,"")</f>
        <v>0</v>
      </c>
      <c r="G91" s="5"/>
      <c r="H91" s="67"/>
      <c r="I91" s="36"/>
      <c r="J91" s="68"/>
      <c r="K91" s="67"/>
      <c r="L91" s="67"/>
      <c r="M91" s="69"/>
    </row>
    <row r="92" spans="1:13" ht="19.5" thickBot="1" x14ac:dyDescent="0.3">
      <c r="A92" s="15" t="s">
        <v>67</v>
      </c>
      <c r="B92" s="16" t="s">
        <v>27</v>
      </c>
      <c r="C92" s="17">
        <f>IF(A92="YES",60%,"")</f>
        <v>0.6</v>
      </c>
      <c r="D92" s="18">
        <v>0</v>
      </c>
      <c r="E92" s="18">
        <v>100</v>
      </c>
      <c r="F92" s="19">
        <f>IF(A92="YES",D92/E92,"")</f>
        <v>0</v>
      </c>
      <c r="G92" s="5"/>
      <c r="H92" s="5"/>
      <c r="I92" s="5"/>
      <c r="J92" s="5"/>
      <c r="K92" s="5"/>
      <c r="L92" s="5"/>
      <c r="M92" s="5"/>
    </row>
    <row r="93" spans="1:13" ht="18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ht="24" thickBot="1" x14ac:dyDescent="0.3">
      <c r="A94" s="171" t="s">
        <v>4</v>
      </c>
      <c r="B94" s="171"/>
      <c r="C94" s="171"/>
      <c r="D94" s="171"/>
      <c r="E94" s="171"/>
      <c r="F94" s="171"/>
      <c r="G94" s="5"/>
      <c r="H94" s="5"/>
      <c r="I94" s="5"/>
      <c r="J94" s="5"/>
      <c r="K94" s="5"/>
      <c r="L94" s="5"/>
      <c r="M94" s="5"/>
    </row>
    <row r="95" spans="1:13" ht="19.5" thickBot="1" x14ac:dyDescent="0.3">
      <c r="A95" s="8" t="s">
        <v>13</v>
      </c>
      <c r="B95" s="22" t="s">
        <v>14</v>
      </c>
      <c r="C95" s="27" t="s">
        <v>15</v>
      </c>
      <c r="D95" s="27" t="s">
        <v>16</v>
      </c>
      <c r="E95" s="27" t="s">
        <v>17</v>
      </c>
      <c r="F95" s="21" t="s">
        <v>18</v>
      </c>
      <c r="G95" s="5"/>
      <c r="H95" s="5"/>
      <c r="I95" s="5"/>
      <c r="J95" s="5"/>
      <c r="K95" s="5"/>
      <c r="L95" s="5"/>
      <c r="M95" s="5"/>
    </row>
    <row r="96" spans="1:13" ht="18.75" x14ac:dyDescent="0.25">
      <c r="A96" s="10" t="s">
        <v>67</v>
      </c>
      <c r="B96" s="22" t="s">
        <v>75</v>
      </c>
      <c r="C96" s="23">
        <f>IF(A96="YES",3%,"")</f>
        <v>0.03</v>
      </c>
      <c r="D96" s="24">
        <v>0</v>
      </c>
      <c r="E96" s="24">
        <v>10</v>
      </c>
      <c r="F96" s="25">
        <f t="shared" ref="F96:F105" si="14">IF(A96="YES",D96/E96,"")</f>
        <v>0</v>
      </c>
      <c r="G96" s="5"/>
      <c r="H96" s="5"/>
      <c r="I96" s="5"/>
      <c r="J96" s="5"/>
      <c r="K96" s="5"/>
      <c r="L96" s="5"/>
      <c r="M96" s="5"/>
    </row>
    <row r="97" spans="1:13" ht="18.75" x14ac:dyDescent="0.25">
      <c r="A97" s="10" t="s">
        <v>67</v>
      </c>
      <c r="B97" s="11" t="s">
        <v>76</v>
      </c>
      <c r="C97" s="12">
        <f>IF(A97="YES",3%,"")</f>
        <v>0.03</v>
      </c>
      <c r="D97" s="13">
        <v>0</v>
      </c>
      <c r="E97" s="13">
        <v>10</v>
      </c>
      <c r="F97" s="14">
        <f t="shared" si="14"/>
        <v>0</v>
      </c>
      <c r="G97" s="5"/>
      <c r="H97" s="5"/>
      <c r="I97" s="5"/>
      <c r="J97" s="5"/>
      <c r="K97" s="5"/>
      <c r="L97" s="5"/>
      <c r="M97" s="5"/>
    </row>
    <row r="98" spans="1:13" ht="18.75" x14ac:dyDescent="0.25">
      <c r="A98" s="10" t="s">
        <v>67</v>
      </c>
      <c r="B98" s="11" t="s">
        <v>78</v>
      </c>
      <c r="C98" s="12">
        <f>IF(A98="YES",3%,"")</f>
        <v>0.03</v>
      </c>
      <c r="D98" s="13">
        <v>0</v>
      </c>
      <c r="E98" s="13">
        <v>10</v>
      </c>
      <c r="F98" s="14">
        <f t="shared" si="14"/>
        <v>0</v>
      </c>
      <c r="G98" s="5"/>
      <c r="H98" s="5"/>
      <c r="I98" s="5"/>
      <c r="J98" s="5"/>
      <c r="K98" s="5"/>
      <c r="L98" s="5"/>
      <c r="M98" s="5"/>
    </row>
    <row r="99" spans="1:13" ht="18.75" x14ac:dyDescent="0.25">
      <c r="A99" s="10" t="s">
        <v>67</v>
      </c>
      <c r="B99" s="11" t="s">
        <v>80</v>
      </c>
      <c r="C99" s="12">
        <f>IF(A99="YES",3%,"")</f>
        <v>0.03</v>
      </c>
      <c r="D99" s="13">
        <v>0</v>
      </c>
      <c r="E99" s="13">
        <v>10</v>
      </c>
      <c r="F99" s="14">
        <f t="shared" si="14"/>
        <v>0</v>
      </c>
      <c r="G99" s="5"/>
      <c r="H99" s="5"/>
      <c r="I99" s="5"/>
      <c r="J99" s="5"/>
      <c r="K99" s="5"/>
      <c r="L99" s="5"/>
      <c r="M99" s="5"/>
    </row>
    <row r="100" spans="1:13" ht="18.75" x14ac:dyDescent="0.25">
      <c r="A100" s="10" t="s">
        <v>67</v>
      </c>
      <c r="B100" s="11" t="s">
        <v>123</v>
      </c>
      <c r="C100" s="12">
        <f>IF(A100="YES",3%,"")</f>
        <v>0.03</v>
      </c>
      <c r="D100" s="13">
        <v>0</v>
      </c>
      <c r="E100" s="13">
        <v>100</v>
      </c>
      <c r="F100" s="14">
        <f t="shared" si="14"/>
        <v>0</v>
      </c>
      <c r="G100" s="5"/>
      <c r="H100" s="5"/>
      <c r="I100" s="5"/>
      <c r="J100" s="5"/>
      <c r="K100" s="5"/>
      <c r="L100" s="5"/>
      <c r="M100" s="5"/>
    </row>
    <row r="101" spans="1:13" ht="18.75" x14ac:dyDescent="0.25">
      <c r="A101" s="10" t="s">
        <v>67</v>
      </c>
      <c r="B101" s="11" t="s">
        <v>124</v>
      </c>
      <c r="C101" s="12">
        <f>IF(A101="YES",7.5%,"")</f>
        <v>7.4999999999999997E-2</v>
      </c>
      <c r="D101" s="13">
        <v>0</v>
      </c>
      <c r="E101" s="13">
        <v>18</v>
      </c>
      <c r="F101" s="14">
        <f t="shared" si="14"/>
        <v>0</v>
      </c>
      <c r="G101" s="5"/>
      <c r="H101" s="5"/>
      <c r="I101" s="5"/>
      <c r="J101" s="5"/>
      <c r="K101" s="5"/>
      <c r="L101" s="5"/>
      <c r="M101" s="5"/>
    </row>
    <row r="102" spans="1:13" ht="18.75" x14ac:dyDescent="0.25">
      <c r="A102" s="10" t="s">
        <v>67</v>
      </c>
      <c r="B102" s="11" t="s">
        <v>125</v>
      </c>
      <c r="C102" s="12">
        <f>IF(A102="YES",7.5%,"")</f>
        <v>7.4999999999999997E-2</v>
      </c>
      <c r="D102" s="13">
        <v>0</v>
      </c>
      <c r="E102" s="13">
        <v>18</v>
      </c>
      <c r="F102" s="14">
        <f t="shared" si="14"/>
        <v>0</v>
      </c>
      <c r="G102" s="5"/>
      <c r="H102" s="5"/>
      <c r="I102" s="5"/>
      <c r="J102" s="5"/>
      <c r="K102" s="5"/>
      <c r="L102" s="5"/>
      <c r="M102" s="5"/>
    </row>
    <row r="103" spans="1:13" ht="18.75" x14ac:dyDescent="0.25">
      <c r="A103" s="10" t="s">
        <v>67</v>
      </c>
      <c r="B103" s="11" t="s">
        <v>21</v>
      </c>
      <c r="C103" s="12">
        <f>IF(A103="YES",0%,"")</f>
        <v>0</v>
      </c>
      <c r="D103" s="13">
        <v>0</v>
      </c>
      <c r="E103" s="13">
        <v>18</v>
      </c>
      <c r="F103" s="14">
        <f t="shared" si="14"/>
        <v>0</v>
      </c>
      <c r="G103" s="5"/>
      <c r="H103" s="5"/>
      <c r="I103" s="5"/>
      <c r="J103" s="5"/>
      <c r="K103" s="5"/>
      <c r="L103" s="5"/>
      <c r="M103" s="5"/>
    </row>
    <row r="104" spans="1:13" ht="18.75" x14ac:dyDescent="0.25">
      <c r="A104" s="10" t="s">
        <v>67</v>
      </c>
      <c r="B104" s="11" t="s">
        <v>30</v>
      </c>
      <c r="C104" s="12">
        <f>IF(A104="YES",30%,"")</f>
        <v>0.3</v>
      </c>
      <c r="D104" s="13">
        <v>0</v>
      </c>
      <c r="E104" s="13">
        <v>100</v>
      </c>
      <c r="F104" s="14">
        <f t="shared" si="14"/>
        <v>0</v>
      </c>
      <c r="G104" s="5"/>
      <c r="H104" s="5"/>
      <c r="I104" s="5"/>
      <c r="J104" s="5"/>
      <c r="K104" s="5"/>
      <c r="L104" s="5"/>
      <c r="M104" s="5"/>
    </row>
    <row r="105" spans="1:13" ht="19.5" thickBot="1" x14ac:dyDescent="0.3">
      <c r="A105" s="15" t="s">
        <v>67</v>
      </c>
      <c r="B105" s="16" t="s">
        <v>27</v>
      </c>
      <c r="C105" s="17">
        <f>IF(A105="YES",40%,"")</f>
        <v>0.4</v>
      </c>
      <c r="D105" s="18">
        <v>0</v>
      </c>
      <c r="E105" s="18">
        <v>100</v>
      </c>
      <c r="F105" s="19">
        <f t="shared" si="14"/>
        <v>0</v>
      </c>
      <c r="G105" s="5"/>
      <c r="H105" s="5"/>
      <c r="I105" s="5"/>
      <c r="J105" s="5"/>
      <c r="K105" s="5"/>
      <c r="L105" s="5"/>
      <c r="M105" s="5"/>
    </row>
  </sheetData>
  <mergeCells count="16">
    <mergeCell ref="H29:M29"/>
    <mergeCell ref="A1:F1"/>
    <mergeCell ref="H1:K1"/>
    <mergeCell ref="H14:I14"/>
    <mergeCell ref="A15:F15"/>
    <mergeCell ref="H15:I15"/>
    <mergeCell ref="A71:F71"/>
    <mergeCell ref="H71:M71"/>
    <mergeCell ref="A86:F86"/>
    <mergeCell ref="A94:F94"/>
    <mergeCell ref="A31:F31"/>
    <mergeCell ref="A43:F43"/>
    <mergeCell ref="A49:F49"/>
    <mergeCell ref="H49:M49"/>
    <mergeCell ref="A54:F54"/>
    <mergeCell ref="A64:F64"/>
  </mergeCells>
  <conditionalFormatting sqref="I18:I27">
    <cfRule type="cellIs" dxfId="11" priority="13" operator="equal">
      <formula>100%</formula>
    </cfRule>
  </conditionalFormatting>
  <conditionalFormatting sqref="H18">
    <cfRule type="expression" dxfId="10" priority="14">
      <formula>AND(A1,I18=100%)</formula>
    </cfRule>
  </conditionalFormatting>
  <conditionalFormatting sqref="H26">
    <cfRule type="expression" dxfId="9" priority="15">
      <formula>AND(H49,I26=100%)</formula>
    </cfRule>
  </conditionalFormatting>
  <conditionalFormatting sqref="H27">
    <cfRule type="expression" dxfId="8" priority="16">
      <formula>AND(H29,I27=100%)</formula>
    </cfRule>
  </conditionalFormatting>
  <conditionalFormatting sqref="H25">
    <cfRule type="expression" dxfId="7" priority="17">
      <formula>AND(H71,I25=100%)</formula>
    </cfRule>
  </conditionalFormatting>
  <conditionalFormatting sqref="H22">
    <cfRule type="expression" dxfId="6" priority="18">
      <formula>AND(A15,I22=100%)</formula>
    </cfRule>
  </conditionalFormatting>
  <conditionalFormatting sqref="H23">
    <cfRule type="expression" dxfId="5" priority="19">
      <formula>AND(A31,I23=100%)</formula>
    </cfRule>
  </conditionalFormatting>
  <conditionalFormatting sqref="H21">
    <cfRule type="expression" dxfId="4" priority="20">
      <formula>AND(A94,I21=100%)</formula>
    </cfRule>
  </conditionalFormatting>
  <conditionalFormatting sqref="H24">
    <cfRule type="expression" dxfId="3" priority="21">
      <formula>AND(A64,I24=100%)</formula>
    </cfRule>
  </conditionalFormatting>
  <conditionalFormatting sqref="H19">
    <cfRule type="expression" dxfId="2" priority="22">
      <formula>AND(A71,I19=100%)</formula>
    </cfRule>
  </conditionalFormatting>
  <conditionalFormatting sqref="H20">
    <cfRule type="expression" dxfId="1" priority="23">
      <formula>AND(A86,I20=100%)</formula>
    </cfRule>
  </conditionalFormatting>
  <conditionalFormatting sqref="H3:K12">
    <cfRule type="expression" dxfId="0" priority="1">
      <formula>AND($I18=100%)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C9" sqref="C9"/>
    </sheetView>
  </sheetViews>
  <sheetFormatPr defaultRowHeight="15" x14ac:dyDescent="0.25"/>
  <cols>
    <col min="1" max="1" width="41.28515625" customWidth="1"/>
    <col min="2" max="2" width="25.28515625" customWidth="1"/>
    <col min="3" max="3" width="25.85546875" customWidth="1"/>
    <col min="4" max="4" width="12.7109375" customWidth="1"/>
    <col min="5" max="5" width="27.42578125" customWidth="1"/>
  </cols>
  <sheetData>
    <row r="1" spans="1:5" ht="19.5" thickBot="1" x14ac:dyDescent="0.3">
      <c r="A1" s="6" t="s">
        <v>126</v>
      </c>
      <c r="B1" s="3" t="s">
        <v>127</v>
      </c>
      <c r="C1" s="82" t="s">
        <v>135</v>
      </c>
      <c r="E1" s="8" t="s">
        <v>10</v>
      </c>
    </row>
    <row r="2" spans="1:5" ht="19.5" thickBot="1" x14ac:dyDescent="0.3">
      <c r="A2" s="72">
        <f>SUM('1st Year'!I3:I12)</f>
        <v>7.5</v>
      </c>
      <c r="B2" s="83">
        <f>'1st Year'!J15</f>
        <v>0</v>
      </c>
      <c r="C2" s="84">
        <f>'1st Year'!K15</f>
        <v>0</v>
      </c>
      <c r="E2" s="71">
        <f>((A2*B2)+(A4*B4)+(A6*B6))/(A2+A4+A6)</f>
        <v>6.2500000000000003E-3</v>
      </c>
    </row>
    <row r="3" spans="1:5" ht="19.5" thickBot="1" x14ac:dyDescent="0.3">
      <c r="A3" s="6" t="s">
        <v>12</v>
      </c>
      <c r="B3" s="3" t="s">
        <v>11</v>
      </c>
      <c r="C3" s="82" t="s">
        <v>136</v>
      </c>
      <c r="E3" s="8" t="s">
        <v>134</v>
      </c>
    </row>
    <row r="4" spans="1:5" ht="19.5" thickBot="1" x14ac:dyDescent="0.3">
      <c r="A4" s="72">
        <f>SUM('2nd Year'!I3:I14)</f>
        <v>6</v>
      </c>
      <c r="B4" s="83">
        <f>'2nd Year'!J19</f>
        <v>1.2500000000000002E-2</v>
      </c>
      <c r="C4" s="84">
        <f>'2nd Year'!K19</f>
        <v>0</v>
      </c>
      <c r="E4" s="85">
        <f>((A2*C2)+(A4*C4)+(A6*C6))/(A2+A4+A6)</f>
        <v>0</v>
      </c>
    </row>
    <row r="5" spans="1:5" ht="19.5" thickBot="1" x14ac:dyDescent="0.3">
      <c r="A5" s="6" t="s">
        <v>157</v>
      </c>
      <c r="B5" s="3" t="s">
        <v>158</v>
      </c>
      <c r="C5" s="82" t="s">
        <v>159</v>
      </c>
    </row>
    <row r="6" spans="1:5" ht="19.5" thickBot="1" x14ac:dyDescent="0.3">
      <c r="A6" s="72">
        <f>SUM('3rd Year'!I3:I13)</f>
        <v>2.5</v>
      </c>
      <c r="B6" s="83">
        <f>'3rd Year'!J18</f>
        <v>0.01</v>
      </c>
      <c r="C6" s="84">
        <f>'3rd Year'!K18</f>
        <v>0</v>
      </c>
    </row>
    <row r="16" spans="1:5" ht="18.75" x14ac:dyDescent="0.3">
      <c r="A16" s="1"/>
      <c r="B16" s="1"/>
      <c r="C16" s="1"/>
    </row>
    <row r="17" spans="1:3" ht="18.75" x14ac:dyDescent="0.3">
      <c r="A17" s="1"/>
      <c r="B17" s="1"/>
      <c r="C17" s="1"/>
    </row>
    <row r="18" spans="1:3" ht="18.75" x14ac:dyDescent="0.3">
      <c r="A18" s="1"/>
      <c r="B18" s="1"/>
      <c r="C18" s="1"/>
    </row>
    <row r="19" spans="1:3" ht="18.75" x14ac:dyDescent="0.3">
      <c r="A19" s="1"/>
      <c r="B19" s="1"/>
      <c r="C19" s="1"/>
    </row>
    <row r="20" spans="1:3" ht="18.75" x14ac:dyDescent="0.3">
      <c r="A20" s="1"/>
      <c r="B20" s="1"/>
      <c r="C20" s="1"/>
    </row>
    <row r="21" spans="1:3" ht="18.75" x14ac:dyDescent="0.3">
      <c r="A21" s="1"/>
      <c r="B21" s="1"/>
      <c r="C21" s="1"/>
    </row>
    <row r="22" spans="1:3" ht="18.75" x14ac:dyDescent="0.3">
      <c r="A22" s="1"/>
      <c r="B22" s="1"/>
      <c r="C22" s="1"/>
    </row>
    <row r="23" spans="1:3" ht="18.75" x14ac:dyDescent="0.3">
      <c r="A23" s="1"/>
      <c r="B23" s="1"/>
      <c r="C23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 Year</vt:lpstr>
      <vt:lpstr>2nd Year</vt:lpstr>
      <vt:lpstr>1st Year</vt:lpstr>
      <vt:lpstr>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2017-01-26T15:51:39Z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cd2b24d0-774f-41de-82b4-510c4a1387ff</vt:lpwstr>
  </property>
</Properties>
</file>