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mk.local\dane\BM\BM-06\BIP\ROK 2022-BIP\Tekst jednolity\"/>
    </mc:Choice>
  </mc:AlternateContent>
  <xr:revisionPtr revIDLastSave="0" documentId="13_ncr:1_{73A44C1D-B872-4829-BE10-8212295D6E9C}" xr6:coauthVersionLast="36" xr6:coauthVersionMax="36" xr10:uidLastSave="{00000000-0000-0000-0000-000000000000}"/>
  <bookViews>
    <workbookView xWindow="32760" yWindow="32760" windowWidth="18705" windowHeight="12495" tabRatio="552" xr2:uid="{00000000-000D-0000-FFFF-FFFF00000000}"/>
  </bookViews>
  <sheets>
    <sheet name="Zał. nr 11" sheetId="1" r:id="rId1"/>
  </sheets>
  <definedNames>
    <definedName name="_xlnm._FilterDatabase" localSheetId="0" hidden="1">'Zał. nr 11'!$A$13:$D$635</definedName>
    <definedName name="_xlnm.Print_Area" localSheetId="0">'Zał. nr 11'!$A$1:$D$635</definedName>
    <definedName name="_xlnm.Print_Titles" localSheetId="0">'Zał. nr 11'!$10:$13</definedName>
  </definedNames>
  <calcPr calcId="191029"/>
</workbook>
</file>

<file path=xl/calcChain.xml><?xml version="1.0" encoding="utf-8"?>
<calcChain xmlns="http://schemas.openxmlformats.org/spreadsheetml/2006/main">
  <c r="D465" i="1" l="1"/>
  <c r="D463" i="1"/>
  <c r="D566" i="1"/>
  <c r="D221" i="1"/>
  <c r="D615" i="1"/>
  <c r="D614" i="1"/>
  <c r="D624" i="1"/>
  <c r="D626" i="1"/>
  <c r="D625" i="1" s="1"/>
  <c r="D587" i="1"/>
  <c r="D586" i="1"/>
  <c r="D591" i="1"/>
  <c r="D590" i="1" s="1"/>
  <c r="D593" i="1"/>
  <c r="D592" i="1" s="1"/>
  <c r="D555" i="1"/>
  <c r="D554" i="1" s="1"/>
  <c r="D561" i="1"/>
  <c r="D560" i="1"/>
  <c r="D563" i="1"/>
  <c r="D562" i="1" s="1"/>
  <c r="D521" i="1"/>
  <c r="D520" i="1" s="1"/>
  <c r="D530" i="1"/>
  <c r="D529" i="1" s="1"/>
  <c r="D489" i="1"/>
  <c r="D488" i="1"/>
  <c r="D499" i="1"/>
  <c r="D498" i="1" s="1"/>
  <c r="D454" i="1"/>
  <c r="D453" i="1" s="1"/>
  <c r="D461" i="1"/>
  <c r="D460" i="1" s="1"/>
  <c r="D428" i="1"/>
  <c r="D418" i="1"/>
  <c r="D417" i="1" s="1"/>
  <c r="D430" i="1"/>
  <c r="D429" i="1" s="1"/>
  <c r="D384" i="1"/>
  <c r="D383" i="1" s="1"/>
  <c r="D391" i="1"/>
  <c r="D393" i="1"/>
  <c r="D392" i="1" s="1"/>
  <c r="D357" i="1"/>
  <c r="D356" i="1"/>
  <c r="D361" i="1"/>
  <c r="D360" i="1" s="1"/>
  <c r="D309" i="1"/>
  <c r="D308" i="1" s="1"/>
  <c r="D305" i="1"/>
  <c r="D304" i="1" s="1"/>
  <c r="D311" i="1"/>
  <c r="D310" i="1"/>
  <c r="D270" i="1"/>
  <c r="D269" i="1" s="1"/>
  <c r="D280" i="1"/>
  <c r="D279" i="1" s="1"/>
  <c r="D278" i="1"/>
  <c r="D277" i="1" s="1"/>
  <c r="D236" i="1"/>
  <c r="D235" i="1"/>
  <c r="D246" i="1"/>
  <c r="D245" i="1" s="1"/>
  <c r="D210" i="1"/>
  <c r="D209" i="1" s="1"/>
  <c r="D206" i="1"/>
  <c r="D205" i="1" s="1"/>
  <c r="D212" i="1"/>
  <c r="D211" i="1"/>
  <c r="D335" i="1"/>
  <c r="D334" i="1" s="1"/>
  <c r="D339" i="1"/>
  <c r="D338" i="1" s="1"/>
  <c r="D182" i="1"/>
  <c r="D181" i="1" s="1"/>
  <c r="D177" i="1"/>
  <c r="D176" i="1"/>
  <c r="D146" i="1"/>
  <c r="D145" i="1" s="1"/>
  <c r="D151" i="1"/>
  <c r="D150" i="1" s="1"/>
  <c r="D153" i="1"/>
  <c r="D152" i="1" s="1"/>
  <c r="D111" i="1"/>
  <c r="D110" i="1" s="1"/>
  <c r="D118" i="1"/>
  <c r="D43" i="1" s="1"/>
  <c r="D120" i="1"/>
  <c r="D119" i="1" s="1"/>
  <c r="D80" i="1"/>
  <c r="D79" i="1" s="1"/>
  <c r="D87" i="1"/>
  <c r="D86" i="1" s="1"/>
  <c r="D546" i="1"/>
  <c r="D480" i="1"/>
  <c r="D227" i="1"/>
  <c r="D198" i="1"/>
  <c r="D197" i="1" s="1"/>
  <c r="D168" i="1"/>
  <c r="D607" i="1"/>
  <c r="D606" i="1" s="1"/>
  <c r="D579" i="1"/>
  <c r="D578" i="1" s="1"/>
  <c r="D547" i="1"/>
  <c r="D545" i="1" s="1"/>
  <c r="D513" i="1"/>
  <c r="D481" i="1"/>
  <c r="D447" i="1"/>
  <c r="D446" i="1" s="1"/>
  <c r="D411" i="1"/>
  <c r="D376" i="1"/>
  <c r="D375" i="1" s="1"/>
  <c r="D350" i="1"/>
  <c r="D349" i="1" s="1"/>
  <c r="D328" i="1"/>
  <c r="D327" i="1"/>
  <c r="D297" i="1"/>
  <c r="D296" i="1" s="1"/>
  <c r="D262" i="1"/>
  <c r="D261" i="1"/>
  <c r="D228" i="1"/>
  <c r="D199" i="1"/>
  <c r="D169" i="1"/>
  <c r="D167" i="1" s="1"/>
  <c r="D138" i="1"/>
  <c r="D137" i="1" s="1"/>
  <c r="D103" i="1"/>
  <c r="D71" i="1"/>
  <c r="D70" i="1" s="1"/>
  <c r="D617" i="1"/>
  <c r="D616" i="1" s="1"/>
  <c r="D420" i="1"/>
  <c r="D34" i="1" s="1"/>
  <c r="D395" i="1"/>
  <c r="D394" i="1"/>
  <c r="D313" i="1"/>
  <c r="D312" i="1" s="1"/>
  <c r="D532" i="1"/>
  <c r="D531" i="1" s="1"/>
  <c r="D432" i="1"/>
  <c r="D431" i="1" s="1"/>
  <c r="D88" i="1"/>
  <c r="D122" i="1"/>
  <c r="D121" i="1" s="1"/>
  <c r="D541" i="1"/>
  <c r="D442" i="1"/>
  <c r="D404" i="1"/>
  <c r="D371" i="1"/>
  <c r="D323" i="1"/>
  <c r="D291" i="1"/>
  <c r="D256" i="1"/>
  <c r="D53" i="1"/>
  <c r="D633" i="1"/>
  <c r="D630" i="1" s="1"/>
  <c r="D632" i="1"/>
  <c r="D631" i="1"/>
  <c r="D599" i="1"/>
  <c r="D598" i="1"/>
  <c r="D571" i="1"/>
  <c r="D570" i="1"/>
  <c r="D538" i="1"/>
  <c r="D537" i="1"/>
  <c r="D506" i="1"/>
  <c r="D505" i="1" s="1"/>
  <c r="D471" i="1"/>
  <c r="D58" i="1" s="1"/>
  <c r="D470" i="1"/>
  <c r="D466" i="1" s="1"/>
  <c r="D469" i="1"/>
  <c r="D468" i="1"/>
  <c r="D439" i="1"/>
  <c r="D438" i="1"/>
  <c r="D401" i="1"/>
  <c r="D400" i="1"/>
  <c r="D399" i="1"/>
  <c r="D366" i="1"/>
  <c r="D345" i="1"/>
  <c r="D344" i="1"/>
  <c r="D343" i="1"/>
  <c r="D320" i="1"/>
  <c r="D318" i="1" s="1"/>
  <c r="D319" i="1"/>
  <c r="D288" i="1"/>
  <c r="D287" i="1"/>
  <c r="D286" i="1"/>
  <c r="D55" i="1" s="1"/>
  <c r="D285" i="1"/>
  <c r="D253" i="1"/>
  <c r="D252" i="1"/>
  <c r="D251" i="1"/>
  <c r="D220" i="1"/>
  <c r="D219" i="1"/>
  <c r="D218" i="1"/>
  <c r="D217" i="1" s="1"/>
  <c r="D191" i="1"/>
  <c r="D190" i="1"/>
  <c r="D160" i="1"/>
  <c r="D159" i="1"/>
  <c r="D158" i="1"/>
  <c r="D128" i="1"/>
  <c r="D127" i="1"/>
  <c r="D95" i="1"/>
  <c r="D94" i="1"/>
  <c r="D93" i="1"/>
  <c r="D405" i="1"/>
  <c r="D131" i="1"/>
  <c r="D62" i="1" s="1"/>
  <c r="D512" i="1"/>
  <c r="D511" i="1" s="1"/>
  <c r="D410" i="1"/>
  <c r="D409" i="1" s="1"/>
  <c r="D102" i="1"/>
  <c r="D101" i="1" s="1"/>
  <c r="D610" i="1"/>
  <c r="D582" i="1"/>
  <c r="D516" i="1"/>
  <c r="D484" i="1"/>
  <c r="D449" i="1"/>
  <c r="D413" i="1"/>
  <c r="D412" i="1" s="1"/>
  <c r="D379" i="1"/>
  <c r="D330" i="1"/>
  <c r="D300" i="1"/>
  <c r="D172" i="1"/>
  <c r="D141" i="1"/>
  <c r="D106" i="1"/>
  <c r="D75" i="1"/>
  <c r="D611" i="1"/>
  <c r="D608" i="1" s="1"/>
  <c r="D583" i="1"/>
  <c r="D551" i="1"/>
  <c r="D517" i="1"/>
  <c r="D485" i="1"/>
  <c r="D450" i="1"/>
  <c r="D414" i="1"/>
  <c r="D380" i="1"/>
  <c r="D331" i="1"/>
  <c r="D301" i="1"/>
  <c r="D266" i="1"/>
  <c r="D232" i="1"/>
  <c r="D202" i="1"/>
  <c r="D200" i="1" s="1"/>
  <c r="D173" i="1"/>
  <c r="D142" i="1"/>
  <c r="D107" i="1"/>
  <c r="D76" i="1"/>
  <c r="D27" i="1" s="1"/>
  <c r="D581" i="1"/>
  <c r="D609" i="1"/>
  <c r="D549" i="1"/>
  <c r="D515" i="1"/>
  <c r="D514" i="1" s="1"/>
  <c r="D483" i="1"/>
  <c r="D378" i="1"/>
  <c r="D352" i="1"/>
  <c r="D351" i="1"/>
  <c r="D299" i="1"/>
  <c r="D264" i="1"/>
  <c r="D230" i="1"/>
  <c r="D229" i="1"/>
  <c r="D201" i="1"/>
  <c r="D171" i="1"/>
  <c r="D140" i="1"/>
  <c r="D105" i="1"/>
  <c r="D104" i="1" s="1"/>
  <c r="D74" i="1"/>
  <c r="D623" i="1"/>
  <c r="D622" i="1" s="1"/>
  <c r="D556" i="1"/>
  <c r="D526" i="1"/>
  <c r="D523" i="1"/>
  <c r="D522" i="1" s="1"/>
  <c r="D491" i="1"/>
  <c r="D490" i="1" s="1"/>
  <c r="D496" i="1"/>
  <c r="D456" i="1"/>
  <c r="D455" i="1" s="1"/>
  <c r="D427" i="1"/>
  <c r="D421" i="1"/>
  <c r="D390" i="1"/>
  <c r="D389" i="1" s="1"/>
  <c r="D388" i="1"/>
  <c r="D359" i="1"/>
  <c r="D358" i="1" s="1"/>
  <c r="D337" i="1"/>
  <c r="D336" i="1" s="1"/>
  <c r="D307" i="1"/>
  <c r="D306" i="1" s="1"/>
  <c r="D272" i="1"/>
  <c r="D271" i="1" s="1"/>
  <c r="D244" i="1"/>
  <c r="D238" i="1"/>
  <c r="D237" i="1"/>
  <c r="D208" i="1"/>
  <c r="D207" i="1" s="1"/>
  <c r="D117" i="1"/>
  <c r="D113" i="1"/>
  <c r="D112" i="1" s="1"/>
  <c r="D621" i="1"/>
  <c r="D620" i="1"/>
  <c r="D589" i="1"/>
  <c r="D588" i="1" s="1"/>
  <c r="D559" i="1"/>
  <c r="D558" i="1"/>
  <c r="D525" i="1"/>
  <c r="D493" i="1"/>
  <c r="D492" i="1"/>
  <c r="D459" i="1"/>
  <c r="D457" i="1" s="1"/>
  <c r="D424" i="1"/>
  <c r="D387" i="1"/>
  <c r="D275" i="1"/>
  <c r="D242" i="1"/>
  <c r="D180" i="1"/>
  <c r="D149" i="1"/>
  <c r="D619" i="1"/>
  <c r="D423" i="1"/>
  <c r="D386" i="1"/>
  <c r="D274" i="1"/>
  <c r="D240" i="1"/>
  <c r="D179" i="1"/>
  <c r="D178" i="1" s="1"/>
  <c r="D148" i="1"/>
  <c r="D115" i="1"/>
  <c r="D114" i="1"/>
  <c r="D83" i="1"/>
  <c r="D38" i="1" s="1"/>
  <c r="D82" i="1"/>
  <c r="D458" i="1"/>
  <c r="D136" i="1"/>
  <c r="D135" i="1" s="1"/>
  <c r="D100" i="1"/>
  <c r="D99" i="1" s="1"/>
  <c r="D69" i="1"/>
  <c r="D68" i="1" s="1"/>
  <c r="D629" i="1"/>
  <c r="D628" i="1"/>
  <c r="D627" i="1" s="1"/>
  <c r="D596" i="1"/>
  <c r="D535" i="1"/>
  <c r="D533" i="1" s="1"/>
  <c r="D497" i="1"/>
  <c r="D504" i="1"/>
  <c r="D503" i="1"/>
  <c r="D436" i="1"/>
  <c r="D434" i="1"/>
  <c r="D398" i="1"/>
  <c r="D365" i="1"/>
  <c r="D363" i="1"/>
  <c r="D342" i="1"/>
  <c r="D317" i="1"/>
  <c r="D315" i="1"/>
  <c r="D283" i="1"/>
  <c r="D249" i="1"/>
  <c r="D216" i="1"/>
  <c r="D214" i="1"/>
  <c r="D188" i="1"/>
  <c r="D186" i="1"/>
  <c r="D156" i="1"/>
  <c r="D124" i="1"/>
  <c r="D123" i="1" s="1"/>
  <c r="D91" i="1"/>
  <c r="D370" i="1"/>
  <c r="D369" i="1" s="1"/>
  <c r="D635" i="1"/>
  <c r="D634" i="1" s="1"/>
  <c r="D601" i="1"/>
  <c r="D600" i="1"/>
  <c r="D573" i="1"/>
  <c r="D572" i="1" s="1"/>
  <c r="D540" i="1"/>
  <c r="D474" i="1"/>
  <c r="D473" i="1"/>
  <c r="D472" i="1" s="1"/>
  <c r="D441" i="1"/>
  <c r="D440" i="1" s="1"/>
  <c r="D403" i="1"/>
  <c r="D402" i="1" s="1"/>
  <c r="D322" i="1"/>
  <c r="D290" i="1"/>
  <c r="D289" i="1" s="1"/>
  <c r="D255" i="1"/>
  <c r="D254" i="1" s="1"/>
  <c r="D193" i="1"/>
  <c r="D192" i="1" s="1"/>
  <c r="D163" i="1"/>
  <c r="D162" i="1"/>
  <c r="D161" i="1" s="1"/>
  <c r="D130" i="1"/>
  <c r="D577" i="1"/>
  <c r="D295" i="1"/>
  <c r="D605" i="1"/>
  <c r="D17" i="1" s="1"/>
  <c r="D604" i="1"/>
  <c r="D595" i="1"/>
  <c r="D594" i="1" s="1"/>
  <c r="D576" i="1"/>
  <c r="D544" i="1"/>
  <c r="D543" i="1" s="1"/>
  <c r="D528" i="1"/>
  <c r="D527" i="1"/>
  <c r="D510" i="1"/>
  <c r="D509" i="1" s="1"/>
  <c r="D477" i="1"/>
  <c r="D476" i="1" s="1"/>
  <c r="D464" i="1"/>
  <c r="D462" i="1" s="1"/>
  <c r="D445" i="1"/>
  <c r="D444" i="1" s="1"/>
  <c r="D435" i="1"/>
  <c r="D433" i="1" s="1"/>
  <c r="D408" i="1"/>
  <c r="D407" i="1" s="1"/>
  <c r="D397" i="1"/>
  <c r="D396" i="1" s="1"/>
  <c r="D364" i="1"/>
  <c r="D348" i="1"/>
  <c r="D347" i="1" s="1"/>
  <c r="D341" i="1"/>
  <c r="D326" i="1"/>
  <c r="D325" i="1" s="1"/>
  <c r="D316" i="1"/>
  <c r="D314" i="1" s="1"/>
  <c r="D294" i="1"/>
  <c r="D282" i="1"/>
  <c r="D281" i="1" s="1"/>
  <c r="D259" i="1"/>
  <c r="D258" i="1" s="1"/>
  <c r="D248" i="1"/>
  <c r="D247" i="1"/>
  <c r="D225" i="1"/>
  <c r="D224" i="1" s="1"/>
  <c r="D215" i="1"/>
  <c r="D196" i="1"/>
  <c r="D195" i="1"/>
  <c r="D187" i="1"/>
  <c r="D185" i="1" s="1"/>
  <c r="D166" i="1"/>
  <c r="D165" i="1" s="1"/>
  <c r="D155" i="1"/>
  <c r="D134" i="1"/>
  <c r="D133" i="1" s="1"/>
  <c r="D98" i="1"/>
  <c r="D67" i="1"/>
  <c r="D66" i="1" s="1"/>
  <c r="D84" i="1"/>
  <c r="D373" i="1"/>
  <c r="D183" i="1"/>
  <c r="D500" i="1"/>
  <c r="D564" i="1"/>
  <c r="D263" i="1"/>
  <c r="D340" i="1"/>
  <c r="D33" i="1"/>
  <c r="D126" i="1"/>
  <c r="D502" i="1"/>
  <c r="D548" i="1"/>
  <c r="D273" i="1"/>
  <c r="D495" i="1" l="1"/>
  <c r="D57" i="1"/>
  <c r="D157" i="1"/>
  <c r="D250" i="1"/>
  <c r="D437" i="1"/>
  <c r="D226" i="1"/>
  <c r="D116" i="1"/>
  <c r="D575" i="1"/>
  <c r="D18" i="1"/>
  <c r="D321" i="1"/>
  <c r="D213" i="1"/>
  <c r="D147" i="1"/>
  <c r="D385" i="1"/>
  <c r="D39" i="1"/>
  <c r="D298" i="1"/>
  <c r="D482" i="1"/>
  <c r="D580" i="1"/>
  <c r="D260" i="1"/>
  <c r="D204" i="1"/>
  <c r="D203" i="1" s="1"/>
  <c r="D154" i="1"/>
  <c r="D603" i="1"/>
  <c r="D618" i="1"/>
  <c r="D613" i="1" s="1"/>
  <c r="D612" i="1" s="1"/>
  <c r="D602" i="1" s="1"/>
  <c r="D139" i="1"/>
  <c r="D23" i="1"/>
  <c r="D419" i="1"/>
  <c r="D293" i="1"/>
  <c r="D303" i="1" s="1"/>
  <c r="D302" i="1" s="1"/>
  <c r="D292" i="1" s="1"/>
  <c r="D170" i="1"/>
  <c r="D175" i="1" s="1"/>
  <c r="D174" i="1" s="1"/>
  <c r="D164" i="1" s="1"/>
  <c r="D377" i="1"/>
  <c r="D448" i="1"/>
  <c r="D452" i="1" s="1"/>
  <c r="D451" i="1" s="1"/>
  <c r="D443" i="1" s="1"/>
  <c r="D92" i="1"/>
  <c r="D189" i="1"/>
  <c r="D284" i="1"/>
  <c r="D268" i="1" s="1"/>
  <c r="D267" i="1" s="1"/>
  <c r="D257" i="1" s="1"/>
  <c r="D426" i="1"/>
  <c r="D45" i="1"/>
  <c r="D44" i="1" s="1"/>
  <c r="D54" i="1"/>
  <c r="D20" i="1"/>
  <c r="D19" i="1" s="1"/>
  <c r="D40" i="1"/>
  <c r="D524" i="1"/>
  <c r="D73" i="1"/>
  <c r="D329" i="1"/>
  <c r="D333" i="1" s="1"/>
  <c r="D332" i="1" s="1"/>
  <c r="D324" i="1" s="1"/>
  <c r="D536" i="1"/>
  <c r="D597" i="1"/>
  <c r="D539" i="1"/>
  <c r="D194" i="1"/>
  <c r="D479" i="1"/>
  <c r="D35" i="1"/>
  <c r="D32" i="1" s="1"/>
  <c r="D90" i="1"/>
  <c r="D49" i="1"/>
  <c r="D243" i="1"/>
  <c r="D42" i="1"/>
  <c r="D41" i="1" s="1"/>
  <c r="D382" i="1"/>
  <c r="D381" i="1" s="1"/>
  <c r="D372" i="1" s="1"/>
  <c r="D97" i="1"/>
  <c r="D16" i="1"/>
  <c r="D15" i="1" s="1"/>
  <c r="D422" i="1"/>
  <c r="D416" i="1" s="1"/>
  <c r="D415" i="1" s="1"/>
  <c r="D406" i="1" s="1"/>
  <c r="D56" i="1"/>
  <c r="D22" i="1"/>
  <c r="D21" i="1" s="1"/>
  <c r="D129" i="1"/>
  <c r="D60" i="1"/>
  <c r="D239" i="1"/>
  <c r="D61" i="1"/>
  <c r="D25" i="1"/>
  <c r="D50" i="1"/>
  <c r="D51" i="1"/>
  <c r="D362" i="1"/>
  <c r="D355" i="1" s="1"/>
  <c r="D354" i="1" s="1"/>
  <c r="D346" i="1" s="1"/>
  <c r="D37" i="1"/>
  <c r="D36" i="1" s="1"/>
  <c r="D81" i="1"/>
  <c r="D26" i="1"/>
  <c r="D569" i="1"/>
  <c r="D553" i="1" s="1"/>
  <c r="D552" i="1" s="1"/>
  <c r="D542" i="1" s="1"/>
  <c r="D47" i="1"/>
  <c r="D46" i="1" s="1"/>
  <c r="D31" i="1"/>
  <c r="D30" i="1" s="1"/>
  <c r="D585" i="1" l="1"/>
  <c r="D584" i="1" s="1"/>
  <c r="D574" i="1" s="1"/>
  <c r="D519" i="1"/>
  <c r="D518" i="1" s="1"/>
  <c r="D508" i="1" s="1"/>
  <c r="D144" i="1"/>
  <c r="D143" i="1" s="1"/>
  <c r="D132" i="1" s="1"/>
  <c r="D487" i="1"/>
  <c r="D486" i="1" s="1"/>
  <c r="D52" i="1"/>
  <c r="D475" i="1"/>
  <c r="D78" i="1"/>
  <c r="D77" i="1" s="1"/>
  <c r="D65" i="1" s="1"/>
  <c r="D24" i="1"/>
  <c r="D109" i="1"/>
  <c r="D108" i="1" s="1"/>
  <c r="D96" i="1" s="1"/>
  <c r="D48" i="1"/>
  <c r="D234" i="1"/>
  <c r="D233" i="1" s="1"/>
  <c r="D223" i="1" s="1"/>
  <c r="D59" i="1"/>
  <c r="D29" i="1" l="1"/>
  <c r="D28" i="1" s="1"/>
  <c r="D63" i="1" s="1"/>
</calcChain>
</file>

<file path=xl/sharedStrings.xml><?xml version="1.0" encoding="utf-8"?>
<sst xmlns="http://schemas.openxmlformats.org/spreadsheetml/2006/main" count="633" uniqueCount="72">
  <si>
    <t xml:space="preserve"> </t>
  </si>
  <si>
    <t>Rady Miasta Krakowa</t>
  </si>
  <si>
    <t xml:space="preserve">Dział </t>
  </si>
  <si>
    <t>Rozdział</t>
  </si>
  <si>
    <t>Wyszczególnienie</t>
  </si>
  <si>
    <t>Transport i łączność</t>
  </si>
  <si>
    <t>Drogi publiczne gminne</t>
  </si>
  <si>
    <t>Pozostała działalność</t>
  </si>
  <si>
    <t>Ogółem</t>
  </si>
  <si>
    <t>DZIELNICA I STARE MIASTO</t>
  </si>
  <si>
    <t>DZIELNICA II GRZEGÓRZKI</t>
  </si>
  <si>
    <t>DZIELNICA III PRĄDNIK CZERWONY</t>
  </si>
  <si>
    <t>DZIELNICA IV PRĄDNIK BIAŁY</t>
  </si>
  <si>
    <t>DZIELNICA V KROWODRZA</t>
  </si>
  <si>
    <t>DZIELNICA VI BRONOWICE</t>
  </si>
  <si>
    <t>DZIELNICA VII ZWIERZYNIEC</t>
  </si>
  <si>
    <t>DZIELNICA VIII DĘBNIKI</t>
  </si>
  <si>
    <t>DZIELNICA IX ŁAGIEWNIKI-BOREK FAŁĘCKI</t>
  </si>
  <si>
    <t>DZIELNICA X SWOSZOWICE</t>
  </si>
  <si>
    <t>DZIELNICA XI PODGÓRZE DUCHACKIE</t>
  </si>
  <si>
    <t>DZIELNICA XII BIEŻANÓW-PROKOCIM</t>
  </si>
  <si>
    <t>DZIELNICA XIII PODGÓRZE</t>
  </si>
  <si>
    <t>DZIELNICA XIV CZYŻYNY</t>
  </si>
  <si>
    <t>DZIELNICA XV MISTRZEJOWICE</t>
  </si>
  <si>
    <t>DZIELNICA XVI BIEŃCZYCE</t>
  </si>
  <si>
    <t>DZIELNICA XVII WZGÓRZA KRZESŁAWICKIE</t>
  </si>
  <si>
    <t>DZIELNICA XVIII NOWA HUTA</t>
  </si>
  <si>
    <t>Różne rozliczenia</t>
  </si>
  <si>
    <t>Rezerwy ogólne i celowe</t>
  </si>
  <si>
    <t>Oświata i wychowanie</t>
  </si>
  <si>
    <t>Gospodarka komunalna i ochrona środowiska</t>
  </si>
  <si>
    <t>Oświetlenie ulic, placów i dróg</t>
  </si>
  <si>
    <t xml:space="preserve">Kultura fizyczna </t>
  </si>
  <si>
    <t>Obiekty sportowe</t>
  </si>
  <si>
    <t xml:space="preserve">   Zadania w zakresie kultury fizycznej</t>
  </si>
  <si>
    <t>Utrzymanie zieleni w miastach i gminach</t>
  </si>
  <si>
    <t>Pozostałe zadania w zakresie polityki społecznej</t>
  </si>
  <si>
    <t>w zł</t>
  </si>
  <si>
    <t>ZBIORCZO</t>
  </si>
  <si>
    <t>w tym:</t>
  </si>
  <si>
    <t>Edukacyjna opieka wychowawcza</t>
  </si>
  <si>
    <t>Bezpieczeństwo publiczne i ochrona przeciwpożarowa</t>
  </si>
  <si>
    <t>Komendy powiatowe Policji</t>
  </si>
  <si>
    <t>Straż gminna (miejska)</t>
  </si>
  <si>
    <t>Kultura i ochrona dziedzictwa narodowego</t>
  </si>
  <si>
    <t>Domy i ośrodki kultury, świetlice i kluby</t>
  </si>
  <si>
    <t>Biblioteki</t>
  </si>
  <si>
    <t>Muzea</t>
  </si>
  <si>
    <t>Ochrona zdrowia</t>
  </si>
  <si>
    <t>Zakłady opiekuńczo-lecznicze i pielęgnacyjno-opiekuńcze</t>
  </si>
  <si>
    <t>Programy polityki zdrowotnej</t>
  </si>
  <si>
    <t>Szpitale ogólne</t>
  </si>
  <si>
    <t>Administracja publiczna</t>
  </si>
  <si>
    <t>Rady gmin (miast i miast na prawach powiatu)</t>
  </si>
  <si>
    <t>Pomoc społeczna</t>
  </si>
  <si>
    <t>Domy pomocy społecznej</t>
  </si>
  <si>
    <t>Ośrodki wsparcia</t>
  </si>
  <si>
    <t>Komendy powiatowe Państwowej Straży Pożarnej</t>
  </si>
  <si>
    <t>Rehabilitacja zawodowa i społeczna osób niepełnosprawnych</t>
  </si>
  <si>
    <t>Działalność usługowa</t>
  </si>
  <si>
    <t>Cmentarze</t>
  </si>
  <si>
    <t>Rodzina</t>
  </si>
  <si>
    <t>Drogi wewnętrzne</t>
  </si>
  <si>
    <t>System opieki nad dziećmi w wieku do lat 3</t>
  </si>
  <si>
    <t>Zasiłki okresowe, celowe i pomoc w naturze oraz składki na ubezpieczenia emerytalne i rentowe</t>
  </si>
  <si>
    <t>Centra kultury i sztuki</t>
  </si>
  <si>
    <t>Załącznik Nr 11</t>
  </si>
  <si>
    <t xml:space="preserve"> ŚRODKI WYDZIELONE DO DYSPOZYCJI DZIELNIC NA ROK 2022</t>
  </si>
  <si>
    <t>Plan wydatków na rok 2022</t>
  </si>
  <si>
    <t>Teatry</t>
  </si>
  <si>
    <t>do uchwały Nr LXXV/2083/21</t>
  </si>
  <si>
    <t>z dnia 15 grudnia 2021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</si>
</sst>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25" x14ac:knownFonts="1">
    <font>
      <sz val="10"/>
      <name val="Arial CE"/>
      <charset val="238"/>
    </font>
    <font>
      <sz val="10"/>
      <name val="Arial CE"/>
      <family val="2"/>
      <charset val="238"/>
    </font>
    <font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8"/>
      <name val="Arial CE"/>
      <family val="2"/>
      <charset val="238"/>
    </font>
    <font>
      <b/>
      <sz val="11"/>
      <name val="Arial CE"/>
      <family val="2"/>
      <charset val="238"/>
    </font>
    <font>
      <b/>
      <sz val="8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charset val="238"/>
    </font>
    <font>
      <i/>
      <sz val="8"/>
      <name val="Arial CE"/>
      <charset val="238"/>
    </font>
    <font>
      <b/>
      <i/>
      <sz val="8"/>
      <name val="Arial CE"/>
      <charset val="238"/>
    </font>
    <font>
      <i/>
      <sz val="10"/>
      <name val="Arial CE"/>
      <family val="2"/>
      <charset val="238"/>
    </font>
    <font>
      <b/>
      <i/>
      <sz val="8"/>
      <name val="Arial CE"/>
      <family val="2"/>
      <charset val="238"/>
    </font>
    <font>
      <sz val="9"/>
      <name val="Arial CE"/>
      <family val="2"/>
      <charset val="238"/>
    </font>
    <font>
      <i/>
      <sz val="9"/>
      <name val="Arial CE"/>
      <family val="2"/>
      <charset val="238"/>
    </font>
    <font>
      <b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  <font>
      <sz val="9"/>
      <name val="Arial"/>
      <family val="2"/>
      <charset val="238"/>
    </font>
    <font>
      <b/>
      <i/>
      <sz val="8"/>
      <color rgb="FFFF0000"/>
      <name val="Arial CE"/>
      <charset val="238"/>
    </font>
    <font>
      <b/>
      <i/>
      <sz val="8"/>
      <color theme="3" tint="0.39997558519241921"/>
      <name val="Arial CE"/>
      <charset val="238"/>
    </font>
    <font>
      <b/>
      <sz val="8"/>
      <color theme="3" tint="0.39997558519241921"/>
      <name val="Arial CE"/>
      <charset val="238"/>
    </font>
    <font>
      <sz val="8"/>
      <color rgb="FF7030A0"/>
      <name val="Arial CE"/>
      <family val="2"/>
      <charset val="238"/>
    </font>
    <font>
      <i/>
      <sz val="8"/>
      <color rgb="FF7030A0"/>
      <name val="Arial CE"/>
      <family val="2"/>
      <charset val="238"/>
    </font>
    <font>
      <b/>
      <sz val="8"/>
      <color rgb="FF0070C0"/>
      <name val="Arial CE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3" fontId="11" fillId="0" borderId="0" xfId="0" applyNumberFormat="1" applyFont="1" applyFill="1" applyBorder="1" applyAlignment="1">
      <alignment horizontal="center"/>
    </xf>
    <xf numFmtId="3" fontId="9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3" fontId="7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5"/>
    </xf>
    <xf numFmtId="0" fontId="8" fillId="0" borderId="0" xfId="0" applyFont="1" applyFill="1" applyBorder="1" applyAlignment="1">
      <alignment horizontal="right" vertical="center"/>
    </xf>
    <xf numFmtId="3" fontId="12" fillId="0" borderId="0" xfId="0" applyNumberFormat="1" applyFont="1" applyFill="1" applyBorder="1" applyAlignment="1">
      <alignment horizontal="center" vertical="center"/>
    </xf>
    <xf numFmtId="3" fontId="10" fillId="0" borderId="0" xfId="0" applyNumberFormat="1" applyFont="1" applyFill="1" applyBorder="1" applyAlignment="1">
      <alignment horizontal="right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/>
    <xf numFmtId="3" fontId="7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/>
    <xf numFmtId="49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164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3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/>
    <xf numFmtId="3" fontId="7" fillId="0" borderId="0" xfId="0" applyNumberFormat="1" applyFont="1" applyFill="1" applyBorder="1" applyAlignment="1"/>
    <xf numFmtId="3" fontId="10" fillId="0" borderId="0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1" fillId="0" borderId="0" xfId="0" applyFont="1" applyFill="1" applyBorder="1" applyAlignment="1"/>
    <xf numFmtId="0" fontId="2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/>
    <xf numFmtId="49" fontId="23" fillId="0" borderId="0" xfId="0" applyNumberFormat="1" applyFont="1" applyFill="1" applyBorder="1" applyAlignment="1">
      <alignment vertical="center"/>
    </xf>
    <xf numFmtId="49" fontId="22" fillId="0" borderId="0" xfId="0" applyNumberFormat="1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49" fontId="1" fillId="0" borderId="0" xfId="0" applyNumberFormat="1" applyFont="1" applyFill="1" applyBorder="1"/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 indent="1"/>
    </xf>
    <xf numFmtId="164" fontId="15" fillId="0" borderId="2" xfId="0" applyNumberFormat="1" applyFont="1" applyFill="1" applyBorder="1" applyAlignment="1">
      <alignment horizontal="right" vertical="center"/>
    </xf>
    <xf numFmtId="0" fontId="15" fillId="0" borderId="4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indent="1"/>
    </xf>
    <xf numFmtId="3" fontId="16" fillId="0" borderId="4" xfId="0" applyNumberFormat="1" applyFont="1" applyFill="1" applyBorder="1" applyAlignment="1">
      <alignment horizontal="right" vertical="center"/>
    </xf>
    <xf numFmtId="0" fontId="15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left" vertical="center" indent="1"/>
    </xf>
    <xf numFmtId="3" fontId="17" fillId="0" borderId="6" xfId="0" applyNumberFormat="1" applyFont="1" applyFill="1" applyBorder="1" applyAlignment="1">
      <alignment horizontal="right" vertical="center"/>
    </xf>
    <xf numFmtId="0" fontId="17" fillId="0" borderId="7" xfId="0" applyFont="1" applyFill="1" applyBorder="1" applyAlignment="1">
      <alignment horizontal="left" vertical="center" wrapText="1" indent="1"/>
    </xf>
    <xf numFmtId="0" fontId="15" fillId="0" borderId="7" xfId="0" applyFont="1" applyFill="1" applyBorder="1" applyAlignment="1">
      <alignment horizontal="left" vertical="center" indent="1"/>
    </xf>
    <xf numFmtId="3" fontId="17" fillId="0" borderId="6" xfId="0" applyNumberFormat="1" applyFont="1" applyFill="1" applyBorder="1" applyAlignment="1">
      <alignment vertical="center"/>
    </xf>
    <xf numFmtId="0" fontId="15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 indent="1"/>
    </xf>
    <xf numFmtId="3" fontId="13" fillId="0" borderId="8" xfId="0" applyNumberFormat="1" applyFont="1" applyFill="1" applyBorder="1" applyAlignment="1">
      <alignment vertical="center"/>
    </xf>
    <xf numFmtId="164" fontId="17" fillId="0" borderId="6" xfId="0" applyNumberFormat="1" applyFont="1" applyFill="1" applyBorder="1" applyAlignment="1">
      <alignment vertical="center"/>
    </xf>
    <xf numFmtId="0" fontId="13" fillId="0" borderId="5" xfId="0" applyFont="1" applyFill="1" applyBorder="1" applyAlignment="1">
      <alignment horizontal="center" vertical="center"/>
    </xf>
    <xf numFmtId="164" fontId="16" fillId="0" borderId="4" xfId="0" applyNumberFormat="1" applyFont="1" applyFill="1" applyBorder="1" applyAlignment="1">
      <alignment vertical="center"/>
    </xf>
    <xf numFmtId="0" fontId="13" fillId="0" borderId="7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 indent="1"/>
    </xf>
    <xf numFmtId="164" fontId="15" fillId="0" borderId="6" xfId="0" applyNumberFormat="1" applyFont="1" applyFill="1" applyBorder="1" applyAlignment="1">
      <alignment vertical="center"/>
    </xf>
    <xf numFmtId="0" fontId="15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left" vertical="center" wrapText="1" indent="1"/>
    </xf>
    <xf numFmtId="164" fontId="16" fillId="0" borderId="8" xfId="0" applyNumberFormat="1" applyFont="1" applyFill="1" applyBorder="1" applyAlignment="1">
      <alignment vertical="center"/>
    </xf>
    <xf numFmtId="0" fontId="13" fillId="0" borderId="6" xfId="0" applyFont="1" applyFill="1" applyBorder="1" applyAlignment="1">
      <alignment horizontal="left" vertical="center" wrapText="1" indent="1"/>
    </xf>
    <xf numFmtId="3" fontId="13" fillId="0" borderId="6" xfId="0" applyNumberFormat="1" applyFont="1" applyFill="1" applyBorder="1" applyAlignment="1">
      <alignment horizontal="right" vertical="center"/>
    </xf>
    <xf numFmtId="3" fontId="13" fillId="0" borderId="4" xfId="0" applyNumberFormat="1" applyFont="1" applyFill="1" applyBorder="1" applyAlignment="1">
      <alignment horizontal="right" vertical="center"/>
    </xf>
    <xf numFmtId="1" fontId="15" fillId="0" borderId="6" xfId="0" applyNumberFormat="1" applyFont="1" applyFill="1" applyBorder="1" applyAlignment="1">
      <alignment horizontal="center" vertical="center"/>
    </xf>
    <xf numFmtId="3" fontId="13" fillId="0" borderId="4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 indent="1"/>
    </xf>
    <xf numFmtId="0" fontId="18" fillId="0" borderId="0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left" vertical="center" indent="1"/>
    </xf>
    <xf numFmtId="3" fontId="15" fillId="0" borderId="2" xfId="0" applyNumberFormat="1" applyFont="1" applyFill="1" applyBorder="1" applyAlignment="1">
      <alignment horizontal="right" vertical="center"/>
    </xf>
    <xf numFmtId="0" fontId="15" fillId="0" borderId="1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indent="1"/>
    </xf>
    <xf numFmtId="3" fontId="15" fillId="0" borderId="7" xfId="0" applyNumberFormat="1" applyFont="1" applyFill="1" applyBorder="1" applyAlignment="1">
      <alignment horizontal="right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3" fontId="17" fillId="0" borderId="3" xfId="0" applyNumberFormat="1" applyFont="1" applyFill="1" applyBorder="1" applyAlignment="1">
      <alignment horizontal="right" vertical="center"/>
    </xf>
    <xf numFmtId="3" fontId="17" fillId="0" borderId="7" xfId="0" applyNumberFormat="1" applyFont="1" applyFill="1" applyBorder="1" applyAlignment="1">
      <alignment horizontal="right" vertical="center"/>
    </xf>
    <xf numFmtId="0" fontId="14" fillId="0" borderId="13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indent="1"/>
    </xf>
    <xf numFmtId="3" fontId="16" fillId="0" borderId="9" xfId="0" applyNumberFormat="1" applyFont="1" applyFill="1" applyBorder="1" applyAlignment="1">
      <alignment horizontal="right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left" vertical="center" wrapText="1" indent="1"/>
    </xf>
    <xf numFmtId="164" fontId="16" fillId="0" borderId="2" xfId="0" applyNumberFormat="1" applyFont="1" applyFill="1" applyBorder="1" applyAlignment="1">
      <alignment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7" fillId="0" borderId="6" xfId="0" applyFont="1" applyFill="1" applyBorder="1" applyAlignment="1">
      <alignment horizontal="left" vertical="center" indent="1"/>
    </xf>
    <xf numFmtId="3" fontId="13" fillId="0" borderId="8" xfId="0" applyNumberFormat="1" applyFont="1" applyFill="1" applyBorder="1" applyAlignment="1">
      <alignment horizontal="right" vertical="center"/>
    </xf>
    <xf numFmtId="164" fontId="17" fillId="0" borderId="3" xfId="0" applyNumberFormat="1" applyFont="1" applyFill="1" applyBorder="1" applyAlignment="1">
      <alignment horizontal="right" vertical="center"/>
    </xf>
    <xf numFmtId="3" fontId="17" fillId="0" borderId="8" xfId="0" applyNumberFormat="1" applyFont="1" applyFill="1" applyBorder="1" applyAlignment="1">
      <alignment vertical="center"/>
    </xf>
    <xf numFmtId="0" fontId="13" fillId="0" borderId="7" xfId="0" applyFont="1" applyFill="1" applyBorder="1" applyAlignment="1">
      <alignment horizontal="left" vertical="center" wrapText="1" indent="1"/>
    </xf>
    <xf numFmtId="0" fontId="17" fillId="0" borderId="6" xfId="0" applyFont="1" applyFill="1" applyBorder="1" applyAlignment="1">
      <alignment horizontal="left" vertical="center" wrapText="1" indent="1"/>
    </xf>
    <xf numFmtId="0" fontId="15" fillId="0" borderId="14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left" vertical="center" indent="1"/>
    </xf>
    <xf numFmtId="3" fontId="13" fillId="0" borderId="5" xfId="0" applyNumberFormat="1" applyFont="1" applyFill="1" applyBorder="1" applyAlignment="1">
      <alignment horizontal="right" vertical="center"/>
    </xf>
    <xf numFmtId="0" fontId="13" fillId="0" borderId="4" xfId="0" applyFont="1" applyFill="1" applyBorder="1" applyAlignment="1">
      <alignment horizontal="left" vertical="center" wrapText="1" indent="1"/>
    </xf>
    <xf numFmtId="1" fontId="15" fillId="0" borderId="4" xfId="0" applyNumberFormat="1" applyFont="1" applyFill="1" applyBorder="1" applyAlignment="1">
      <alignment horizontal="center" vertical="center"/>
    </xf>
    <xf numFmtId="3" fontId="13" fillId="0" borderId="6" xfId="0" applyNumberFormat="1" applyFont="1" applyFill="1" applyBorder="1" applyAlignment="1">
      <alignment vertical="center"/>
    </xf>
    <xf numFmtId="0" fontId="18" fillId="0" borderId="8" xfId="0" applyFont="1" applyFill="1" applyBorder="1" applyAlignment="1">
      <alignment horizontal="left" vertical="center" indent="1"/>
    </xf>
    <xf numFmtId="0" fontId="13" fillId="0" borderId="4" xfId="0" applyFont="1" applyFill="1" applyBorder="1" applyAlignment="1">
      <alignment horizontal="left" vertical="center" indent="1"/>
    </xf>
    <xf numFmtId="3" fontId="16" fillId="0" borderId="8" xfId="0" applyNumberFormat="1" applyFont="1" applyFill="1" applyBorder="1" applyAlignment="1">
      <alignment horizontal="right" vertical="center"/>
    </xf>
    <xf numFmtId="0" fontId="18" fillId="0" borderId="12" xfId="0" applyFont="1" applyFill="1" applyBorder="1" applyAlignment="1">
      <alignment horizontal="left" vertical="center" indent="1"/>
    </xf>
    <xf numFmtId="3" fontId="13" fillId="0" borderId="2" xfId="0" applyNumberFormat="1" applyFont="1" applyFill="1" applyBorder="1" applyAlignment="1">
      <alignment horizontal="right" vertical="center"/>
    </xf>
    <xf numFmtId="0" fontId="15" fillId="0" borderId="8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 indent="1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7" xfId="0" applyFont="1" applyFill="1" applyBorder="1" applyAlignment="1">
      <alignment horizontal="left" vertical="center" indent="1"/>
    </xf>
    <xf numFmtId="164" fontId="16" fillId="0" borderId="6" xfId="0" applyNumberFormat="1" applyFont="1" applyFill="1" applyBorder="1" applyAlignment="1">
      <alignment vertical="center"/>
    </xf>
    <xf numFmtId="0" fontId="18" fillId="0" borderId="4" xfId="0" applyFont="1" applyFill="1" applyBorder="1" applyAlignment="1">
      <alignment horizontal="left" vertical="center"/>
    </xf>
    <xf numFmtId="0" fontId="18" fillId="0" borderId="15" xfId="0" applyFont="1" applyFill="1" applyBorder="1" applyAlignment="1">
      <alignment horizontal="left" vertical="center" indent="1"/>
    </xf>
    <xf numFmtId="0" fontId="18" fillId="0" borderId="6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indent="1"/>
    </xf>
    <xf numFmtId="0" fontId="18" fillId="0" borderId="1" xfId="0" applyFont="1" applyFill="1" applyBorder="1" applyAlignment="1">
      <alignment horizontal="left" vertical="center"/>
    </xf>
    <xf numFmtId="3" fontId="16" fillId="0" borderId="2" xfId="0" applyNumberFormat="1" applyFont="1" applyFill="1" applyBorder="1" applyAlignment="1">
      <alignment horizontal="right" vertical="center"/>
    </xf>
    <xf numFmtId="3" fontId="13" fillId="0" borderId="7" xfId="0" applyNumberFormat="1" applyFont="1" applyFill="1" applyBorder="1" applyAlignment="1">
      <alignment horizontal="right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 indent="1"/>
    </xf>
    <xf numFmtId="3" fontId="16" fillId="0" borderId="6" xfId="0" applyNumberFormat="1" applyFont="1" applyFill="1" applyBorder="1" applyAlignment="1">
      <alignment horizontal="right" vertical="center"/>
    </xf>
    <xf numFmtId="0" fontId="17" fillId="0" borderId="3" xfId="0" applyFont="1" applyFill="1" applyBorder="1" applyAlignment="1">
      <alignment horizontal="left" vertical="center" wrapText="1" indent="1"/>
    </xf>
    <xf numFmtId="3" fontId="17" fillId="0" borderId="2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13" fillId="0" borderId="8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Q635"/>
  <sheetViews>
    <sheetView showGridLines="0" tabSelected="1" topLeftCell="A445" zoomScaleNormal="100" zoomScaleSheetLayoutView="100" workbookViewId="0">
      <selection activeCell="C577" sqref="C577"/>
    </sheetView>
  </sheetViews>
  <sheetFormatPr defaultColWidth="9.140625" defaultRowHeight="12.75" x14ac:dyDescent="0.2"/>
  <cols>
    <col min="1" max="1" width="7.28515625" style="1" customWidth="1"/>
    <col min="2" max="2" width="7.140625" style="2" bestFit="1" customWidth="1"/>
    <col min="3" max="3" width="52" style="2" customWidth="1"/>
    <col min="4" max="4" width="23.7109375" style="3" customWidth="1"/>
    <col min="5" max="5" width="4.85546875" style="4" customWidth="1"/>
    <col min="6" max="6" width="9.28515625" style="10" customWidth="1"/>
    <col min="7" max="7" width="16" style="11" customWidth="1"/>
    <col min="8" max="9" width="9.140625" style="4"/>
    <col min="10" max="10" width="9.28515625" style="4" customWidth="1"/>
    <col min="11" max="11" width="11.85546875" style="4" customWidth="1"/>
    <col min="12" max="12" width="13.42578125" style="4" customWidth="1"/>
    <col min="13" max="13" width="15.7109375" style="4" customWidth="1"/>
    <col min="14" max="14" width="11.140625" style="4" customWidth="1"/>
    <col min="15" max="15" width="13.28515625" style="4" customWidth="1"/>
    <col min="16" max="16" width="11.85546875" style="4" customWidth="1"/>
    <col min="17" max="17" width="10.28515625" style="4" customWidth="1"/>
    <col min="18" max="16384" width="9.140625" style="4"/>
  </cols>
  <sheetData>
    <row r="1" spans="1:12" ht="9.75" customHeight="1" x14ac:dyDescent="0.2"/>
    <row r="2" spans="1:12" x14ac:dyDescent="0.2">
      <c r="A2" s="1" t="s">
        <v>0</v>
      </c>
      <c r="D2" s="12" t="s">
        <v>66</v>
      </c>
    </row>
    <row r="3" spans="1:12" x14ac:dyDescent="0.2">
      <c r="D3" s="13" t="s">
        <v>70</v>
      </c>
    </row>
    <row r="4" spans="1:12" x14ac:dyDescent="0.2">
      <c r="D4" s="13" t="s">
        <v>1</v>
      </c>
    </row>
    <row r="5" spans="1:12" ht="12.75" customHeight="1" x14ac:dyDescent="0.2">
      <c r="D5" s="13" t="s">
        <v>71</v>
      </c>
    </row>
    <row r="6" spans="1:12" ht="6.75" customHeight="1" x14ac:dyDescent="0.2"/>
    <row r="7" spans="1:12" ht="8.25" customHeight="1" x14ac:dyDescent="0.2"/>
    <row r="8" spans="1:12" s="5" customFormat="1" x14ac:dyDescent="0.2">
      <c r="A8" s="144" t="s">
        <v>67</v>
      </c>
      <c r="B8" s="144"/>
      <c r="C8" s="144"/>
      <c r="D8" s="144"/>
      <c r="F8" s="14"/>
      <c r="G8" s="11"/>
    </row>
    <row r="9" spans="1:12" s="5" customFormat="1" ht="11.45" customHeight="1" x14ac:dyDescent="0.2">
      <c r="A9" s="15"/>
      <c r="B9" s="16"/>
      <c r="C9" s="16"/>
      <c r="D9" s="17" t="s">
        <v>37</v>
      </c>
      <c r="F9" s="14"/>
      <c r="G9" s="11"/>
    </row>
    <row r="10" spans="1:12" s="6" customFormat="1" ht="33.75" customHeight="1" x14ac:dyDescent="0.2">
      <c r="A10" s="145" t="s">
        <v>2</v>
      </c>
      <c r="B10" s="145" t="s">
        <v>3</v>
      </c>
      <c r="C10" s="145" t="s">
        <v>4</v>
      </c>
      <c r="D10" s="145" t="s">
        <v>68</v>
      </c>
      <c r="F10" s="18"/>
      <c r="G10" s="19"/>
      <c r="L10" s="20"/>
    </row>
    <row r="11" spans="1:12" s="6" customFormat="1" ht="51" customHeight="1" x14ac:dyDescent="0.2">
      <c r="A11" s="146"/>
      <c r="B11" s="146"/>
      <c r="C11" s="146"/>
      <c r="D11" s="146"/>
      <c r="F11" s="18"/>
      <c r="G11" s="19"/>
      <c r="L11" s="20"/>
    </row>
    <row r="12" spans="1:12" s="5" customFormat="1" ht="4.5" customHeight="1" x14ac:dyDescent="0.2">
      <c r="A12" s="147"/>
      <c r="B12" s="147"/>
      <c r="C12" s="147"/>
      <c r="D12" s="147"/>
      <c r="F12" s="14"/>
      <c r="G12" s="11"/>
      <c r="L12" s="21"/>
    </row>
    <row r="13" spans="1:12" s="7" customFormat="1" ht="12" customHeight="1" x14ac:dyDescent="0.2">
      <c r="A13" s="51">
        <v>1</v>
      </c>
      <c r="B13" s="52">
        <v>2</v>
      </c>
      <c r="C13" s="51">
        <v>3</v>
      </c>
      <c r="D13" s="52">
        <v>4</v>
      </c>
      <c r="F13" s="22"/>
      <c r="G13" s="11"/>
      <c r="L13" s="23"/>
    </row>
    <row r="14" spans="1:12" s="7" customFormat="1" ht="18.75" customHeight="1" x14ac:dyDescent="0.2">
      <c r="A14" s="51"/>
      <c r="B14" s="52"/>
      <c r="C14" s="53" t="s">
        <v>38</v>
      </c>
      <c r="D14" s="52"/>
      <c r="F14" s="22"/>
      <c r="G14" s="11"/>
      <c r="K14" s="24"/>
      <c r="L14" s="23"/>
    </row>
    <row r="15" spans="1:12" s="9" customFormat="1" ht="16.5" customHeight="1" x14ac:dyDescent="0.2">
      <c r="A15" s="54">
        <v>600</v>
      </c>
      <c r="B15" s="55"/>
      <c r="C15" s="56" t="s">
        <v>5</v>
      </c>
      <c r="D15" s="57">
        <f>D16+D17+D18</f>
        <v>13393890</v>
      </c>
      <c r="F15" s="14"/>
      <c r="G15" s="11"/>
      <c r="K15" s="25"/>
      <c r="L15" s="26"/>
    </row>
    <row r="16" spans="1:12" s="7" customFormat="1" ht="16.5" customHeight="1" x14ac:dyDescent="0.2">
      <c r="A16" s="58"/>
      <c r="B16" s="59">
        <v>60016</v>
      </c>
      <c r="C16" s="60" t="s">
        <v>6</v>
      </c>
      <c r="D16" s="61">
        <f>D67+D98+D134+D166+D196+D225+D259+D294+D326+D348+D374+D408+D445+D477+D510+D544+D576+D604</f>
        <v>12688890</v>
      </c>
      <c r="F16" s="22"/>
      <c r="G16" s="11"/>
      <c r="K16" s="27"/>
      <c r="L16" s="23"/>
    </row>
    <row r="17" spans="1:12" s="7" customFormat="1" ht="16.5" customHeight="1" x14ac:dyDescent="0.2">
      <c r="A17" s="58"/>
      <c r="B17" s="59">
        <v>60017</v>
      </c>
      <c r="C17" s="60" t="s">
        <v>62</v>
      </c>
      <c r="D17" s="61">
        <f>D478+D605</f>
        <v>605000</v>
      </c>
      <c r="F17" s="22"/>
      <c r="G17" s="28"/>
      <c r="L17" s="23"/>
    </row>
    <row r="18" spans="1:12" s="7" customFormat="1" ht="16.5" customHeight="1" x14ac:dyDescent="0.2">
      <c r="A18" s="58"/>
      <c r="B18" s="59">
        <v>60095</v>
      </c>
      <c r="C18" s="60" t="s">
        <v>7</v>
      </c>
      <c r="D18" s="61">
        <f>D295+D577</f>
        <v>100000</v>
      </c>
      <c r="F18" s="29"/>
      <c r="G18" s="11"/>
      <c r="K18" s="27"/>
      <c r="L18" s="23"/>
    </row>
    <row r="19" spans="1:12" s="7" customFormat="1" ht="16.5" customHeight="1" x14ac:dyDescent="0.2">
      <c r="A19" s="62">
        <v>710</v>
      </c>
      <c r="B19" s="63"/>
      <c r="C19" s="64" t="s">
        <v>59</v>
      </c>
      <c r="D19" s="65">
        <f>D20</f>
        <v>18000</v>
      </c>
      <c r="F19" s="29"/>
      <c r="G19" s="30"/>
      <c r="K19" s="27"/>
      <c r="L19" s="23"/>
    </row>
    <row r="20" spans="1:12" s="7" customFormat="1" ht="16.5" customHeight="1" x14ac:dyDescent="0.2">
      <c r="A20" s="58"/>
      <c r="B20" s="59">
        <v>71035</v>
      </c>
      <c r="C20" s="60" t="s">
        <v>60</v>
      </c>
      <c r="D20" s="61">
        <f>D69+D100+D136</f>
        <v>18000</v>
      </c>
      <c r="F20" s="22"/>
      <c r="G20" s="11"/>
      <c r="L20" s="23"/>
    </row>
    <row r="21" spans="1:12" s="7" customFormat="1" ht="16.5" customHeight="1" x14ac:dyDescent="0.2">
      <c r="A21" s="62">
        <v>750</v>
      </c>
      <c r="B21" s="63"/>
      <c r="C21" s="64" t="s">
        <v>52</v>
      </c>
      <c r="D21" s="65">
        <f>D22+D23</f>
        <v>1009209</v>
      </c>
      <c r="F21" s="8"/>
      <c r="G21" s="30"/>
      <c r="L21" s="23"/>
    </row>
    <row r="22" spans="1:12" s="7" customFormat="1" ht="16.5" customHeight="1" x14ac:dyDescent="0.2">
      <c r="A22" s="58"/>
      <c r="B22" s="59">
        <v>75022</v>
      </c>
      <c r="C22" s="60" t="s">
        <v>53</v>
      </c>
      <c r="D22" s="61">
        <f>D71+D102+D168+D198+D227+D261+D410+D480+D512+D546</f>
        <v>282489</v>
      </c>
      <c r="F22" s="22"/>
      <c r="G22" s="11"/>
      <c r="L22" s="23"/>
    </row>
    <row r="23" spans="1:12" s="7" customFormat="1" ht="16.5" customHeight="1" x14ac:dyDescent="0.2">
      <c r="A23" s="58"/>
      <c r="B23" s="59">
        <v>75095</v>
      </c>
      <c r="C23" s="60" t="s">
        <v>7</v>
      </c>
      <c r="D23" s="61">
        <f>D72+D103+D138+D169+D199+D228+D262+D297+D328+D350+D376+D411+D447+D481+D513+D547+D579+D607</f>
        <v>726720</v>
      </c>
      <c r="F23" s="22"/>
      <c r="G23" s="11"/>
      <c r="L23" s="23"/>
    </row>
    <row r="24" spans="1:12" s="7" customFormat="1" ht="16.5" customHeight="1" x14ac:dyDescent="0.2">
      <c r="A24" s="62">
        <v>754</v>
      </c>
      <c r="B24" s="63"/>
      <c r="C24" s="66" t="s">
        <v>41</v>
      </c>
      <c r="D24" s="65">
        <f>D25+D26+D27</f>
        <v>1035589</v>
      </c>
      <c r="F24" s="22"/>
      <c r="G24" s="11"/>
      <c r="L24" s="23"/>
    </row>
    <row r="25" spans="1:12" s="7" customFormat="1" ht="16.5" customHeight="1" x14ac:dyDescent="0.2">
      <c r="A25" s="58"/>
      <c r="B25" s="59">
        <v>75405</v>
      </c>
      <c r="C25" s="60" t="s">
        <v>42</v>
      </c>
      <c r="D25" s="61">
        <f>D74+D105+D140+D171+D201+D230+D264+D299+D352+D378++D483+D515+D549+D581+D609</f>
        <v>350100</v>
      </c>
      <c r="F25" s="29"/>
      <c r="G25" s="11"/>
      <c r="L25" s="23"/>
    </row>
    <row r="26" spans="1:12" s="7" customFormat="1" ht="16.5" customHeight="1" x14ac:dyDescent="0.2">
      <c r="A26" s="58"/>
      <c r="B26" s="59">
        <v>75411</v>
      </c>
      <c r="C26" s="60" t="s">
        <v>57</v>
      </c>
      <c r="D26" s="61">
        <f>D75+D106+D141+D172+D231+D265+D300+D330+D353+D379+D413+D449+D484+D516+D550+D582+D610</f>
        <v>365000</v>
      </c>
      <c r="F26" s="22"/>
      <c r="G26" s="11"/>
      <c r="L26" s="23"/>
    </row>
    <row r="27" spans="1:12" s="8" customFormat="1" ht="16.5" customHeight="1" x14ac:dyDescent="0.2">
      <c r="A27" s="58"/>
      <c r="B27" s="59">
        <v>75416</v>
      </c>
      <c r="C27" s="60" t="s">
        <v>43</v>
      </c>
      <c r="D27" s="61">
        <f>D76+D107+D142+D173+D202+D232+D266+D301+D331+D380+D414+D450+D485+D517+D551+D583+D611</f>
        <v>320489</v>
      </c>
      <c r="F27" s="22"/>
      <c r="G27" s="11"/>
      <c r="L27" s="31"/>
    </row>
    <row r="28" spans="1:12" s="8" customFormat="1" ht="16.5" customHeight="1" x14ac:dyDescent="0.2">
      <c r="A28" s="62">
        <v>758</v>
      </c>
      <c r="B28" s="63"/>
      <c r="C28" s="67" t="s">
        <v>27</v>
      </c>
      <c r="D28" s="68">
        <f>D29</f>
        <v>11227421</v>
      </c>
      <c r="F28" s="22"/>
      <c r="G28" s="11"/>
      <c r="L28" s="31"/>
    </row>
    <row r="29" spans="1:12" s="9" customFormat="1" ht="16.5" customHeight="1" x14ac:dyDescent="0.2">
      <c r="A29" s="69"/>
      <c r="B29" s="59">
        <v>75818</v>
      </c>
      <c r="C29" s="70" t="s">
        <v>28</v>
      </c>
      <c r="D29" s="71">
        <f>D78+D109+D144+D175+D204+D234+D268+D303+D333+D355+D382+D416+D452+D487+D519+D553+D585+D613</f>
        <v>11227421</v>
      </c>
      <c r="F29" s="22"/>
      <c r="G29" s="11"/>
      <c r="L29" s="26"/>
    </row>
    <row r="30" spans="1:12" s="9" customFormat="1" ht="16.5" customHeight="1" x14ac:dyDescent="0.2">
      <c r="A30" s="62">
        <v>801</v>
      </c>
      <c r="B30" s="63"/>
      <c r="C30" s="67" t="s">
        <v>29</v>
      </c>
      <c r="D30" s="72">
        <f>D31</f>
        <v>10743955</v>
      </c>
      <c r="F30" s="14"/>
      <c r="G30" s="11"/>
      <c r="L30" s="26"/>
    </row>
    <row r="31" spans="1:12" s="9" customFormat="1" ht="16.5" customHeight="1" x14ac:dyDescent="0.2">
      <c r="A31" s="69"/>
      <c r="B31" s="73">
        <v>80195</v>
      </c>
      <c r="C31" s="70" t="s">
        <v>7</v>
      </c>
      <c r="D31" s="74">
        <f>D80+D111+D146+D177+D206+D236+D270+D305+D335+D357+D384+D418+D454+D489+D521+D555+D587+D615</f>
        <v>10743955</v>
      </c>
      <c r="F31" s="32"/>
      <c r="G31" s="11"/>
      <c r="L31" s="26"/>
    </row>
    <row r="32" spans="1:12" s="9" customFormat="1" ht="16.5" customHeight="1" x14ac:dyDescent="0.2">
      <c r="A32" s="62">
        <v>851</v>
      </c>
      <c r="B32" s="75"/>
      <c r="C32" s="66" t="s">
        <v>48</v>
      </c>
      <c r="D32" s="72">
        <f>D33+D34+D35</f>
        <v>269500</v>
      </c>
      <c r="F32" s="14"/>
      <c r="G32" s="11"/>
      <c r="L32" s="26"/>
    </row>
    <row r="33" spans="1:12" s="9" customFormat="1" ht="16.5" customHeight="1" x14ac:dyDescent="0.2">
      <c r="A33" s="69"/>
      <c r="B33" s="73">
        <v>85111</v>
      </c>
      <c r="C33" s="76" t="s">
        <v>51</v>
      </c>
      <c r="D33" s="74">
        <f>D617</f>
        <v>100000</v>
      </c>
      <c r="F33" s="32"/>
      <c r="G33" s="11"/>
      <c r="L33" s="26"/>
    </row>
    <row r="34" spans="1:12" s="9" customFormat="1" ht="16.5" customHeight="1" x14ac:dyDescent="0.2">
      <c r="A34" s="69"/>
      <c r="B34" s="73">
        <v>85117</v>
      </c>
      <c r="C34" s="70" t="s">
        <v>49</v>
      </c>
      <c r="D34" s="74">
        <f>D420</f>
        <v>25000</v>
      </c>
      <c r="F34" s="32"/>
      <c r="G34" s="11"/>
      <c r="L34" s="26"/>
    </row>
    <row r="35" spans="1:12" s="9" customFormat="1" ht="16.5" customHeight="1" x14ac:dyDescent="0.2">
      <c r="A35" s="69"/>
      <c r="B35" s="73">
        <v>85149</v>
      </c>
      <c r="C35" s="70" t="s">
        <v>50</v>
      </c>
      <c r="D35" s="74">
        <f>D113+D238+D272+D421+D456+D491+D523+D557</f>
        <v>144500</v>
      </c>
      <c r="F35" s="32"/>
      <c r="G35" s="11"/>
      <c r="L35" s="26"/>
    </row>
    <row r="36" spans="1:12" s="9" customFormat="1" ht="16.5" customHeight="1" x14ac:dyDescent="0.2">
      <c r="A36" s="62">
        <v>852</v>
      </c>
      <c r="B36" s="75"/>
      <c r="C36" s="66" t="s">
        <v>54</v>
      </c>
      <c r="D36" s="72">
        <f>D37+D38+D39+D40</f>
        <v>774989</v>
      </c>
      <c r="F36" s="14"/>
      <c r="G36" s="11"/>
      <c r="L36" s="26"/>
    </row>
    <row r="37" spans="1:12" s="9" customFormat="1" ht="16.5" customHeight="1" x14ac:dyDescent="0.2">
      <c r="A37" s="69"/>
      <c r="B37" s="73">
        <v>85202</v>
      </c>
      <c r="C37" s="70" t="s">
        <v>55</v>
      </c>
      <c r="D37" s="74">
        <f>D82+D458</f>
        <v>176000</v>
      </c>
      <c r="F37" s="32"/>
      <c r="G37" s="11"/>
      <c r="L37" s="26"/>
    </row>
    <row r="38" spans="1:12" s="9" customFormat="1" ht="16.5" customHeight="1" x14ac:dyDescent="0.2">
      <c r="A38" s="69"/>
      <c r="B38" s="73">
        <v>85203</v>
      </c>
      <c r="C38" s="70" t="s">
        <v>56</v>
      </c>
      <c r="D38" s="74">
        <f>D83+D115+D148+D179+D240+D274+D386+D423+D619</f>
        <v>219000</v>
      </c>
      <c r="F38" s="32"/>
      <c r="G38" s="11"/>
      <c r="L38" s="26"/>
    </row>
    <row r="39" spans="1:12" s="9" customFormat="1" ht="24" x14ac:dyDescent="0.2">
      <c r="A39" s="69"/>
      <c r="B39" s="73">
        <v>85214</v>
      </c>
      <c r="C39" s="70" t="s">
        <v>64</v>
      </c>
      <c r="D39" s="74">
        <f>D241+D275+D387+D424+D493+D525+D620</f>
        <v>180861</v>
      </c>
      <c r="F39" s="32"/>
      <c r="G39" s="11"/>
      <c r="L39" s="26"/>
    </row>
    <row r="40" spans="1:12" s="9" customFormat="1" ht="16.5" customHeight="1" x14ac:dyDescent="0.2">
      <c r="A40" s="69"/>
      <c r="B40" s="73">
        <v>85295</v>
      </c>
      <c r="C40" s="70" t="s">
        <v>7</v>
      </c>
      <c r="D40" s="74">
        <f>D149+D180+D208+D242+D276+D307+D337+D359+D388+D425+D459+D494+D526+D559+D589+D621</f>
        <v>199128</v>
      </c>
      <c r="F40" s="29"/>
      <c r="G40" s="11"/>
      <c r="L40" s="26"/>
    </row>
    <row r="41" spans="1:12" s="9" customFormat="1" ht="16.5" customHeight="1" x14ac:dyDescent="0.2">
      <c r="A41" s="62">
        <v>853</v>
      </c>
      <c r="B41" s="63"/>
      <c r="C41" s="64" t="s">
        <v>36</v>
      </c>
      <c r="D41" s="77">
        <f>D42+D43</f>
        <v>2119205</v>
      </c>
      <c r="F41" s="14"/>
      <c r="G41" s="11"/>
      <c r="L41" s="26"/>
    </row>
    <row r="42" spans="1:12" s="7" customFormat="1" ht="16.5" customHeight="1" x14ac:dyDescent="0.2">
      <c r="A42" s="78"/>
      <c r="B42" s="79">
        <v>85311</v>
      </c>
      <c r="C42" s="80" t="s">
        <v>58</v>
      </c>
      <c r="D42" s="81">
        <f>D117+D244+D390+D427+D496+D623</f>
        <v>184559</v>
      </c>
      <c r="F42" s="14"/>
      <c r="G42" s="11"/>
      <c r="L42" s="23"/>
    </row>
    <row r="43" spans="1:12" s="7" customFormat="1" ht="19.5" customHeight="1" x14ac:dyDescent="0.2">
      <c r="A43" s="62"/>
      <c r="B43" s="75">
        <v>85395</v>
      </c>
      <c r="C43" s="82" t="s">
        <v>7</v>
      </c>
      <c r="D43" s="83">
        <f>D85+D118+D151+D182+D210+D278+D309+D339+D361+D391+D428+D461+D497+D528+D561+D591+D624</f>
        <v>1934646</v>
      </c>
      <c r="F43" s="22"/>
      <c r="G43" s="11"/>
      <c r="L43" s="23"/>
    </row>
    <row r="44" spans="1:12" s="7" customFormat="1" ht="16.5" customHeight="1" x14ac:dyDescent="0.2">
      <c r="A44" s="54">
        <v>854</v>
      </c>
      <c r="B44" s="89"/>
      <c r="C44" s="142" t="s">
        <v>40</v>
      </c>
      <c r="D44" s="143">
        <f>D45</f>
        <v>1329848</v>
      </c>
      <c r="F44" s="22"/>
      <c r="G44" s="11"/>
      <c r="L44" s="23"/>
    </row>
    <row r="45" spans="1:12" s="9" customFormat="1" ht="16.5" customHeight="1" x14ac:dyDescent="0.2">
      <c r="A45" s="69"/>
      <c r="B45" s="73">
        <v>85495</v>
      </c>
      <c r="C45" s="70" t="s">
        <v>7</v>
      </c>
      <c r="D45" s="84">
        <f>D87+D120+D153+D212+D246+D280+D311+D393+D430+D499+D530+D563+D593+D626</f>
        <v>1329848</v>
      </c>
      <c r="F45" s="22"/>
      <c r="G45" s="11"/>
      <c r="L45" s="26"/>
    </row>
    <row r="46" spans="1:12" s="8" customFormat="1" ht="16.5" customHeight="1" x14ac:dyDescent="0.2">
      <c r="A46" s="85">
        <v>855</v>
      </c>
      <c r="B46" s="75"/>
      <c r="C46" s="66" t="s">
        <v>61</v>
      </c>
      <c r="D46" s="65">
        <f>D47</f>
        <v>581000</v>
      </c>
      <c r="F46" s="14"/>
      <c r="G46" s="11"/>
      <c r="L46" s="31"/>
    </row>
    <row r="47" spans="1:12" s="8" customFormat="1" ht="16.5" customHeight="1" x14ac:dyDescent="0.2">
      <c r="A47" s="69"/>
      <c r="B47" s="59">
        <v>85516</v>
      </c>
      <c r="C47" s="70" t="s">
        <v>63</v>
      </c>
      <c r="D47" s="86">
        <f>D89+D122+D184+D313+D395+D432+D501+D532+D565</f>
        <v>581000</v>
      </c>
      <c r="F47" s="22"/>
      <c r="G47" s="11"/>
      <c r="L47" s="31"/>
    </row>
    <row r="48" spans="1:12" s="8" customFormat="1" ht="16.5" customHeight="1" x14ac:dyDescent="0.2">
      <c r="A48" s="85">
        <v>900</v>
      </c>
      <c r="B48" s="75"/>
      <c r="C48" s="66" t="s">
        <v>30</v>
      </c>
      <c r="D48" s="65">
        <f>D49+D50+D51</f>
        <v>7518200</v>
      </c>
      <c r="G48" s="33"/>
      <c r="L48" s="31"/>
    </row>
    <row r="49" spans="1:17" s="7" customFormat="1" ht="16.5" customHeight="1" x14ac:dyDescent="0.2">
      <c r="A49" s="69"/>
      <c r="B49" s="59">
        <v>90004</v>
      </c>
      <c r="C49" s="70" t="s">
        <v>35</v>
      </c>
      <c r="D49" s="86">
        <f>D91+D124+D186+D214+D315+D363+D434+D463+D503+D567+D628</f>
        <v>782000</v>
      </c>
      <c r="F49" s="22"/>
      <c r="G49" s="11"/>
      <c r="L49" s="23"/>
    </row>
    <row r="50" spans="1:17" s="7" customFormat="1" ht="16.5" customHeight="1" x14ac:dyDescent="0.2">
      <c r="A50" s="69"/>
      <c r="B50" s="59">
        <v>90015</v>
      </c>
      <c r="C50" s="70" t="s">
        <v>31</v>
      </c>
      <c r="D50" s="86">
        <f>D155+D187+D215+D248+D282+D316+D341+D364+D397+D435+D464+D534+D595</f>
        <v>1731300</v>
      </c>
      <c r="F50" s="22"/>
      <c r="G50" s="11"/>
      <c r="L50" s="23"/>
    </row>
    <row r="51" spans="1:17" s="7" customFormat="1" ht="16.5" customHeight="1" x14ac:dyDescent="0.2">
      <c r="A51" s="69"/>
      <c r="B51" s="73">
        <v>90095</v>
      </c>
      <c r="C51" s="70" t="s">
        <v>7</v>
      </c>
      <c r="D51" s="84">
        <f>D125+D156+D188+D216+D249+D283+D317+D342+D365+D398+D436+D465+D504+D535+D568+D596+D629</f>
        <v>5004900</v>
      </c>
      <c r="F51" s="22"/>
      <c r="G51" s="11"/>
      <c r="L51" s="23"/>
    </row>
    <row r="52" spans="1:17" s="7" customFormat="1" ht="16.5" customHeight="1" x14ac:dyDescent="0.2">
      <c r="A52" s="62">
        <v>921</v>
      </c>
      <c r="B52" s="75"/>
      <c r="C52" s="66" t="s">
        <v>44</v>
      </c>
      <c r="D52" s="65">
        <f>D53+D54+D55+D56+D57+D58</f>
        <v>2780744</v>
      </c>
      <c r="F52" s="22"/>
      <c r="G52" s="11"/>
      <c r="L52" s="23"/>
    </row>
    <row r="53" spans="1:17" s="7" customFormat="1" ht="16.5" customHeight="1" x14ac:dyDescent="0.2">
      <c r="A53" s="69"/>
      <c r="B53" s="73">
        <v>92106</v>
      </c>
      <c r="C53" s="70" t="s">
        <v>69</v>
      </c>
      <c r="D53" s="84">
        <f>D467</f>
        <v>30000</v>
      </c>
      <c r="F53" s="29"/>
      <c r="G53" s="11"/>
      <c r="L53" s="23"/>
    </row>
    <row r="54" spans="1:17" s="7" customFormat="1" ht="16.5" customHeight="1" x14ac:dyDescent="0.2">
      <c r="A54" s="69"/>
      <c r="B54" s="73">
        <v>92109</v>
      </c>
      <c r="C54" s="70" t="s">
        <v>45</v>
      </c>
      <c r="D54" s="84">
        <f>D93+D127+D158+D190+D218+D251+D285+D319+D344+D367+D400+D438+D468+D506+D537+D570+D598+D631</f>
        <v>2294244</v>
      </c>
      <c r="F54" s="29"/>
      <c r="G54" s="11"/>
      <c r="L54" s="23"/>
    </row>
    <row r="55" spans="1:17" s="7" customFormat="1" ht="16.5" customHeight="1" x14ac:dyDescent="0.2">
      <c r="A55" s="69"/>
      <c r="B55" s="73">
        <v>92113</v>
      </c>
      <c r="C55" s="70" t="s">
        <v>65</v>
      </c>
      <c r="D55" s="84">
        <f>D286</f>
        <v>14000</v>
      </c>
      <c r="F55" s="29"/>
      <c r="G55" s="11"/>
      <c r="L55" s="23"/>
    </row>
    <row r="56" spans="1:17" s="7" customFormat="1" ht="16.5" customHeight="1" x14ac:dyDescent="0.2">
      <c r="A56" s="69"/>
      <c r="B56" s="73">
        <v>92116</v>
      </c>
      <c r="C56" s="70" t="s">
        <v>46</v>
      </c>
      <c r="D56" s="84">
        <f>D94+D128+D159+D191+D219+D252+D287+D320+D345+D368+D401+D439+D469+D507+D538+D571+D599+D632</f>
        <v>199500</v>
      </c>
      <c r="F56" s="29"/>
      <c r="G56" s="11"/>
      <c r="L56" s="23"/>
    </row>
    <row r="57" spans="1:17" s="7" customFormat="1" ht="16.5" customHeight="1" x14ac:dyDescent="0.2">
      <c r="A57" s="69"/>
      <c r="B57" s="73">
        <v>92118</v>
      </c>
      <c r="C57" s="70" t="s">
        <v>47</v>
      </c>
      <c r="D57" s="84">
        <f>D95+D160+D220+D253+D288+D470+D633</f>
        <v>103000</v>
      </c>
      <c r="F57" s="29"/>
      <c r="G57" s="11"/>
      <c r="L57" s="23"/>
    </row>
    <row r="58" spans="1:17" s="7" customFormat="1" ht="16.5" customHeight="1" x14ac:dyDescent="0.2">
      <c r="A58" s="69"/>
      <c r="B58" s="73">
        <v>92195</v>
      </c>
      <c r="C58" s="70" t="s">
        <v>7</v>
      </c>
      <c r="D58" s="84">
        <f>D471</f>
        <v>140000</v>
      </c>
      <c r="F58" s="29"/>
      <c r="G58" s="11"/>
      <c r="L58" s="23"/>
    </row>
    <row r="59" spans="1:17" s="7" customFormat="1" ht="16.5" customHeight="1" x14ac:dyDescent="0.2">
      <c r="A59" s="62">
        <v>926</v>
      </c>
      <c r="B59" s="63"/>
      <c r="C59" s="67" t="s">
        <v>32</v>
      </c>
      <c r="D59" s="77">
        <f>D60+D61+D62</f>
        <v>1424450</v>
      </c>
      <c r="F59" s="14"/>
      <c r="G59" s="11"/>
      <c r="L59" s="23"/>
    </row>
    <row r="60" spans="1:17" s="34" customFormat="1" ht="16.5" customHeight="1" x14ac:dyDescent="0.2">
      <c r="A60" s="69"/>
      <c r="B60" s="59">
        <v>92601</v>
      </c>
      <c r="C60" s="87" t="s">
        <v>33</v>
      </c>
      <c r="D60" s="84">
        <f>D130+D162+D193+D255+D290+D322+D370+D403+D441+D473+D540+D573+D601+D635</f>
        <v>1146200</v>
      </c>
      <c r="F60" s="22"/>
      <c r="G60" s="11"/>
      <c r="K60" s="35"/>
      <c r="L60" s="36"/>
      <c r="M60" s="37"/>
      <c r="O60" s="38"/>
      <c r="P60" s="39"/>
      <c r="Q60" s="39"/>
    </row>
    <row r="61" spans="1:17" s="34" customFormat="1" ht="16.5" customHeight="1" x14ac:dyDescent="0.2">
      <c r="A61" s="69"/>
      <c r="B61" s="59">
        <v>92605</v>
      </c>
      <c r="C61" s="88" t="s">
        <v>34</v>
      </c>
      <c r="D61" s="84">
        <f>D163+D222+D323+D371+D404+D442+D474+D541+D256+D291</f>
        <v>247750</v>
      </c>
      <c r="F61" s="22"/>
      <c r="G61" s="11"/>
      <c r="L61" s="36"/>
    </row>
    <row r="62" spans="1:17" s="7" customFormat="1" ht="16.5" customHeight="1" x14ac:dyDescent="0.2">
      <c r="A62" s="69"/>
      <c r="B62" s="59">
        <v>92695</v>
      </c>
      <c r="C62" s="87" t="s">
        <v>7</v>
      </c>
      <c r="D62" s="84">
        <f>D131+D405</f>
        <v>30500</v>
      </c>
      <c r="E62" s="27"/>
      <c r="F62" s="22"/>
      <c r="G62" s="11"/>
      <c r="L62" s="23"/>
      <c r="P62" s="27"/>
    </row>
    <row r="63" spans="1:17" s="7" customFormat="1" ht="18.75" customHeight="1" x14ac:dyDescent="0.2">
      <c r="A63" s="54"/>
      <c r="B63" s="89"/>
      <c r="C63" s="90" t="s">
        <v>8</v>
      </c>
      <c r="D63" s="91">
        <f>D15+D19+D21+D24+D28+D30+D32+D36+D41+D44+D46+D48+D52+D59</f>
        <v>54226000</v>
      </c>
      <c r="E63" s="27"/>
      <c r="F63" s="22"/>
      <c r="G63" s="11"/>
      <c r="L63" s="23"/>
    </row>
    <row r="64" spans="1:17" s="7" customFormat="1" ht="18.75" customHeight="1" x14ac:dyDescent="0.2">
      <c r="A64" s="92"/>
      <c r="B64" s="93"/>
      <c r="C64" s="94" t="s">
        <v>39</v>
      </c>
      <c r="D64" s="95"/>
      <c r="F64" s="22"/>
      <c r="G64" s="11"/>
      <c r="L64" s="23"/>
    </row>
    <row r="65" spans="1:12" s="7" customFormat="1" ht="18.75" customHeight="1" x14ac:dyDescent="0.2">
      <c r="A65" s="96"/>
      <c r="B65" s="97"/>
      <c r="C65" s="98" t="s">
        <v>9</v>
      </c>
      <c r="D65" s="99">
        <f>D66+D68+D70+D73+D77+D79+D81+D84+D86+D90+D92+D88</f>
        <v>2482068</v>
      </c>
      <c r="F65" s="22"/>
      <c r="G65" s="11"/>
      <c r="K65" s="27"/>
      <c r="L65" s="23"/>
    </row>
    <row r="66" spans="1:12" s="7" customFormat="1" ht="16.5" customHeight="1" x14ac:dyDescent="0.2">
      <c r="A66" s="54">
        <v>600</v>
      </c>
      <c r="B66" s="55"/>
      <c r="C66" s="56" t="s">
        <v>5</v>
      </c>
      <c r="D66" s="100">
        <f>D67</f>
        <v>765000</v>
      </c>
      <c r="F66" s="22"/>
      <c r="G66" s="11"/>
      <c r="L66" s="23"/>
    </row>
    <row r="67" spans="1:12" s="8" customFormat="1" ht="16.5" customHeight="1" x14ac:dyDescent="0.2">
      <c r="A67" s="101"/>
      <c r="B67" s="102">
        <v>60016</v>
      </c>
      <c r="C67" s="103" t="s">
        <v>6</v>
      </c>
      <c r="D67" s="104">
        <f>765000</f>
        <v>765000</v>
      </c>
      <c r="F67" s="22"/>
      <c r="G67" s="11"/>
      <c r="L67" s="31"/>
    </row>
    <row r="68" spans="1:12" s="8" customFormat="1" ht="16.5" customHeight="1" x14ac:dyDescent="0.2">
      <c r="A68" s="62">
        <v>710</v>
      </c>
      <c r="B68" s="63"/>
      <c r="C68" s="64" t="s">
        <v>59</v>
      </c>
      <c r="D68" s="65">
        <f>D69</f>
        <v>5000</v>
      </c>
      <c r="F68" s="22"/>
      <c r="G68" s="11"/>
      <c r="L68" s="31"/>
    </row>
    <row r="69" spans="1:12" s="8" customFormat="1" ht="16.5" customHeight="1" x14ac:dyDescent="0.2">
      <c r="A69" s="58"/>
      <c r="B69" s="59">
        <v>71035</v>
      </c>
      <c r="C69" s="60" t="s">
        <v>60</v>
      </c>
      <c r="D69" s="61">
        <f>5000</f>
        <v>5000</v>
      </c>
      <c r="F69" s="22"/>
      <c r="G69" s="11"/>
      <c r="H69" s="40"/>
      <c r="L69" s="31"/>
    </row>
    <row r="70" spans="1:12" s="8" customFormat="1" ht="16.5" customHeight="1" x14ac:dyDescent="0.2">
      <c r="A70" s="62">
        <v>750</v>
      </c>
      <c r="B70" s="63"/>
      <c r="C70" s="64" t="s">
        <v>52</v>
      </c>
      <c r="D70" s="72">
        <f>D71+D72</f>
        <v>97477</v>
      </c>
      <c r="F70" s="22"/>
      <c r="G70" s="11"/>
      <c r="L70" s="31"/>
    </row>
    <row r="71" spans="1:12" s="8" customFormat="1" ht="16.5" customHeight="1" x14ac:dyDescent="0.2">
      <c r="A71" s="69"/>
      <c r="B71" s="59">
        <v>75022</v>
      </c>
      <c r="C71" s="60" t="s">
        <v>53</v>
      </c>
      <c r="D71" s="74">
        <f>56990</f>
        <v>56990</v>
      </c>
      <c r="F71" s="22"/>
      <c r="G71" s="11"/>
      <c r="L71" s="31"/>
    </row>
    <row r="72" spans="1:12" s="8" customFormat="1" ht="16.5" customHeight="1" x14ac:dyDescent="0.2">
      <c r="A72" s="69"/>
      <c r="B72" s="59">
        <v>75095</v>
      </c>
      <c r="C72" s="60" t="s">
        <v>7</v>
      </c>
      <c r="D72" s="74">
        <v>40487</v>
      </c>
      <c r="F72" s="22"/>
      <c r="G72" s="11"/>
      <c r="L72" s="31"/>
    </row>
    <row r="73" spans="1:12" s="8" customFormat="1" ht="16.5" customHeight="1" x14ac:dyDescent="0.2">
      <c r="A73" s="62">
        <v>754</v>
      </c>
      <c r="B73" s="63"/>
      <c r="C73" s="66" t="s">
        <v>41</v>
      </c>
      <c r="D73" s="72">
        <f>D74+D75+D76</f>
        <v>76000</v>
      </c>
      <c r="F73" s="22"/>
      <c r="G73" s="11"/>
      <c r="L73" s="31"/>
    </row>
    <row r="74" spans="1:12" s="9" customFormat="1" ht="16.5" customHeight="1" x14ac:dyDescent="0.2">
      <c r="A74" s="69"/>
      <c r="B74" s="59">
        <v>75405</v>
      </c>
      <c r="C74" s="60" t="s">
        <v>42</v>
      </c>
      <c r="D74" s="74">
        <f>20000</f>
        <v>20000</v>
      </c>
      <c r="F74" s="14"/>
      <c r="G74" s="11"/>
      <c r="L74" s="26"/>
    </row>
    <row r="75" spans="1:12" s="7" customFormat="1" ht="16.5" customHeight="1" x14ac:dyDescent="0.2">
      <c r="A75" s="58"/>
      <c r="B75" s="59">
        <v>75411</v>
      </c>
      <c r="C75" s="60" t="s">
        <v>57</v>
      </c>
      <c r="D75" s="61">
        <f>15000</f>
        <v>15000</v>
      </c>
      <c r="F75" s="22"/>
      <c r="G75" s="11"/>
      <c r="L75" s="23"/>
    </row>
    <row r="76" spans="1:12" s="8" customFormat="1" ht="16.5" customHeight="1" x14ac:dyDescent="0.2">
      <c r="A76" s="69"/>
      <c r="B76" s="59">
        <v>75416</v>
      </c>
      <c r="C76" s="60" t="s">
        <v>43</v>
      </c>
      <c r="D76" s="74">
        <f>41000</f>
        <v>41000</v>
      </c>
      <c r="F76" s="22"/>
      <c r="G76" s="11"/>
      <c r="L76" s="31"/>
    </row>
    <row r="77" spans="1:12" s="8" customFormat="1" ht="16.5" customHeight="1" x14ac:dyDescent="0.2">
      <c r="A77" s="62">
        <v>758</v>
      </c>
      <c r="B77" s="63"/>
      <c r="C77" s="67" t="s">
        <v>27</v>
      </c>
      <c r="D77" s="68">
        <f>D78</f>
        <v>558943</v>
      </c>
      <c r="F77" s="22"/>
      <c r="G77" s="11"/>
      <c r="I77" s="40"/>
      <c r="L77" s="31"/>
    </row>
    <row r="78" spans="1:12" s="8" customFormat="1" ht="16.5" customHeight="1" x14ac:dyDescent="0.2">
      <c r="A78" s="69"/>
      <c r="B78" s="59">
        <v>75818</v>
      </c>
      <c r="C78" s="70" t="s">
        <v>28</v>
      </c>
      <c r="D78" s="71">
        <f>2024342-D66-D68-D70-D73-D79-D81-D84-D86-D90-D92-D88+457726</f>
        <v>558943</v>
      </c>
      <c r="E78" s="41"/>
      <c r="F78" s="22"/>
      <c r="G78" s="11"/>
      <c r="L78" s="31"/>
    </row>
    <row r="79" spans="1:12" s="9" customFormat="1" ht="16.5" customHeight="1" x14ac:dyDescent="0.2">
      <c r="A79" s="62">
        <v>801</v>
      </c>
      <c r="B79" s="63"/>
      <c r="C79" s="67" t="s">
        <v>29</v>
      </c>
      <c r="D79" s="72">
        <f>D80</f>
        <v>292000</v>
      </c>
      <c r="F79" s="14"/>
      <c r="G79" s="11"/>
      <c r="L79" s="26"/>
    </row>
    <row r="80" spans="1:12" s="9" customFormat="1" ht="16.5" customHeight="1" x14ac:dyDescent="0.2">
      <c r="A80" s="54"/>
      <c r="B80" s="105">
        <v>80195</v>
      </c>
      <c r="C80" s="106" t="s">
        <v>7</v>
      </c>
      <c r="D80" s="107">
        <f>2000+20000+40000+39000+20000+60000+40000+5000+2000+2000+42000+18000+2000</f>
        <v>292000</v>
      </c>
      <c r="F80" s="14"/>
      <c r="G80" s="11"/>
      <c r="L80" s="26"/>
    </row>
    <row r="81" spans="1:12" s="7" customFormat="1" ht="16.5" customHeight="1" x14ac:dyDescent="0.2">
      <c r="A81" s="62">
        <v>852</v>
      </c>
      <c r="B81" s="75"/>
      <c r="C81" s="66" t="s">
        <v>54</v>
      </c>
      <c r="D81" s="72">
        <f>D82+D83</f>
        <v>76000</v>
      </c>
      <c r="F81" s="22"/>
      <c r="G81" s="11"/>
      <c r="L81" s="23"/>
    </row>
    <row r="82" spans="1:12" s="7" customFormat="1" ht="16.5" customHeight="1" x14ac:dyDescent="0.2">
      <c r="A82" s="78"/>
      <c r="B82" s="79">
        <v>85202</v>
      </c>
      <c r="C82" s="108" t="s">
        <v>55</v>
      </c>
      <c r="D82" s="81">
        <f>25000+30000+14000</f>
        <v>69000</v>
      </c>
      <c r="E82" s="9"/>
      <c r="F82" s="22"/>
      <c r="G82" s="11"/>
      <c r="L82" s="23"/>
    </row>
    <row r="83" spans="1:12" s="9" customFormat="1" ht="16.5" customHeight="1" x14ac:dyDescent="0.2">
      <c r="A83" s="69"/>
      <c r="B83" s="73">
        <v>85203</v>
      </c>
      <c r="C83" s="70" t="s">
        <v>56</v>
      </c>
      <c r="D83" s="74">
        <f>7000</f>
        <v>7000</v>
      </c>
      <c r="F83" s="32"/>
      <c r="G83" s="11"/>
      <c r="L83" s="26"/>
    </row>
    <row r="84" spans="1:12" s="8" customFormat="1" ht="16.5" customHeight="1" x14ac:dyDescent="0.2">
      <c r="A84" s="62">
        <v>853</v>
      </c>
      <c r="B84" s="63"/>
      <c r="C84" s="109" t="s">
        <v>36</v>
      </c>
      <c r="D84" s="77">
        <f>D85</f>
        <v>42000</v>
      </c>
      <c r="F84" s="22"/>
      <c r="G84" s="11"/>
      <c r="L84" s="31"/>
    </row>
    <row r="85" spans="1:12" s="7" customFormat="1" ht="16.5" customHeight="1" x14ac:dyDescent="0.2">
      <c r="A85" s="69"/>
      <c r="B85" s="73">
        <v>85395</v>
      </c>
      <c r="C85" s="70" t="s">
        <v>7</v>
      </c>
      <c r="D85" s="84">
        <v>42000</v>
      </c>
      <c r="F85" s="22"/>
      <c r="G85" s="11"/>
      <c r="L85" s="23"/>
    </row>
    <row r="86" spans="1:12" s="7" customFormat="1" ht="16.5" customHeight="1" x14ac:dyDescent="0.2">
      <c r="A86" s="62">
        <v>854</v>
      </c>
      <c r="B86" s="75"/>
      <c r="C86" s="66" t="s">
        <v>40</v>
      </c>
      <c r="D86" s="65">
        <f>D87</f>
        <v>216648</v>
      </c>
      <c r="F86" s="22"/>
      <c r="G86" s="11"/>
      <c r="L86" s="23"/>
    </row>
    <row r="87" spans="1:12" s="7" customFormat="1" ht="16.5" customHeight="1" x14ac:dyDescent="0.2">
      <c r="A87" s="78"/>
      <c r="B87" s="79">
        <v>85495</v>
      </c>
      <c r="C87" s="108" t="s">
        <v>7</v>
      </c>
      <c r="D87" s="110">
        <f>182648+34000</f>
        <v>216648</v>
      </c>
      <c r="F87" s="22"/>
      <c r="G87" s="11"/>
      <c r="L87" s="23"/>
    </row>
    <row r="88" spans="1:12" s="7" customFormat="1" ht="16.5" customHeight="1" x14ac:dyDescent="0.2">
      <c r="A88" s="85">
        <v>855</v>
      </c>
      <c r="B88" s="75"/>
      <c r="C88" s="66" t="s">
        <v>61</v>
      </c>
      <c r="D88" s="65">
        <f>D89</f>
        <v>26000</v>
      </c>
      <c r="F88" s="22"/>
      <c r="G88" s="11"/>
      <c r="L88" s="23"/>
    </row>
    <row r="89" spans="1:12" s="7" customFormat="1" ht="16.5" customHeight="1" x14ac:dyDescent="0.2">
      <c r="A89" s="69"/>
      <c r="B89" s="102">
        <v>85516</v>
      </c>
      <c r="C89" s="70" t="s">
        <v>63</v>
      </c>
      <c r="D89" s="71">
        <v>26000</v>
      </c>
      <c r="F89" s="22"/>
      <c r="G89" s="11"/>
      <c r="L89" s="23"/>
    </row>
    <row r="90" spans="1:12" s="7" customFormat="1" ht="16.5" customHeight="1" x14ac:dyDescent="0.2">
      <c r="A90" s="85">
        <v>900</v>
      </c>
      <c r="B90" s="75"/>
      <c r="C90" s="66" t="s">
        <v>30</v>
      </c>
      <c r="D90" s="65">
        <f>D91</f>
        <v>250000</v>
      </c>
      <c r="F90" s="22"/>
      <c r="G90" s="11"/>
      <c r="L90" s="23"/>
    </row>
    <row r="91" spans="1:12" s="8" customFormat="1" ht="16.5" customHeight="1" x14ac:dyDescent="0.2">
      <c r="A91" s="69"/>
      <c r="B91" s="102">
        <v>90004</v>
      </c>
      <c r="C91" s="108" t="s">
        <v>35</v>
      </c>
      <c r="D91" s="84">
        <f>250000</f>
        <v>250000</v>
      </c>
      <c r="F91" s="22"/>
      <c r="G91" s="11"/>
      <c r="L91" s="31"/>
    </row>
    <row r="92" spans="1:12" s="9" customFormat="1" ht="16.5" customHeight="1" x14ac:dyDescent="0.2">
      <c r="A92" s="62">
        <v>921</v>
      </c>
      <c r="B92" s="75"/>
      <c r="C92" s="66" t="s">
        <v>44</v>
      </c>
      <c r="D92" s="65">
        <f>D93+D94+D95</f>
        <v>77000</v>
      </c>
      <c r="F92" s="14"/>
      <c r="G92" s="11"/>
      <c r="L92" s="26"/>
    </row>
    <row r="93" spans="1:12" s="7" customFormat="1" ht="16.5" customHeight="1" x14ac:dyDescent="0.2">
      <c r="A93" s="69"/>
      <c r="B93" s="73">
        <v>92109</v>
      </c>
      <c r="C93" s="70" t="s">
        <v>45</v>
      </c>
      <c r="D93" s="84">
        <f>56000</f>
        <v>56000</v>
      </c>
      <c r="F93" s="22"/>
      <c r="G93" s="11"/>
      <c r="L93" s="23"/>
    </row>
    <row r="94" spans="1:12" s="9" customFormat="1" ht="16.5" customHeight="1" x14ac:dyDescent="0.2">
      <c r="A94" s="69"/>
      <c r="B94" s="73">
        <v>92116</v>
      </c>
      <c r="C94" s="70" t="s">
        <v>46</v>
      </c>
      <c r="D94" s="84">
        <f>6000</f>
        <v>6000</v>
      </c>
      <c r="F94" s="14"/>
      <c r="G94" s="11"/>
      <c r="L94" s="26"/>
    </row>
    <row r="95" spans="1:12" s="7" customFormat="1" ht="16.5" customHeight="1" x14ac:dyDescent="0.2">
      <c r="A95" s="69"/>
      <c r="B95" s="73">
        <v>92118</v>
      </c>
      <c r="C95" s="70" t="s">
        <v>47</v>
      </c>
      <c r="D95" s="84">
        <f>15000</f>
        <v>15000</v>
      </c>
      <c r="F95" s="22"/>
      <c r="G95" s="11"/>
      <c r="L95" s="23"/>
    </row>
    <row r="96" spans="1:12" s="8" customFormat="1" ht="18.75" customHeight="1" x14ac:dyDescent="0.2">
      <c r="A96" s="96"/>
      <c r="B96" s="97"/>
      <c r="C96" s="98" t="s">
        <v>10</v>
      </c>
      <c r="D96" s="111">
        <f>D97+D99+D101+D104+D108+D110+D112+D114+D116+D119+D121+D123+D126+D129</f>
        <v>2329182</v>
      </c>
      <c r="F96" s="22"/>
      <c r="G96" s="11"/>
      <c r="K96" s="24"/>
      <c r="L96" s="31"/>
    </row>
    <row r="97" spans="1:12" s="8" customFormat="1" ht="16.5" customHeight="1" x14ac:dyDescent="0.2">
      <c r="A97" s="54">
        <v>600</v>
      </c>
      <c r="B97" s="55"/>
      <c r="C97" s="56" t="s">
        <v>5</v>
      </c>
      <c r="D97" s="57">
        <f>D98</f>
        <v>460000</v>
      </c>
      <c r="F97" s="22"/>
      <c r="G97" s="11"/>
      <c r="L97" s="31"/>
    </row>
    <row r="98" spans="1:12" s="8" customFormat="1" ht="16.5" customHeight="1" x14ac:dyDescent="0.2">
      <c r="A98" s="58"/>
      <c r="B98" s="59">
        <v>60016</v>
      </c>
      <c r="C98" s="60" t="s">
        <v>6</v>
      </c>
      <c r="D98" s="61">
        <f>460000</f>
        <v>460000</v>
      </c>
      <c r="F98" s="22"/>
      <c r="G98" s="11"/>
      <c r="L98" s="31"/>
    </row>
    <row r="99" spans="1:12" s="8" customFormat="1" ht="16.5" customHeight="1" x14ac:dyDescent="0.2">
      <c r="A99" s="62">
        <v>710</v>
      </c>
      <c r="B99" s="63"/>
      <c r="C99" s="64" t="s">
        <v>59</v>
      </c>
      <c r="D99" s="65">
        <f>D100</f>
        <v>9000</v>
      </c>
      <c r="F99" s="22"/>
      <c r="G99" s="11"/>
      <c r="L99" s="31"/>
    </row>
    <row r="100" spans="1:12" s="8" customFormat="1" ht="16.5" customHeight="1" x14ac:dyDescent="0.2">
      <c r="A100" s="58"/>
      <c r="B100" s="59">
        <v>71035</v>
      </c>
      <c r="C100" s="60" t="s">
        <v>60</v>
      </c>
      <c r="D100" s="61">
        <f>9000</f>
        <v>9000</v>
      </c>
      <c r="F100" s="22"/>
      <c r="G100" s="11"/>
      <c r="H100" s="40"/>
      <c r="L100" s="31"/>
    </row>
    <row r="101" spans="1:12" s="8" customFormat="1" ht="16.5" customHeight="1" x14ac:dyDescent="0.2">
      <c r="A101" s="62">
        <v>750</v>
      </c>
      <c r="B101" s="63"/>
      <c r="C101" s="64" t="s">
        <v>52</v>
      </c>
      <c r="D101" s="72">
        <f>D102+D103</f>
        <v>38949</v>
      </c>
      <c r="F101" s="22"/>
      <c r="G101" s="11"/>
      <c r="L101" s="31"/>
    </row>
    <row r="102" spans="1:12" s="8" customFormat="1" ht="16.5" customHeight="1" x14ac:dyDescent="0.2">
      <c r="A102" s="69"/>
      <c r="B102" s="59">
        <v>75022</v>
      </c>
      <c r="C102" s="60" t="s">
        <v>53</v>
      </c>
      <c r="D102" s="74">
        <f>6949</f>
        <v>6949</v>
      </c>
      <c r="F102" s="22"/>
      <c r="G102" s="11"/>
      <c r="L102" s="31"/>
    </row>
    <row r="103" spans="1:12" s="8" customFormat="1" ht="16.5" customHeight="1" x14ac:dyDescent="0.2">
      <c r="A103" s="69"/>
      <c r="B103" s="59">
        <v>75095</v>
      </c>
      <c r="C103" s="60" t="s">
        <v>7</v>
      </c>
      <c r="D103" s="74">
        <f>32000</f>
        <v>32000</v>
      </c>
      <c r="F103" s="22"/>
      <c r="G103" s="11"/>
      <c r="L103" s="31"/>
    </row>
    <row r="104" spans="1:12" s="9" customFormat="1" ht="16.5" customHeight="1" x14ac:dyDescent="0.2">
      <c r="A104" s="62">
        <v>754</v>
      </c>
      <c r="B104" s="63"/>
      <c r="C104" s="66" t="s">
        <v>41</v>
      </c>
      <c r="D104" s="72">
        <f>D105+D106+D107</f>
        <v>34000</v>
      </c>
      <c r="F104" s="14"/>
      <c r="G104" s="11"/>
      <c r="L104" s="26"/>
    </row>
    <row r="105" spans="1:12" s="9" customFormat="1" ht="16.5" customHeight="1" x14ac:dyDescent="0.2">
      <c r="A105" s="69"/>
      <c r="B105" s="59">
        <v>75405</v>
      </c>
      <c r="C105" s="60" t="s">
        <v>42</v>
      </c>
      <c r="D105" s="74">
        <f>13000</f>
        <v>13000</v>
      </c>
      <c r="F105" s="14"/>
      <c r="G105" s="11"/>
      <c r="L105" s="26"/>
    </row>
    <row r="106" spans="1:12" s="7" customFormat="1" ht="16.5" customHeight="1" x14ac:dyDescent="0.2">
      <c r="A106" s="58"/>
      <c r="B106" s="59">
        <v>75411</v>
      </c>
      <c r="C106" s="60" t="s">
        <v>57</v>
      </c>
      <c r="D106" s="61">
        <f>15000</f>
        <v>15000</v>
      </c>
      <c r="F106" s="22"/>
      <c r="G106" s="11"/>
      <c r="L106" s="23"/>
    </row>
    <row r="107" spans="1:12" s="9" customFormat="1" ht="16.5" customHeight="1" x14ac:dyDescent="0.2">
      <c r="A107" s="69"/>
      <c r="B107" s="59">
        <v>75416</v>
      </c>
      <c r="C107" s="60" t="s">
        <v>43</v>
      </c>
      <c r="D107" s="74">
        <f>6000</f>
        <v>6000</v>
      </c>
      <c r="F107" s="14"/>
      <c r="G107" s="11"/>
      <c r="L107" s="26"/>
    </row>
    <row r="108" spans="1:12" s="8" customFormat="1" ht="16.5" customHeight="1" x14ac:dyDescent="0.2">
      <c r="A108" s="62">
        <v>758</v>
      </c>
      <c r="B108" s="63"/>
      <c r="C108" s="67" t="s">
        <v>27</v>
      </c>
      <c r="D108" s="68">
        <f>D109</f>
        <v>429533</v>
      </c>
      <c r="F108" s="22"/>
      <c r="G108" s="11"/>
      <c r="L108" s="31"/>
    </row>
    <row r="109" spans="1:12" s="9" customFormat="1" ht="16.5" customHeight="1" x14ac:dyDescent="0.2">
      <c r="A109" s="69"/>
      <c r="B109" s="59">
        <v>75818</v>
      </c>
      <c r="C109" s="70" t="s">
        <v>28</v>
      </c>
      <c r="D109" s="112">
        <f>1899649-D97-D99-D101-D104-D110-D112-D114-D116-D119-D121-D123-D126-D129+429533</f>
        <v>429533</v>
      </c>
      <c r="F109" s="22"/>
      <c r="G109" s="11"/>
      <c r="L109" s="26"/>
    </row>
    <row r="110" spans="1:12" s="9" customFormat="1" ht="16.5" customHeight="1" x14ac:dyDescent="0.2">
      <c r="A110" s="62">
        <v>801</v>
      </c>
      <c r="B110" s="63"/>
      <c r="C110" s="67" t="s">
        <v>29</v>
      </c>
      <c r="D110" s="72">
        <f>D111</f>
        <v>831000</v>
      </c>
      <c r="F110" s="14"/>
      <c r="G110" s="11"/>
      <c r="L110" s="26"/>
    </row>
    <row r="111" spans="1:12" s="9" customFormat="1" ht="16.5" customHeight="1" x14ac:dyDescent="0.2">
      <c r="A111" s="69"/>
      <c r="B111" s="73">
        <v>80195</v>
      </c>
      <c r="C111" s="70" t="s">
        <v>7</v>
      </c>
      <c r="D111" s="74">
        <f>73000+63000+103000+83000+83000+60000+70000+79000+71000+60000+12000+9000+60000+5000</f>
        <v>831000</v>
      </c>
      <c r="F111" s="14"/>
      <c r="G111" s="11"/>
      <c r="L111" s="26"/>
    </row>
    <row r="112" spans="1:12" s="9" customFormat="1" ht="16.5" customHeight="1" x14ac:dyDescent="0.2">
      <c r="A112" s="62">
        <v>851</v>
      </c>
      <c r="B112" s="75"/>
      <c r="C112" s="66" t="s">
        <v>48</v>
      </c>
      <c r="D112" s="72">
        <f>D113</f>
        <v>21000</v>
      </c>
      <c r="F112" s="14"/>
      <c r="G112" s="11"/>
      <c r="L112" s="26"/>
    </row>
    <row r="113" spans="1:12" s="9" customFormat="1" ht="16.5" customHeight="1" x14ac:dyDescent="0.2">
      <c r="A113" s="69"/>
      <c r="B113" s="73">
        <v>85149</v>
      </c>
      <c r="C113" s="70" t="s">
        <v>50</v>
      </c>
      <c r="D113" s="74">
        <f>21000</f>
        <v>21000</v>
      </c>
      <c r="F113" s="32"/>
      <c r="G113" s="11"/>
      <c r="L113" s="26"/>
    </row>
    <row r="114" spans="1:12" s="7" customFormat="1" ht="16.5" customHeight="1" x14ac:dyDescent="0.2">
      <c r="A114" s="62">
        <v>852</v>
      </c>
      <c r="B114" s="75"/>
      <c r="C114" s="66" t="s">
        <v>54</v>
      </c>
      <c r="D114" s="72">
        <f>D115</f>
        <v>20000</v>
      </c>
      <c r="F114" s="22"/>
      <c r="G114" s="11"/>
      <c r="L114" s="23"/>
    </row>
    <row r="115" spans="1:12" s="7" customFormat="1" ht="16.5" customHeight="1" x14ac:dyDescent="0.2">
      <c r="A115" s="69"/>
      <c r="B115" s="73">
        <v>85203</v>
      </c>
      <c r="C115" s="70" t="s">
        <v>56</v>
      </c>
      <c r="D115" s="74">
        <f>20000</f>
        <v>20000</v>
      </c>
      <c r="F115" s="22"/>
      <c r="G115" s="11"/>
      <c r="L115" s="23"/>
    </row>
    <row r="116" spans="1:12" s="8" customFormat="1" ht="16.5" customHeight="1" x14ac:dyDescent="0.2">
      <c r="A116" s="62">
        <v>853</v>
      </c>
      <c r="B116" s="63"/>
      <c r="C116" s="64" t="s">
        <v>36</v>
      </c>
      <c r="D116" s="77">
        <f>D117+D118</f>
        <v>90000</v>
      </c>
      <c r="F116" s="22"/>
      <c r="G116" s="11"/>
      <c r="L116" s="31"/>
    </row>
    <row r="117" spans="1:12" s="9" customFormat="1" ht="16.5" customHeight="1" x14ac:dyDescent="0.2">
      <c r="A117" s="78"/>
      <c r="B117" s="79">
        <v>85311</v>
      </c>
      <c r="C117" s="80" t="s">
        <v>58</v>
      </c>
      <c r="D117" s="81">
        <f>10000</f>
        <v>10000</v>
      </c>
      <c r="F117" s="14"/>
      <c r="G117" s="11"/>
      <c r="L117" s="26"/>
    </row>
    <row r="118" spans="1:12" s="9" customFormat="1" ht="16.5" customHeight="1" x14ac:dyDescent="0.2">
      <c r="A118" s="62"/>
      <c r="B118" s="75">
        <v>85395</v>
      </c>
      <c r="C118" s="113" t="s">
        <v>7</v>
      </c>
      <c r="D118" s="83">
        <f>60000+20000</f>
        <v>80000</v>
      </c>
      <c r="F118" s="14"/>
      <c r="G118" s="11"/>
      <c r="L118" s="26"/>
    </row>
    <row r="119" spans="1:12" s="8" customFormat="1" ht="16.5" customHeight="1" x14ac:dyDescent="0.2">
      <c r="A119" s="62">
        <v>854</v>
      </c>
      <c r="B119" s="75"/>
      <c r="C119" s="66" t="s">
        <v>40</v>
      </c>
      <c r="D119" s="65">
        <f>D120</f>
        <v>121200</v>
      </c>
      <c r="F119" s="22"/>
      <c r="G119" s="11"/>
      <c r="L119" s="31"/>
    </row>
    <row r="120" spans="1:12" s="8" customFormat="1" ht="16.5" customHeight="1" x14ac:dyDescent="0.2">
      <c r="A120" s="78"/>
      <c r="B120" s="79">
        <v>85495</v>
      </c>
      <c r="C120" s="108" t="s">
        <v>7</v>
      </c>
      <c r="D120" s="110">
        <f>13000+84200+24000</f>
        <v>121200</v>
      </c>
      <c r="F120" s="22"/>
      <c r="G120" s="11"/>
      <c r="L120" s="31"/>
    </row>
    <row r="121" spans="1:12" s="8" customFormat="1" ht="16.5" customHeight="1" x14ac:dyDescent="0.2">
      <c r="A121" s="85">
        <v>855</v>
      </c>
      <c r="B121" s="75"/>
      <c r="C121" s="66" t="s">
        <v>61</v>
      </c>
      <c r="D121" s="65">
        <f>D122</f>
        <v>90000</v>
      </c>
      <c r="F121" s="22"/>
      <c r="G121" s="11"/>
      <c r="L121" s="31"/>
    </row>
    <row r="122" spans="1:12" s="8" customFormat="1" ht="16.5" customHeight="1" x14ac:dyDescent="0.2">
      <c r="A122" s="69"/>
      <c r="B122" s="102">
        <v>85516</v>
      </c>
      <c r="C122" s="70" t="s">
        <v>63</v>
      </c>
      <c r="D122" s="71">
        <f>45000+45000</f>
        <v>90000</v>
      </c>
      <c r="F122" s="22"/>
      <c r="G122" s="11"/>
      <c r="L122" s="31"/>
    </row>
    <row r="123" spans="1:12" s="8" customFormat="1" ht="16.5" customHeight="1" x14ac:dyDescent="0.2">
      <c r="A123" s="85">
        <v>900</v>
      </c>
      <c r="B123" s="75"/>
      <c r="C123" s="114" t="s">
        <v>30</v>
      </c>
      <c r="D123" s="65">
        <f>D124+D125</f>
        <v>140000</v>
      </c>
      <c r="F123" s="22"/>
      <c r="G123" s="11"/>
      <c r="L123" s="31"/>
    </row>
    <row r="124" spans="1:12" s="8" customFormat="1" ht="16.5" customHeight="1" x14ac:dyDescent="0.2">
      <c r="A124" s="69"/>
      <c r="B124" s="102">
        <v>90004</v>
      </c>
      <c r="C124" s="108" t="s">
        <v>35</v>
      </c>
      <c r="D124" s="84">
        <f>90000</f>
        <v>90000</v>
      </c>
      <c r="F124" s="22"/>
      <c r="G124" s="11"/>
      <c r="L124" s="31"/>
    </row>
    <row r="125" spans="1:12" s="7" customFormat="1" ht="16.5" customHeight="1" x14ac:dyDescent="0.2">
      <c r="A125" s="69"/>
      <c r="B125" s="73">
        <v>90095</v>
      </c>
      <c r="C125" s="70" t="s">
        <v>7</v>
      </c>
      <c r="D125" s="84">
        <v>50000</v>
      </c>
      <c r="F125" s="22"/>
      <c r="G125" s="11"/>
      <c r="L125" s="23"/>
    </row>
    <row r="126" spans="1:12" s="8" customFormat="1" ht="16.5" customHeight="1" x14ac:dyDescent="0.2">
      <c r="A126" s="62">
        <v>921</v>
      </c>
      <c r="B126" s="75"/>
      <c r="C126" s="66" t="s">
        <v>44</v>
      </c>
      <c r="D126" s="68">
        <f>D127+D128</f>
        <v>10000</v>
      </c>
      <c r="F126" s="22"/>
      <c r="G126" s="11"/>
      <c r="L126" s="31"/>
    </row>
    <row r="127" spans="1:12" s="7" customFormat="1" ht="16.5" customHeight="1" x14ac:dyDescent="0.2">
      <c r="A127" s="69"/>
      <c r="B127" s="73">
        <v>92109</v>
      </c>
      <c r="C127" s="70" t="s">
        <v>45</v>
      </c>
      <c r="D127" s="86">
        <f>5000</f>
        <v>5000</v>
      </c>
      <c r="E127" s="24"/>
      <c r="F127" s="22"/>
      <c r="G127" s="11"/>
      <c r="L127" s="23"/>
    </row>
    <row r="128" spans="1:12" s="9" customFormat="1" ht="16.5" customHeight="1" x14ac:dyDescent="0.2">
      <c r="A128" s="69"/>
      <c r="B128" s="73">
        <v>92116</v>
      </c>
      <c r="C128" s="70" t="s">
        <v>46</v>
      </c>
      <c r="D128" s="84">
        <f>5000</f>
        <v>5000</v>
      </c>
      <c r="F128" s="14"/>
      <c r="G128" s="11"/>
      <c r="L128" s="26"/>
    </row>
    <row r="129" spans="1:12" s="7" customFormat="1" ht="16.5" customHeight="1" x14ac:dyDescent="0.2">
      <c r="A129" s="62">
        <v>926</v>
      </c>
      <c r="B129" s="63"/>
      <c r="C129" s="67" t="s">
        <v>32</v>
      </c>
      <c r="D129" s="77">
        <f>D130+D131</f>
        <v>34500</v>
      </c>
      <c r="F129" s="22"/>
      <c r="G129" s="11"/>
      <c r="L129" s="23"/>
    </row>
    <row r="130" spans="1:12" s="7" customFormat="1" ht="16.5" customHeight="1" x14ac:dyDescent="0.2">
      <c r="A130" s="69"/>
      <c r="B130" s="59">
        <v>92601</v>
      </c>
      <c r="C130" s="87" t="s">
        <v>33</v>
      </c>
      <c r="D130" s="84">
        <f>20000</f>
        <v>20000</v>
      </c>
      <c r="F130" s="22"/>
      <c r="G130" s="11"/>
      <c r="L130" s="23"/>
    </row>
    <row r="131" spans="1:12" s="8" customFormat="1" ht="16.5" customHeight="1" x14ac:dyDescent="0.2">
      <c r="A131" s="115"/>
      <c r="B131" s="59">
        <v>92695</v>
      </c>
      <c r="C131" s="116" t="s">
        <v>7</v>
      </c>
      <c r="D131" s="117">
        <f>14500</f>
        <v>14500</v>
      </c>
      <c r="F131" s="22"/>
      <c r="G131" s="11"/>
      <c r="L131" s="31"/>
    </row>
    <row r="132" spans="1:12" s="8" customFormat="1" ht="18.75" customHeight="1" x14ac:dyDescent="0.2">
      <c r="A132" s="96"/>
      <c r="B132" s="97"/>
      <c r="C132" s="98" t="s">
        <v>11</v>
      </c>
      <c r="D132" s="111">
        <f>D133+D135+D137+D139+D143+D145+D147+D150+D152+D154+D157+D161</f>
        <v>3040004</v>
      </c>
      <c r="F132" s="22"/>
      <c r="G132" s="11"/>
      <c r="H132" s="40"/>
      <c r="K132" s="24"/>
      <c r="L132" s="31"/>
    </row>
    <row r="133" spans="1:12" s="8" customFormat="1" ht="16.5" customHeight="1" x14ac:dyDescent="0.2">
      <c r="A133" s="54">
        <v>600</v>
      </c>
      <c r="B133" s="55"/>
      <c r="C133" s="56" t="s">
        <v>5</v>
      </c>
      <c r="D133" s="57">
        <f>D134</f>
        <v>1256987</v>
      </c>
      <c r="F133" s="22"/>
      <c r="G133" s="11"/>
      <c r="L133" s="31"/>
    </row>
    <row r="134" spans="1:12" s="8" customFormat="1" ht="16.5" customHeight="1" x14ac:dyDescent="0.2">
      <c r="A134" s="58"/>
      <c r="B134" s="59">
        <v>60016</v>
      </c>
      <c r="C134" s="60" t="s">
        <v>6</v>
      </c>
      <c r="D134" s="61">
        <f>1256987</f>
        <v>1256987</v>
      </c>
      <c r="F134" s="22"/>
      <c r="G134" s="11"/>
      <c r="L134" s="31"/>
    </row>
    <row r="135" spans="1:12" s="8" customFormat="1" ht="16.5" customHeight="1" x14ac:dyDescent="0.2">
      <c r="A135" s="62">
        <v>710</v>
      </c>
      <c r="B135" s="63"/>
      <c r="C135" s="64" t="s">
        <v>59</v>
      </c>
      <c r="D135" s="65">
        <f>D136</f>
        <v>4000</v>
      </c>
      <c r="E135" s="42"/>
      <c r="F135" s="22"/>
      <c r="G135" s="11"/>
      <c r="L135" s="31"/>
    </row>
    <row r="136" spans="1:12" s="8" customFormat="1" ht="16.5" customHeight="1" x14ac:dyDescent="0.2">
      <c r="A136" s="58"/>
      <c r="B136" s="59">
        <v>71035</v>
      </c>
      <c r="C136" s="60" t="s">
        <v>60</v>
      </c>
      <c r="D136" s="61">
        <f>4000</f>
        <v>4000</v>
      </c>
      <c r="F136" s="22"/>
      <c r="G136" s="11"/>
      <c r="L136" s="31"/>
    </row>
    <row r="137" spans="1:12" s="8" customFormat="1" ht="16.5" customHeight="1" x14ac:dyDescent="0.2">
      <c r="A137" s="62">
        <v>750</v>
      </c>
      <c r="B137" s="63"/>
      <c r="C137" s="64" t="s">
        <v>52</v>
      </c>
      <c r="D137" s="72">
        <f>D138</f>
        <v>49500</v>
      </c>
      <c r="F137" s="22"/>
      <c r="G137" s="11"/>
      <c r="L137" s="31"/>
    </row>
    <row r="138" spans="1:12" s="9" customFormat="1" ht="16.5" customHeight="1" x14ac:dyDescent="0.2">
      <c r="A138" s="69"/>
      <c r="B138" s="59">
        <v>75095</v>
      </c>
      <c r="C138" s="60" t="s">
        <v>7</v>
      </c>
      <c r="D138" s="74">
        <f>1000+48500</f>
        <v>49500</v>
      </c>
      <c r="E138" s="8"/>
      <c r="F138" s="14"/>
      <c r="G138" s="11"/>
      <c r="L138" s="26"/>
    </row>
    <row r="139" spans="1:12" s="9" customFormat="1" ht="16.5" customHeight="1" x14ac:dyDescent="0.2">
      <c r="A139" s="62">
        <v>754</v>
      </c>
      <c r="B139" s="63"/>
      <c r="C139" s="66" t="s">
        <v>41</v>
      </c>
      <c r="D139" s="72">
        <f>D140+D141+D142</f>
        <v>57200</v>
      </c>
      <c r="F139" s="14"/>
      <c r="G139" s="11"/>
      <c r="L139" s="26"/>
    </row>
    <row r="140" spans="1:12" s="9" customFormat="1" ht="16.5" customHeight="1" x14ac:dyDescent="0.2">
      <c r="A140" s="69"/>
      <c r="B140" s="59">
        <v>75405</v>
      </c>
      <c r="C140" s="60" t="s">
        <v>42</v>
      </c>
      <c r="D140" s="74">
        <f>5200</f>
        <v>5200</v>
      </c>
      <c r="F140" s="14"/>
      <c r="G140" s="11"/>
      <c r="L140" s="26"/>
    </row>
    <row r="141" spans="1:12" s="9" customFormat="1" ht="16.5" customHeight="1" x14ac:dyDescent="0.2">
      <c r="A141" s="69"/>
      <c r="B141" s="59">
        <v>75411</v>
      </c>
      <c r="C141" s="60" t="s">
        <v>57</v>
      </c>
      <c r="D141" s="74">
        <f>35000</f>
        <v>35000</v>
      </c>
      <c r="F141" s="14"/>
      <c r="G141" s="11"/>
      <c r="L141" s="26"/>
    </row>
    <row r="142" spans="1:12" s="9" customFormat="1" ht="16.5" customHeight="1" x14ac:dyDescent="0.2">
      <c r="A142" s="69"/>
      <c r="B142" s="59">
        <v>75416</v>
      </c>
      <c r="C142" s="60" t="s">
        <v>43</v>
      </c>
      <c r="D142" s="74">
        <f>17000</f>
        <v>17000</v>
      </c>
      <c r="F142" s="14"/>
      <c r="G142" s="11"/>
      <c r="L142" s="26"/>
    </row>
    <row r="143" spans="1:12" s="8" customFormat="1" ht="16.5" customHeight="1" x14ac:dyDescent="0.2">
      <c r="A143" s="62">
        <v>758</v>
      </c>
      <c r="B143" s="63"/>
      <c r="C143" s="67" t="s">
        <v>27</v>
      </c>
      <c r="D143" s="68">
        <f>D144</f>
        <v>596217</v>
      </c>
      <c r="F143" s="22"/>
      <c r="G143" s="11"/>
      <c r="I143" s="40"/>
      <c r="L143" s="31"/>
    </row>
    <row r="144" spans="1:12" s="8" customFormat="1" ht="16.5" customHeight="1" x14ac:dyDescent="0.2">
      <c r="A144" s="69"/>
      <c r="B144" s="59">
        <v>75818</v>
      </c>
      <c r="C144" s="70" t="s">
        <v>28</v>
      </c>
      <c r="D144" s="71">
        <f>2479387-D133-D135-D137-D139-D145-D147-D150-D152-D154-D157-D161+560617</f>
        <v>596217</v>
      </c>
      <c r="E144" s="41"/>
      <c r="F144" s="22"/>
      <c r="G144" s="11"/>
      <c r="L144" s="31"/>
    </row>
    <row r="145" spans="1:12" s="7" customFormat="1" ht="16.5" customHeight="1" x14ac:dyDescent="0.2">
      <c r="A145" s="62">
        <v>801</v>
      </c>
      <c r="B145" s="63"/>
      <c r="C145" s="67" t="s">
        <v>29</v>
      </c>
      <c r="D145" s="72">
        <f>D146</f>
        <v>481700</v>
      </c>
      <c r="F145" s="22"/>
      <c r="G145" s="11"/>
      <c r="L145" s="23"/>
    </row>
    <row r="146" spans="1:12" s="7" customFormat="1" ht="16.5" customHeight="1" x14ac:dyDescent="0.2">
      <c r="A146" s="69"/>
      <c r="B146" s="73">
        <v>80195</v>
      </c>
      <c r="C146" s="70" t="s">
        <v>7</v>
      </c>
      <c r="D146" s="74">
        <f>500+28700+62000+30600+40600+20000+20500+30600+36200+75800+45600+50000+40600</f>
        <v>481700</v>
      </c>
      <c r="F146" s="22"/>
      <c r="G146" s="11"/>
      <c r="L146" s="23"/>
    </row>
    <row r="147" spans="1:12" s="8" customFormat="1" ht="16.5" customHeight="1" x14ac:dyDescent="0.2">
      <c r="A147" s="62">
        <v>852</v>
      </c>
      <c r="B147" s="75"/>
      <c r="C147" s="66" t="s">
        <v>54</v>
      </c>
      <c r="D147" s="72">
        <f>D148+D149</f>
        <v>41000</v>
      </c>
      <c r="F147" s="22"/>
      <c r="G147" s="11"/>
      <c r="L147" s="31"/>
    </row>
    <row r="148" spans="1:12" s="8" customFormat="1" ht="16.5" customHeight="1" x14ac:dyDescent="0.2">
      <c r="A148" s="69"/>
      <c r="B148" s="73">
        <v>85203</v>
      </c>
      <c r="C148" s="118" t="s">
        <v>56</v>
      </c>
      <c r="D148" s="74">
        <f>15000</f>
        <v>15000</v>
      </c>
      <c r="F148" s="22"/>
      <c r="G148" s="11"/>
      <c r="L148" s="31"/>
    </row>
    <row r="149" spans="1:12" s="8" customFormat="1" ht="16.5" customHeight="1" x14ac:dyDescent="0.2">
      <c r="A149" s="69"/>
      <c r="B149" s="73">
        <v>85295</v>
      </c>
      <c r="C149" s="70" t="s">
        <v>7</v>
      </c>
      <c r="D149" s="74">
        <f>26000</f>
        <v>26000</v>
      </c>
      <c r="F149" s="22"/>
      <c r="G149" s="11"/>
      <c r="L149" s="31"/>
    </row>
    <row r="150" spans="1:12" s="8" customFormat="1" ht="16.5" customHeight="1" x14ac:dyDescent="0.2">
      <c r="A150" s="62">
        <v>853</v>
      </c>
      <c r="B150" s="63"/>
      <c r="C150" s="64" t="s">
        <v>36</v>
      </c>
      <c r="D150" s="77">
        <f>D151</f>
        <v>66000</v>
      </c>
      <c r="F150" s="22"/>
      <c r="G150" s="11"/>
      <c r="L150" s="31"/>
    </row>
    <row r="151" spans="1:12" s="8" customFormat="1" ht="16.5" customHeight="1" x14ac:dyDescent="0.2">
      <c r="A151" s="69"/>
      <c r="B151" s="73">
        <v>85395</v>
      </c>
      <c r="C151" s="70" t="s">
        <v>7</v>
      </c>
      <c r="D151" s="84">
        <f>2000+32000+30000+2000</f>
        <v>66000</v>
      </c>
      <c r="F151" s="22"/>
      <c r="G151" s="11"/>
      <c r="L151" s="31"/>
    </row>
    <row r="152" spans="1:12" s="8" customFormat="1" ht="16.5" customHeight="1" x14ac:dyDescent="0.2">
      <c r="A152" s="62">
        <v>854</v>
      </c>
      <c r="B152" s="75"/>
      <c r="C152" s="66" t="s">
        <v>40</v>
      </c>
      <c r="D152" s="65">
        <f>D153</f>
        <v>108000</v>
      </c>
      <c r="F152" s="22"/>
      <c r="G152" s="11"/>
      <c r="L152" s="31"/>
    </row>
    <row r="153" spans="1:12" s="7" customFormat="1" ht="16.5" customHeight="1" x14ac:dyDescent="0.2">
      <c r="A153" s="69"/>
      <c r="B153" s="73">
        <v>85495</v>
      </c>
      <c r="C153" s="70" t="s">
        <v>7</v>
      </c>
      <c r="D153" s="84">
        <f>13200+94800</f>
        <v>108000</v>
      </c>
      <c r="E153" s="24"/>
      <c r="F153" s="22"/>
      <c r="G153" s="11"/>
      <c r="L153" s="23"/>
    </row>
    <row r="154" spans="1:12" s="9" customFormat="1" ht="16.5" customHeight="1" x14ac:dyDescent="0.2">
      <c r="A154" s="85">
        <v>900</v>
      </c>
      <c r="B154" s="75"/>
      <c r="C154" s="66" t="s">
        <v>30</v>
      </c>
      <c r="D154" s="65">
        <f>D155+D156</f>
        <v>281900</v>
      </c>
      <c r="F154" s="14"/>
      <c r="G154" s="11"/>
      <c r="L154" s="26"/>
    </row>
    <row r="155" spans="1:12" s="8" customFormat="1" ht="16.5" customHeight="1" x14ac:dyDescent="0.2">
      <c r="A155" s="119"/>
      <c r="B155" s="59">
        <v>90015</v>
      </c>
      <c r="C155" s="70" t="s">
        <v>31</v>
      </c>
      <c r="D155" s="61">
        <f>81900</f>
        <v>81900</v>
      </c>
      <c r="F155" s="22"/>
      <c r="G155" s="11"/>
      <c r="L155" s="31"/>
    </row>
    <row r="156" spans="1:12" s="8" customFormat="1" ht="16.5" customHeight="1" x14ac:dyDescent="0.2">
      <c r="A156" s="62"/>
      <c r="B156" s="63">
        <v>90095</v>
      </c>
      <c r="C156" s="113" t="s">
        <v>7</v>
      </c>
      <c r="D156" s="120">
        <f>200000</f>
        <v>200000</v>
      </c>
      <c r="F156" s="22"/>
      <c r="G156" s="11"/>
      <c r="L156" s="31"/>
    </row>
    <row r="157" spans="1:12" s="8" customFormat="1" ht="16.5" customHeight="1" x14ac:dyDescent="0.2">
      <c r="A157" s="62">
        <v>921</v>
      </c>
      <c r="B157" s="75"/>
      <c r="C157" s="66" t="s">
        <v>44</v>
      </c>
      <c r="D157" s="68">
        <f>D158+D159+D160</f>
        <v>32500</v>
      </c>
      <c r="F157" s="22"/>
      <c r="G157" s="11"/>
      <c r="L157" s="31"/>
    </row>
    <row r="158" spans="1:12" s="8" customFormat="1" ht="16.5" customHeight="1" x14ac:dyDescent="0.2">
      <c r="A158" s="69"/>
      <c r="B158" s="73">
        <v>92109</v>
      </c>
      <c r="C158" s="70" t="s">
        <v>45</v>
      </c>
      <c r="D158" s="86">
        <f>20000</f>
        <v>20000</v>
      </c>
      <c r="F158" s="22"/>
      <c r="G158" s="11"/>
      <c r="L158" s="31"/>
    </row>
    <row r="159" spans="1:12" s="8" customFormat="1" ht="16.5" customHeight="1" x14ac:dyDescent="0.2">
      <c r="A159" s="69"/>
      <c r="B159" s="73">
        <v>92116</v>
      </c>
      <c r="C159" s="118" t="s">
        <v>46</v>
      </c>
      <c r="D159" s="86">
        <f>10000</f>
        <v>10000</v>
      </c>
      <c r="F159" s="22"/>
      <c r="G159" s="11"/>
      <c r="L159" s="31"/>
    </row>
    <row r="160" spans="1:12" s="7" customFormat="1" ht="16.5" customHeight="1" x14ac:dyDescent="0.2">
      <c r="A160" s="69"/>
      <c r="B160" s="73">
        <v>92118</v>
      </c>
      <c r="C160" s="70" t="s">
        <v>47</v>
      </c>
      <c r="D160" s="84">
        <f>2500</f>
        <v>2500</v>
      </c>
      <c r="F160" s="22"/>
      <c r="G160" s="11"/>
      <c r="L160" s="23"/>
    </row>
    <row r="161" spans="1:12" s="8" customFormat="1" ht="16.5" customHeight="1" x14ac:dyDescent="0.2">
      <c r="A161" s="62">
        <v>926</v>
      </c>
      <c r="B161" s="63"/>
      <c r="C161" s="67" t="s">
        <v>32</v>
      </c>
      <c r="D161" s="77">
        <f>D162+D163</f>
        <v>65000</v>
      </c>
      <c r="F161" s="22"/>
      <c r="G161" s="11"/>
      <c r="L161" s="31"/>
    </row>
    <row r="162" spans="1:12" s="8" customFormat="1" ht="16.5" customHeight="1" x14ac:dyDescent="0.2">
      <c r="A162" s="78"/>
      <c r="B162" s="102">
        <v>92601</v>
      </c>
      <c r="C162" s="121" t="s">
        <v>33</v>
      </c>
      <c r="D162" s="110">
        <f>60000</f>
        <v>60000</v>
      </c>
      <c r="F162" s="22"/>
      <c r="G162" s="11"/>
      <c r="L162" s="31"/>
    </row>
    <row r="163" spans="1:12" s="34" customFormat="1" ht="16.5" customHeight="1" x14ac:dyDescent="0.2">
      <c r="A163" s="62"/>
      <c r="B163" s="59">
        <v>92605</v>
      </c>
      <c r="C163" s="88" t="s">
        <v>34</v>
      </c>
      <c r="D163" s="83">
        <f>5000</f>
        <v>5000</v>
      </c>
      <c r="F163" s="22"/>
      <c r="G163" s="11"/>
      <c r="L163" s="36"/>
    </row>
    <row r="164" spans="1:12" s="8" customFormat="1" ht="18.75" customHeight="1" x14ac:dyDescent="0.2">
      <c r="A164" s="96"/>
      <c r="B164" s="97"/>
      <c r="C164" s="98" t="s">
        <v>12</v>
      </c>
      <c r="D164" s="111">
        <f>D165+D167+D170+D174+D176+D178+D181+D183+D185+D189+D192</f>
        <v>4161000</v>
      </c>
      <c r="F164" s="22"/>
      <c r="G164" s="11"/>
      <c r="K164" s="24"/>
      <c r="L164" s="31"/>
    </row>
    <row r="165" spans="1:12" s="8" customFormat="1" ht="16.5" customHeight="1" x14ac:dyDescent="0.2">
      <c r="A165" s="54">
        <v>600</v>
      </c>
      <c r="B165" s="55"/>
      <c r="C165" s="56" t="s">
        <v>5</v>
      </c>
      <c r="D165" s="57">
        <f>D166</f>
        <v>1583374</v>
      </c>
      <c r="F165" s="22"/>
      <c r="G165" s="11"/>
      <c r="L165" s="31"/>
    </row>
    <row r="166" spans="1:12" s="9" customFormat="1" ht="16.5" customHeight="1" x14ac:dyDescent="0.2">
      <c r="A166" s="58"/>
      <c r="B166" s="59">
        <v>60016</v>
      </c>
      <c r="C166" s="122" t="s">
        <v>6</v>
      </c>
      <c r="D166" s="61">
        <f>1583374</f>
        <v>1583374</v>
      </c>
      <c r="F166" s="14"/>
      <c r="G166" s="11"/>
      <c r="L166" s="26"/>
    </row>
    <row r="167" spans="1:12" s="9" customFormat="1" ht="16.5" customHeight="1" x14ac:dyDescent="0.2">
      <c r="A167" s="62">
        <v>750</v>
      </c>
      <c r="B167" s="63"/>
      <c r="C167" s="64" t="s">
        <v>52</v>
      </c>
      <c r="D167" s="72">
        <f>D168+D169</f>
        <v>163500</v>
      </c>
      <c r="F167" s="14"/>
      <c r="G167" s="11"/>
      <c r="L167" s="26"/>
    </row>
    <row r="168" spans="1:12" s="9" customFormat="1" ht="16.5" customHeight="1" x14ac:dyDescent="0.2">
      <c r="A168" s="69"/>
      <c r="B168" s="59">
        <v>75022</v>
      </c>
      <c r="C168" s="60" t="s">
        <v>53</v>
      </c>
      <c r="D168" s="74">
        <f>10000+90000+1500</f>
        <v>101500</v>
      </c>
      <c r="F168" s="14"/>
      <c r="G168" s="11"/>
      <c r="L168" s="26"/>
    </row>
    <row r="169" spans="1:12" s="9" customFormat="1" ht="16.5" customHeight="1" x14ac:dyDescent="0.2">
      <c r="A169" s="69"/>
      <c r="B169" s="59">
        <v>75095</v>
      </c>
      <c r="C169" s="122" t="s">
        <v>7</v>
      </c>
      <c r="D169" s="74">
        <f>62000</f>
        <v>62000</v>
      </c>
      <c r="F169" s="14"/>
      <c r="G169" s="11"/>
      <c r="L169" s="26"/>
    </row>
    <row r="170" spans="1:12" s="9" customFormat="1" ht="16.5" customHeight="1" x14ac:dyDescent="0.2">
      <c r="A170" s="62">
        <v>754</v>
      </c>
      <c r="B170" s="63"/>
      <c r="C170" s="66" t="s">
        <v>41</v>
      </c>
      <c r="D170" s="72">
        <f>D171+D172+D173</f>
        <v>46200</v>
      </c>
      <c r="F170" s="14"/>
      <c r="G170" s="11"/>
      <c r="L170" s="26"/>
    </row>
    <row r="171" spans="1:12" s="9" customFormat="1" ht="16.5" customHeight="1" x14ac:dyDescent="0.2">
      <c r="A171" s="69"/>
      <c r="B171" s="59">
        <v>75405</v>
      </c>
      <c r="C171" s="60" t="s">
        <v>42</v>
      </c>
      <c r="D171" s="74">
        <f>12200</f>
        <v>12200</v>
      </c>
      <c r="F171" s="14"/>
      <c r="G171" s="11"/>
      <c r="L171" s="26"/>
    </row>
    <row r="172" spans="1:12" s="7" customFormat="1" ht="16.5" customHeight="1" x14ac:dyDescent="0.2">
      <c r="A172" s="69"/>
      <c r="B172" s="59">
        <v>75411</v>
      </c>
      <c r="C172" s="60" t="s">
        <v>57</v>
      </c>
      <c r="D172" s="74">
        <f>12000</f>
        <v>12000</v>
      </c>
      <c r="F172" s="22"/>
      <c r="G172" s="11"/>
      <c r="L172" s="23"/>
    </row>
    <row r="173" spans="1:12" s="7" customFormat="1" ht="16.5" customHeight="1" x14ac:dyDescent="0.2">
      <c r="A173" s="69"/>
      <c r="B173" s="59">
        <v>75416</v>
      </c>
      <c r="C173" s="60" t="s">
        <v>43</v>
      </c>
      <c r="D173" s="74">
        <f>22000</f>
        <v>22000</v>
      </c>
      <c r="F173" s="22"/>
      <c r="G173" s="11"/>
      <c r="L173" s="23"/>
    </row>
    <row r="174" spans="1:12" s="9" customFormat="1" ht="16.5" customHeight="1" x14ac:dyDescent="0.2">
      <c r="A174" s="62">
        <v>758</v>
      </c>
      <c r="B174" s="63"/>
      <c r="C174" s="67" t="s">
        <v>27</v>
      </c>
      <c r="D174" s="68">
        <f>D175</f>
        <v>767343</v>
      </c>
      <c r="F174" s="14"/>
      <c r="G174" s="11"/>
      <c r="L174" s="26"/>
    </row>
    <row r="175" spans="1:12" s="8" customFormat="1" ht="16.5" customHeight="1" x14ac:dyDescent="0.2">
      <c r="A175" s="69"/>
      <c r="B175" s="59">
        <v>75818</v>
      </c>
      <c r="C175" s="70" t="s">
        <v>28</v>
      </c>
      <c r="D175" s="71">
        <f>3393657-D165-D167-D170-D176-D178-D181-D183-D185-D189-D192+767343</f>
        <v>767343</v>
      </c>
      <c r="E175" s="41"/>
      <c r="F175" s="22"/>
      <c r="G175" s="11"/>
      <c r="L175" s="31"/>
    </row>
    <row r="176" spans="1:12" s="9" customFormat="1" ht="16.5" customHeight="1" x14ac:dyDescent="0.2">
      <c r="A176" s="62">
        <v>801</v>
      </c>
      <c r="B176" s="63"/>
      <c r="C176" s="67" t="s">
        <v>29</v>
      </c>
      <c r="D176" s="72">
        <f>D177</f>
        <v>297000</v>
      </c>
      <c r="F176" s="14"/>
      <c r="G176" s="11"/>
      <c r="L176" s="26"/>
    </row>
    <row r="177" spans="1:12" s="9" customFormat="1" ht="16.5" customHeight="1" x14ac:dyDescent="0.2">
      <c r="A177" s="69"/>
      <c r="B177" s="73">
        <v>80195</v>
      </c>
      <c r="C177" s="70" t="s">
        <v>7</v>
      </c>
      <c r="D177" s="74">
        <f>15000+60000+32000+60000+70000+60000</f>
        <v>297000</v>
      </c>
      <c r="F177" s="14"/>
      <c r="G177" s="11"/>
      <c r="L177" s="26"/>
    </row>
    <row r="178" spans="1:12" s="8" customFormat="1" ht="16.5" customHeight="1" x14ac:dyDescent="0.2">
      <c r="A178" s="62">
        <v>852</v>
      </c>
      <c r="B178" s="75"/>
      <c r="C178" s="66" t="s">
        <v>54</v>
      </c>
      <c r="D178" s="72">
        <f>D179+D180</f>
        <v>16000</v>
      </c>
      <c r="F178" s="22"/>
      <c r="G178" s="11"/>
      <c r="L178" s="31"/>
    </row>
    <row r="179" spans="1:12" s="8" customFormat="1" ht="16.5" customHeight="1" x14ac:dyDescent="0.2">
      <c r="A179" s="78"/>
      <c r="B179" s="79">
        <v>85203</v>
      </c>
      <c r="C179" s="108" t="s">
        <v>56</v>
      </c>
      <c r="D179" s="81">
        <f>2000</f>
        <v>2000</v>
      </c>
      <c r="F179" s="22"/>
      <c r="G179" s="11"/>
      <c r="L179" s="31"/>
    </row>
    <row r="180" spans="1:12" s="8" customFormat="1" ht="16.5" customHeight="1" x14ac:dyDescent="0.2">
      <c r="A180" s="69"/>
      <c r="B180" s="73">
        <v>85295</v>
      </c>
      <c r="C180" s="70" t="s">
        <v>7</v>
      </c>
      <c r="D180" s="74">
        <f>14000</f>
        <v>14000</v>
      </c>
      <c r="F180" s="22"/>
      <c r="G180" s="11"/>
      <c r="L180" s="31"/>
    </row>
    <row r="181" spans="1:12" s="8" customFormat="1" ht="16.5" customHeight="1" x14ac:dyDescent="0.2">
      <c r="A181" s="62">
        <v>853</v>
      </c>
      <c r="B181" s="63"/>
      <c r="C181" s="64" t="s">
        <v>36</v>
      </c>
      <c r="D181" s="65">
        <f>D182</f>
        <v>219683</v>
      </c>
      <c r="F181" s="22"/>
      <c r="G181" s="11"/>
      <c r="L181" s="31"/>
    </row>
    <row r="182" spans="1:12" s="8" customFormat="1" ht="16.5" customHeight="1" x14ac:dyDescent="0.2">
      <c r="A182" s="69"/>
      <c r="B182" s="73">
        <v>85395</v>
      </c>
      <c r="C182" s="70" t="s">
        <v>7</v>
      </c>
      <c r="D182" s="84">
        <f>141683+50000+12000+16000</f>
        <v>219683</v>
      </c>
      <c r="F182" s="22"/>
      <c r="G182" s="11"/>
      <c r="L182" s="31"/>
    </row>
    <row r="183" spans="1:12" s="7" customFormat="1" ht="16.5" customHeight="1" x14ac:dyDescent="0.2">
      <c r="A183" s="85">
        <v>855</v>
      </c>
      <c r="B183" s="75"/>
      <c r="C183" s="66" t="s">
        <v>61</v>
      </c>
      <c r="D183" s="65">
        <f>D184</f>
        <v>50000</v>
      </c>
      <c r="E183" s="24"/>
      <c r="F183" s="22"/>
      <c r="G183" s="11"/>
      <c r="L183" s="23"/>
    </row>
    <row r="184" spans="1:12" s="8" customFormat="1" ht="16.5" customHeight="1" x14ac:dyDescent="0.2">
      <c r="A184" s="69"/>
      <c r="B184" s="59">
        <v>85516</v>
      </c>
      <c r="C184" s="70" t="s">
        <v>63</v>
      </c>
      <c r="D184" s="86">
        <v>50000</v>
      </c>
      <c r="F184" s="22"/>
      <c r="G184" s="11"/>
      <c r="L184" s="31"/>
    </row>
    <row r="185" spans="1:12" s="7" customFormat="1" ht="16.5" customHeight="1" x14ac:dyDescent="0.2">
      <c r="A185" s="85">
        <v>900</v>
      </c>
      <c r="B185" s="75"/>
      <c r="C185" s="66" t="s">
        <v>30</v>
      </c>
      <c r="D185" s="65">
        <f>D186+D187+D188</f>
        <v>645900</v>
      </c>
      <c r="F185" s="22"/>
      <c r="G185" s="11"/>
      <c r="L185" s="23"/>
    </row>
    <row r="186" spans="1:12" s="8" customFormat="1" ht="16.5" customHeight="1" x14ac:dyDescent="0.2">
      <c r="A186" s="119"/>
      <c r="B186" s="102">
        <v>90004</v>
      </c>
      <c r="C186" s="108" t="s">
        <v>35</v>
      </c>
      <c r="D186" s="123">
        <f>100000</f>
        <v>100000</v>
      </c>
      <c r="F186" s="22"/>
      <c r="G186" s="11"/>
      <c r="L186" s="31"/>
    </row>
    <row r="187" spans="1:12" s="7" customFormat="1" ht="16.5" customHeight="1" x14ac:dyDescent="0.2">
      <c r="A187" s="69"/>
      <c r="B187" s="59">
        <v>90015</v>
      </c>
      <c r="C187" s="70" t="s">
        <v>31</v>
      </c>
      <c r="D187" s="86">
        <f>45900</f>
        <v>45900</v>
      </c>
      <c r="F187" s="22"/>
      <c r="G187" s="11"/>
      <c r="L187" s="23"/>
    </row>
    <row r="188" spans="1:12" s="8" customFormat="1" ht="16.5" customHeight="1" x14ac:dyDescent="0.2">
      <c r="A188" s="69"/>
      <c r="B188" s="59">
        <v>90095</v>
      </c>
      <c r="C188" s="70" t="s">
        <v>7</v>
      </c>
      <c r="D188" s="86">
        <f>500000</f>
        <v>500000</v>
      </c>
      <c r="F188" s="22"/>
      <c r="G188" s="11"/>
      <c r="L188" s="31"/>
    </row>
    <row r="189" spans="1:12" s="8" customFormat="1" ht="16.5" customHeight="1" x14ac:dyDescent="0.2">
      <c r="A189" s="62">
        <v>921</v>
      </c>
      <c r="B189" s="75"/>
      <c r="C189" s="66" t="s">
        <v>44</v>
      </c>
      <c r="D189" s="68">
        <f>D190+D191</f>
        <v>338000</v>
      </c>
      <c r="F189" s="22"/>
      <c r="G189" s="11"/>
      <c r="L189" s="31"/>
    </row>
    <row r="190" spans="1:12" s="8" customFormat="1" ht="16.5" customHeight="1" x14ac:dyDescent="0.2">
      <c r="A190" s="69"/>
      <c r="B190" s="73">
        <v>92109</v>
      </c>
      <c r="C190" s="70" t="s">
        <v>45</v>
      </c>
      <c r="D190" s="86">
        <f>326000</f>
        <v>326000</v>
      </c>
      <c r="F190" s="22"/>
      <c r="G190" s="11"/>
      <c r="L190" s="31"/>
    </row>
    <row r="191" spans="1:12" s="8" customFormat="1" ht="16.5" customHeight="1" x14ac:dyDescent="0.2">
      <c r="A191" s="69"/>
      <c r="B191" s="73">
        <v>92116</v>
      </c>
      <c r="C191" s="70" t="s">
        <v>46</v>
      </c>
      <c r="D191" s="86">
        <f>12000</f>
        <v>12000</v>
      </c>
      <c r="F191" s="22"/>
      <c r="G191" s="11"/>
      <c r="L191" s="31"/>
    </row>
    <row r="192" spans="1:12" s="8" customFormat="1" ht="16.5" customHeight="1" x14ac:dyDescent="0.2">
      <c r="A192" s="62">
        <v>926</v>
      </c>
      <c r="B192" s="63"/>
      <c r="C192" s="67" t="s">
        <v>32</v>
      </c>
      <c r="D192" s="77">
        <f>D193</f>
        <v>34000</v>
      </c>
      <c r="F192" s="22"/>
      <c r="G192" s="11"/>
      <c r="L192" s="31"/>
    </row>
    <row r="193" spans="1:12" s="8" customFormat="1" ht="21.75" customHeight="1" x14ac:dyDescent="0.2">
      <c r="A193" s="54"/>
      <c r="B193" s="89">
        <v>92601</v>
      </c>
      <c r="C193" s="124" t="s">
        <v>33</v>
      </c>
      <c r="D193" s="125">
        <f>34000</f>
        <v>34000</v>
      </c>
      <c r="F193" s="22"/>
      <c r="G193" s="11"/>
      <c r="L193" s="31"/>
    </row>
    <row r="194" spans="1:12" s="9" customFormat="1" ht="18.75" customHeight="1" x14ac:dyDescent="0.2">
      <c r="A194" s="96"/>
      <c r="B194" s="97"/>
      <c r="C194" s="98" t="s">
        <v>13</v>
      </c>
      <c r="D194" s="111">
        <f>D195+D197+D200+D203+D205+D207+D209+D211+D213+D217+D221</f>
        <v>2393088</v>
      </c>
      <c r="F194" s="14"/>
      <c r="G194" s="11"/>
      <c r="K194" s="24"/>
      <c r="L194" s="26"/>
    </row>
    <row r="195" spans="1:12" s="9" customFormat="1" ht="16.5" customHeight="1" x14ac:dyDescent="0.2">
      <c r="A195" s="54">
        <v>600</v>
      </c>
      <c r="B195" s="55"/>
      <c r="C195" s="56" t="s">
        <v>5</v>
      </c>
      <c r="D195" s="57">
        <f>D196</f>
        <v>458247</v>
      </c>
      <c r="F195" s="14"/>
      <c r="G195" s="11"/>
      <c r="L195" s="26"/>
    </row>
    <row r="196" spans="1:12" s="9" customFormat="1" ht="16.5" customHeight="1" x14ac:dyDescent="0.2">
      <c r="A196" s="126"/>
      <c r="B196" s="102">
        <v>60016</v>
      </c>
      <c r="C196" s="103" t="s">
        <v>6</v>
      </c>
      <c r="D196" s="123">
        <f>458247</f>
        <v>458247</v>
      </c>
      <c r="F196" s="14"/>
      <c r="G196" s="11"/>
      <c r="L196" s="26"/>
    </row>
    <row r="197" spans="1:12" s="9" customFormat="1" ht="16.5" customHeight="1" x14ac:dyDescent="0.2">
      <c r="A197" s="62">
        <v>750</v>
      </c>
      <c r="B197" s="63"/>
      <c r="C197" s="64" t="s">
        <v>52</v>
      </c>
      <c r="D197" s="72">
        <f>D198+D199</f>
        <v>68935</v>
      </c>
      <c r="F197" s="14"/>
      <c r="G197" s="11"/>
      <c r="L197" s="26"/>
    </row>
    <row r="198" spans="1:12" s="9" customFormat="1" ht="16.5" customHeight="1" x14ac:dyDescent="0.2">
      <c r="A198" s="69"/>
      <c r="B198" s="59">
        <v>75022</v>
      </c>
      <c r="C198" s="60" t="s">
        <v>53</v>
      </c>
      <c r="D198" s="74">
        <f>19900+10000</f>
        <v>29900</v>
      </c>
      <c r="F198" s="14"/>
      <c r="G198" s="11"/>
      <c r="L198" s="26"/>
    </row>
    <row r="199" spans="1:12" s="9" customFormat="1" ht="16.5" customHeight="1" x14ac:dyDescent="0.2">
      <c r="A199" s="69"/>
      <c r="B199" s="59">
        <v>75095</v>
      </c>
      <c r="C199" s="60" t="s">
        <v>7</v>
      </c>
      <c r="D199" s="74">
        <f>39035</f>
        <v>39035</v>
      </c>
      <c r="F199" s="14"/>
      <c r="G199" s="11"/>
      <c r="L199" s="26"/>
    </row>
    <row r="200" spans="1:12" s="7" customFormat="1" ht="16.5" customHeight="1" x14ac:dyDescent="0.2">
      <c r="A200" s="62">
        <v>754</v>
      </c>
      <c r="B200" s="63"/>
      <c r="C200" s="66" t="s">
        <v>41</v>
      </c>
      <c r="D200" s="72">
        <f>D201+D202</f>
        <v>74589</v>
      </c>
      <c r="F200" s="22"/>
      <c r="G200" s="11"/>
      <c r="L200" s="23"/>
    </row>
    <row r="201" spans="1:12" s="7" customFormat="1" ht="16.5" customHeight="1" x14ac:dyDescent="0.2">
      <c r="A201" s="69"/>
      <c r="B201" s="59">
        <v>75405</v>
      </c>
      <c r="C201" s="60" t="s">
        <v>42</v>
      </c>
      <c r="D201" s="74">
        <f>23000</f>
        <v>23000</v>
      </c>
      <c r="F201" s="22"/>
      <c r="G201" s="11"/>
      <c r="L201" s="23"/>
    </row>
    <row r="202" spans="1:12" s="7" customFormat="1" ht="16.5" customHeight="1" x14ac:dyDescent="0.2">
      <c r="A202" s="69"/>
      <c r="B202" s="59">
        <v>75416</v>
      </c>
      <c r="C202" s="60" t="s">
        <v>43</v>
      </c>
      <c r="D202" s="74">
        <f>51589</f>
        <v>51589</v>
      </c>
      <c r="F202" s="22"/>
      <c r="G202" s="11"/>
      <c r="L202" s="23"/>
    </row>
    <row r="203" spans="1:12" s="9" customFormat="1" ht="16.5" customHeight="1" x14ac:dyDescent="0.2">
      <c r="A203" s="62">
        <v>758</v>
      </c>
      <c r="B203" s="63"/>
      <c r="C203" s="67" t="s">
        <v>27</v>
      </c>
      <c r="D203" s="68">
        <f>D204</f>
        <v>551317</v>
      </c>
      <c r="F203" s="14"/>
      <c r="G203" s="11"/>
      <c r="L203" s="26"/>
    </row>
    <row r="204" spans="1:12" s="8" customFormat="1" ht="16.5" customHeight="1" x14ac:dyDescent="0.2">
      <c r="A204" s="78"/>
      <c r="B204" s="102">
        <v>75818</v>
      </c>
      <c r="C204" s="108" t="s">
        <v>28</v>
      </c>
      <c r="D204" s="71">
        <f>1951771-D195-D197-D200-D205-D207-D209-D211-D213-D217-D221+441317</f>
        <v>551317</v>
      </c>
      <c r="E204" s="41"/>
      <c r="F204" s="22"/>
      <c r="G204" s="11"/>
      <c r="L204" s="31"/>
    </row>
    <row r="205" spans="1:12" s="7" customFormat="1" ht="16.5" customHeight="1" x14ac:dyDescent="0.2">
      <c r="A205" s="62">
        <v>801</v>
      </c>
      <c r="B205" s="63"/>
      <c r="C205" s="127" t="s">
        <v>29</v>
      </c>
      <c r="D205" s="72">
        <f>D206</f>
        <v>660000</v>
      </c>
      <c r="F205" s="22"/>
      <c r="G205" s="11"/>
      <c r="L205" s="23"/>
    </row>
    <row r="206" spans="1:12" s="7" customFormat="1" ht="16.5" customHeight="1" x14ac:dyDescent="0.2">
      <c r="A206" s="78"/>
      <c r="B206" s="79">
        <v>80195</v>
      </c>
      <c r="C206" s="128" t="s">
        <v>7</v>
      </c>
      <c r="D206" s="81">
        <f>80000+25000+70000+30000+84000+100000+93000+113000+65000</f>
        <v>660000</v>
      </c>
      <c r="F206" s="22"/>
      <c r="G206" s="11"/>
      <c r="L206" s="23"/>
    </row>
    <row r="207" spans="1:12" s="8" customFormat="1" ht="16.5" customHeight="1" x14ac:dyDescent="0.2">
      <c r="A207" s="62">
        <v>852</v>
      </c>
      <c r="B207" s="63"/>
      <c r="C207" s="66" t="s">
        <v>54</v>
      </c>
      <c r="D207" s="72">
        <f>D208</f>
        <v>27000</v>
      </c>
      <c r="F207" s="22"/>
      <c r="G207" s="11"/>
      <c r="L207" s="31"/>
    </row>
    <row r="208" spans="1:12" s="8" customFormat="1" ht="16.5" customHeight="1" x14ac:dyDescent="0.2">
      <c r="A208" s="69"/>
      <c r="B208" s="73">
        <v>85295</v>
      </c>
      <c r="C208" s="60" t="s">
        <v>7</v>
      </c>
      <c r="D208" s="74">
        <f>18000+9000</f>
        <v>27000</v>
      </c>
      <c r="F208" s="22"/>
      <c r="G208" s="11"/>
      <c r="L208" s="31"/>
    </row>
    <row r="209" spans="1:12" s="7" customFormat="1" ht="16.5" customHeight="1" x14ac:dyDescent="0.2">
      <c r="A209" s="62">
        <v>853</v>
      </c>
      <c r="B209" s="63"/>
      <c r="C209" s="64" t="s">
        <v>36</v>
      </c>
      <c r="D209" s="77">
        <f>D210</f>
        <v>86000</v>
      </c>
      <c r="E209" s="24"/>
      <c r="F209" s="22"/>
      <c r="G209" s="11"/>
      <c r="L209" s="23"/>
    </row>
    <row r="210" spans="1:12" s="9" customFormat="1" ht="16.5" customHeight="1" x14ac:dyDescent="0.2">
      <c r="A210" s="69"/>
      <c r="B210" s="73">
        <v>85395</v>
      </c>
      <c r="C210" s="70" t="s">
        <v>7</v>
      </c>
      <c r="D210" s="84">
        <f>32000+47000+7000</f>
        <v>86000</v>
      </c>
      <c r="F210" s="14"/>
      <c r="G210" s="11"/>
      <c r="L210" s="26"/>
    </row>
    <row r="211" spans="1:12" s="7" customFormat="1" ht="16.5" customHeight="1" x14ac:dyDescent="0.2">
      <c r="A211" s="62">
        <v>854</v>
      </c>
      <c r="B211" s="75"/>
      <c r="C211" s="66" t="s">
        <v>40</v>
      </c>
      <c r="D211" s="65">
        <f>D212</f>
        <v>114000</v>
      </c>
      <c r="F211" s="22"/>
      <c r="G211" s="11"/>
      <c r="L211" s="23"/>
    </row>
    <row r="212" spans="1:12" s="7" customFormat="1" ht="16.5" customHeight="1" x14ac:dyDescent="0.2">
      <c r="A212" s="69"/>
      <c r="B212" s="73">
        <v>85495</v>
      </c>
      <c r="C212" s="70" t="s">
        <v>7</v>
      </c>
      <c r="D212" s="84">
        <f>114000</f>
        <v>114000</v>
      </c>
      <c r="F212" s="22"/>
      <c r="G212" s="11"/>
      <c r="L212" s="23"/>
    </row>
    <row r="213" spans="1:12" s="7" customFormat="1" ht="16.5" customHeight="1" x14ac:dyDescent="0.2">
      <c r="A213" s="85">
        <v>900</v>
      </c>
      <c r="B213" s="75"/>
      <c r="C213" s="66" t="s">
        <v>30</v>
      </c>
      <c r="D213" s="65">
        <f>D214+D215+D216</f>
        <v>297000</v>
      </c>
      <c r="F213" s="22"/>
      <c r="G213" s="11"/>
      <c r="L213" s="23"/>
    </row>
    <row r="214" spans="1:12" s="7" customFormat="1" ht="16.5" customHeight="1" x14ac:dyDescent="0.2">
      <c r="A214" s="119"/>
      <c r="B214" s="102">
        <v>90004</v>
      </c>
      <c r="C214" s="108" t="s">
        <v>35</v>
      </c>
      <c r="D214" s="123">
        <f>50000</f>
        <v>50000</v>
      </c>
      <c r="F214" s="22"/>
      <c r="G214" s="11"/>
      <c r="L214" s="23"/>
    </row>
    <row r="215" spans="1:12" s="8" customFormat="1" ht="16.5" customHeight="1" x14ac:dyDescent="0.2">
      <c r="A215" s="69"/>
      <c r="B215" s="59">
        <v>90015</v>
      </c>
      <c r="C215" s="70" t="s">
        <v>31</v>
      </c>
      <c r="D215" s="86">
        <f>22000</f>
        <v>22000</v>
      </c>
      <c r="F215" s="22"/>
      <c r="G215" s="11"/>
      <c r="L215" s="31"/>
    </row>
    <row r="216" spans="1:12" s="8" customFormat="1" ht="16.5" customHeight="1" x14ac:dyDescent="0.2">
      <c r="A216" s="69"/>
      <c r="B216" s="59">
        <v>90095</v>
      </c>
      <c r="C216" s="70" t="s">
        <v>7</v>
      </c>
      <c r="D216" s="84">
        <f>225000</f>
        <v>225000</v>
      </c>
      <c r="F216" s="22"/>
      <c r="G216" s="11"/>
      <c r="L216" s="31"/>
    </row>
    <row r="217" spans="1:12" s="8" customFormat="1" ht="16.5" customHeight="1" x14ac:dyDescent="0.2">
      <c r="A217" s="62">
        <v>921</v>
      </c>
      <c r="B217" s="75"/>
      <c r="C217" s="66" t="s">
        <v>44</v>
      </c>
      <c r="D217" s="68">
        <f>D218+D219+D220</f>
        <v>52000</v>
      </c>
      <c r="F217" s="22"/>
      <c r="G217" s="11"/>
      <c r="L217" s="31"/>
    </row>
    <row r="218" spans="1:12" s="8" customFormat="1" ht="16.5" customHeight="1" x14ac:dyDescent="0.2">
      <c r="A218" s="69"/>
      <c r="B218" s="73">
        <v>92109</v>
      </c>
      <c r="C218" s="70" t="s">
        <v>45</v>
      </c>
      <c r="D218" s="86">
        <f>16000</f>
        <v>16000</v>
      </c>
      <c r="F218" s="22"/>
      <c r="G218" s="11"/>
      <c r="L218" s="31"/>
    </row>
    <row r="219" spans="1:12" s="8" customFormat="1" ht="16.5" customHeight="1" x14ac:dyDescent="0.2">
      <c r="A219" s="69"/>
      <c r="B219" s="73">
        <v>92116</v>
      </c>
      <c r="C219" s="70" t="s">
        <v>46</v>
      </c>
      <c r="D219" s="86">
        <f>20000</f>
        <v>20000</v>
      </c>
      <c r="F219" s="22"/>
      <c r="G219" s="11"/>
      <c r="L219" s="31"/>
    </row>
    <row r="220" spans="1:12" s="8" customFormat="1" ht="16.5" customHeight="1" x14ac:dyDescent="0.2">
      <c r="A220" s="69"/>
      <c r="B220" s="73">
        <v>92118</v>
      </c>
      <c r="C220" s="70" t="s">
        <v>47</v>
      </c>
      <c r="D220" s="86">
        <f>16000</f>
        <v>16000</v>
      </c>
      <c r="F220" s="22"/>
      <c r="G220" s="11"/>
      <c r="L220" s="31"/>
    </row>
    <row r="221" spans="1:12" s="8" customFormat="1" ht="16.5" customHeight="1" x14ac:dyDescent="0.2">
      <c r="A221" s="62">
        <v>926</v>
      </c>
      <c r="B221" s="63"/>
      <c r="C221" s="67" t="s">
        <v>32</v>
      </c>
      <c r="D221" s="77">
        <f>D222</f>
        <v>4000</v>
      </c>
      <c r="F221" s="22"/>
      <c r="G221" s="11"/>
      <c r="L221" s="31"/>
    </row>
    <row r="222" spans="1:12" s="9" customFormat="1" ht="16.5" customHeight="1" x14ac:dyDescent="0.2">
      <c r="A222" s="62"/>
      <c r="B222" s="59">
        <v>92605</v>
      </c>
      <c r="C222" s="88" t="s">
        <v>34</v>
      </c>
      <c r="D222" s="83">
        <v>4000</v>
      </c>
      <c r="G222" s="11"/>
      <c r="L222" s="26"/>
    </row>
    <row r="223" spans="1:12" s="9" customFormat="1" ht="18.75" customHeight="1" x14ac:dyDescent="0.2">
      <c r="A223" s="96"/>
      <c r="B223" s="97"/>
      <c r="C223" s="98" t="s">
        <v>14</v>
      </c>
      <c r="D223" s="111">
        <f>D224+D226+D229+D233+D235+D237+D239+D243+D245+D247+D250+D254</f>
        <v>2167696</v>
      </c>
      <c r="F223" s="14"/>
      <c r="G223" s="11"/>
      <c r="L223" s="26"/>
    </row>
    <row r="224" spans="1:12" s="9" customFormat="1" ht="16.5" customHeight="1" x14ac:dyDescent="0.2">
      <c r="A224" s="54">
        <v>600</v>
      </c>
      <c r="B224" s="55"/>
      <c r="C224" s="56" t="s">
        <v>5</v>
      </c>
      <c r="D224" s="57">
        <f>D225</f>
        <v>677790</v>
      </c>
      <c r="F224" s="14"/>
      <c r="G224" s="11"/>
      <c r="L224" s="26"/>
    </row>
    <row r="225" spans="1:12" s="9" customFormat="1" ht="16.5" customHeight="1" x14ac:dyDescent="0.2">
      <c r="A225" s="58"/>
      <c r="B225" s="59">
        <v>60016</v>
      </c>
      <c r="C225" s="60" t="s">
        <v>6</v>
      </c>
      <c r="D225" s="61">
        <f>677790</f>
        <v>677790</v>
      </c>
      <c r="F225" s="14"/>
      <c r="G225" s="11"/>
      <c r="L225" s="26"/>
    </row>
    <row r="226" spans="1:12" s="7" customFormat="1" ht="16.5" customHeight="1" x14ac:dyDescent="0.2">
      <c r="A226" s="62">
        <v>750</v>
      </c>
      <c r="B226" s="63"/>
      <c r="C226" s="64" t="s">
        <v>52</v>
      </c>
      <c r="D226" s="65">
        <f>D227+D228</f>
        <v>59359</v>
      </c>
      <c r="F226" s="22"/>
      <c r="G226" s="11"/>
      <c r="L226" s="23"/>
    </row>
    <row r="227" spans="1:12" s="9" customFormat="1" ht="16.5" customHeight="1" x14ac:dyDescent="0.2">
      <c r="A227" s="69"/>
      <c r="B227" s="59">
        <v>75022</v>
      </c>
      <c r="C227" s="60" t="s">
        <v>53</v>
      </c>
      <c r="D227" s="74">
        <f>8000+16000</f>
        <v>24000</v>
      </c>
      <c r="F227" s="14"/>
      <c r="G227" s="11"/>
      <c r="L227" s="26"/>
    </row>
    <row r="228" spans="1:12" s="9" customFormat="1" ht="16.5" customHeight="1" x14ac:dyDescent="0.2">
      <c r="A228" s="58"/>
      <c r="B228" s="59">
        <v>75095</v>
      </c>
      <c r="C228" s="60" t="s">
        <v>7</v>
      </c>
      <c r="D228" s="61">
        <f>5003+30356</f>
        <v>35359</v>
      </c>
      <c r="F228" s="14"/>
      <c r="G228" s="11"/>
      <c r="L228" s="26"/>
    </row>
    <row r="229" spans="1:12" s="7" customFormat="1" ht="16.5" customHeight="1" x14ac:dyDescent="0.2">
      <c r="A229" s="62">
        <v>754</v>
      </c>
      <c r="B229" s="63"/>
      <c r="C229" s="66" t="s">
        <v>41</v>
      </c>
      <c r="D229" s="72">
        <f>D230+D231+D232</f>
        <v>48500</v>
      </c>
      <c r="F229" s="22"/>
      <c r="G229" s="11"/>
      <c r="L229" s="23"/>
    </row>
    <row r="230" spans="1:12" s="7" customFormat="1" ht="16.5" customHeight="1" x14ac:dyDescent="0.2">
      <c r="A230" s="78"/>
      <c r="B230" s="102">
        <v>75405</v>
      </c>
      <c r="C230" s="103" t="s">
        <v>42</v>
      </c>
      <c r="D230" s="81">
        <f>19500</f>
        <v>19500</v>
      </c>
      <c r="F230" s="22"/>
      <c r="G230" s="11"/>
      <c r="L230" s="23"/>
    </row>
    <row r="231" spans="1:12" s="8" customFormat="1" ht="16.5" customHeight="1" x14ac:dyDescent="0.2">
      <c r="A231" s="69"/>
      <c r="B231" s="59">
        <v>75411</v>
      </c>
      <c r="C231" s="60" t="s">
        <v>57</v>
      </c>
      <c r="D231" s="74">
        <v>18000</v>
      </c>
      <c r="G231" s="11"/>
      <c r="L231" s="31"/>
    </row>
    <row r="232" spans="1:12" s="8" customFormat="1" ht="16.5" customHeight="1" x14ac:dyDescent="0.2">
      <c r="A232" s="62"/>
      <c r="B232" s="63">
        <v>75416</v>
      </c>
      <c r="C232" s="129" t="s">
        <v>43</v>
      </c>
      <c r="D232" s="130">
        <f>11000</f>
        <v>11000</v>
      </c>
      <c r="E232" s="41"/>
      <c r="G232" s="11"/>
      <c r="L232" s="31"/>
    </row>
    <row r="233" spans="1:12" s="7" customFormat="1" ht="16.5" customHeight="1" x14ac:dyDescent="0.2">
      <c r="A233" s="62">
        <v>758</v>
      </c>
      <c r="B233" s="63"/>
      <c r="C233" s="67" t="s">
        <v>27</v>
      </c>
      <c r="D233" s="68">
        <f>D234</f>
        <v>419753</v>
      </c>
      <c r="F233" s="22"/>
      <c r="G233" s="11"/>
      <c r="L233" s="23"/>
    </row>
    <row r="234" spans="1:12" s="9" customFormat="1" ht="16.5" customHeight="1" x14ac:dyDescent="0.2">
      <c r="A234" s="69"/>
      <c r="B234" s="59">
        <v>75818</v>
      </c>
      <c r="C234" s="70" t="s">
        <v>28</v>
      </c>
      <c r="D234" s="71">
        <f>1767943-D224-D226-D229-D235-D237-D239-D243-D245-D247-D250-D254+399753</f>
        <v>419753</v>
      </c>
      <c r="F234" s="22"/>
      <c r="G234" s="11"/>
      <c r="L234" s="26"/>
    </row>
    <row r="235" spans="1:12" s="8" customFormat="1" ht="16.5" customHeight="1" x14ac:dyDescent="0.2">
      <c r="A235" s="62">
        <v>801</v>
      </c>
      <c r="B235" s="63"/>
      <c r="C235" s="67" t="s">
        <v>29</v>
      </c>
      <c r="D235" s="72">
        <f>D236</f>
        <v>311500</v>
      </c>
      <c r="F235" s="22"/>
      <c r="G235" s="11"/>
      <c r="L235" s="31"/>
    </row>
    <row r="236" spans="1:12" s="9" customFormat="1" ht="16.5" customHeight="1" x14ac:dyDescent="0.2">
      <c r="A236" s="78"/>
      <c r="B236" s="79">
        <v>80195</v>
      </c>
      <c r="C236" s="108" t="s">
        <v>7</v>
      </c>
      <c r="D236" s="81">
        <f>31000+27500+22500+22500+92100+23800+26700+2500+2500+47500+12900</f>
        <v>311500</v>
      </c>
      <c r="F236" s="32"/>
      <c r="G236" s="11"/>
      <c r="L236" s="26"/>
    </row>
    <row r="237" spans="1:12" s="8" customFormat="1" ht="16.5" customHeight="1" x14ac:dyDescent="0.2">
      <c r="A237" s="62">
        <v>851</v>
      </c>
      <c r="B237" s="75"/>
      <c r="C237" s="66" t="s">
        <v>48</v>
      </c>
      <c r="D237" s="72">
        <f>D238</f>
        <v>20000</v>
      </c>
      <c r="F237" s="22"/>
      <c r="G237" s="11"/>
      <c r="L237" s="31"/>
    </row>
    <row r="238" spans="1:12" s="8" customFormat="1" ht="16.5" customHeight="1" x14ac:dyDescent="0.2">
      <c r="A238" s="69"/>
      <c r="B238" s="73">
        <v>85149</v>
      </c>
      <c r="C238" s="70" t="s">
        <v>50</v>
      </c>
      <c r="D238" s="74">
        <f>20000</f>
        <v>20000</v>
      </c>
      <c r="F238" s="22"/>
      <c r="G238" s="11"/>
      <c r="L238" s="31"/>
    </row>
    <row r="239" spans="1:12" s="8" customFormat="1" ht="16.5" customHeight="1" x14ac:dyDescent="0.2">
      <c r="A239" s="62">
        <v>852</v>
      </c>
      <c r="B239" s="75"/>
      <c r="C239" s="66" t="s">
        <v>54</v>
      </c>
      <c r="D239" s="72">
        <f>+D240+D241+D242</f>
        <v>78794</v>
      </c>
      <c r="F239" s="22"/>
      <c r="G239" s="11"/>
      <c r="L239" s="31"/>
    </row>
    <row r="240" spans="1:12" s="8" customFormat="1" ht="16.5" customHeight="1" x14ac:dyDescent="0.2">
      <c r="A240" s="78"/>
      <c r="B240" s="79">
        <v>85203</v>
      </c>
      <c r="C240" s="108" t="s">
        <v>56</v>
      </c>
      <c r="D240" s="81">
        <f>38000</f>
        <v>38000</v>
      </c>
      <c r="F240" s="22"/>
      <c r="G240" s="11"/>
      <c r="L240" s="31"/>
    </row>
    <row r="241" spans="1:12" s="8" customFormat="1" ht="24" x14ac:dyDescent="0.2">
      <c r="A241" s="69"/>
      <c r="B241" s="73">
        <v>85214</v>
      </c>
      <c r="C241" s="70" t="s">
        <v>64</v>
      </c>
      <c r="D241" s="74">
        <v>32094</v>
      </c>
      <c r="F241" s="22"/>
      <c r="G241" s="11"/>
      <c r="L241" s="31"/>
    </row>
    <row r="242" spans="1:12" s="7" customFormat="1" ht="16.5" customHeight="1" x14ac:dyDescent="0.2">
      <c r="A242" s="69"/>
      <c r="B242" s="73">
        <v>85295</v>
      </c>
      <c r="C242" s="122" t="s">
        <v>7</v>
      </c>
      <c r="D242" s="74">
        <f>8700</f>
        <v>8700</v>
      </c>
      <c r="F242" s="22"/>
      <c r="G242" s="11"/>
      <c r="L242" s="23"/>
    </row>
    <row r="243" spans="1:12" s="7" customFormat="1" ht="16.5" customHeight="1" x14ac:dyDescent="0.2">
      <c r="A243" s="62">
        <v>853</v>
      </c>
      <c r="B243" s="63"/>
      <c r="C243" s="64" t="s">
        <v>36</v>
      </c>
      <c r="D243" s="77">
        <f>D244</f>
        <v>54000</v>
      </c>
      <c r="E243" s="8"/>
      <c r="F243" s="22"/>
      <c r="G243" s="11"/>
      <c r="L243" s="23"/>
    </row>
    <row r="244" spans="1:12" s="9" customFormat="1" ht="16.5" customHeight="1" x14ac:dyDescent="0.2">
      <c r="A244" s="69"/>
      <c r="B244" s="73">
        <v>85311</v>
      </c>
      <c r="C244" s="76" t="s">
        <v>58</v>
      </c>
      <c r="D244" s="74">
        <f>54000</f>
        <v>54000</v>
      </c>
      <c r="F244" s="14"/>
      <c r="G244" s="11"/>
      <c r="L244" s="26"/>
    </row>
    <row r="245" spans="1:12" s="7" customFormat="1" ht="16.5" customHeight="1" x14ac:dyDescent="0.2">
      <c r="A245" s="62">
        <v>854</v>
      </c>
      <c r="B245" s="75"/>
      <c r="C245" s="66" t="s">
        <v>40</v>
      </c>
      <c r="D245" s="65">
        <f>D246</f>
        <v>39000</v>
      </c>
      <c r="F245" s="22"/>
      <c r="G245" s="11"/>
      <c r="L245" s="23"/>
    </row>
    <row r="246" spans="1:12" s="7" customFormat="1" ht="16.5" customHeight="1" x14ac:dyDescent="0.2">
      <c r="A246" s="69"/>
      <c r="B246" s="73">
        <v>85495</v>
      </c>
      <c r="C246" s="70" t="s">
        <v>7</v>
      </c>
      <c r="D246" s="84">
        <f>39000</f>
        <v>39000</v>
      </c>
      <c r="F246" s="22"/>
      <c r="G246" s="11"/>
      <c r="L246" s="23"/>
    </row>
    <row r="247" spans="1:12" s="8" customFormat="1" ht="16.5" customHeight="1" x14ac:dyDescent="0.2">
      <c r="A247" s="85">
        <v>900</v>
      </c>
      <c r="B247" s="75"/>
      <c r="C247" s="66" t="s">
        <v>30</v>
      </c>
      <c r="D247" s="65">
        <f>D248+D249</f>
        <v>277000</v>
      </c>
      <c r="F247" s="22"/>
      <c r="G247" s="11"/>
      <c r="L247" s="31"/>
    </row>
    <row r="248" spans="1:12" s="7" customFormat="1" ht="16.5" customHeight="1" x14ac:dyDescent="0.2">
      <c r="A248" s="69"/>
      <c r="B248" s="59">
        <v>90015</v>
      </c>
      <c r="C248" s="70" t="s">
        <v>31</v>
      </c>
      <c r="D248" s="86">
        <f>15000</f>
        <v>15000</v>
      </c>
      <c r="F248" s="22"/>
      <c r="G248" s="11"/>
      <c r="L248" s="23"/>
    </row>
    <row r="249" spans="1:12" s="8" customFormat="1" ht="16.5" customHeight="1" x14ac:dyDescent="0.2">
      <c r="A249" s="69"/>
      <c r="B249" s="59">
        <v>90095</v>
      </c>
      <c r="C249" s="70" t="s">
        <v>7</v>
      </c>
      <c r="D249" s="86">
        <f>262000</f>
        <v>262000</v>
      </c>
      <c r="F249" s="22"/>
      <c r="G249" s="11"/>
      <c r="L249" s="31"/>
    </row>
    <row r="250" spans="1:12" s="8" customFormat="1" ht="16.5" customHeight="1" x14ac:dyDescent="0.2">
      <c r="A250" s="62">
        <v>921</v>
      </c>
      <c r="B250" s="75"/>
      <c r="C250" s="66" t="s">
        <v>44</v>
      </c>
      <c r="D250" s="68">
        <f>D251+D252+D253</f>
        <v>134000</v>
      </c>
      <c r="F250" s="22"/>
      <c r="G250" s="11"/>
      <c r="L250" s="31"/>
    </row>
    <row r="251" spans="1:12" s="8" customFormat="1" ht="16.5" customHeight="1" x14ac:dyDescent="0.2">
      <c r="A251" s="69"/>
      <c r="B251" s="73">
        <v>92109</v>
      </c>
      <c r="C251" s="70" t="s">
        <v>45</v>
      </c>
      <c r="D251" s="86">
        <f>91500</f>
        <v>91500</v>
      </c>
      <c r="F251" s="22"/>
      <c r="G251" s="11"/>
      <c r="L251" s="31"/>
    </row>
    <row r="252" spans="1:12" s="8" customFormat="1" ht="16.5" customHeight="1" x14ac:dyDescent="0.2">
      <c r="A252" s="69"/>
      <c r="B252" s="73">
        <v>92116</v>
      </c>
      <c r="C252" s="70" t="s">
        <v>46</v>
      </c>
      <c r="D252" s="86">
        <f>8500</f>
        <v>8500</v>
      </c>
      <c r="F252" s="22"/>
      <c r="G252" s="11"/>
      <c r="L252" s="31"/>
    </row>
    <row r="253" spans="1:12" s="9" customFormat="1" ht="16.5" customHeight="1" x14ac:dyDescent="0.2">
      <c r="A253" s="69"/>
      <c r="B253" s="73">
        <v>92118</v>
      </c>
      <c r="C253" s="70" t="s">
        <v>47</v>
      </c>
      <c r="D253" s="86">
        <f>34000</f>
        <v>34000</v>
      </c>
      <c r="F253" s="14"/>
      <c r="G253" s="11"/>
      <c r="L253" s="26"/>
    </row>
    <row r="254" spans="1:12" s="9" customFormat="1" ht="16.5" customHeight="1" x14ac:dyDescent="0.2">
      <c r="A254" s="62">
        <v>926</v>
      </c>
      <c r="B254" s="63"/>
      <c r="C254" s="67" t="s">
        <v>32</v>
      </c>
      <c r="D254" s="77">
        <f>D255+D256</f>
        <v>48000</v>
      </c>
      <c r="G254" s="11"/>
      <c r="K254" s="24"/>
      <c r="L254" s="26"/>
    </row>
    <row r="255" spans="1:12" s="9" customFormat="1" ht="16.5" customHeight="1" x14ac:dyDescent="0.2">
      <c r="A255" s="69"/>
      <c r="B255" s="59">
        <v>92601</v>
      </c>
      <c r="C255" s="87" t="s">
        <v>33</v>
      </c>
      <c r="D255" s="84">
        <f>40000</f>
        <v>40000</v>
      </c>
      <c r="G255" s="11"/>
      <c r="L255" s="26"/>
    </row>
    <row r="256" spans="1:12" s="9" customFormat="1" ht="16.5" customHeight="1" x14ac:dyDescent="0.2">
      <c r="A256" s="115"/>
      <c r="B256" s="59">
        <v>92605</v>
      </c>
      <c r="C256" s="131" t="s">
        <v>34</v>
      </c>
      <c r="D256" s="117">
        <f>8000</f>
        <v>8000</v>
      </c>
      <c r="G256" s="11"/>
      <c r="L256" s="26"/>
    </row>
    <row r="257" spans="1:12" s="9" customFormat="1" ht="18.75" customHeight="1" x14ac:dyDescent="0.2">
      <c r="A257" s="96"/>
      <c r="B257" s="97"/>
      <c r="C257" s="98" t="s">
        <v>15</v>
      </c>
      <c r="D257" s="111">
        <f>D258+D260+D263+D267+D269+D271+D273+D277+D279+D281+D284+D289</f>
        <v>3292001</v>
      </c>
      <c r="F257" s="14"/>
      <c r="G257" s="11"/>
      <c r="L257" s="26"/>
    </row>
    <row r="258" spans="1:12" s="9" customFormat="1" ht="16.5" customHeight="1" x14ac:dyDescent="0.2">
      <c r="A258" s="54">
        <v>600</v>
      </c>
      <c r="B258" s="55"/>
      <c r="C258" s="56" t="s">
        <v>5</v>
      </c>
      <c r="D258" s="57">
        <f>D259</f>
        <v>1040462</v>
      </c>
      <c r="G258" s="11"/>
      <c r="L258" s="26"/>
    </row>
    <row r="259" spans="1:12" s="9" customFormat="1" ht="16.5" customHeight="1" x14ac:dyDescent="0.2">
      <c r="A259" s="58"/>
      <c r="B259" s="59">
        <v>60016</v>
      </c>
      <c r="C259" s="60" t="s">
        <v>6</v>
      </c>
      <c r="D259" s="61">
        <f>1040462</f>
        <v>1040462</v>
      </c>
      <c r="F259" s="14"/>
      <c r="G259" s="11"/>
      <c r="L259" s="26"/>
    </row>
    <row r="260" spans="1:12" s="9" customFormat="1" ht="16.5" customHeight="1" x14ac:dyDescent="0.2">
      <c r="A260" s="62">
        <v>750</v>
      </c>
      <c r="B260" s="63"/>
      <c r="C260" s="64" t="s">
        <v>52</v>
      </c>
      <c r="D260" s="65">
        <f>D261+D262</f>
        <v>60650</v>
      </c>
      <c r="F260" s="14"/>
      <c r="G260" s="11"/>
      <c r="L260" s="26"/>
    </row>
    <row r="261" spans="1:12" s="7" customFormat="1" ht="16.5" customHeight="1" x14ac:dyDescent="0.2">
      <c r="A261" s="69"/>
      <c r="B261" s="59">
        <v>75022</v>
      </c>
      <c r="C261" s="60" t="s">
        <v>53</v>
      </c>
      <c r="D261" s="74">
        <f>21150</f>
        <v>21150</v>
      </c>
      <c r="F261" s="29"/>
      <c r="G261" s="11"/>
      <c r="L261" s="23"/>
    </row>
    <row r="262" spans="1:12" s="7" customFormat="1" ht="16.5" customHeight="1" x14ac:dyDescent="0.2">
      <c r="A262" s="58"/>
      <c r="B262" s="59">
        <v>75095</v>
      </c>
      <c r="C262" s="60" t="s">
        <v>7</v>
      </c>
      <c r="D262" s="61">
        <f>5000+34500</f>
        <v>39500</v>
      </c>
      <c r="F262" s="22"/>
      <c r="G262" s="11"/>
      <c r="L262" s="23"/>
    </row>
    <row r="263" spans="1:12" s="7" customFormat="1" ht="16.5" customHeight="1" x14ac:dyDescent="0.2">
      <c r="A263" s="62">
        <v>754</v>
      </c>
      <c r="B263" s="63"/>
      <c r="C263" s="66" t="s">
        <v>41</v>
      </c>
      <c r="D263" s="65">
        <f>D264+D265+D266</f>
        <v>48000</v>
      </c>
      <c r="F263" s="22"/>
      <c r="G263" s="11"/>
      <c r="L263" s="23"/>
    </row>
    <row r="264" spans="1:12" s="7" customFormat="1" ht="16.5" customHeight="1" x14ac:dyDescent="0.2">
      <c r="A264" s="58"/>
      <c r="B264" s="59">
        <v>75405</v>
      </c>
      <c r="C264" s="60" t="s">
        <v>42</v>
      </c>
      <c r="D264" s="61">
        <f>20000</f>
        <v>20000</v>
      </c>
      <c r="G264" s="11"/>
      <c r="L264" s="23"/>
    </row>
    <row r="265" spans="1:12" s="9" customFormat="1" ht="16.5" customHeight="1" x14ac:dyDescent="0.2">
      <c r="A265" s="69"/>
      <c r="B265" s="59">
        <v>75411</v>
      </c>
      <c r="C265" s="60" t="s">
        <v>57</v>
      </c>
      <c r="D265" s="74">
        <v>22000</v>
      </c>
      <c r="E265" s="43"/>
      <c r="G265" s="11"/>
      <c r="L265" s="26"/>
    </row>
    <row r="266" spans="1:12" s="8" customFormat="1" ht="16.5" customHeight="1" x14ac:dyDescent="0.2">
      <c r="A266" s="58"/>
      <c r="B266" s="59">
        <v>75416</v>
      </c>
      <c r="C266" s="60" t="s">
        <v>43</v>
      </c>
      <c r="D266" s="61">
        <f>6000</f>
        <v>6000</v>
      </c>
      <c r="G266" s="11"/>
      <c r="L266" s="31"/>
    </row>
    <row r="267" spans="1:12" s="8" customFormat="1" ht="14.45" customHeight="1" x14ac:dyDescent="0.2">
      <c r="A267" s="62">
        <v>758</v>
      </c>
      <c r="B267" s="63"/>
      <c r="C267" s="67" t="s">
        <v>27</v>
      </c>
      <c r="D267" s="68">
        <f>D268</f>
        <v>647089</v>
      </c>
      <c r="F267" s="22"/>
      <c r="G267" s="11"/>
      <c r="L267" s="31"/>
    </row>
    <row r="268" spans="1:12" s="8" customFormat="1" ht="16.5" customHeight="1" x14ac:dyDescent="0.2">
      <c r="A268" s="69"/>
      <c r="B268" s="59">
        <v>75818</v>
      </c>
      <c r="C268" s="70" t="s">
        <v>28</v>
      </c>
      <c r="D268" s="71">
        <f>2684912-D258-D260-D263-D269-D271-D273-D277-D279-D281-D284-D289+607089</f>
        <v>647089</v>
      </c>
      <c r="F268" s="14"/>
      <c r="G268" s="11"/>
      <c r="L268" s="31"/>
    </row>
    <row r="269" spans="1:12" s="8" customFormat="1" ht="16.5" customHeight="1" x14ac:dyDescent="0.2">
      <c r="A269" s="62">
        <v>801</v>
      </c>
      <c r="B269" s="63"/>
      <c r="C269" s="67" t="s">
        <v>29</v>
      </c>
      <c r="D269" s="72">
        <f>D270</f>
        <v>582300</v>
      </c>
      <c r="F269" s="22"/>
      <c r="G269" s="11"/>
      <c r="L269" s="31"/>
    </row>
    <row r="270" spans="1:12" s="8" customFormat="1" ht="16.149999999999999" customHeight="1" x14ac:dyDescent="0.2">
      <c r="A270" s="54"/>
      <c r="B270" s="105">
        <v>80195</v>
      </c>
      <c r="C270" s="106" t="s">
        <v>7</v>
      </c>
      <c r="D270" s="107">
        <f>57000+97000+106000+28200+41700+134700+62700+55000</f>
        <v>582300</v>
      </c>
      <c r="F270" s="22"/>
      <c r="G270" s="11"/>
      <c r="L270" s="31"/>
    </row>
    <row r="271" spans="1:12" s="9" customFormat="1" ht="16.5" customHeight="1" x14ac:dyDescent="0.2">
      <c r="A271" s="62">
        <v>851</v>
      </c>
      <c r="B271" s="75"/>
      <c r="C271" s="66" t="s">
        <v>48</v>
      </c>
      <c r="D271" s="72">
        <f>D272</f>
        <v>20000</v>
      </c>
      <c r="F271" s="14"/>
      <c r="G271" s="11"/>
      <c r="L271" s="26"/>
    </row>
    <row r="272" spans="1:12" s="7" customFormat="1" ht="16.5" customHeight="1" x14ac:dyDescent="0.2">
      <c r="A272" s="78"/>
      <c r="B272" s="79">
        <v>85149</v>
      </c>
      <c r="C272" s="108" t="s">
        <v>50</v>
      </c>
      <c r="D272" s="81">
        <f>20000</f>
        <v>20000</v>
      </c>
      <c r="F272" s="22"/>
      <c r="G272" s="11"/>
      <c r="L272" s="23"/>
    </row>
    <row r="273" spans="1:12" s="7" customFormat="1" ht="16.5" customHeight="1" x14ac:dyDescent="0.2">
      <c r="A273" s="62">
        <v>852</v>
      </c>
      <c r="B273" s="75"/>
      <c r="C273" s="66" t="s">
        <v>54</v>
      </c>
      <c r="D273" s="72">
        <f>D274+D275+D276</f>
        <v>72000</v>
      </c>
      <c r="F273" s="22"/>
      <c r="G273" s="11"/>
      <c r="L273" s="23"/>
    </row>
    <row r="274" spans="1:12" s="7" customFormat="1" ht="16.5" customHeight="1" x14ac:dyDescent="0.2">
      <c r="A274" s="78"/>
      <c r="B274" s="79">
        <v>85203</v>
      </c>
      <c r="C274" s="108" t="s">
        <v>56</v>
      </c>
      <c r="D274" s="81">
        <f>27000</f>
        <v>27000</v>
      </c>
      <c r="F274" s="22"/>
      <c r="G274" s="11"/>
      <c r="L274" s="23"/>
    </row>
    <row r="275" spans="1:12" s="9" customFormat="1" ht="24" x14ac:dyDescent="0.2">
      <c r="A275" s="69"/>
      <c r="B275" s="73">
        <v>85214</v>
      </c>
      <c r="C275" s="70" t="s">
        <v>64</v>
      </c>
      <c r="D275" s="74">
        <f>37000</f>
        <v>37000</v>
      </c>
      <c r="F275" s="14"/>
      <c r="G275" s="11"/>
      <c r="L275" s="26"/>
    </row>
    <row r="276" spans="1:12" s="7" customFormat="1" ht="17.45" customHeight="1" x14ac:dyDescent="0.2">
      <c r="A276" s="69"/>
      <c r="B276" s="73">
        <v>85295</v>
      </c>
      <c r="C276" s="70" t="s">
        <v>7</v>
      </c>
      <c r="D276" s="74">
        <v>8000</v>
      </c>
      <c r="E276" s="8"/>
      <c r="F276" s="22"/>
      <c r="G276" s="11"/>
      <c r="L276" s="23"/>
    </row>
    <row r="277" spans="1:12" s="7" customFormat="1" ht="16.5" customHeight="1" x14ac:dyDescent="0.2">
      <c r="A277" s="62">
        <v>853</v>
      </c>
      <c r="B277" s="63"/>
      <c r="C277" s="64" t="s">
        <v>36</v>
      </c>
      <c r="D277" s="77">
        <f>D278</f>
        <v>110000</v>
      </c>
      <c r="F277" s="22"/>
      <c r="G277" s="11"/>
      <c r="L277" s="23"/>
    </row>
    <row r="278" spans="1:12" s="7" customFormat="1" ht="16.5" customHeight="1" x14ac:dyDescent="0.2">
      <c r="A278" s="69"/>
      <c r="B278" s="73">
        <v>85395</v>
      </c>
      <c r="C278" s="70" t="s">
        <v>7</v>
      </c>
      <c r="D278" s="84">
        <f>80000+30000</f>
        <v>110000</v>
      </c>
      <c r="F278" s="22"/>
      <c r="G278" s="11"/>
      <c r="L278" s="23"/>
    </row>
    <row r="279" spans="1:12" s="8" customFormat="1" ht="16.5" customHeight="1" x14ac:dyDescent="0.2">
      <c r="A279" s="62">
        <v>854</v>
      </c>
      <c r="B279" s="75"/>
      <c r="C279" s="66" t="s">
        <v>40</v>
      </c>
      <c r="D279" s="65">
        <f>D280</f>
        <v>42000</v>
      </c>
      <c r="F279" s="22"/>
      <c r="G279" s="11"/>
      <c r="L279" s="31"/>
    </row>
    <row r="280" spans="1:12" s="8" customFormat="1" ht="16.5" customHeight="1" x14ac:dyDescent="0.2">
      <c r="A280" s="78"/>
      <c r="B280" s="79">
        <v>85495</v>
      </c>
      <c r="C280" s="108" t="s">
        <v>7</v>
      </c>
      <c r="D280" s="110">
        <f>35000+3000+4000</f>
        <v>42000</v>
      </c>
      <c r="F280" s="22"/>
      <c r="G280" s="11"/>
      <c r="L280" s="31"/>
    </row>
    <row r="281" spans="1:12" s="8" customFormat="1" ht="16.5" customHeight="1" x14ac:dyDescent="0.2">
      <c r="A281" s="85">
        <v>900</v>
      </c>
      <c r="B281" s="63"/>
      <c r="C281" s="114" t="s">
        <v>30</v>
      </c>
      <c r="D281" s="65">
        <f>D282+D283</f>
        <v>303000</v>
      </c>
      <c r="F281" s="22"/>
      <c r="G281" s="11"/>
      <c r="L281" s="31"/>
    </row>
    <row r="282" spans="1:12" s="8" customFormat="1" ht="16.5" customHeight="1" x14ac:dyDescent="0.2">
      <c r="A282" s="119"/>
      <c r="B282" s="59">
        <v>90015</v>
      </c>
      <c r="C282" s="70" t="s">
        <v>31</v>
      </c>
      <c r="D282" s="61">
        <f>248000</f>
        <v>248000</v>
      </c>
      <c r="F282" s="22"/>
      <c r="G282" s="11"/>
      <c r="L282" s="31"/>
    </row>
    <row r="283" spans="1:12" s="7" customFormat="1" ht="16.5" customHeight="1" x14ac:dyDescent="0.2">
      <c r="A283" s="69"/>
      <c r="B283" s="59">
        <v>90095</v>
      </c>
      <c r="C283" s="70" t="s">
        <v>7</v>
      </c>
      <c r="D283" s="86">
        <f>55000</f>
        <v>55000</v>
      </c>
      <c r="F283" s="29"/>
      <c r="G283" s="11"/>
      <c r="L283" s="23"/>
    </row>
    <row r="284" spans="1:12" s="8" customFormat="1" ht="16.5" customHeight="1" x14ac:dyDescent="0.2">
      <c r="A284" s="62">
        <v>921</v>
      </c>
      <c r="B284" s="75"/>
      <c r="C284" s="66" t="s">
        <v>44</v>
      </c>
      <c r="D284" s="68">
        <f>D285+D286+D287+D288</f>
        <v>189500</v>
      </c>
      <c r="F284" s="22"/>
      <c r="G284" s="11"/>
      <c r="L284" s="31"/>
    </row>
    <row r="285" spans="1:12" s="8" customFormat="1" ht="16.5" customHeight="1" x14ac:dyDescent="0.2">
      <c r="A285" s="69"/>
      <c r="B285" s="73">
        <v>92109</v>
      </c>
      <c r="C285" s="70" t="s">
        <v>45</v>
      </c>
      <c r="D285" s="86">
        <f>139500</f>
        <v>139500</v>
      </c>
      <c r="F285" s="22"/>
      <c r="G285" s="11"/>
      <c r="L285" s="31"/>
    </row>
    <row r="286" spans="1:12" s="8" customFormat="1" ht="16.5" customHeight="1" x14ac:dyDescent="0.2">
      <c r="A286" s="69"/>
      <c r="B286" s="73">
        <v>92113</v>
      </c>
      <c r="C286" s="70" t="s">
        <v>65</v>
      </c>
      <c r="D286" s="84">
        <f>14000</f>
        <v>14000</v>
      </c>
      <c r="F286" s="22"/>
      <c r="G286" s="11"/>
      <c r="L286" s="31"/>
    </row>
    <row r="287" spans="1:12" s="7" customFormat="1" ht="16.5" customHeight="1" x14ac:dyDescent="0.2">
      <c r="A287" s="69"/>
      <c r="B287" s="59">
        <v>92116</v>
      </c>
      <c r="C287" s="118" t="s">
        <v>46</v>
      </c>
      <c r="D287" s="86">
        <f>18500</f>
        <v>18500</v>
      </c>
      <c r="F287" s="22"/>
      <c r="G287" s="11"/>
      <c r="L287" s="23"/>
    </row>
    <row r="288" spans="1:12" s="7" customFormat="1" ht="16.5" customHeight="1" x14ac:dyDescent="0.2">
      <c r="A288" s="69"/>
      <c r="B288" s="59">
        <v>92118</v>
      </c>
      <c r="C288" s="70" t="s">
        <v>47</v>
      </c>
      <c r="D288" s="86">
        <f>17500</f>
        <v>17500</v>
      </c>
      <c r="F288" s="22"/>
      <c r="G288" s="11"/>
      <c r="L288" s="23"/>
    </row>
    <row r="289" spans="1:12" s="9" customFormat="1" ht="16.5" customHeight="1" x14ac:dyDescent="0.2">
      <c r="A289" s="62">
        <v>926</v>
      </c>
      <c r="B289" s="63"/>
      <c r="C289" s="127" t="s">
        <v>32</v>
      </c>
      <c r="D289" s="77">
        <f>D290+D291</f>
        <v>177000</v>
      </c>
      <c r="G289" s="11"/>
      <c r="H289" s="25"/>
      <c r="K289" s="24"/>
      <c r="L289" s="26"/>
    </row>
    <row r="290" spans="1:12" s="9" customFormat="1" ht="16.5" customHeight="1" x14ac:dyDescent="0.2">
      <c r="A290" s="78"/>
      <c r="B290" s="102">
        <v>92601</v>
      </c>
      <c r="C290" s="132" t="s">
        <v>33</v>
      </c>
      <c r="D290" s="110">
        <f>157000</f>
        <v>157000</v>
      </c>
      <c r="G290" s="11"/>
      <c r="L290" s="26"/>
    </row>
    <row r="291" spans="1:12" s="9" customFormat="1" ht="16.5" customHeight="1" x14ac:dyDescent="0.2">
      <c r="A291" s="92"/>
      <c r="B291" s="59">
        <v>92605</v>
      </c>
      <c r="C291" s="133" t="s">
        <v>34</v>
      </c>
      <c r="D291" s="117">
        <f>20000</f>
        <v>20000</v>
      </c>
      <c r="G291" s="11"/>
      <c r="L291" s="26"/>
    </row>
    <row r="292" spans="1:12" s="9" customFormat="1" ht="18.75" customHeight="1" x14ac:dyDescent="0.2">
      <c r="A292" s="96"/>
      <c r="B292" s="97"/>
      <c r="C292" s="98" t="s">
        <v>16</v>
      </c>
      <c r="D292" s="111">
        <f>D293+D296+D298+D302+D304+D306+D308+D310+D312+D314+D318+D321</f>
        <v>4646887</v>
      </c>
      <c r="F292" s="14"/>
      <c r="G292" s="11"/>
      <c r="L292" s="26"/>
    </row>
    <row r="293" spans="1:12" s="7" customFormat="1" ht="16.5" customHeight="1" x14ac:dyDescent="0.2">
      <c r="A293" s="54">
        <v>600</v>
      </c>
      <c r="B293" s="55"/>
      <c r="C293" s="56" t="s">
        <v>5</v>
      </c>
      <c r="D293" s="57">
        <f>D294+D295</f>
        <v>910697</v>
      </c>
      <c r="F293" s="22"/>
      <c r="G293" s="11"/>
      <c r="L293" s="23"/>
    </row>
    <row r="294" spans="1:12" s="9" customFormat="1" ht="16.5" customHeight="1" x14ac:dyDescent="0.2">
      <c r="A294" s="58"/>
      <c r="B294" s="59">
        <v>60016</v>
      </c>
      <c r="C294" s="60" t="s">
        <v>6</v>
      </c>
      <c r="D294" s="61">
        <f>860697</f>
        <v>860697</v>
      </c>
      <c r="F294" s="14"/>
      <c r="G294" s="11"/>
      <c r="L294" s="26"/>
    </row>
    <row r="295" spans="1:12" s="9" customFormat="1" ht="16.5" customHeight="1" x14ac:dyDescent="0.2">
      <c r="A295" s="58"/>
      <c r="B295" s="59">
        <v>60095</v>
      </c>
      <c r="C295" s="60" t="s">
        <v>7</v>
      </c>
      <c r="D295" s="61">
        <f>50000</f>
        <v>50000</v>
      </c>
      <c r="F295" s="14"/>
      <c r="G295" s="11"/>
      <c r="L295" s="26"/>
    </row>
    <row r="296" spans="1:12" s="7" customFormat="1" ht="16.5" customHeight="1" x14ac:dyDescent="0.2">
      <c r="A296" s="62">
        <v>750</v>
      </c>
      <c r="B296" s="63"/>
      <c r="C296" s="64" t="s">
        <v>52</v>
      </c>
      <c r="D296" s="72">
        <f>D297</f>
        <v>54000</v>
      </c>
      <c r="F296" s="22"/>
      <c r="G296" s="11"/>
      <c r="L296" s="23"/>
    </row>
    <row r="297" spans="1:12" s="8" customFormat="1" ht="16.5" customHeight="1" x14ac:dyDescent="0.2">
      <c r="A297" s="69"/>
      <c r="B297" s="59">
        <v>75095</v>
      </c>
      <c r="C297" s="60" t="s">
        <v>7</v>
      </c>
      <c r="D297" s="74">
        <f>7500+46500</f>
        <v>54000</v>
      </c>
      <c r="G297" s="11"/>
      <c r="L297" s="31"/>
    </row>
    <row r="298" spans="1:12" s="9" customFormat="1" ht="16.5" customHeight="1" x14ac:dyDescent="0.2">
      <c r="A298" s="62">
        <v>754</v>
      </c>
      <c r="B298" s="63"/>
      <c r="C298" s="66" t="s">
        <v>41</v>
      </c>
      <c r="D298" s="72">
        <f>D299+D300+D301</f>
        <v>45000</v>
      </c>
      <c r="E298" s="43"/>
      <c r="G298" s="11"/>
      <c r="L298" s="26"/>
    </row>
    <row r="299" spans="1:12" s="7" customFormat="1" ht="16.5" customHeight="1" x14ac:dyDescent="0.2">
      <c r="A299" s="58"/>
      <c r="B299" s="59">
        <v>75405</v>
      </c>
      <c r="C299" s="60" t="s">
        <v>42</v>
      </c>
      <c r="D299" s="61">
        <f>10000</f>
        <v>10000</v>
      </c>
      <c r="G299" s="11"/>
      <c r="L299" s="23"/>
    </row>
    <row r="300" spans="1:12" s="8" customFormat="1" ht="16.5" customHeight="1" x14ac:dyDescent="0.2">
      <c r="A300" s="69"/>
      <c r="B300" s="59">
        <v>75411</v>
      </c>
      <c r="C300" s="60" t="s">
        <v>57</v>
      </c>
      <c r="D300" s="74">
        <f>30000</f>
        <v>30000</v>
      </c>
      <c r="G300" s="11"/>
      <c r="L300" s="31"/>
    </row>
    <row r="301" spans="1:12" s="7" customFormat="1" ht="16.5" customHeight="1" x14ac:dyDescent="0.2">
      <c r="A301" s="69"/>
      <c r="B301" s="59">
        <v>75416</v>
      </c>
      <c r="C301" s="60" t="s">
        <v>43</v>
      </c>
      <c r="D301" s="74">
        <f>5000</f>
        <v>5000</v>
      </c>
      <c r="E301" s="8"/>
      <c r="G301" s="11"/>
      <c r="L301" s="23"/>
    </row>
    <row r="302" spans="1:12" s="8" customFormat="1" ht="16.5" customHeight="1" x14ac:dyDescent="0.2">
      <c r="A302" s="62">
        <v>758</v>
      </c>
      <c r="B302" s="63"/>
      <c r="C302" s="67" t="s">
        <v>27</v>
      </c>
      <c r="D302" s="68">
        <f>D303</f>
        <v>1023444</v>
      </c>
      <c r="F302" s="22"/>
      <c r="G302" s="11"/>
      <c r="L302" s="31"/>
    </row>
    <row r="303" spans="1:12" s="7" customFormat="1" ht="16.5" customHeight="1" x14ac:dyDescent="0.2">
      <c r="A303" s="69"/>
      <c r="B303" s="59">
        <v>75818</v>
      </c>
      <c r="C303" s="70" t="s">
        <v>28</v>
      </c>
      <c r="D303" s="71">
        <f>3789939-D293-D296-D298-D304-D306-D308-D310-D312-D314-D318-D321+856948</f>
        <v>1023444</v>
      </c>
      <c r="F303" s="14"/>
      <c r="G303" s="11"/>
      <c r="L303" s="23"/>
    </row>
    <row r="304" spans="1:12" s="9" customFormat="1" ht="16.5" customHeight="1" x14ac:dyDescent="0.2">
      <c r="A304" s="62">
        <v>801</v>
      </c>
      <c r="B304" s="63"/>
      <c r="C304" s="67" t="s">
        <v>29</v>
      </c>
      <c r="D304" s="65">
        <f>D305</f>
        <v>1150700</v>
      </c>
      <c r="E304" s="7"/>
      <c r="F304" s="14"/>
      <c r="G304" s="11"/>
      <c r="L304" s="26"/>
    </row>
    <row r="305" spans="1:12" s="7" customFormat="1" ht="16.5" customHeight="1" x14ac:dyDescent="0.2">
      <c r="A305" s="69"/>
      <c r="B305" s="73">
        <v>80195</v>
      </c>
      <c r="C305" s="60" t="s">
        <v>7</v>
      </c>
      <c r="D305" s="61">
        <f>40000+40000+65000+100000+35300+50000+60000+42000+70000+40400+50400+30000+56000+26000+60000+70400+60400+41000+60000+65600+88200</f>
        <v>1150700</v>
      </c>
      <c r="F305" s="22"/>
      <c r="G305" s="11"/>
      <c r="L305" s="23"/>
    </row>
    <row r="306" spans="1:12" s="7" customFormat="1" ht="16.5" customHeight="1" x14ac:dyDescent="0.2">
      <c r="A306" s="62">
        <v>852</v>
      </c>
      <c r="B306" s="75"/>
      <c r="C306" s="66" t="s">
        <v>54</v>
      </c>
      <c r="D306" s="72">
        <f>D307</f>
        <v>15000</v>
      </c>
      <c r="F306" s="22"/>
      <c r="G306" s="11"/>
      <c r="L306" s="23"/>
    </row>
    <row r="307" spans="1:12" s="7" customFormat="1" ht="16.5" customHeight="1" x14ac:dyDescent="0.2">
      <c r="A307" s="54"/>
      <c r="B307" s="105">
        <v>85295</v>
      </c>
      <c r="C307" s="134" t="s">
        <v>7</v>
      </c>
      <c r="D307" s="107">
        <f>5000+10000</f>
        <v>15000</v>
      </c>
      <c r="F307" s="22"/>
      <c r="G307" s="11"/>
      <c r="L307" s="23"/>
    </row>
    <row r="308" spans="1:12" s="8" customFormat="1" ht="16.5" customHeight="1" x14ac:dyDescent="0.2">
      <c r="A308" s="62">
        <v>853</v>
      </c>
      <c r="B308" s="63"/>
      <c r="C308" s="64" t="s">
        <v>36</v>
      </c>
      <c r="D308" s="77">
        <f>D309</f>
        <v>169496</v>
      </c>
      <c r="F308" s="22"/>
      <c r="G308" s="11"/>
      <c r="L308" s="31"/>
    </row>
    <row r="309" spans="1:12" s="8" customFormat="1" ht="16.5" customHeight="1" x14ac:dyDescent="0.2">
      <c r="A309" s="78"/>
      <c r="B309" s="79">
        <v>85395</v>
      </c>
      <c r="C309" s="108" t="s">
        <v>7</v>
      </c>
      <c r="D309" s="110">
        <f>102496+67000</f>
        <v>169496</v>
      </c>
      <c r="F309" s="22"/>
      <c r="G309" s="11"/>
      <c r="L309" s="31"/>
    </row>
    <row r="310" spans="1:12" s="8" customFormat="1" ht="16.5" customHeight="1" x14ac:dyDescent="0.2">
      <c r="A310" s="62">
        <v>854</v>
      </c>
      <c r="B310" s="75"/>
      <c r="C310" s="66" t="s">
        <v>40</v>
      </c>
      <c r="D310" s="65">
        <f>D311</f>
        <v>139000</v>
      </c>
      <c r="F310" s="22"/>
      <c r="G310" s="11"/>
      <c r="L310" s="31"/>
    </row>
    <row r="311" spans="1:12" s="8" customFormat="1" ht="16.5" customHeight="1" x14ac:dyDescent="0.2">
      <c r="A311" s="69"/>
      <c r="B311" s="73">
        <v>85495</v>
      </c>
      <c r="C311" s="70" t="s">
        <v>7</v>
      </c>
      <c r="D311" s="84">
        <f>114000+5000+20000</f>
        <v>139000</v>
      </c>
      <c r="F311" s="22"/>
      <c r="G311" s="11"/>
      <c r="L311" s="31"/>
    </row>
    <row r="312" spans="1:12" s="8" customFormat="1" ht="16.5" customHeight="1" x14ac:dyDescent="0.2">
      <c r="A312" s="85">
        <v>855</v>
      </c>
      <c r="B312" s="75"/>
      <c r="C312" s="66" t="s">
        <v>61</v>
      </c>
      <c r="D312" s="65">
        <f>D313</f>
        <v>50000</v>
      </c>
      <c r="F312" s="22"/>
      <c r="G312" s="11"/>
      <c r="L312" s="31"/>
    </row>
    <row r="313" spans="1:12" s="8" customFormat="1" ht="16.5" customHeight="1" x14ac:dyDescent="0.2">
      <c r="A313" s="69"/>
      <c r="B313" s="59">
        <v>85516</v>
      </c>
      <c r="C313" s="70" t="s">
        <v>63</v>
      </c>
      <c r="D313" s="86">
        <f>50000</f>
        <v>50000</v>
      </c>
      <c r="F313" s="22"/>
      <c r="G313" s="11"/>
      <c r="L313" s="31"/>
    </row>
    <row r="314" spans="1:12" s="8" customFormat="1" ht="16.5" customHeight="1" x14ac:dyDescent="0.2">
      <c r="A314" s="85">
        <v>900</v>
      </c>
      <c r="B314" s="75"/>
      <c r="C314" s="66" t="s">
        <v>30</v>
      </c>
      <c r="D314" s="65">
        <f>D315+D316+D317</f>
        <v>901000</v>
      </c>
      <c r="F314" s="22"/>
      <c r="G314" s="11"/>
      <c r="L314" s="31"/>
    </row>
    <row r="315" spans="1:12" s="9" customFormat="1" ht="16.5" customHeight="1" x14ac:dyDescent="0.2">
      <c r="A315" s="119"/>
      <c r="B315" s="102">
        <v>90004</v>
      </c>
      <c r="C315" s="108" t="s">
        <v>35</v>
      </c>
      <c r="D315" s="123">
        <f>20000</f>
        <v>20000</v>
      </c>
      <c r="F315" s="14"/>
      <c r="G315" s="11"/>
      <c r="L315" s="26"/>
    </row>
    <row r="316" spans="1:12" s="9" customFormat="1" ht="16.5" customHeight="1" x14ac:dyDescent="0.2">
      <c r="A316" s="69"/>
      <c r="B316" s="59">
        <v>90015</v>
      </c>
      <c r="C316" s="70" t="s">
        <v>31</v>
      </c>
      <c r="D316" s="86">
        <f>300000</f>
        <v>300000</v>
      </c>
      <c r="F316" s="14"/>
      <c r="G316" s="11"/>
      <c r="L316" s="26"/>
    </row>
    <row r="317" spans="1:12" s="9" customFormat="1" ht="16.5" customHeight="1" x14ac:dyDescent="0.2">
      <c r="A317" s="69"/>
      <c r="B317" s="73">
        <v>90095</v>
      </c>
      <c r="C317" s="70" t="s">
        <v>7</v>
      </c>
      <c r="D317" s="84">
        <f>581000</f>
        <v>581000</v>
      </c>
      <c r="F317" s="14"/>
      <c r="G317" s="11"/>
      <c r="L317" s="26"/>
    </row>
    <row r="318" spans="1:12" s="9" customFormat="1" ht="16.5" customHeight="1" x14ac:dyDescent="0.2">
      <c r="A318" s="62">
        <v>921</v>
      </c>
      <c r="B318" s="75"/>
      <c r="C318" s="66" t="s">
        <v>44</v>
      </c>
      <c r="D318" s="65">
        <f>D319+D320</f>
        <v>74000</v>
      </c>
      <c r="G318" s="11"/>
      <c r="K318" s="24"/>
      <c r="L318" s="26"/>
    </row>
    <row r="319" spans="1:12" s="9" customFormat="1" ht="16.5" customHeight="1" x14ac:dyDescent="0.2">
      <c r="A319" s="69"/>
      <c r="B319" s="73">
        <v>92109</v>
      </c>
      <c r="C319" s="70" t="s">
        <v>45</v>
      </c>
      <c r="D319" s="84">
        <f>64000</f>
        <v>64000</v>
      </c>
      <c r="G319" s="11"/>
      <c r="L319" s="26"/>
    </row>
    <row r="320" spans="1:12" s="9" customFormat="1" ht="16.5" customHeight="1" x14ac:dyDescent="0.2">
      <c r="A320" s="69"/>
      <c r="B320" s="73">
        <v>92116</v>
      </c>
      <c r="C320" s="70" t="s">
        <v>46</v>
      </c>
      <c r="D320" s="84">
        <f>10000</f>
        <v>10000</v>
      </c>
      <c r="G320" s="11"/>
      <c r="L320" s="26"/>
    </row>
    <row r="321" spans="1:13" s="7" customFormat="1" ht="16.5" customHeight="1" x14ac:dyDescent="0.2">
      <c r="A321" s="62">
        <v>926</v>
      </c>
      <c r="B321" s="63"/>
      <c r="C321" s="67" t="s">
        <v>32</v>
      </c>
      <c r="D321" s="77">
        <f>D322+D323</f>
        <v>114550</v>
      </c>
      <c r="G321" s="11"/>
      <c r="L321" s="23"/>
    </row>
    <row r="322" spans="1:13" s="7" customFormat="1" ht="16.5" customHeight="1" x14ac:dyDescent="0.2">
      <c r="A322" s="69"/>
      <c r="B322" s="59">
        <v>92601</v>
      </c>
      <c r="C322" s="87" t="s">
        <v>33</v>
      </c>
      <c r="D322" s="84">
        <f>82800</f>
        <v>82800</v>
      </c>
      <c r="F322" s="22"/>
      <c r="G322" s="11"/>
      <c r="L322" s="23"/>
      <c r="M322" s="27"/>
    </row>
    <row r="323" spans="1:13" s="7" customFormat="1" ht="16.5" customHeight="1" x14ac:dyDescent="0.2">
      <c r="A323" s="62"/>
      <c r="B323" s="63">
        <v>92605</v>
      </c>
      <c r="C323" s="135" t="s">
        <v>34</v>
      </c>
      <c r="D323" s="83">
        <f>25750+6000</f>
        <v>31750</v>
      </c>
      <c r="G323" s="11"/>
      <c r="L323" s="23"/>
    </row>
    <row r="324" spans="1:13" s="9" customFormat="1" ht="18.75" customHeight="1" x14ac:dyDescent="0.2">
      <c r="A324" s="96"/>
      <c r="B324" s="97"/>
      <c r="C324" s="98" t="s">
        <v>17</v>
      </c>
      <c r="D324" s="111">
        <f>D325+D327+D329+D332+D334+D336+D338+D340+D343</f>
        <v>2034516</v>
      </c>
      <c r="F324" s="14"/>
      <c r="G324" s="11"/>
      <c r="L324" s="26"/>
    </row>
    <row r="325" spans="1:13" s="8" customFormat="1" ht="16.5" customHeight="1" x14ac:dyDescent="0.2">
      <c r="A325" s="54">
        <v>600</v>
      </c>
      <c r="B325" s="55"/>
      <c r="C325" s="56" t="s">
        <v>5</v>
      </c>
      <c r="D325" s="57">
        <f>D326</f>
        <v>626323</v>
      </c>
      <c r="F325" s="22"/>
      <c r="G325" s="11"/>
      <c r="L325" s="31"/>
    </row>
    <row r="326" spans="1:13" s="7" customFormat="1" ht="16.5" customHeight="1" x14ac:dyDescent="0.2">
      <c r="A326" s="126"/>
      <c r="B326" s="102">
        <v>60016</v>
      </c>
      <c r="C326" s="103" t="s">
        <v>6</v>
      </c>
      <c r="D326" s="123">
        <f>626323</f>
        <v>626323</v>
      </c>
      <c r="F326" s="22"/>
      <c r="G326" s="11"/>
      <c r="L326" s="23"/>
    </row>
    <row r="327" spans="1:13" s="7" customFormat="1" ht="16.5" customHeight="1" x14ac:dyDescent="0.2">
      <c r="A327" s="62">
        <v>750</v>
      </c>
      <c r="B327" s="63"/>
      <c r="C327" s="109" t="s">
        <v>52</v>
      </c>
      <c r="D327" s="72">
        <f>D328</f>
        <v>33000</v>
      </c>
      <c r="G327" s="11"/>
      <c r="L327" s="23"/>
    </row>
    <row r="328" spans="1:13" s="7" customFormat="1" ht="16.5" customHeight="1" x14ac:dyDescent="0.2">
      <c r="A328" s="69"/>
      <c r="B328" s="59">
        <v>75095</v>
      </c>
      <c r="C328" s="122" t="s">
        <v>7</v>
      </c>
      <c r="D328" s="74">
        <f>33000</f>
        <v>33000</v>
      </c>
      <c r="G328" s="11"/>
      <c r="L328" s="23"/>
    </row>
    <row r="329" spans="1:13" s="7" customFormat="1" ht="16.5" customHeight="1" x14ac:dyDescent="0.2">
      <c r="A329" s="62">
        <v>754</v>
      </c>
      <c r="B329" s="63"/>
      <c r="C329" s="66" t="s">
        <v>41</v>
      </c>
      <c r="D329" s="72">
        <f>D330+D331</f>
        <v>40000</v>
      </c>
      <c r="G329" s="11"/>
      <c r="L329" s="23"/>
    </row>
    <row r="330" spans="1:13" s="9" customFormat="1" ht="16.5" customHeight="1" x14ac:dyDescent="0.2">
      <c r="A330" s="69"/>
      <c r="B330" s="59">
        <v>75411</v>
      </c>
      <c r="C330" s="60" t="s">
        <v>57</v>
      </c>
      <c r="D330" s="74">
        <f>25000</f>
        <v>25000</v>
      </c>
      <c r="G330" s="11"/>
      <c r="L330" s="26"/>
    </row>
    <row r="331" spans="1:13" s="7" customFormat="1" ht="16.5" customHeight="1" x14ac:dyDescent="0.2">
      <c r="A331" s="69"/>
      <c r="B331" s="59">
        <v>75416</v>
      </c>
      <c r="C331" s="60" t="s">
        <v>43</v>
      </c>
      <c r="D331" s="74">
        <f>15000</f>
        <v>15000</v>
      </c>
      <c r="G331" s="11"/>
      <c r="L331" s="23"/>
    </row>
    <row r="332" spans="1:13" s="7" customFormat="1" ht="16.5" customHeight="1" x14ac:dyDescent="0.2">
      <c r="A332" s="62">
        <v>758</v>
      </c>
      <c r="B332" s="63"/>
      <c r="C332" s="67" t="s">
        <v>27</v>
      </c>
      <c r="D332" s="68">
        <f>D333</f>
        <v>392193</v>
      </c>
      <c r="F332" s="22"/>
      <c r="G332" s="11"/>
      <c r="L332" s="23"/>
    </row>
    <row r="333" spans="1:13" s="7" customFormat="1" ht="16.5" customHeight="1" x14ac:dyDescent="0.2">
      <c r="A333" s="69"/>
      <c r="B333" s="59">
        <v>75818</v>
      </c>
      <c r="C333" s="70" t="s">
        <v>28</v>
      </c>
      <c r="D333" s="71">
        <f>1659323-D325-D327-D329-D334-D336-D338-D340-D343+375193</f>
        <v>392193</v>
      </c>
      <c r="F333" s="22"/>
      <c r="G333" s="11"/>
      <c r="L333" s="23"/>
    </row>
    <row r="334" spans="1:13" s="7" customFormat="1" ht="16.5" customHeight="1" x14ac:dyDescent="0.2">
      <c r="A334" s="62">
        <v>801</v>
      </c>
      <c r="B334" s="63"/>
      <c r="C334" s="67" t="s">
        <v>29</v>
      </c>
      <c r="D334" s="72">
        <f>D335</f>
        <v>228000</v>
      </c>
      <c r="F334" s="22"/>
      <c r="G334" s="11"/>
      <c r="L334" s="23"/>
    </row>
    <row r="335" spans="1:13" s="9" customFormat="1" ht="16.5" customHeight="1" x14ac:dyDescent="0.2">
      <c r="A335" s="69"/>
      <c r="B335" s="73">
        <v>80195</v>
      </c>
      <c r="C335" s="70" t="s">
        <v>7</v>
      </c>
      <c r="D335" s="74">
        <f>120000+108000</f>
        <v>228000</v>
      </c>
      <c r="F335" s="22"/>
      <c r="G335" s="11"/>
      <c r="L335" s="26"/>
    </row>
    <row r="336" spans="1:13" s="8" customFormat="1" ht="16.5" customHeight="1" x14ac:dyDescent="0.2">
      <c r="A336" s="62">
        <v>852</v>
      </c>
      <c r="B336" s="75"/>
      <c r="C336" s="66" t="s">
        <v>54</v>
      </c>
      <c r="D336" s="72">
        <f>D337</f>
        <v>15000</v>
      </c>
      <c r="F336" s="22"/>
      <c r="G336" s="11"/>
      <c r="L336" s="31"/>
    </row>
    <row r="337" spans="1:13" s="7" customFormat="1" ht="16.5" customHeight="1" x14ac:dyDescent="0.2">
      <c r="A337" s="69"/>
      <c r="B337" s="73">
        <v>85295</v>
      </c>
      <c r="C337" s="70" t="s">
        <v>7</v>
      </c>
      <c r="D337" s="74">
        <f>15000</f>
        <v>15000</v>
      </c>
      <c r="F337" s="22"/>
      <c r="G337" s="11"/>
      <c r="L337" s="23"/>
    </row>
    <row r="338" spans="1:13" s="7" customFormat="1" ht="16.5" customHeight="1" x14ac:dyDescent="0.2">
      <c r="A338" s="62">
        <v>853</v>
      </c>
      <c r="B338" s="63"/>
      <c r="C338" s="64" t="s">
        <v>36</v>
      </c>
      <c r="D338" s="77">
        <f>D339</f>
        <v>83000</v>
      </c>
      <c r="F338" s="22"/>
      <c r="G338" s="11"/>
      <c r="L338" s="23"/>
    </row>
    <row r="339" spans="1:13" s="9" customFormat="1" ht="16.5" customHeight="1" x14ac:dyDescent="0.2">
      <c r="A339" s="69"/>
      <c r="B339" s="102">
        <v>85395</v>
      </c>
      <c r="C339" s="70" t="s">
        <v>7</v>
      </c>
      <c r="D339" s="84">
        <f>83000</f>
        <v>83000</v>
      </c>
      <c r="F339" s="14"/>
      <c r="G339" s="11"/>
      <c r="L339" s="26"/>
    </row>
    <row r="340" spans="1:13" s="9" customFormat="1" ht="16.5" customHeight="1" x14ac:dyDescent="0.2">
      <c r="A340" s="85">
        <v>900</v>
      </c>
      <c r="B340" s="75"/>
      <c r="C340" s="66" t="s">
        <v>30</v>
      </c>
      <c r="D340" s="65">
        <f>D341+D342</f>
        <v>243500</v>
      </c>
      <c r="F340" s="14"/>
      <c r="G340" s="11"/>
      <c r="L340" s="26"/>
    </row>
    <row r="341" spans="1:13" s="9" customFormat="1" ht="16.5" customHeight="1" x14ac:dyDescent="0.2">
      <c r="A341" s="69"/>
      <c r="B341" s="59">
        <v>90015</v>
      </c>
      <c r="C341" s="70" t="s">
        <v>31</v>
      </c>
      <c r="D341" s="86">
        <f>17500</f>
        <v>17500</v>
      </c>
      <c r="F341" s="14"/>
      <c r="G341" s="11"/>
      <c r="L341" s="26"/>
    </row>
    <row r="342" spans="1:13" s="7" customFormat="1" ht="16.5" customHeight="1" x14ac:dyDescent="0.2">
      <c r="A342" s="69"/>
      <c r="B342" s="73">
        <v>90095</v>
      </c>
      <c r="C342" s="70" t="s">
        <v>7</v>
      </c>
      <c r="D342" s="84">
        <f>226000</f>
        <v>226000</v>
      </c>
      <c r="F342" s="22"/>
      <c r="G342" s="11"/>
      <c r="K342" s="24"/>
      <c r="L342" s="23"/>
    </row>
    <row r="343" spans="1:13" s="9" customFormat="1" ht="16.5" customHeight="1" x14ac:dyDescent="0.2">
      <c r="A343" s="62">
        <v>921</v>
      </c>
      <c r="B343" s="75"/>
      <c r="C343" s="66" t="s">
        <v>44</v>
      </c>
      <c r="D343" s="65">
        <f>D344+D345</f>
        <v>373500</v>
      </c>
      <c r="G343" s="11"/>
      <c r="L343" s="26"/>
      <c r="M343" s="25"/>
    </row>
    <row r="344" spans="1:13" s="9" customFormat="1" ht="16.5" customHeight="1" x14ac:dyDescent="0.2">
      <c r="A344" s="69"/>
      <c r="B344" s="73">
        <v>92109</v>
      </c>
      <c r="C344" s="70" t="s">
        <v>45</v>
      </c>
      <c r="D344" s="84">
        <f>368000</f>
        <v>368000</v>
      </c>
      <c r="G344" s="11"/>
      <c r="L344" s="26"/>
    </row>
    <row r="345" spans="1:13" s="7" customFormat="1" ht="16.5" customHeight="1" x14ac:dyDescent="0.2">
      <c r="A345" s="62"/>
      <c r="B345" s="75">
        <v>92116</v>
      </c>
      <c r="C345" s="113" t="s">
        <v>46</v>
      </c>
      <c r="D345" s="83">
        <f>5500</f>
        <v>5500</v>
      </c>
      <c r="G345" s="11"/>
      <c r="L345" s="23"/>
    </row>
    <row r="346" spans="1:13" s="9" customFormat="1" ht="18.75" customHeight="1" x14ac:dyDescent="0.2">
      <c r="A346" s="96"/>
      <c r="B346" s="97"/>
      <c r="C346" s="98" t="s">
        <v>18</v>
      </c>
      <c r="D346" s="111">
        <f>D347+D349+D351+D354+D356+D358+D360+D362+D366+D369</f>
        <v>2545618</v>
      </c>
      <c r="F346" s="14"/>
      <c r="G346" s="11"/>
      <c r="L346" s="26"/>
    </row>
    <row r="347" spans="1:13" s="7" customFormat="1" ht="16.5" customHeight="1" x14ac:dyDescent="0.2">
      <c r="A347" s="54">
        <v>600</v>
      </c>
      <c r="B347" s="55"/>
      <c r="C347" s="56" t="s">
        <v>5</v>
      </c>
      <c r="D347" s="57">
        <f>D348</f>
        <v>383000</v>
      </c>
      <c r="F347" s="22"/>
      <c r="G347" s="11"/>
      <c r="L347" s="23"/>
    </row>
    <row r="348" spans="1:13" s="8" customFormat="1" ht="16.5" customHeight="1" x14ac:dyDescent="0.2">
      <c r="A348" s="126"/>
      <c r="B348" s="102">
        <v>60016</v>
      </c>
      <c r="C348" s="103" t="s">
        <v>6</v>
      </c>
      <c r="D348" s="123">
        <f>383000</f>
        <v>383000</v>
      </c>
      <c r="G348" s="11"/>
      <c r="I348" s="40"/>
      <c r="L348" s="31"/>
    </row>
    <row r="349" spans="1:13" s="8" customFormat="1" ht="16.5" customHeight="1" x14ac:dyDescent="0.2">
      <c r="A349" s="62">
        <v>750</v>
      </c>
      <c r="B349" s="63"/>
      <c r="C349" s="64" t="s">
        <v>52</v>
      </c>
      <c r="D349" s="72">
        <f>D350</f>
        <v>32000</v>
      </c>
      <c r="E349" s="41"/>
      <c r="G349" s="11"/>
      <c r="L349" s="31"/>
    </row>
    <row r="350" spans="1:13" s="7" customFormat="1" ht="16.5" customHeight="1" x14ac:dyDescent="0.2">
      <c r="A350" s="69"/>
      <c r="B350" s="59">
        <v>75095</v>
      </c>
      <c r="C350" s="60" t="s">
        <v>7</v>
      </c>
      <c r="D350" s="74">
        <f>32000</f>
        <v>32000</v>
      </c>
      <c r="G350" s="11"/>
      <c r="L350" s="23"/>
    </row>
    <row r="351" spans="1:13" s="8" customFormat="1" ht="16.5" customHeight="1" x14ac:dyDescent="0.2">
      <c r="A351" s="62">
        <v>754</v>
      </c>
      <c r="B351" s="63"/>
      <c r="C351" s="66" t="s">
        <v>41</v>
      </c>
      <c r="D351" s="72">
        <f>D352+D353</f>
        <v>68700</v>
      </c>
      <c r="G351" s="11"/>
      <c r="L351" s="31"/>
    </row>
    <row r="352" spans="1:13" s="8" customFormat="1" ht="16.5" customHeight="1" x14ac:dyDescent="0.2">
      <c r="A352" s="69"/>
      <c r="B352" s="59">
        <v>75405</v>
      </c>
      <c r="C352" s="60" t="s">
        <v>42</v>
      </c>
      <c r="D352" s="74">
        <f>60700</f>
        <v>60700</v>
      </c>
      <c r="G352" s="11"/>
      <c r="L352" s="31"/>
    </row>
    <row r="353" spans="1:12" s="8" customFormat="1" ht="16.5" customHeight="1" x14ac:dyDescent="0.2">
      <c r="A353" s="69"/>
      <c r="B353" s="59">
        <v>75411</v>
      </c>
      <c r="C353" s="60" t="s">
        <v>57</v>
      </c>
      <c r="D353" s="74">
        <v>8000</v>
      </c>
      <c r="G353" s="11"/>
      <c r="L353" s="31"/>
    </row>
    <row r="354" spans="1:12" s="8" customFormat="1" ht="16.5" customHeight="1" x14ac:dyDescent="0.2">
      <c r="A354" s="62">
        <v>758</v>
      </c>
      <c r="B354" s="63"/>
      <c r="C354" s="67" t="s">
        <v>27</v>
      </c>
      <c r="D354" s="68">
        <f>D355</f>
        <v>480446</v>
      </c>
      <c r="F354" s="22"/>
      <c r="G354" s="11"/>
      <c r="L354" s="31"/>
    </row>
    <row r="355" spans="1:12" s="8" customFormat="1" ht="16.5" customHeight="1" x14ac:dyDescent="0.2">
      <c r="A355" s="69"/>
      <c r="B355" s="59">
        <v>75818</v>
      </c>
      <c r="C355" s="70" t="s">
        <v>28</v>
      </c>
      <c r="D355" s="71">
        <f>2076172-D347-D349-D351-D356-D358-D360-D362-D366-D369+469446</f>
        <v>480446</v>
      </c>
      <c r="F355" s="22"/>
      <c r="G355" s="11"/>
      <c r="L355" s="31"/>
    </row>
    <row r="356" spans="1:12" s="7" customFormat="1" ht="16.5" customHeight="1" x14ac:dyDescent="0.2">
      <c r="A356" s="62">
        <v>801</v>
      </c>
      <c r="B356" s="63"/>
      <c r="C356" s="67" t="s">
        <v>29</v>
      </c>
      <c r="D356" s="65">
        <f>D357</f>
        <v>231591</v>
      </c>
      <c r="F356" s="22"/>
      <c r="G356" s="11"/>
      <c r="L356" s="23"/>
    </row>
    <row r="357" spans="1:12" s="9" customFormat="1" ht="16.5" customHeight="1" x14ac:dyDescent="0.2">
      <c r="A357" s="69"/>
      <c r="B357" s="73">
        <v>80195</v>
      </c>
      <c r="C357" s="60" t="s">
        <v>7</v>
      </c>
      <c r="D357" s="61">
        <f>10000+20000+4500+50000+16000+106091+25000</f>
        <v>231591</v>
      </c>
      <c r="F357" s="22"/>
      <c r="G357" s="11"/>
      <c r="L357" s="26"/>
    </row>
    <row r="358" spans="1:12" s="8" customFormat="1" ht="16.5" customHeight="1" x14ac:dyDescent="0.2">
      <c r="A358" s="62">
        <v>852</v>
      </c>
      <c r="B358" s="75"/>
      <c r="C358" s="66" t="s">
        <v>54</v>
      </c>
      <c r="D358" s="72">
        <f>D359</f>
        <v>17928</v>
      </c>
      <c r="F358" s="22"/>
      <c r="G358" s="11"/>
      <c r="L358" s="31"/>
    </row>
    <row r="359" spans="1:12" s="7" customFormat="1" ht="16.5" customHeight="1" x14ac:dyDescent="0.2">
      <c r="A359" s="69"/>
      <c r="B359" s="73">
        <v>85295</v>
      </c>
      <c r="C359" s="70" t="s">
        <v>7</v>
      </c>
      <c r="D359" s="74">
        <f>17928</f>
        <v>17928</v>
      </c>
      <c r="F359" s="22"/>
      <c r="G359" s="11"/>
      <c r="L359" s="23"/>
    </row>
    <row r="360" spans="1:12" s="9" customFormat="1" ht="16.5" customHeight="1" x14ac:dyDescent="0.2">
      <c r="A360" s="62">
        <v>853</v>
      </c>
      <c r="B360" s="63"/>
      <c r="C360" s="64" t="s">
        <v>36</v>
      </c>
      <c r="D360" s="77">
        <f>D361</f>
        <v>83909</v>
      </c>
      <c r="F360" s="14"/>
      <c r="G360" s="11"/>
      <c r="L360" s="26"/>
    </row>
    <row r="361" spans="1:12" s="9" customFormat="1" ht="16.5" customHeight="1" x14ac:dyDescent="0.2">
      <c r="A361" s="78"/>
      <c r="B361" s="102">
        <v>85395</v>
      </c>
      <c r="C361" s="128" t="s">
        <v>7</v>
      </c>
      <c r="D361" s="110">
        <f>83909</f>
        <v>83909</v>
      </c>
      <c r="F361" s="14"/>
      <c r="G361" s="11"/>
      <c r="L361" s="26"/>
    </row>
    <row r="362" spans="1:12" s="9" customFormat="1" ht="16.5" customHeight="1" x14ac:dyDescent="0.2">
      <c r="A362" s="85">
        <v>900</v>
      </c>
      <c r="B362" s="63"/>
      <c r="C362" s="114" t="s">
        <v>30</v>
      </c>
      <c r="D362" s="65">
        <f>D363+D364+D365</f>
        <v>1032900</v>
      </c>
      <c r="F362" s="14"/>
      <c r="G362" s="11"/>
      <c r="L362" s="26"/>
    </row>
    <row r="363" spans="1:12" s="9" customFormat="1" ht="16.5" customHeight="1" x14ac:dyDescent="0.2">
      <c r="A363" s="119"/>
      <c r="B363" s="102">
        <v>90004</v>
      </c>
      <c r="C363" s="108" t="s">
        <v>35</v>
      </c>
      <c r="D363" s="123">
        <f>40000</f>
        <v>40000</v>
      </c>
      <c r="G363" s="11"/>
      <c r="K363" s="24"/>
      <c r="L363" s="26"/>
    </row>
    <row r="364" spans="1:12" s="9" customFormat="1" ht="16.5" customHeight="1" x14ac:dyDescent="0.2">
      <c r="A364" s="119"/>
      <c r="B364" s="59">
        <v>90015</v>
      </c>
      <c r="C364" s="70" t="s">
        <v>31</v>
      </c>
      <c r="D364" s="61">
        <f>579000</f>
        <v>579000</v>
      </c>
      <c r="G364" s="11"/>
      <c r="L364" s="26"/>
    </row>
    <row r="365" spans="1:12" s="7" customFormat="1" ht="16.5" customHeight="1" x14ac:dyDescent="0.2">
      <c r="A365" s="69"/>
      <c r="B365" s="73">
        <v>90095</v>
      </c>
      <c r="C365" s="70" t="s">
        <v>7</v>
      </c>
      <c r="D365" s="86">
        <f>413900</f>
        <v>413900</v>
      </c>
      <c r="G365" s="11"/>
      <c r="L365" s="23"/>
    </row>
    <row r="366" spans="1:12" s="7" customFormat="1" ht="16.5" customHeight="1" x14ac:dyDescent="0.2">
      <c r="A366" s="62">
        <v>921</v>
      </c>
      <c r="B366" s="63"/>
      <c r="C366" s="66" t="s">
        <v>44</v>
      </c>
      <c r="D366" s="65">
        <f>D367+D368</f>
        <v>157744</v>
      </c>
      <c r="G366" s="11"/>
      <c r="L366" s="23"/>
    </row>
    <row r="367" spans="1:12" s="7" customFormat="1" ht="16.5" customHeight="1" x14ac:dyDescent="0.2">
      <c r="A367" s="69"/>
      <c r="B367" s="73">
        <v>92109</v>
      </c>
      <c r="C367" s="70" t="s">
        <v>45</v>
      </c>
      <c r="D367" s="84">
        <v>151744</v>
      </c>
      <c r="F367" s="22"/>
      <c r="G367" s="11"/>
      <c r="L367" s="23"/>
    </row>
    <row r="368" spans="1:12" s="7" customFormat="1" ht="16.5" customHeight="1" x14ac:dyDescent="0.2">
      <c r="A368" s="69"/>
      <c r="B368" s="73">
        <v>92116</v>
      </c>
      <c r="C368" s="70" t="s">
        <v>46</v>
      </c>
      <c r="D368" s="84">
        <v>6000</v>
      </c>
      <c r="G368" s="11"/>
      <c r="L368" s="23"/>
    </row>
    <row r="369" spans="1:12" s="9" customFormat="1" ht="16.5" customHeight="1" x14ac:dyDescent="0.2">
      <c r="A369" s="62">
        <v>926</v>
      </c>
      <c r="B369" s="63"/>
      <c r="C369" s="67" t="s">
        <v>32</v>
      </c>
      <c r="D369" s="77">
        <f>D370+D371</f>
        <v>57400</v>
      </c>
      <c r="F369" s="14"/>
      <c r="G369" s="11"/>
      <c r="L369" s="26"/>
    </row>
    <row r="370" spans="1:12" s="8" customFormat="1" ht="16.5" customHeight="1" x14ac:dyDescent="0.2">
      <c r="A370" s="69"/>
      <c r="B370" s="59">
        <v>92601</v>
      </c>
      <c r="C370" s="87" t="s">
        <v>33</v>
      </c>
      <c r="D370" s="84">
        <f>27400</f>
        <v>27400</v>
      </c>
      <c r="G370" s="11"/>
      <c r="L370" s="31"/>
    </row>
    <row r="371" spans="1:12" s="9" customFormat="1" ht="16.5" customHeight="1" x14ac:dyDescent="0.2">
      <c r="A371" s="92"/>
      <c r="B371" s="63">
        <v>92605</v>
      </c>
      <c r="C371" s="135" t="s">
        <v>34</v>
      </c>
      <c r="D371" s="83">
        <f>10000+20000</f>
        <v>30000</v>
      </c>
      <c r="G371" s="11"/>
      <c r="L371" s="26"/>
    </row>
    <row r="372" spans="1:12" s="9" customFormat="1" ht="18.75" customHeight="1" x14ac:dyDescent="0.2">
      <c r="A372" s="96"/>
      <c r="B372" s="97"/>
      <c r="C372" s="98" t="s">
        <v>19</v>
      </c>
      <c r="D372" s="111">
        <f>D373+D375+D377+D381+D383+D385+D389+D392+D394+D396+D399+D402</f>
        <v>3206619</v>
      </c>
      <c r="F372" s="14"/>
      <c r="G372" s="11"/>
      <c r="L372" s="26"/>
    </row>
    <row r="373" spans="1:12" s="8" customFormat="1" ht="16.5" customHeight="1" x14ac:dyDescent="0.2">
      <c r="A373" s="54">
        <v>600</v>
      </c>
      <c r="B373" s="55"/>
      <c r="C373" s="56" t="s">
        <v>5</v>
      </c>
      <c r="D373" s="57">
        <f>D374</f>
        <v>85000</v>
      </c>
      <c r="F373" s="14"/>
      <c r="G373" s="11"/>
      <c r="L373" s="31"/>
    </row>
    <row r="374" spans="1:12" s="7" customFormat="1" ht="16.5" customHeight="1" x14ac:dyDescent="0.2">
      <c r="A374" s="58"/>
      <c r="B374" s="59">
        <v>60016</v>
      </c>
      <c r="C374" s="60" t="s">
        <v>6</v>
      </c>
      <c r="D374" s="61">
        <v>85000</v>
      </c>
      <c r="E374" s="44"/>
      <c r="F374" s="8"/>
      <c r="G374" s="11"/>
      <c r="L374" s="23"/>
    </row>
    <row r="375" spans="1:12" s="7" customFormat="1" ht="16.5" customHeight="1" x14ac:dyDescent="0.2">
      <c r="A375" s="62">
        <v>750</v>
      </c>
      <c r="B375" s="63"/>
      <c r="C375" s="64" t="s">
        <v>52</v>
      </c>
      <c r="D375" s="72">
        <f>D376</f>
        <v>46700</v>
      </c>
      <c r="G375" s="11"/>
      <c r="L375" s="23"/>
    </row>
    <row r="376" spans="1:12" s="7" customFormat="1" ht="16.5" customHeight="1" x14ac:dyDescent="0.2">
      <c r="A376" s="78"/>
      <c r="B376" s="102">
        <v>75095</v>
      </c>
      <c r="C376" s="103" t="s">
        <v>7</v>
      </c>
      <c r="D376" s="81">
        <f>46700</f>
        <v>46700</v>
      </c>
      <c r="G376" s="11"/>
      <c r="L376" s="23"/>
    </row>
    <row r="377" spans="1:12" s="7" customFormat="1" ht="16.5" customHeight="1" x14ac:dyDescent="0.2">
      <c r="A377" s="62">
        <v>754</v>
      </c>
      <c r="B377" s="63"/>
      <c r="C377" s="66" t="s">
        <v>41</v>
      </c>
      <c r="D377" s="72">
        <f>D378+D379+D380</f>
        <v>124200</v>
      </c>
      <c r="G377" s="11"/>
      <c r="L377" s="23"/>
    </row>
    <row r="378" spans="1:12" s="9" customFormat="1" ht="16.5" customHeight="1" x14ac:dyDescent="0.2">
      <c r="A378" s="69"/>
      <c r="B378" s="59">
        <v>75405</v>
      </c>
      <c r="C378" s="60" t="s">
        <v>42</v>
      </c>
      <c r="D378" s="74">
        <f>47500</f>
        <v>47500</v>
      </c>
      <c r="E378" s="7"/>
      <c r="F378" s="7"/>
      <c r="G378" s="11"/>
      <c r="L378" s="26"/>
    </row>
    <row r="379" spans="1:12" s="7" customFormat="1" ht="16.5" customHeight="1" x14ac:dyDescent="0.2">
      <c r="A379" s="69"/>
      <c r="B379" s="59">
        <v>75411</v>
      </c>
      <c r="C379" s="60" t="s">
        <v>57</v>
      </c>
      <c r="D379" s="74">
        <f>30000</f>
        <v>30000</v>
      </c>
      <c r="F379" s="14"/>
      <c r="G379" s="11"/>
      <c r="L379" s="23"/>
    </row>
    <row r="380" spans="1:12" s="8" customFormat="1" ht="16.5" customHeight="1" x14ac:dyDescent="0.2">
      <c r="A380" s="69"/>
      <c r="B380" s="59">
        <v>75416</v>
      </c>
      <c r="C380" s="60" t="s">
        <v>43</v>
      </c>
      <c r="D380" s="74">
        <f>46700</f>
        <v>46700</v>
      </c>
      <c r="F380" s="7"/>
      <c r="G380" s="11"/>
      <c r="L380" s="31"/>
    </row>
    <row r="381" spans="1:12" s="9" customFormat="1" ht="16.5" customHeight="1" x14ac:dyDescent="0.2">
      <c r="A381" s="62">
        <v>758</v>
      </c>
      <c r="B381" s="63"/>
      <c r="C381" s="127" t="s">
        <v>27</v>
      </c>
      <c r="D381" s="68">
        <f>D382</f>
        <v>643219</v>
      </c>
      <c r="F381" s="22"/>
      <c r="G381" s="11"/>
      <c r="L381" s="26"/>
    </row>
    <row r="382" spans="1:12" s="7" customFormat="1" ht="16.5" customHeight="1" x14ac:dyDescent="0.2">
      <c r="A382" s="69"/>
      <c r="B382" s="59">
        <v>75818</v>
      </c>
      <c r="C382" s="70" t="s">
        <v>28</v>
      </c>
      <c r="D382" s="86">
        <f>2615276-D373-D375-D377-D383-D385-D389-D392-D394-D396-D399-D402+591343</f>
        <v>643219</v>
      </c>
      <c r="F382" s="22"/>
      <c r="G382" s="11"/>
      <c r="L382" s="23"/>
    </row>
    <row r="383" spans="1:12" s="8" customFormat="1" ht="16.5" customHeight="1" x14ac:dyDescent="0.2">
      <c r="A383" s="62">
        <v>801</v>
      </c>
      <c r="B383" s="63"/>
      <c r="C383" s="67" t="s">
        <v>29</v>
      </c>
      <c r="D383" s="65">
        <f>D384</f>
        <v>1085000</v>
      </c>
      <c r="F383" s="22"/>
      <c r="G383" s="11"/>
      <c r="L383" s="31"/>
    </row>
    <row r="384" spans="1:12" s="8" customFormat="1" ht="16.5" customHeight="1" x14ac:dyDescent="0.2">
      <c r="A384" s="54"/>
      <c r="B384" s="105">
        <v>80195</v>
      </c>
      <c r="C384" s="134" t="s">
        <v>7</v>
      </c>
      <c r="D384" s="136">
        <f>93000+150000+78000+60000+153000+93000+105000+63000+85000+85000+45000+20000+55000</f>
        <v>1085000</v>
      </c>
      <c r="E384" s="7"/>
      <c r="F384" s="22"/>
      <c r="G384" s="11"/>
      <c r="L384" s="31"/>
    </row>
    <row r="385" spans="1:14" s="8" customFormat="1" ht="16.5" customHeight="1" x14ac:dyDescent="0.2">
      <c r="A385" s="62">
        <v>852</v>
      </c>
      <c r="B385" s="75"/>
      <c r="C385" s="66" t="s">
        <v>54</v>
      </c>
      <c r="D385" s="72">
        <f>D386+D387+D388</f>
        <v>102000</v>
      </c>
      <c r="E385" s="9"/>
      <c r="F385" s="22"/>
      <c r="G385" s="11"/>
      <c r="L385" s="31"/>
    </row>
    <row r="386" spans="1:14" s="8" customFormat="1" ht="16.5" customHeight="1" x14ac:dyDescent="0.2">
      <c r="A386" s="69"/>
      <c r="B386" s="73">
        <v>85203</v>
      </c>
      <c r="C386" s="70" t="s">
        <v>56</v>
      </c>
      <c r="D386" s="74">
        <f>74000</f>
        <v>74000</v>
      </c>
      <c r="F386" s="22"/>
      <c r="G386" s="11"/>
      <c r="L386" s="31"/>
    </row>
    <row r="387" spans="1:14" s="8" customFormat="1" ht="24" x14ac:dyDescent="0.2">
      <c r="A387" s="69"/>
      <c r="B387" s="73">
        <v>85214</v>
      </c>
      <c r="C387" s="70" t="s">
        <v>64</v>
      </c>
      <c r="D387" s="74">
        <f>20000</f>
        <v>20000</v>
      </c>
      <c r="F387" s="22"/>
      <c r="G387" s="11"/>
      <c r="L387" s="31"/>
    </row>
    <row r="388" spans="1:14" s="8" customFormat="1" ht="16.5" customHeight="1" x14ac:dyDescent="0.2">
      <c r="A388" s="69"/>
      <c r="B388" s="73">
        <v>85295</v>
      </c>
      <c r="C388" s="70" t="s">
        <v>7</v>
      </c>
      <c r="D388" s="74">
        <f>8000</f>
        <v>8000</v>
      </c>
      <c r="F388" s="22"/>
      <c r="G388" s="11"/>
      <c r="L388" s="31"/>
    </row>
    <row r="389" spans="1:14" s="7" customFormat="1" ht="16.5" customHeight="1" x14ac:dyDescent="0.2">
      <c r="A389" s="62">
        <v>853</v>
      </c>
      <c r="B389" s="63"/>
      <c r="C389" s="64" t="s">
        <v>36</v>
      </c>
      <c r="D389" s="77">
        <f>D390+D391</f>
        <v>182000</v>
      </c>
      <c r="F389" s="22"/>
      <c r="G389" s="11"/>
      <c r="L389" s="23"/>
    </row>
    <row r="390" spans="1:14" s="7" customFormat="1" ht="16.5" customHeight="1" x14ac:dyDescent="0.2">
      <c r="A390" s="69"/>
      <c r="B390" s="73">
        <v>85311</v>
      </c>
      <c r="C390" s="76" t="s">
        <v>58</v>
      </c>
      <c r="D390" s="74">
        <f>80000</f>
        <v>80000</v>
      </c>
      <c r="F390" s="22"/>
      <c r="G390" s="11"/>
      <c r="L390" s="23"/>
    </row>
    <row r="391" spans="1:14" s="7" customFormat="1" ht="16.5" customHeight="1" x14ac:dyDescent="0.2">
      <c r="A391" s="69"/>
      <c r="B391" s="73">
        <v>85395</v>
      </c>
      <c r="C391" s="70" t="s">
        <v>7</v>
      </c>
      <c r="D391" s="84">
        <f>2000+100000</f>
        <v>102000</v>
      </c>
      <c r="F391" s="22"/>
      <c r="G391" s="11"/>
      <c r="L391" s="23"/>
    </row>
    <row r="392" spans="1:14" s="7" customFormat="1" ht="16.5" customHeight="1" x14ac:dyDescent="0.2">
      <c r="A392" s="62">
        <v>854</v>
      </c>
      <c r="B392" s="75"/>
      <c r="C392" s="66" t="s">
        <v>40</v>
      </c>
      <c r="D392" s="65">
        <f>D393</f>
        <v>46000</v>
      </c>
      <c r="F392" s="22"/>
      <c r="G392" s="11"/>
      <c r="L392" s="23"/>
    </row>
    <row r="393" spans="1:14" s="7" customFormat="1" ht="16.5" customHeight="1" x14ac:dyDescent="0.2">
      <c r="A393" s="78"/>
      <c r="B393" s="79">
        <v>85495</v>
      </c>
      <c r="C393" s="108" t="s">
        <v>7</v>
      </c>
      <c r="D393" s="110">
        <f>15000+31000</f>
        <v>46000</v>
      </c>
      <c r="F393" s="22"/>
      <c r="G393" s="11"/>
      <c r="L393" s="23"/>
    </row>
    <row r="394" spans="1:14" s="9" customFormat="1" ht="16.5" customHeight="1" x14ac:dyDescent="0.2">
      <c r="A394" s="85">
        <v>855</v>
      </c>
      <c r="B394" s="75"/>
      <c r="C394" s="66" t="s">
        <v>61</v>
      </c>
      <c r="D394" s="65">
        <f>D395</f>
        <v>130000</v>
      </c>
      <c r="F394" s="14"/>
      <c r="G394" s="11"/>
      <c r="L394" s="26"/>
    </row>
    <row r="395" spans="1:14" s="9" customFormat="1" ht="16.5" customHeight="1" x14ac:dyDescent="0.2">
      <c r="A395" s="69"/>
      <c r="B395" s="59">
        <v>85516</v>
      </c>
      <c r="C395" s="70" t="s">
        <v>63</v>
      </c>
      <c r="D395" s="86">
        <f>60000+70000</f>
        <v>130000</v>
      </c>
      <c r="F395" s="14"/>
      <c r="G395" s="11"/>
      <c r="L395" s="26"/>
    </row>
    <row r="396" spans="1:14" s="9" customFormat="1" ht="16.5" customHeight="1" x14ac:dyDescent="0.2">
      <c r="A396" s="85">
        <v>900</v>
      </c>
      <c r="B396" s="75"/>
      <c r="C396" s="66" t="s">
        <v>30</v>
      </c>
      <c r="D396" s="65">
        <f>D397+D398</f>
        <v>454000</v>
      </c>
      <c r="F396" s="14"/>
      <c r="G396" s="11"/>
      <c r="L396" s="26"/>
    </row>
    <row r="397" spans="1:14" s="9" customFormat="1" ht="16.5" customHeight="1" x14ac:dyDescent="0.2">
      <c r="A397" s="119"/>
      <c r="B397" s="59">
        <v>90015</v>
      </c>
      <c r="C397" s="70" t="s">
        <v>31</v>
      </c>
      <c r="D397" s="61">
        <f>60000</f>
        <v>60000</v>
      </c>
      <c r="F397" s="14"/>
      <c r="G397" s="11"/>
      <c r="L397" s="26"/>
    </row>
    <row r="398" spans="1:14" s="9" customFormat="1" ht="16.5" customHeight="1" x14ac:dyDescent="0.2">
      <c r="A398" s="69"/>
      <c r="B398" s="59">
        <v>90095</v>
      </c>
      <c r="C398" s="70" t="s">
        <v>7</v>
      </c>
      <c r="D398" s="86">
        <f>60000+334000</f>
        <v>394000</v>
      </c>
      <c r="G398" s="11"/>
      <c r="K398" s="27"/>
      <c r="L398" s="26"/>
    </row>
    <row r="399" spans="1:14" s="9" customFormat="1" ht="16.5" customHeight="1" x14ac:dyDescent="0.2">
      <c r="A399" s="62">
        <v>921</v>
      </c>
      <c r="B399" s="63"/>
      <c r="C399" s="66" t="s">
        <v>44</v>
      </c>
      <c r="D399" s="65">
        <f>D400+D401</f>
        <v>44500</v>
      </c>
      <c r="E399" s="45"/>
      <c r="G399" s="11"/>
      <c r="L399" s="26"/>
      <c r="M399" s="25"/>
    </row>
    <row r="400" spans="1:14" s="7" customFormat="1" ht="16.5" customHeight="1" x14ac:dyDescent="0.2">
      <c r="A400" s="69"/>
      <c r="B400" s="73">
        <v>92109</v>
      </c>
      <c r="C400" s="70" t="s">
        <v>45</v>
      </c>
      <c r="D400" s="84">
        <f>32500</f>
        <v>32500</v>
      </c>
      <c r="G400" s="11"/>
      <c r="L400" s="23"/>
      <c r="N400" s="27"/>
    </row>
    <row r="401" spans="1:12" s="7" customFormat="1" ht="16.5" customHeight="1" x14ac:dyDescent="0.2">
      <c r="A401" s="69"/>
      <c r="B401" s="73">
        <v>92116</v>
      </c>
      <c r="C401" s="70" t="s">
        <v>46</v>
      </c>
      <c r="D401" s="84">
        <f>12000</f>
        <v>12000</v>
      </c>
      <c r="G401" s="11"/>
      <c r="L401" s="23"/>
    </row>
    <row r="402" spans="1:12" s="7" customFormat="1" ht="16.5" customHeight="1" x14ac:dyDescent="0.2">
      <c r="A402" s="62">
        <v>926</v>
      </c>
      <c r="B402" s="63"/>
      <c r="C402" s="127" t="s">
        <v>32</v>
      </c>
      <c r="D402" s="77">
        <f>D403+D404+D405</f>
        <v>264000</v>
      </c>
      <c r="F402" s="22"/>
      <c r="G402" s="11"/>
      <c r="L402" s="23"/>
    </row>
    <row r="403" spans="1:12" s="9" customFormat="1" ht="16.5" customHeight="1" x14ac:dyDescent="0.2">
      <c r="A403" s="78"/>
      <c r="B403" s="102">
        <v>92601</v>
      </c>
      <c r="C403" s="132" t="s">
        <v>33</v>
      </c>
      <c r="D403" s="110">
        <f>200000</f>
        <v>200000</v>
      </c>
      <c r="F403" s="14"/>
      <c r="G403" s="11"/>
      <c r="L403" s="26"/>
    </row>
    <row r="404" spans="1:12" s="9" customFormat="1" ht="16.5" customHeight="1" x14ac:dyDescent="0.2">
      <c r="A404" s="115"/>
      <c r="B404" s="59">
        <v>92605</v>
      </c>
      <c r="C404" s="88" t="s">
        <v>34</v>
      </c>
      <c r="D404" s="84">
        <f>3000+45000</f>
        <v>48000</v>
      </c>
      <c r="G404" s="11"/>
      <c r="L404" s="26"/>
    </row>
    <row r="405" spans="1:12" s="7" customFormat="1" ht="16.5" customHeight="1" x14ac:dyDescent="0.2">
      <c r="A405" s="92"/>
      <c r="B405" s="63">
        <v>92695</v>
      </c>
      <c r="C405" s="116" t="s">
        <v>7</v>
      </c>
      <c r="D405" s="137">
        <f>16000</f>
        <v>16000</v>
      </c>
      <c r="G405" s="11"/>
      <c r="L405" s="23"/>
    </row>
    <row r="406" spans="1:12" s="8" customFormat="1" ht="18.75" customHeight="1" x14ac:dyDescent="0.2">
      <c r="A406" s="96"/>
      <c r="B406" s="97"/>
      <c r="C406" s="98" t="s">
        <v>20</v>
      </c>
      <c r="D406" s="99">
        <f>D407+D409+D412+D415+D417+D419+D422+D426+D429+D431+D433+D437+D440</f>
        <v>3623578</v>
      </c>
      <c r="F406" s="14"/>
      <c r="G406" s="11"/>
      <c r="L406" s="31"/>
    </row>
    <row r="407" spans="1:12" s="7" customFormat="1" ht="16.5" customHeight="1" x14ac:dyDescent="0.2">
      <c r="A407" s="54">
        <v>600</v>
      </c>
      <c r="B407" s="55"/>
      <c r="C407" s="56" t="s">
        <v>5</v>
      </c>
      <c r="D407" s="57">
        <f>D408</f>
        <v>700000</v>
      </c>
      <c r="F407" s="22"/>
      <c r="G407" s="11"/>
      <c r="L407" s="23"/>
    </row>
    <row r="408" spans="1:12" s="8" customFormat="1" ht="16.5" customHeight="1" x14ac:dyDescent="0.2">
      <c r="A408" s="58"/>
      <c r="B408" s="59">
        <v>60016</v>
      </c>
      <c r="C408" s="60" t="s">
        <v>6</v>
      </c>
      <c r="D408" s="61">
        <f>700000</f>
        <v>700000</v>
      </c>
      <c r="F408" s="29"/>
      <c r="G408" s="11"/>
      <c r="L408" s="31"/>
    </row>
    <row r="409" spans="1:12" s="7" customFormat="1" ht="16.5" customHeight="1" x14ac:dyDescent="0.2">
      <c r="A409" s="62">
        <v>750</v>
      </c>
      <c r="B409" s="63"/>
      <c r="C409" s="64" t="s">
        <v>52</v>
      </c>
      <c r="D409" s="72">
        <f>D410+D411</f>
        <v>33000</v>
      </c>
      <c r="F409" s="22"/>
      <c r="G409" s="11"/>
      <c r="L409" s="23"/>
    </row>
    <row r="410" spans="1:12" s="7" customFormat="1" ht="16.5" customHeight="1" x14ac:dyDescent="0.2">
      <c r="A410" s="69"/>
      <c r="B410" s="59">
        <v>75022</v>
      </c>
      <c r="C410" s="60" t="s">
        <v>53</v>
      </c>
      <c r="D410" s="74">
        <f>10000</f>
        <v>10000</v>
      </c>
      <c r="E410" s="44"/>
      <c r="G410" s="11"/>
      <c r="L410" s="23"/>
    </row>
    <row r="411" spans="1:12" s="7" customFormat="1" ht="16.5" customHeight="1" x14ac:dyDescent="0.2">
      <c r="A411" s="69"/>
      <c r="B411" s="59">
        <v>75095</v>
      </c>
      <c r="C411" s="60" t="s">
        <v>7</v>
      </c>
      <c r="D411" s="74">
        <f>23000</f>
        <v>23000</v>
      </c>
      <c r="G411" s="11"/>
      <c r="L411" s="23"/>
    </row>
    <row r="412" spans="1:12" s="9" customFormat="1" ht="16.5" customHeight="1" x14ac:dyDescent="0.2">
      <c r="A412" s="62">
        <v>754</v>
      </c>
      <c r="B412" s="63"/>
      <c r="C412" s="66" t="s">
        <v>41</v>
      </c>
      <c r="D412" s="72">
        <f>D413+D414</f>
        <v>41500</v>
      </c>
      <c r="F412" s="7"/>
      <c r="G412" s="11"/>
      <c r="L412" s="26"/>
    </row>
    <row r="413" spans="1:12" s="7" customFormat="1" ht="16.5" customHeight="1" x14ac:dyDescent="0.2">
      <c r="A413" s="69"/>
      <c r="B413" s="59">
        <v>75411</v>
      </c>
      <c r="C413" s="60" t="s">
        <v>57</v>
      </c>
      <c r="D413" s="74">
        <f>35000</f>
        <v>35000</v>
      </c>
      <c r="G413" s="11"/>
      <c r="L413" s="23"/>
    </row>
    <row r="414" spans="1:12" s="9" customFormat="1" ht="16.5" customHeight="1" x14ac:dyDescent="0.2">
      <c r="A414" s="69"/>
      <c r="B414" s="59">
        <v>75416</v>
      </c>
      <c r="C414" s="60" t="s">
        <v>43</v>
      </c>
      <c r="D414" s="74">
        <f>6500</f>
        <v>6500</v>
      </c>
      <c r="G414" s="11"/>
      <c r="L414" s="26"/>
    </row>
    <row r="415" spans="1:12" s="7" customFormat="1" ht="16.5" customHeight="1" x14ac:dyDescent="0.2">
      <c r="A415" s="62">
        <v>758</v>
      </c>
      <c r="B415" s="63"/>
      <c r="C415" s="67" t="s">
        <v>27</v>
      </c>
      <c r="D415" s="68">
        <f>D416</f>
        <v>835811</v>
      </c>
      <c r="F415" s="22"/>
      <c r="G415" s="11"/>
      <c r="L415" s="23"/>
    </row>
    <row r="416" spans="1:12" s="9" customFormat="1" ht="16.5" customHeight="1" x14ac:dyDescent="0.2">
      <c r="A416" s="78"/>
      <c r="B416" s="102">
        <v>75818</v>
      </c>
      <c r="C416" s="108" t="s">
        <v>28</v>
      </c>
      <c r="D416" s="71">
        <f>2955342-D407-D409-D412-D417-D419-D422-D426-D429-D431-D433-D437-D440+668236</f>
        <v>835811</v>
      </c>
      <c r="F416" s="22"/>
      <c r="G416" s="28"/>
      <c r="H416" s="28"/>
      <c r="L416" s="26"/>
    </row>
    <row r="417" spans="1:12" s="9" customFormat="1" ht="16.5" customHeight="1" x14ac:dyDescent="0.2">
      <c r="A417" s="62">
        <v>801</v>
      </c>
      <c r="B417" s="63"/>
      <c r="C417" s="67" t="s">
        <v>29</v>
      </c>
      <c r="D417" s="65">
        <f>D418</f>
        <v>762000</v>
      </c>
      <c r="F417" s="14"/>
      <c r="H417" s="11"/>
      <c r="L417" s="26"/>
    </row>
    <row r="418" spans="1:12" s="8" customFormat="1" ht="16.5" customHeight="1" x14ac:dyDescent="0.2">
      <c r="A418" s="78"/>
      <c r="B418" s="79">
        <v>80195</v>
      </c>
      <c r="C418" s="103" t="s">
        <v>7</v>
      </c>
      <c r="D418" s="123">
        <f>30000+30000+30000+30000+30000+30000+20000+30000+30000+30000+50000+50000+50000+50000+50000+43000+69000+60000+50000</f>
        <v>762000</v>
      </c>
      <c r="F418" s="22"/>
      <c r="G418" s="11"/>
      <c r="L418" s="31"/>
    </row>
    <row r="419" spans="1:12" s="8" customFormat="1" ht="16.5" customHeight="1" x14ac:dyDescent="0.2">
      <c r="A419" s="62">
        <v>851</v>
      </c>
      <c r="B419" s="75"/>
      <c r="C419" s="66" t="s">
        <v>48</v>
      </c>
      <c r="D419" s="65">
        <f>D420+D421</f>
        <v>35000</v>
      </c>
      <c r="F419" s="22"/>
      <c r="G419" s="11"/>
      <c r="L419" s="31"/>
    </row>
    <row r="420" spans="1:12" s="8" customFormat="1" ht="16.5" customHeight="1" x14ac:dyDescent="0.2">
      <c r="A420" s="78"/>
      <c r="B420" s="79">
        <v>85117</v>
      </c>
      <c r="C420" s="108" t="s">
        <v>49</v>
      </c>
      <c r="D420" s="123">
        <f>25000</f>
        <v>25000</v>
      </c>
      <c r="E420" s="7"/>
      <c r="F420" s="22"/>
      <c r="G420" s="11"/>
      <c r="L420" s="31"/>
    </row>
    <row r="421" spans="1:12" s="8" customFormat="1" ht="16.5" customHeight="1" x14ac:dyDescent="0.2">
      <c r="A421" s="62"/>
      <c r="B421" s="75">
        <v>85149</v>
      </c>
      <c r="C421" s="113" t="s">
        <v>50</v>
      </c>
      <c r="D421" s="130">
        <f>10000</f>
        <v>10000</v>
      </c>
      <c r="F421" s="22"/>
      <c r="G421" s="11"/>
      <c r="L421" s="31"/>
    </row>
    <row r="422" spans="1:12" s="8" customFormat="1" ht="16.5" customHeight="1" x14ac:dyDescent="0.2">
      <c r="A422" s="62">
        <v>852</v>
      </c>
      <c r="B422" s="75"/>
      <c r="C422" s="66" t="s">
        <v>54</v>
      </c>
      <c r="D422" s="72">
        <f>D423+D424+D425</f>
        <v>41767</v>
      </c>
      <c r="F422" s="22"/>
      <c r="G422" s="11"/>
      <c r="L422" s="31"/>
    </row>
    <row r="423" spans="1:12" s="8" customFormat="1" ht="16.5" customHeight="1" x14ac:dyDescent="0.2">
      <c r="A423" s="69"/>
      <c r="B423" s="73">
        <v>85203</v>
      </c>
      <c r="C423" s="70" t="s">
        <v>56</v>
      </c>
      <c r="D423" s="74">
        <f>16000</f>
        <v>16000</v>
      </c>
      <c r="F423" s="22"/>
      <c r="G423" s="11"/>
      <c r="L423" s="31"/>
    </row>
    <row r="424" spans="1:12" s="8" customFormat="1" ht="24" x14ac:dyDescent="0.2">
      <c r="A424" s="69"/>
      <c r="B424" s="73">
        <v>85214</v>
      </c>
      <c r="C424" s="70" t="s">
        <v>64</v>
      </c>
      <c r="D424" s="74">
        <f>15767</f>
        <v>15767</v>
      </c>
      <c r="F424" s="22"/>
      <c r="G424" s="11"/>
      <c r="L424" s="31"/>
    </row>
    <row r="425" spans="1:12" s="8" customFormat="1" ht="16.5" customHeight="1" x14ac:dyDescent="0.2">
      <c r="A425" s="69"/>
      <c r="B425" s="73">
        <v>85295</v>
      </c>
      <c r="C425" s="70" t="s">
        <v>7</v>
      </c>
      <c r="D425" s="74">
        <v>10000</v>
      </c>
      <c r="F425" s="22"/>
      <c r="G425" s="11"/>
      <c r="L425" s="31"/>
    </row>
    <row r="426" spans="1:12" s="8" customFormat="1" ht="16.5" customHeight="1" x14ac:dyDescent="0.2">
      <c r="A426" s="62">
        <v>853</v>
      </c>
      <c r="B426" s="63"/>
      <c r="C426" s="64" t="s">
        <v>36</v>
      </c>
      <c r="D426" s="77">
        <f>D427+D428</f>
        <v>73000</v>
      </c>
      <c r="F426" s="22"/>
      <c r="G426" s="11"/>
      <c r="L426" s="31"/>
    </row>
    <row r="427" spans="1:12" s="7" customFormat="1" ht="16.5" customHeight="1" x14ac:dyDescent="0.2">
      <c r="A427" s="69"/>
      <c r="B427" s="73">
        <v>85311</v>
      </c>
      <c r="C427" s="76" t="s">
        <v>58</v>
      </c>
      <c r="D427" s="74">
        <f>4000</f>
        <v>4000</v>
      </c>
      <c r="F427" s="22"/>
      <c r="G427" s="11"/>
      <c r="L427" s="23"/>
    </row>
    <row r="428" spans="1:12" s="8" customFormat="1" ht="16.5" customHeight="1" x14ac:dyDescent="0.2">
      <c r="A428" s="69"/>
      <c r="B428" s="73">
        <v>85395</v>
      </c>
      <c r="C428" s="70" t="s">
        <v>7</v>
      </c>
      <c r="D428" s="84">
        <f>15000+17000+7000+30000</f>
        <v>69000</v>
      </c>
      <c r="F428" s="22"/>
      <c r="G428" s="11"/>
      <c r="L428" s="31"/>
    </row>
    <row r="429" spans="1:12" s="7" customFormat="1" ht="16.5" customHeight="1" x14ac:dyDescent="0.2">
      <c r="A429" s="62">
        <v>854</v>
      </c>
      <c r="B429" s="75"/>
      <c r="C429" s="66" t="s">
        <v>40</v>
      </c>
      <c r="D429" s="65">
        <f>D430</f>
        <v>85500</v>
      </c>
      <c r="F429" s="22"/>
      <c r="G429" s="11"/>
      <c r="L429" s="23"/>
    </row>
    <row r="430" spans="1:12" s="7" customFormat="1" ht="16.5" customHeight="1" x14ac:dyDescent="0.2">
      <c r="A430" s="69"/>
      <c r="B430" s="73">
        <v>85495</v>
      </c>
      <c r="C430" s="70" t="s">
        <v>7</v>
      </c>
      <c r="D430" s="84">
        <f>68500+9000+8000</f>
        <v>85500</v>
      </c>
      <c r="F430" s="22"/>
      <c r="G430" s="11"/>
      <c r="L430" s="23"/>
    </row>
    <row r="431" spans="1:12" s="7" customFormat="1" ht="16.5" customHeight="1" x14ac:dyDescent="0.2">
      <c r="A431" s="85">
        <v>855</v>
      </c>
      <c r="B431" s="75"/>
      <c r="C431" s="66" t="s">
        <v>61</v>
      </c>
      <c r="D431" s="65">
        <f>D432</f>
        <v>47000</v>
      </c>
      <c r="F431" s="22"/>
      <c r="G431" s="11"/>
      <c r="L431" s="23"/>
    </row>
    <row r="432" spans="1:12" s="7" customFormat="1" ht="16.5" customHeight="1" x14ac:dyDescent="0.2">
      <c r="A432" s="69"/>
      <c r="B432" s="59">
        <v>85516</v>
      </c>
      <c r="C432" s="70" t="s">
        <v>63</v>
      </c>
      <c r="D432" s="86">
        <f>20000+27000</f>
        <v>47000</v>
      </c>
      <c r="F432" s="22"/>
      <c r="G432" s="11"/>
      <c r="L432" s="23"/>
    </row>
    <row r="433" spans="1:12" s="9" customFormat="1" ht="16.5" customHeight="1" x14ac:dyDescent="0.2">
      <c r="A433" s="85">
        <v>900</v>
      </c>
      <c r="B433" s="75"/>
      <c r="C433" s="66" t="s">
        <v>30</v>
      </c>
      <c r="D433" s="65">
        <f>D434+D435+D436</f>
        <v>595000</v>
      </c>
      <c r="F433" s="14"/>
      <c r="G433" s="11"/>
      <c r="L433" s="26"/>
    </row>
    <row r="434" spans="1:12" s="9" customFormat="1" ht="16.5" customHeight="1" x14ac:dyDescent="0.2">
      <c r="A434" s="78"/>
      <c r="B434" s="102">
        <v>90004</v>
      </c>
      <c r="C434" s="108" t="s">
        <v>35</v>
      </c>
      <c r="D434" s="71">
        <f>30000</f>
        <v>30000</v>
      </c>
      <c r="F434" s="14"/>
      <c r="G434" s="11"/>
      <c r="L434" s="26"/>
    </row>
    <row r="435" spans="1:12" s="9" customFormat="1" ht="16.5" customHeight="1" x14ac:dyDescent="0.2">
      <c r="A435" s="119"/>
      <c r="B435" s="59">
        <v>90015</v>
      </c>
      <c r="C435" s="70" t="s">
        <v>31</v>
      </c>
      <c r="D435" s="61">
        <f>70000</f>
        <v>70000</v>
      </c>
      <c r="G435" s="11"/>
      <c r="K435" s="27"/>
      <c r="L435" s="26"/>
    </row>
    <row r="436" spans="1:12" s="9" customFormat="1" ht="16.5" customHeight="1" x14ac:dyDescent="0.2">
      <c r="A436" s="69"/>
      <c r="B436" s="59">
        <v>90095</v>
      </c>
      <c r="C436" s="70" t="s">
        <v>7</v>
      </c>
      <c r="D436" s="86">
        <f>495000</f>
        <v>495000</v>
      </c>
      <c r="G436" s="11"/>
      <c r="L436" s="26"/>
    </row>
    <row r="437" spans="1:12" s="7" customFormat="1" ht="16.5" customHeight="1" x14ac:dyDescent="0.2">
      <c r="A437" s="62">
        <v>921</v>
      </c>
      <c r="B437" s="63"/>
      <c r="C437" s="66" t="s">
        <v>44</v>
      </c>
      <c r="D437" s="65">
        <f>D438+D439</f>
        <v>177000</v>
      </c>
      <c r="G437" s="11"/>
      <c r="L437" s="23"/>
    </row>
    <row r="438" spans="1:12" s="7" customFormat="1" ht="16.5" customHeight="1" x14ac:dyDescent="0.2">
      <c r="A438" s="69"/>
      <c r="B438" s="73">
        <v>92109</v>
      </c>
      <c r="C438" s="70" t="s">
        <v>45</v>
      </c>
      <c r="D438" s="84">
        <f>147000</f>
        <v>147000</v>
      </c>
      <c r="F438" s="22"/>
      <c r="G438" s="28"/>
      <c r="L438" s="23"/>
    </row>
    <row r="439" spans="1:12" s="9" customFormat="1" ht="16.5" customHeight="1" x14ac:dyDescent="0.2">
      <c r="A439" s="69"/>
      <c r="B439" s="73">
        <v>92116</v>
      </c>
      <c r="C439" s="70" t="s">
        <v>46</v>
      </c>
      <c r="D439" s="84">
        <f>30000</f>
        <v>30000</v>
      </c>
      <c r="F439" s="14"/>
      <c r="G439" s="11"/>
      <c r="L439" s="46"/>
    </row>
    <row r="440" spans="1:12" s="8" customFormat="1" ht="16.5" customHeight="1" x14ac:dyDescent="0.2">
      <c r="A440" s="62">
        <v>926</v>
      </c>
      <c r="B440" s="63"/>
      <c r="C440" s="67" t="s">
        <v>32</v>
      </c>
      <c r="D440" s="77">
        <f>D441+D442</f>
        <v>197000</v>
      </c>
      <c r="F440" s="22"/>
      <c r="G440" s="11"/>
      <c r="L440" s="47"/>
    </row>
    <row r="441" spans="1:12" s="8" customFormat="1" ht="16.5" customHeight="1" x14ac:dyDescent="0.2">
      <c r="A441" s="69"/>
      <c r="B441" s="59">
        <v>92601</v>
      </c>
      <c r="C441" s="87" t="s">
        <v>33</v>
      </c>
      <c r="D441" s="84">
        <f>133000</f>
        <v>133000</v>
      </c>
      <c r="G441" s="11"/>
      <c r="L441" s="47"/>
    </row>
    <row r="442" spans="1:12" s="7" customFormat="1" ht="16.5" customHeight="1" x14ac:dyDescent="0.2">
      <c r="A442" s="92"/>
      <c r="B442" s="63">
        <v>92605</v>
      </c>
      <c r="C442" s="135" t="s">
        <v>34</v>
      </c>
      <c r="D442" s="83">
        <f>25000+30000+9000</f>
        <v>64000</v>
      </c>
      <c r="G442" s="11"/>
      <c r="L442" s="48"/>
    </row>
    <row r="443" spans="1:12" s="7" customFormat="1" ht="18.75" customHeight="1" x14ac:dyDescent="0.2">
      <c r="A443" s="96"/>
      <c r="B443" s="97"/>
      <c r="C443" s="98" t="s">
        <v>21</v>
      </c>
      <c r="D443" s="99">
        <f>D444+D446+D448+D451+D453+D455+D457+D460+D462+D466+D472</f>
        <v>3317910</v>
      </c>
      <c r="F443" s="14"/>
      <c r="G443" s="11"/>
      <c r="L443" s="48"/>
    </row>
    <row r="444" spans="1:12" s="9" customFormat="1" ht="16.5" customHeight="1" x14ac:dyDescent="0.2">
      <c r="A444" s="54">
        <v>600</v>
      </c>
      <c r="B444" s="55"/>
      <c r="C444" s="56" t="s">
        <v>5</v>
      </c>
      <c r="D444" s="57">
        <f>D445</f>
        <v>857843</v>
      </c>
      <c r="F444" s="22"/>
      <c r="G444" s="11"/>
      <c r="L444" s="46"/>
    </row>
    <row r="445" spans="1:12" s="7" customFormat="1" ht="16.5" customHeight="1" x14ac:dyDescent="0.2">
      <c r="A445" s="58"/>
      <c r="B445" s="59">
        <v>60016</v>
      </c>
      <c r="C445" s="60" t="s">
        <v>6</v>
      </c>
      <c r="D445" s="61">
        <f>857843</f>
        <v>857843</v>
      </c>
      <c r="E445" s="44"/>
      <c r="F445" s="9"/>
      <c r="G445" s="11"/>
      <c r="L445" s="48"/>
    </row>
    <row r="446" spans="1:12" s="7" customFormat="1" ht="16.5" customHeight="1" x14ac:dyDescent="0.2">
      <c r="A446" s="62">
        <v>750</v>
      </c>
      <c r="B446" s="63"/>
      <c r="C446" s="64" t="s">
        <v>52</v>
      </c>
      <c r="D446" s="72">
        <f>D447</f>
        <v>20000</v>
      </c>
      <c r="G446" s="11"/>
      <c r="L446" s="48"/>
    </row>
    <row r="447" spans="1:12" s="7" customFormat="1" ht="16.5" customHeight="1" x14ac:dyDescent="0.2">
      <c r="A447" s="69"/>
      <c r="B447" s="59">
        <v>75095</v>
      </c>
      <c r="C447" s="60" t="s">
        <v>7</v>
      </c>
      <c r="D447" s="74">
        <f>20000</f>
        <v>20000</v>
      </c>
      <c r="G447" s="11"/>
      <c r="L447" s="23"/>
    </row>
    <row r="448" spans="1:12" s="7" customFormat="1" ht="16.5" customHeight="1" x14ac:dyDescent="0.2">
      <c r="A448" s="62">
        <v>754</v>
      </c>
      <c r="B448" s="63"/>
      <c r="C448" s="66" t="s">
        <v>41</v>
      </c>
      <c r="D448" s="72">
        <f>D449+D450</f>
        <v>64700</v>
      </c>
      <c r="E448" s="24"/>
      <c r="G448" s="11"/>
      <c r="L448" s="23"/>
    </row>
    <row r="449" spans="1:12" s="9" customFormat="1" ht="16.5" customHeight="1" x14ac:dyDescent="0.2">
      <c r="A449" s="69"/>
      <c r="B449" s="59">
        <v>75411</v>
      </c>
      <c r="C449" s="60" t="s">
        <v>57</v>
      </c>
      <c r="D449" s="74">
        <f>40000</f>
        <v>40000</v>
      </c>
      <c r="F449" s="7"/>
      <c r="G449" s="11"/>
      <c r="L449" s="26"/>
    </row>
    <row r="450" spans="1:12" s="7" customFormat="1" ht="16.5" customHeight="1" x14ac:dyDescent="0.2">
      <c r="A450" s="69"/>
      <c r="B450" s="59">
        <v>75416</v>
      </c>
      <c r="C450" s="60" t="s">
        <v>43</v>
      </c>
      <c r="D450" s="74">
        <f>24700</f>
        <v>24700</v>
      </c>
      <c r="E450" s="8"/>
      <c r="G450" s="11"/>
      <c r="L450" s="23"/>
    </row>
    <row r="451" spans="1:12" s="7" customFormat="1" ht="16.5" customHeight="1" x14ac:dyDescent="0.2">
      <c r="A451" s="62">
        <v>758</v>
      </c>
      <c r="B451" s="63"/>
      <c r="C451" s="67" t="s">
        <v>27</v>
      </c>
      <c r="D451" s="68">
        <f>D452</f>
        <v>611867</v>
      </c>
      <c r="F451" s="14"/>
      <c r="G451" s="11"/>
      <c r="L451" s="23"/>
    </row>
    <row r="452" spans="1:12" s="8" customFormat="1" ht="16.5" customHeight="1" x14ac:dyDescent="0.2">
      <c r="A452" s="69"/>
      <c r="B452" s="59">
        <v>75818</v>
      </c>
      <c r="C452" s="70" t="s">
        <v>28</v>
      </c>
      <c r="D452" s="71">
        <f>2706043-D444-D446-D448-D453-D455-D457-D460-D462-D466-D472+611867</f>
        <v>611867</v>
      </c>
      <c r="F452" s="22"/>
      <c r="G452" s="11"/>
      <c r="L452" s="31"/>
    </row>
    <row r="453" spans="1:12" s="8" customFormat="1" ht="16.5" customHeight="1" x14ac:dyDescent="0.2">
      <c r="A453" s="62">
        <v>801</v>
      </c>
      <c r="B453" s="63"/>
      <c r="C453" s="67" t="s">
        <v>29</v>
      </c>
      <c r="D453" s="65">
        <f>D454</f>
        <v>661000</v>
      </c>
      <c r="F453" s="22"/>
      <c r="G453" s="11"/>
      <c r="L453" s="31"/>
    </row>
    <row r="454" spans="1:12" s="8" customFormat="1" ht="16.5" customHeight="1" x14ac:dyDescent="0.2">
      <c r="A454" s="78"/>
      <c r="B454" s="79">
        <v>80195</v>
      </c>
      <c r="C454" s="103" t="s">
        <v>7</v>
      </c>
      <c r="D454" s="123">
        <f>4000+20000+37000+70000+4000+34500+102500+202500+22500+2000+124500+37500</f>
        <v>661000</v>
      </c>
      <c r="F454" s="22"/>
      <c r="G454" s="11"/>
      <c r="L454" s="31"/>
    </row>
    <row r="455" spans="1:12" s="8" customFormat="1" ht="16.5" customHeight="1" x14ac:dyDescent="0.2">
      <c r="A455" s="62">
        <v>851</v>
      </c>
      <c r="B455" s="75"/>
      <c r="C455" s="66" t="s">
        <v>48</v>
      </c>
      <c r="D455" s="65">
        <f>D456</f>
        <v>2000</v>
      </c>
      <c r="F455" s="22"/>
      <c r="G455" s="11"/>
      <c r="L455" s="31"/>
    </row>
    <row r="456" spans="1:12" s="7" customFormat="1" ht="16.5" customHeight="1" x14ac:dyDescent="0.2">
      <c r="A456" s="69"/>
      <c r="B456" s="73">
        <v>85149</v>
      </c>
      <c r="C456" s="70" t="s">
        <v>50</v>
      </c>
      <c r="D456" s="74">
        <f>2000</f>
        <v>2000</v>
      </c>
      <c r="F456" s="22"/>
      <c r="G456" s="11"/>
      <c r="L456" s="23"/>
    </row>
    <row r="457" spans="1:12" s="8" customFormat="1" ht="16.5" customHeight="1" x14ac:dyDescent="0.2">
      <c r="A457" s="62">
        <v>852</v>
      </c>
      <c r="B457" s="75"/>
      <c r="C457" s="66" t="s">
        <v>54</v>
      </c>
      <c r="D457" s="72">
        <f>D458+D459</f>
        <v>115000</v>
      </c>
      <c r="F457" s="22"/>
      <c r="G457" s="11"/>
      <c r="L457" s="31"/>
    </row>
    <row r="458" spans="1:12" s="7" customFormat="1" ht="16.5" customHeight="1" x14ac:dyDescent="0.2">
      <c r="A458" s="69"/>
      <c r="B458" s="73">
        <v>85202</v>
      </c>
      <c r="C458" s="70" t="s">
        <v>55</v>
      </c>
      <c r="D458" s="74">
        <f>32000+45000+30000</f>
        <v>107000</v>
      </c>
      <c r="F458" s="22"/>
      <c r="G458" s="11"/>
      <c r="L458" s="23"/>
    </row>
    <row r="459" spans="1:12" s="7" customFormat="1" ht="16.5" customHeight="1" x14ac:dyDescent="0.2">
      <c r="A459" s="62"/>
      <c r="B459" s="75">
        <v>85295</v>
      </c>
      <c r="C459" s="129" t="s">
        <v>7</v>
      </c>
      <c r="D459" s="130">
        <f>8000</f>
        <v>8000</v>
      </c>
      <c r="F459" s="22"/>
      <c r="G459" s="11"/>
      <c r="L459" s="23"/>
    </row>
    <row r="460" spans="1:12" s="7" customFormat="1" ht="16.5" customHeight="1" x14ac:dyDescent="0.2">
      <c r="A460" s="62">
        <v>853</v>
      </c>
      <c r="B460" s="63"/>
      <c r="C460" s="64" t="s">
        <v>36</v>
      </c>
      <c r="D460" s="77">
        <f>D461</f>
        <v>60000</v>
      </c>
      <c r="F460" s="22"/>
      <c r="G460" s="11"/>
      <c r="L460" s="23"/>
    </row>
    <row r="461" spans="1:12" s="9" customFormat="1" ht="16.5" customHeight="1" x14ac:dyDescent="0.2">
      <c r="A461" s="69"/>
      <c r="B461" s="73">
        <v>85395</v>
      </c>
      <c r="C461" s="70" t="s">
        <v>7</v>
      </c>
      <c r="D461" s="84">
        <f>30000+30000</f>
        <v>60000</v>
      </c>
      <c r="F461" s="14"/>
      <c r="G461" s="11"/>
      <c r="L461" s="26"/>
    </row>
    <row r="462" spans="1:12" s="9" customFormat="1" ht="16.5" customHeight="1" x14ac:dyDescent="0.2">
      <c r="A462" s="85">
        <v>900</v>
      </c>
      <c r="B462" s="75"/>
      <c r="C462" s="66" t="s">
        <v>30</v>
      </c>
      <c r="D462" s="65">
        <f>D463+D464+D465</f>
        <v>529000</v>
      </c>
      <c r="F462" s="14"/>
      <c r="G462" s="11"/>
      <c r="L462" s="26"/>
    </row>
    <row r="463" spans="1:12" s="7" customFormat="1" ht="16.5" customHeight="1" x14ac:dyDescent="0.2">
      <c r="A463" s="78"/>
      <c r="B463" s="102">
        <v>90004</v>
      </c>
      <c r="C463" s="108" t="s">
        <v>35</v>
      </c>
      <c r="D463" s="71">
        <f>15000+40000</f>
        <v>55000</v>
      </c>
      <c r="G463" s="11"/>
      <c r="K463" s="27"/>
      <c r="L463" s="23"/>
    </row>
    <row r="464" spans="1:12" s="9" customFormat="1" ht="16.5" customHeight="1" x14ac:dyDescent="0.2">
      <c r="A464" s="119"/>
      <c r="B464" s="59">
        <v>90015</v>
      </c>
      <c r="C464" s="70" t="s">
        <v>31</v>
      </c>
      <c r="D464" s="61">
        <f>204000</f>
        <v>204000</v>
      </c>
      <c r="G464" s="11"/>
      <c r="L464" s="26"/>
    </row>
    <row r="465" spans="1:12" s="9" customFormat="1" ht="16.5" customHeight="1" x14ac:dyDescent="0.2">
      <c r="A465" s="69"/>
      <c r="B465" s="59">
        <v>90095</v>
      </c>
      <c r="C465" s="70" t="s">
        <v>7</v>
      </c>
      <c r="D465" s="86">
        <f>120000+150000</f>
        <v>270000</v>
      </c>
      <c r="G465" s="11"/>
      <c r="L465" s="26"/>
    </row>
    <row r="466" spans="1:12" s="7" customFormat="1" ht="16.5" customHeight="1" x14ac:dyDescent="0.2">
      <c r="A466" s="62">
        <v>921</v>
      </c>
      <c r="B466" s="63"/>
      <c r="C466" s="66" t="s">
        <v>44</v>
      </c>
      <c r="D466" s="68">
        <f>D467+D468+D469+D470+D471</f>
        <v>366500</v>
      </c>
      <c r="F466" s="22"/>
      <c r="G466" s="28"/>
      <c r="L466" s="23"/>
    </row>
    <row r="467" spans="1:12" s="7" customFormat="1" ht="16.5" customHeight="1" x14ac:dyDescent="0.2">
      <c r="A467" s="69"/>
      <c r="B467" s="73">
        <v>92106</v>
      </c>
      <c r="C467" s="70" t="s">
        <v>69</v>
      </c>
      <c r="D467" s="84">
        <v>30000</v>
      </c>
      <c r="F467" s="29"/>
      <c r="G467" s="11"/>
      <c r="L467" s="23"/>
    </row>
    <row r="468" spans="1:12" s="9" customFormat="1" ht="16.5" customHeight="1" x14ac:dyDescent="0.2">
      <c r="A468" s="69"/>
      <c r="B468" s="73">
        <v>92109</v>
      </c>
      <c r="C468" s="70" t="s">
        <v>45</v>
      </c>
      <c r="D468" s="86">
        <f>182500</f>
        <v>182500</v>
      </c>
      <c r="G468" s="11"/>
      <c r="L468" s="26"/>
    </row>
    <row r="469" spans="1:12" s="8" customFormat="1" ht="16.5" customHeight="1" x14ac:dyDescent="0.2">
      <c r="A469" s="69"/>
      <c r="B469" s="73">
        <v>92116</v>
      </c>
      <c r="C469" s="70" t="s">
        <v>46</v>
      </c>
      <c r="D469" s="84">
        <f>4000</f>
        <v>4000</v>
      </c>
      <c r="F469" s="22"/>
      <c r="G469" s="11"/>
      <c r="L469" s="31"/>
    </row>
    <row r="470" spans="1:12" s="7" customFormat="1" ht="16.5" customHeight="1" x14ac:dyDescent="0.2">
      <c r="A470" s="69"/>
      <c r="B470" s="73">
        <v>92118</v>
      </c>
      <c r="C470" s="70" t="s">
        <v>47</v>
      </c>
      <c r="D470" s="84">
        <f>10000</f>
        <v>10000</v>
      </c>
      <c r="F470" s="29"/>
      <c r="G470" s="11"/>
      <c r="L470" s="23"/>
    </row>
    <row r="471" spans="1:12" s="7" customFormat="1" ht="16.5" customHeight="1" x14ac:dyDescent="0.2">
      <c r="A471" s="69"/>
      <c r="B471" s="73">
        <v>92195</v>
      </c>
      <c r="C471" s="70" t="s">
        <v>7</v>
      </c>
      <c r="D471" s="84">
        <f>140000</f>
        <v>140000</v>
      </c>
      <c r="F471" s="29"/>
      <c r="G471" s="11"/>
      <c r="L471" s="23"/>
    </row>
    <row r="472" spans="1:12" s="8" customFormat="1" ht="16.5" customHeight="1" x14ac:dyDescent="0.2">
      <c r="A472" s="62">
        <v>926</v>
      </c>
      <c r="B472" s="63"/>
      <c r="C472" s="67" t="s">
        <v>32</v>
      </c>
      <c r="D472" s="77">
        <f>D473+D474</f>
        <v>30000</v>
      </c>
      <c r="E472" s="9"/>
      <c r="F472" s="22"/>
      <c r="G472" s="11"/>
      <c r="L472" s="31"/>
    </row>
    <row r="473" spans="1:12" s="7" customFormat="1" ht="16.5" customHeight="1" x14ac:dyDescent="0.2">
      <c r="A473" s="69"/>
      <c r="B473" s="59">
        <v>92601</v>
      </c>
      <c r="C473" s="87" t="s">
        <v>33</v>
      </c>
      <c r="D473" s="84">
        <f>25000</f>
        <v>25000</v>
      </c>
      <c r="G473" s="11"/>
      <c r="L473" s="23"/>
    </row>
    <row r="474" spans="1:12" s="7" customFormat="1" ht="16.5" customHeight="1" x14ac:dyDescent="0.2">
      <c r="A474" s="92"/>
      <c r="B474" s="63">
        <v>92605</v>
      </c>
      <c r="C474" s="135" t="s">
        <v>34</v>
      </c>
      <c r="D474" s="83">
        <f>5000</f>
        <v>5000</v>
      </c>
      <c r="G474" s="11"/>
      <c r="L474" s="23"/>
    </row>
    <row r="475" spans="1:12" s="7" customFormat="1" ht="18.75" customHeight="1" x14ac:dyDescent="0.2">
      <c r="A475" s="96"/>
      <c r="B475" s="97"/>
      <c r="C475" s="98" t="s">
        <v>22</v>
      </c>
      <c r="D475" s="99">
        <f>D476+D479+D482+D486+D488+D490+D492+D495+D498+D500+D502+D505</f>
        <v>2686329</v>
      </c>
      <c r="F475" s="22"/>
      <c r="G475" s="11"/>
      <c r="L475" s="23"/>
    </row>
    <row r="476" spans="1:12" s="7" customFormat="1" ht="16.5" customHeight="1" x14ac:dyDescent="0.2">
      <c r="A476" s="54">
        <v>600</v>
      </c>
      <c r="B476" s="55"/>
      <c r="C476" s="56" t="s">
        <v>5</v>
      </c>
      <c r="D476" s="57">
        <f>D477+D478</f>
        <v>612270</v>
      </c>
      <c r="F476" s="22"/>
      <c r="G476" s="11"/>
      <c r="L476" s="23"/>
    </row>
    <row r="477" spans="1:12" s="9" customFormat="1" ht="16.5" customHeight="1" x14ac:dyDescent="0.2">
      <c r="A477" s="58"/>
      <c r="B477" s="59">
        <v>60016</v>
      </c>
      <c r="C477" s="60" t="s">
        <v>6</v>
      </c>
      <c r="D477" s="61">
        <f>487270</f>
        <v>487270</v>
      </c>
      <c r="F477" s="22"/>
      <c r="G477" s="11"/>
      <c r="L477" s="26"/>
    </row>
    <row r="478" spans="1:12" s="7" customFormat="1" ht="16.5" customHeight="1" x14ac:dyDescent="0.2">
      <c r="A478" s="58"/>
      <c r="B478" s="59">
        <v>60017</v>
      </c>
      <c r="C478" s="60" t="s">
        <v>62</v>
      </c>
      <c r="D478" s="61">
        <v>125000</v>
      </c>
      <c r="E478" s="49"/>
      <c r="F478" s="9"/>
      <c r="G478" s="11"/>
      <c r="L478" s="23"/>
    </row>
    <row r="479" spans="1:12" s="7" customFormat="1" ht="16.5" customHeight="1" x14ac:dyDescent="0.2">
      <c r="A479" s="62">
        <v>750</v>
      </c>
      <c r="B479" s="63"/>
      <c r="C479" s="64" t="s">
        <v>52</v>
      </c>
      <c r="D479" s="65">
        <f>D480+D481</f>
        <v>62500</v>
      </c>
      <c r="G479" s="11"/>
      <c r="L479" s="23"/>
    </row>
    <row r="480" spans="1:12" s="7" customFormat="1" ht="16.5" customHeight="1" x14ac:dyDescent="0.2">
      <c r="A480" s="58"/>
      <c r="B480" s="59">
        <v>75022</v>
      </c>
      <c r="C480" s="60" t="s">
        <v>53</v>
      </c>
      <c r="D480" s="61">
        <f>15000+12000</f>
        <v>27000</v>
      </c>
      <c r="G480" s="11"/>
      <c r="L480" s="23"/>
    </row>
    <row r="481" spans="1:12" s="7" customFormat="1" ht="16.5" customHeight="1" x14ac:dyDescent="0.2">
      <c r="A481" s="58"/>
      <c r="B481" s="59">
        <v>75095</v>
      </c>
      <c r="C481" s="60" t="s">
        <v>7</v>
      </c>
      <c r="D481" s="61">
        <f>4500+31000</f>
        <v>35500</v>
      </c>
      <c r="E481" s="24"/>
      <c r="G481" s="11"/>
      <c r="L481" s="23"/>
    </row>
    <row r="482" spans="1:12" s="9" customFormat="1" ht="16.5" customHeight="1" x14ac:dyDescent="0.2">
      <c r="A482" s="62">
        <v>754</v>
      </c>
      <c r="B482" s="63"/>
      <c r="C482" s="66" t="s">
        <v>41</v>
      </c>
      <c r="D482" s="72">
        <f>D483+D484+D485</f>
        <v>43000</v>
      </c>
      <c r="F482" s="7"/>
      <c r="G482" s="11"/>
      <c r="L482" s="26"/>
    </row>
    <row r="483" spans="1:12" s="7" customFormat="1" ht="16.5" customHeight="1" x14ac:dyDescent="0.2">
      <c r="A483" s="69"/>
      <c r="B483" s="59">
        <v>75405</v>
      </c>
      <c r="C483" s="60" t="s">
        <v>42</v>
      </c>
      <c r="D483" s="74">
        <f>13000</f>
        <v>13000</v>
      </c>
      <c r="F483" s="9"/>
      <c r="G483" s="11"/>
      <c r="L483" s="23"/>
    </row>
    <row r="484" spans="1:12" s="7" customFormat="1" ht="16.5" customHeight="1" x14ac:dyDescent="0.2">
      <c r="A484" s="69"/>
      <c r="B484" s="59">
        <v>75411</v>
      </c>
      <c r="C484" s="60" t="s">
        <v>57</v>
      </c>
      <c r="D484" s="74">
        <f>17000</f>
        <v>17000</v>
      </c>
      <c r="F484" s="22"/>
      <c r="G484" s="11"/>
      <c r="L484" s="23"/>
    </row>
    <row r="485" spans="1:12" s="7" customFormat="1" ht="16.5" customHeight="1" x14ac:dyDescent="0.2">
      <c r="A485" s="69"/>
      <c r="B485" s="59">
        <v>75416</v>
      </c>
      <c r="C485" s="60" t="s">
        <v>43</v>
      </c>
      <c r="D485" s="74">
        <f>13000</f>
        <v>13000</v>
      </c>
      <c r="G485" s="11"/>
      <c r="L485" s="23"/>
    </row>
    <row r="486" spans="1:12" s="7" customFormat="1" ht="16.5" customHeight="1" x14ac:dyDescent="0.2">
      <c r="A486" s="62">
        <v>758</v>
      </c>
      <c r="B486" s="63"/>
      <c r="C486" s="127" t="s">
        <v>27</v>
      </c>
      <c r="D486" s="68">
        <f>D487</f>
        <v>845395</v>
      </c>
      <c r="F486" s="14"/>
      <c r="G486" s="11"/>
      <c r="L486" s="23"/>
    </row>
    <row r="487" spans="1:12" s="8" customFormat="1" ht="16.5" customHeight="1" x14ac:dyDescent="0.2">
      <c r="A487" s="69"/>
      <c r="B487" s="59">
        <v>75818</v>
      </c>
      <c r="C487" s="70" t="s">
        <v>28</v>
      </c>
      <c r="D487" s="71">
        <f>2190934-D476-D479-D482-D488-D490-D492-D495-D498-D500-D502-D505+495395</f>
        <v>845395</v>
      </c>
      <c r="F487" s="22"/>
      <c r="G487" s="11"/>
      <c r="L487" s="31"/>
    </row>
    <row r="488" spans="1:12" s="8" customFormat="1" ht="16.5" customHeight="1" x14ac:dyDescent="0.2">
      <c r="A488" s="62">
        <v>801</v>
      </c>
      <c r="B488" s="63"/>
      <c r="C488" s="67" t="s">
        <v>29</v>
      </c>
      <c r="D488" s="65">
        <f>D489</f>
        <v>543664</v>
      </c>
      <c r="F488" s="22"/>
      <c r="G488" s="11"/>
      <c r="L488" s="31"/>
    </row>
    <row r="489" spans="1:12" s="8" customFormat="1" ht="16.5" customHeight="1" x14ac:dyDescent="0.2">
      <c r="A489" s="69"/>
      <c r="B489" s="73">
        <v>80195</v>
      </c>
      <c r="C489" s="60" t="s">
        <v>7</v>
      </c>
      <c r="D489" s="61">
        <f>41500+80500+79000+154664+89000+77000+22000</f>
        <v>543664</v>
      </c>
      <c r="F489" s="22"/>
      <c r="G489" s="11"/>
      <c r="L489" s="31"/>
    </row>
    <row r="490" spans="1:12" s="8" customFormat="1" ht="16.5" customHeight="1" x14ac:dyDescent="0.2">
      <c r="A490" s="62">
        <v>851</v>
      </c>
      <c r="B490" s="75"/>
      <c r="C490" s="66" t="s">
        <v>48</v>
      </c>
      <c r="D490" s="65">
        <f>D491</f>
        <v>9500</v>
      </c>
      <c r="F490" s="22"/>
      <c r="G490" s="11"/>
      <c r="L490" s="31"/>
    </row>
    <row r="491" spans="1:12" s="8" customFormat="1" ht="16.5" customHeight="1" x14ac:dyDescent="0.2">
      <c r="A491" s="69"/>
      <c r="B491" s="73">
        <v>85149</v>
      </c>
      <c r="C491" s="70" t="s">
        <v>50</v>
      </c>
      <c r="D491" s="61">
        <f>9500</f>
        <v>9500</v>
      </c>
      <c r="F491" s="22"/>
      <c r="G491" s="11"/>
      <c r="L491" s="31"/>
    </row>
    <row r="492" spans="1:12" s="8" customFormat="1" ht="16.5" customHeight="1" x14ac:dyDescent="0.2">
      <c r="A492" s="62">
        <v>852</v>
      </c>
      <c r="B492" s="75"/>
      <c r="C492" s="66" t="s">
        <v>54</v>
      </c>
      <c r="D492" s="72">
        <f>D493+D494</f>
        <v>15000</v>
      </c>
      <c r="F492" s="22"/>
      <c r="G492" s="11"/>
      <c r="L492" s="31"/>
    </row>
    <row r="493" spans="1:12" s="7" customFormat="1" ht="24" x14ac:dyDescent="0.2">
      <c r="A493" s="78"/>
      <c r="B493" s="79">
        <v>85214</v>
      </c>
      <c r="C493" s="70" t="s">
        <v>64</v>
      </c>
      <c r="D493" s="81">
        <f>10000</f>
        <v>10000</v>
      </c>
      <c r="F493" s="22"/>
      <c r="G493" s="11"/>
      <c r="L493" s="23"/>
    </row>
    <row r="494" spans="1:12" s="7" customFormat="1" ht="16.5" customHeight="1" x14ac:dyDescent="0.2">
      <c r="A494" s="69"/>
      <c r="B494" s="73">
        <v>85295</v>
      </c>
      <c r="C494" s="60" t="s">
        <v>7</v>
      </c>
      <c r="D494" s="74">
        <v>5000</v>
      </c>
      <c r="F494" s="22"/>
      <c r="G494" s="11"/>
      <c r="L494" s="23"/>
    </row>
    <row r="495" spans="1:12" s="9" customFormat="1" ht="16.5" customHeight="1" x14ac:dyDescent="0.2">
      <c r="A495" s="62">
        <v>853</v>
      </c>
      <c r="B495" s="63"/>
      <c r="C495" s="64" t="s">
        <v>36</v>
      </c>
      <c r="D495" s="77">
        <f>D496+D497</f>
        <v>210000</v>
      </c>
      <c r="F495" s="14"/>
      <c r="G495" s="11"/>
      <c r="L495" s="26"/>
    </row>
    <row r="496" spans="1:12" s="9" customFormat="1" ht="16.5" customHeight="1" x14ac:dyDescent="0.2">
      <c r="A496" s="69"/>
      <c r="B496" s="73">
        <v>85311</v>
      </c>
      <c r="C496" s="76" t="s">
        <v>58</v>
      </c>
      <c r="D496" s="74">
        <f>10000</f>
        <v>10000</v>
      </c>
      <c r="F496" s="14"/>
      <c r="G496" s="11"/>
      <c r="L496" s="26"/>
    </row>
    <row r="497" spans="1:12" s="9" customFormat="1" ht="16.5" customHeight="1" x14ac:dyDescent="0.2">
      <c r="A497" s="62"/>
      <c r="B497" s="75">
        <v>85395</v>
      </c>
      <c r="C497" s="113" t="s">
        <v>7</v>
      </c>
      <c r="D497" s="83">
        <f>200000</f>
        <v>200000</v>
      </c>
      <c r="F497" s="14"/>
      <c r="G497" s="11"/>
      <c r="L497" s="26"/>
    </row>
    <row r="498" spans="1:12" s="9" customFormat="1" ht="16.5" customHeight="1" x14ac:dyDescent="0.2">
      <c r="A498" s="62">
        <v>854</v>
      </c>
      <c r="B498" s="75"/>
      <c r="C498" s="66" t="s">
        <v>40</v>
      </c>
      <c r="D498" s="65">
        <f>D499</f>
        <v>4000</v>
      </c>
      <c r="F498" s="14"/>
      <c r="G498" s="11"/>
      <c r="L498" s="26"/>
    </row>
    <row r="499" spans="1:12" s="9" customFormat="1" ht="16.5" customHeight="1" x14ac:dyDescent="0.2">
      <c r="A499" s="78"/>
      <c r="B499" s="79">
        <v>85495</v>
      </c>
      <c r="C499" s="108" t="s">
        <v>7</v>
      </c>
      <c r="D499" s="110">
        <f>4000</f>
        <v>4000</v>
      </c>
      <c r="F499" s="14"/>
      <c r="G499" s="11"/>
      <c r="L499" s="26"/>
    </row>
    <row r="500" spans="1:12" s="9" customFormat="1" ht="12.6" customHeight="1" x14ac:dyDescent="0.2">
      <c r="A500" s="85">
        <v>855</v>
      </c>
      <c r="B500" s="75"/>
      <c r="C500" s="66" t="s">
        <v>61</v>
      </c>
      <c r="D500" s="65">
        <f>D501</f>
        <v>88000</v>
      </c>
      <c r="G500" s="11"/>
      <c r="K500" s="24"/>
      <c r="L500" s="26"/>
    </row>
    <row r="501" spans="1:12" s="8" customFormat="1" ht="16.5" customHeight="1" x14ac:dyDescent="0.2">
      <c r="A501" s="78"/>
      <c r="B501" s="102">
        <v>85516</v>
      </c>
      <c r="C501" s="108" t="s">
        <v>63</v>
      </c>
      <c r="D501" s="71">
        <v>88000</v>
      </c>
      <c r="G501" s="11"/>
      <c r="L501" s="31"/>
    </row>
    <row r="502" spans="1:12" s="8" customFormat="1" ht="16.5" customHeight="1" x14ac:dyDescent="0.2">
      <c r="A502" s="85">
        <v>900</v>
      </c>
      <c r="B502" s="75"/>
      <c r="C502" s="66" t="s">
        <v>30</v>
      </c>
      <c r="D502" s="65">
        <f>D503+D504</f>
        <v>147000</v>
      </c>
      <c r="G502" s="11"/>
      <c r="L502" s="31"/>
    </row>
    <row r="503" spans="1:12" s="8" customFormat="1" ht="16.5" customHeight="1" x14ac:dyDescent="0.2">
      <c r="A503" s="78"/>
      <c r="B503" s="102">
        <v>90004</v>
      </c>
      <c r="C503" s="108" t="s">
        <v>35</v>
      </c>
      <c r="D503" s="71">
        <f>27000</f>
        <v>27000</v>
      </c>
      <c r="F503" s="22"/>
      <c r="G503" s="11"/>
      <c r="L503" s="31"/>
    </row>
    <row r="504" spans="1:12" s="7" customFormat="1" ht="16.5" customHeight="1" x14ac:dyDescent="0.2">
      <c r="A504" s="69"/>
      <c r="B504" s="73">
        <v>90095</v>
      </c>
      <c r="C504" s="70" t="s">
        <v>7</v>
      </c>
      <c r="D504" s="84">
        <f>120000</f>
        <v>120000</v>
      </c>
      <c r="E504" s="9"/>
      <c r="F504" s="22"/>
      <c r="G504" s="11"/>
      <c r="L504" s="23"/>
    </row>
    <row r="505" spans="1:12" s="7" customFormat="1" ht="16.5" customHeight="1" x14ac:dyDescent="0.2">
      <c r="A505" s="62">
        <v>921</v>
      </c>
      <c r="B505" s="63"/>
      <c r="C505" s="66" t="s">
        <v>44</v>
      </c>
      <c r="D505" s="65">
        <f>D506+D507</f>
        <v>106000</v>
      </c>
      <c r="F505" s="22"/>
      <c r="G505" s="11"/>
      <c r="L505" s="23"/>
    </row>
    <row r="506" spans="1:12" s="7" customFormat="1" ht="16.5" customHeight="1" x14ac:dyDescent="0.2">
      <c r="A506" s="69"/>
      <c r="B506" s="73">
        <v>92109</v>
      </c>
      <c r="C506" s="70" t="s">
        <v>45</v>
      </c>
      <c r="D506" s="84">
        <f>98000</f>
        <v>98000</v>
      </c>
      <c r="G506" s="11"/>
      <c r="L506" s="23"/>
    </row>
    <row r="507" spans="1:12" s="9" customFormat="1" ht="16.5" customHeight="1" x14ac:dyDescent="0.2">
      <c r="A507" s="69"/>
      <c r="B507" s="73">
        <v>92116</v>
      </c>
      <c r="C507" s="70" t="s">
        <v>46</v>
      </c>
      <c r="D507" s="84">
        <v>8000</v>
      </c>
      <c r="G507" s="11"/>
      <c r="L507" s="26"/>
    </row>
    <row r="508" spans="1:12" s="7" customFormat="1" ht="18.75" customHeight="1" x14ac:dyDescent="0.2">
      <c r="A508" s="96"/>
      <c r="B508" s="97"/>
      <c r="C508" s="98" t="s">
        <v>23</v>
      </c>
      <c r="D508" s="111">
        <f>D509+D511+D514+D518+D520+D522+D524+D527+D529+D531+D533+D536+D539</f>
        <v>3115128</v>
      </c>
      <c r="F508" s="14"/>
      <c r="G508" s="11"/>
      <c r="L508" s="23"/>
    </row>
    <row r="509" spans="1:12" s="9" customFormat="1" ht="16.5" customHeight="1" x14ac:dyDescent="0.2">
      <c r="A509" s="54">
        <v>600</v>
      </c>
      <c r="B509" s="55"/>
      <c r="C509" s="56" t="s">
        <v>5</v>
      </c>
      <c r="D509" s="57">
        <f>D510</f>
        <v>598778</v>
      </c>
      <c r="F509" s="22"/>
      <c r="G509" s="11"/>
      <c r="L509" s="26"/>
    </row>
    <row r="510" spans="1:12" s="7" customFormat="1" ht="16.5" customHeight="1" x14ac:dyDescent="0.2">
      <c r="A510" s="58"/>
      <c r="B510" s="59">
        <v>60016</v>
      </c>
      <c r="C510" s="60" t="s">
        <v>6</v>
      </c>
      <c r="D510" s="61">
        <f>598778</f>
        <v>598778</v>
      </c>
      <c r="E510" s="44"/>
      <c r="F510" s="9"/>
      <c r="G510" s="11"/>
      <c r="L510" s="23"/>
    </row>
    <row r="511" spans="1:12" s="9" customFormat="1" ht="16.5" customHeight="1" x14ac:dyDescent="0.2">
      <c r="A511" s="62">
        <v>750</v>
      </c>
      <c r="B511" s="63"/>
      <c r="C511" s="64" t="s">
        <v>52</v>
      </c>
      <c r="D511" s="65">
        <f>D512+D513</f>
        <v>54813</v>
      </c>
      <c r="F511" s="7"/>
      <c r="G511" s="11"/>
      <c r="L511" s="26"/>
    </row>
    <row r="512" spans="1:12" s="7" customFormat="1" ht="16.5" customHeight="1" x14ac:dyDescent="0.2">
      <c r="A512" s="58"/>
      <c r="B512" s="59">
        <v>75022</v>
      </c>
      <c r="C512" s="60" t="s">
        <v>53</v>
      </c>
      <c r="D512" s="61">
        <f>4000</f>
        <v>4000</v>
      </c>
      <c r="F512" s="9"/>
      <c r="G512" s="11"/>
      <c r="L512" s="23"/>
    </row>
    <row r="513" spans="1:12" s="7" customFormat="1" ht="16.5" customHeight="1" x14ac:dyDescent="0.2">
      <c r="A513" s="58"/>
      <c r="B513" s="59">
        <v>75095</v>
      </c>
      <c r="C513" s="60" t="s">
        <v>7</v>
      </c>
      <c r="D513" s="61">
        <f>50813</f>
        <v>50813</v>
      </c>
      <c r="G513" s="11"/>
      <c r="L513" s="23"/>
    </row>
    <row r="514" spans="1:12" s="7" customFormat="1" ht="16.5" customHeight="1" x14ac:dyDescent="0.2">
      <c r="A514" s="62">
        <v>754</v>
      </c>
      <c r="B514" s="63"/>
      <c r="C514" s="66" t="s">
        <v>41</v>
      </c>
      <c r="D514" s="72">
        <f>D515+D516+D517</f>
        <v>61000</v>
      </c>
      <c r="G514" s="11"/>
      <c r="L514" s="23"/>
    </row>
    <row r="515" spans="1:12" s="8" customFormat="1" ht="16.5" customHeight="1" x14ac:dyDescent="0.2">
      <c r="A515" s="69"/>
      <c r="B515" s="59">
        <v>75405</v>
      </c>
      <c r="C515" s="60" t="s">
        <v>42</v>
      </c>
      <c r="D515" s="74">
        <f>20000</f>
        <v>20000</v>
      </c>
      <c r="F515" s="7"/>
      <c r="G515" s="11"/>
      <c r="L515" s="31"/>
    </row>
    <row r="516" spans="1:12" s="8" customFormat="1" ht="16.5" customHeight="1" x14ac:dyDescent="0.2">
      <c r="A516" s="69"/>
      <c r="B516" s="59">
        <v>75411</v>
      </c>
      <c r="C516" s="60" t="s">
        <v>57</v>
      </c>
      <c r="D516" s="74">
        <f>25000</f>
        <v>25000</v>
      </c>
      <c r="F516" s="22"/>
      <c r="G516" s="11"/>
      <c r="L516" s="31"/>
    </row>
    <row r="517" spans="1:12" s="8" customFormat="1" ht="16.5" customHeight="1" x14ac:dyDescent="0.2">
      <c r="A517" s="69"/>
      <c r="B517" s="59">
        <v>75416</v>
      </c>
      <c r="C517" s="60" t="s">
        <v>43</v>
      </c>
      <c r="D517" s="74">
        <f>16000</f>
        <v>16000</v>
      </c>
      <c r="G517" s="11"/>
      <c r="L517" s="31"/>
    </row>
    <row r="518" spans="1:12" s="7" customFormat="1" ht="16.5" customHeight="1" x14ac:dyDescent="0.2">
      <c r="A518" s="62">
        <v>758</v>
      </c>
      <c r="B518" s="63"/>
      <c r="C518" s="67" t="s">
        <v>27</v>
      </c>
      <c r="D518" s="68">
        <f>D519</f>
        <v>697504</v>
      </c>
      <c r="F518" s="14"/>
      <c r="G518" s="11"/>
      <c r="L518" s="23"/>
    </row>
    <row r="519" spans="1:12" s="8" customFormat="1" ht="16.5" customHeight="1" x14ac:dyDescent="0.2">
      <c r="A519" s="69"/>
      <c r="B519" s="59">
        <v>75818</v>
      </c>
      <c r="C519" s="70" t="s">
        <v>28</v>
      </c>
      <c r="D519" s="71">
        <f>2540657-D509-D511-D514-D520-D522-D524-D527-D529-D531-D533-D536-D539+574471</f>
        <v>697504</v>
      </c>
      <c r="F519" s="22"/>
      <c r="G519" s="11"/>
      <c r="L519" s="31"/>
    </row>
    <row r="520" spans="1:12" s="8" customFormat="1" ht="16.5" customHeight="1" x14ac:dyDescent="0.2">
      <c r="A520" s="62">
        <v>801</v>
      </c>
      <c r="B520" s="63"/>
      <c r="C520" s="67" t="s">
        <v>29</v>
      </c>
      <c r="D520" s="65">
        <f>D521</f>
        <v>590500</v>
      </c>
      <c r="F520" s="22"/>
      <c r="G520" s="11"/>
      <c r="L520" s="31"/>
    </row>
    <row r="521" spans="1:12" s="7" customFormat="1" ht="16.5" customHeight="1" x14ac:dyDescent="0.2">
      <c r="A521" s="78"/>
      <c r="B521" s="79">
        <v>80195</v>
      </c>
      <c r="C521" s="103" t="s">
        <v>7</v>
      </c>
      <c r="D521" s="123">
        <f>38500+8500+8500+8500+58000+33500+58000+56000+58500+56000+56000+56000+94500</f>
        <v>590500</v>
      </c>
      <c r="F521" s="22"/>
      <c r="G521" s="11"/>
      <c r="L521" s="23"/>
    </row>
    <row r="522" spans="1:12" s="7" customFormat="1" ht="16.5" customHeight="1" x14ac:dyDescent="0.2">
      <c r="A522" s="62">
        <v>851</v>
      </c>
      <c r="B522" s="75"/>
      <c r="C522" s="66" t="s">
        <v>48</v>
      </c>
      <c r="D522" s="72">
        <f>D523</f>
        <v>40000</v>
      </c>
      <c r="F522" s="22"/>
      <c r="G522" s="11"/>
    </row>
    <row r="523" spans="1:12" s="8" customFormat="1" ht="16.5" customHeight="1" x14ac:dyDescent="0.2">
      <c r="A523" s="78"/>
      <c r="B523" s="79">
        <v>85149</v>
      </c>
      <c r="C523" s="108" t="s">
        <v>50</v>
      </c>
      <c r="D523" s="81">
        <f>40000</f>
        <v>40000</v>
      </c>
      <c r="F523" s="22"/>
      <c r="G523" s="11"/>
      <c r="L523" s="31"/>
    </row>
    <row r="524" spans="1:12" s="9" customFormat="1" ht="16.5" customHeight="1" x14ac:dyDescent="0.2">
      <c r="A524" s="62">
        <v>852</v>
      </c>
      <c r="B524" s="63"/>
      <c r="C524" s="114" t="s">
        <v>54</v>
      </c>
      <c r="D524" s="72">
        <f>D525+D526</f>
        <v>17000</v>
      </c>
      <c r="F524" s="14"/>
      <c r="G524" s="11"/>
    </row>
    <row r="525" spans="1:12" s="9" customFormat="1" ht="24" x14ac:dyDescent="0.2">
      <c r="A525" s="78"/>
      <c r="B525" s="79">
        <v>85214</v>
      </c>
      <c r="C525" s="70" t="s">
        <v>64</v>
      </c>
      <c r="D525" s="81">
        <f>6000</f>
        <v>6000</v>
      </c>
      <c r="F525" s="14"/>
      <c r="G525" s="11"/>
      <c r="L525" s="26"/>
    </row>
    <row r="526" spans="1:12" s="7" customFormat="1" ht="16.5" customHeight="1" x14ac:dyDescent="0.2">
      <c r="A526" s="69"/>
      <c r="B526" s="59">
        <v>85295</v>
      </c>
      <c r="C526" s="118" t="s">
        <v>7</v>
      </c>
      <c r="D526" s="74">
        <f>6000+5000</f>
        <v>11000</v>
      </c>
      <c r="F526" s="22"/>
      <c r="G526" s="11"/>
      <c r="L526" s="23"/>
    </row>
    <row r="527" spans="1:12" s="7" customFormat="1" ht="16.5" customHeight="1" x14ac:dyDescent="0.2">
      <c r="A527" s="62">
        <v>853</v>
      </c>
      <c r="B527" s="63"/>
      <c r="C527" s="64" t="s">
        <v>36</v>
      </c>
      <c r="D527" s="77">
        <f>D528</f>
        <v>115033</v>
      </c>
      <c r="F527" s="22"/>
      <c r="G527" s="11"/>
      <c r="K527" s="9"/>
      <c r="L527" s="26"/>
    </row>
    <row r="528" spans="1:12" s="7" customFormat="1" ht="16.5" customHeight="1" x14ac:dyDescent="0.2">
      <c r="A528" s="69"/>
      <c r="B528" s="73">
        <v>85395</v>
      </c>
      <c r="C528" s="70" t="s">
        <v>7</v>
      </c>
      <c r="D528" s="84">
        <f>115033</f>
        <v>115033</v>
      </c>
      <c r="F528" s="22"/>
      <c r="G528" s="11"/>
      <c r="K528" s="9"/>
      <c r="L528" s="26"/>
    </row>
    <row r="529" spans="1:12" s="9" customFormat="1" ht="16.5" customHeight="1" x14ac:dyDescent="0.2">
      <c r="A529" s="62">
        <v>854</v>
      </c>
      <c r="B529" s="75"/>
      <c r="C529" s="66" t="s">
        <v>40</v>
      </c>
      <c r="D529" s="65">
        <f>D530</f>
        <v>238500</v>
      </c>
      <c r="F529" s="14"/>
      <c r="G529" s="11"/>
      <c r="L529" s="26"/>
    </row>
    <row r="530" spans="1:12" s="8" customFormat="1" ht="16.5" customHeight="1" x14ac:dyDescent="0.2">
      <c r="A530" s="78"/>
      <c r="B530" s="79">
        <v>85495</v>
      </c>
      <c r="C530" s="108" t="s">
        <v>7</v>
      </c>
      <c r="D530" s="110">
        <f>160000+73500+5000</f>
        <v>238500</v>
      </c>
      <c r="F530" s="22"/>
      <c r="G530" s="11"/>
      <c r="L530" s="31"/>
    </row>
    <row r="531" spans="1:12" s="9" customFormat="1" ht="16.5" customHeight="1" x14ac:dyDescent="0.2">
      <c r="A531" s="85">
        <v>855</v>
      </c>
      <c r="B531" s="75"/>
      <c r="C531" s="66" t="s">
        <v>61</v>
      </c>
      <c r="D531" s="65">
        <f>D532</f>
        <v>60000</v>
      </c>
      <c r="G531" s="11"/>
      <c r="K531" s="24"/>
      <c r="L531" s="26"/>
    </row>
    <row r="532" spans="1:12" s="8" customFormat="1" ht="16.5" customHeight="1" x14ac:dyDescent="0.2">
      <c r="A532" s="69"/>
      <c r="B532" s="59">
        <v>85516</v>
      </c>
      <c r="C532" s="70" t="s">
        <v>63</v>
      </c>
      <c r="D532" s="86">
        <f>30000+30000</f>
        <v>60000</v>
      </c>
      <c r="F532" s="22"/>
      <c r="G532" s="11"/>
      <c r="L532" s="31"/>
    </row>
    <row r="533" spans="1:12" s="7" customFormat="1" ht="16.5" customHeight="1" x14ac:dyDescent="0.2">
      <c r="A533" s="85">
        <v>900</v>
      </c>
      <c r="B533" s="75"/>
      <c r="C533" s="66" t="s">
        <v>30</v>
      </c>
      <c r="D533" s="65">
        <f>D534+D535</f>
        <v>328000</v>
      </c>
      <c r="F533" s="22"/>
      <c r="G533" s="11"/>
      <c r="L533" s="23"/>
    </row>
    <row r="534" spans="1:12" s="7" customFormat="1" ht="16.5" customHeight="1" x14ac:dyDescent="0.2">
      <c r="A534" s="69"/>
      <c r="B534" s="59">
        <v>90015</v>
      </c>
      <c r="C534" s="70" t="s">
        <v>31</v>
      </c>
      <c r="D534" s="86">
        <v>28000</v>
      </c>
      <c r="G534" s="11"/>
      <c r="L534" s="23"/>
    </row>
    <row r="535" spans="1:12" s="7" customFormat="1" ht="16.5" customHeight="1" x14ac:dyDescent="0.2">
      <c r="A535" s="62"/>
      <c r="B535" s="75">
        <v>90095</v>
      </c>
      <c r="C535" s="113" t="s">
        <v>7</v>
      </c>
      <c r="D535" s="83">
        <f>300000</f>
        <v>300000</v>
      </c>
      <c r="G535" s="11"/>
      <c r="L535" s="23"/>
    </row>
    <row r="536" spans="1:12" s="9" customFormat="1" ht="16.5" customHeight="1" x14ac:dyDescent="0.2">
      <c r="A536" s="62">
        <v>921</v>
      </c>
      <c r="B536" s="63"/>
      <c r="C536" s="66" t="s">
        <v>44</v>
      </c>
      <c r="D536" s="65">
        <f>D537+D538</f>
        <v>82000</v>
      </c>
      <c r="G536" s="11"/>
      <c r="L536" s="26"/>
    </row>
    <row r="537" spans="1:12" s="7" customFormat="1" ht="16.5" customHeight="1" x14ac:dyDescent="0.2">
      <c r="A537" s="69"/>
      <c r="B537" s="73">
        <v>92109</v>
      </c>
      <c r="C537" s="70" t="s">
        <v>45</v>
      </c>
      <c r="D537" s="84">
        <f>72000</f>
        <v>72000</v>
      </c>
      <c r="F537" s="22"/>
      <c r="G537" s="11"/>
      <c r="L537" s="23"/>
    </row>
    <row r="538" spans="1:12" s="7" customFormat="1" ht="16.5" customHeight="1" x14ac:dyDescent="0.2">
      <c r="A538" s="69"/>
      <c r="B538" s="73">
        <v>92116</v>
      </c>
      <c r="C538" s="70" t="s">
        <v>46</v>
      </c>
      <c r="D538" s="84">
        <f>10000</f>
        <v>10000</v>
      </c>
      <c r="F538" s="22"/>
      <c r="G538" s="11"/>
      <c r="L538" s="23"/>
    </row>
    <row r="539" spans="1:12" s="7" customFormat="1" ht="16.5" customHeight="1" x14ac:dyDescent="0.2">
      <c r="A539" s="62">
        <v>926</v>
      </c>
      <c r="B539" s="63"/>
      <c r="C539" s="67" t="s">
        <v>32</v>
      </c>
      <c r="D539" s="77">
        <f>D540+D541</f>
        <v>232000</v>
      </c>
      <c r="G539" s="11"/>
      <c r="L539" s="23"/>
    </row>
    <row r="540" spans="1:12" s="8" customFormat="1" ht="16.5" customHeight="1" x14ac:dyDescent="0.2">
      <c r="A540" s="69"/>
      <c r="B540" s="59">
        <v>92601</v>
      </c>
      <c r="C540" s="87" t="s">
        <v>33</v>
      </c>
      <c r="D540" s="84">
        <f>200000</f>
        <v>200000</v>
      </c>
      <c r="G540" s="11"/>
      <c r="I540" s="40"/>
      <c r="L540" s="31"/>
    </row>
    <row r="541" spans="1:12" s="8" customFormat="1" ht="16.5" customHeight="1" x14ac:dyDescent="0.2">
      <c r="A541" s="115"/>
      <c r="B541" s="63">
        <v>92605</v>
      </c>
      <c r="C541" s="133" t="s">
        <v>34</v>
      </c>
      <c r="D541" s="117">
        <f>20000+12000</f>
        <v>32000</v>
      </c>
      <c r="G541" s="11"/>
      <c r="I541" s="40"/>
      <c r="L541" s="31"/>
    </row>
    <row r="542" spans="1:12" s="8" customFormat="1" ht="18.75" customHeight="1" x14ac:dyDescent="0.2">
      <c r="A542" s="96"/>
      <c r="B542" s="97"/>
      <c r="C542" s="98" t="s">
        <v>24</v>
      </c>
      <c r="D542" s="111">
        <f>D543+D545+D548+D552+D554+D556+D558+D560+D562+D564+D566+D569+D572</f>
        <v>2634881</v>
      </c>
      <c r="E542" s="41"/>
      <c r="F542" s="14"/>
      <c r="G542" s="11"/>
      <c r="L542" s="31"/>
    </row>
    <row r="543" spans="1:12" s="7" customFormat="1" ht="16.5" customHeight="1" x14ac:dyDescent="0.2">
      <c r="A543" s="54">
        <v>600</v>
      </c>
      <c r="B543" s="55"/>
      <c r="C543" s="56" t="s">
        <v>5</v>
      </c>
      <c r="D543" s="57">
        <f>D544</f>
        <v>520000</v>
      </c>
      <c r="F543" s="8"/>
      <c r="G543" s="11"/>
      <c r="L543" s="23"/>
    </row>
    <row r="544" spans="1:12" s="8" customFormat="1" ht="16.5" customHeight="1" x14ac:dyDescent="0.2">
      <c r="A544" s="58"/>
      <c r="B544" s="59">
        <v>60016</v>
      </c>
      <c r="C544" s="60" t="s">
        <v>6</v>
      </c>
      <c r="D544" s="61">
        <f>520000</f>
        <v>520000</v>
      </c>
      <c r="F544" s="22"/>
      <c r="G544" s="11"/>
      <c r="L544" s="31"/>
    </row>
    <row r="545" spans="1:12" s="8" customFormat="1" ht="16.5" customHeight="1" x14ac:dyDescent="0.2">
      <c r="A545" s="62">
        <v>750</v>
      </c>
      <c r="B545" s="63"/>
      <c r="C545" s="64" t="s">
        <v>52</v>
      </c>
      <c r="D545" s="65">
        <f>D546+D547</f>
        <v>41473</v>
      </c>
      <c r="G545" s="11"/>
      <c r="L545" s="31"/>
    </row>
    <row r="546" spans="1:12" s="8" customFormat="1" ht="16.5" customHeight="1" x14ac:dyDescent="0.2">
      <c r="A546" s="58"/>
      <c r="B546" s="59">
        <v>75022</v>
      </c>
      <c r="C546" s="60" t="s">
        <v>53</v>
      </c>
      <c r="D546" s="61">
        <f>1000</f>
        <v>1000</v>
      </c>
      <c r="G546" s="11"/>
      <c r="L546" s="31"/>
    </row>
    <row r="547" spans="1:12" s="8" customFormat="1" ht="16.5" customHeight="1" x14ac:dyDescent="0.2">
      <c r="A547" s="58"/>
      <c r="B547" s="59">
        <v>75095</v>
      </c>
      <c r="C547" s="60" t="s">
        <v>7</v>
      </c>
      <c r="D547" s="61">
        <f>40473</f>
        <v>40473</v>
      </c>
      <c r="G547" s="11"/>
      <c r="L547" s="31"/>
    </row>
    <row r="548" spans="1:12" s="8" customFormat="1" ht="16.5" customHeight="1" x14ac:dyDescent="0.2">
      <c r="A548" s="62">
        <v>754</v>
      </c>
      <c r="B548" s="63"/>
      <c r="C548" s="66" t="s">
        <v>41</v>
      </c>
      <c r="D548" s="72">
        <f>D549+D550+D551</f>
        <v>47000</v>
      </c>
      <c r="E548" s="7"/>
      <c r="G548" s="11"/>
      <c r="L548" s="31"/>
    </row>
    <row r="549" spans="1:12" s="7" customFormat="1" ht="16.5" customHeight="1" x14ac:dyDescent="0.2">
      <c r="A549" s="69"/>
      <c r="B549" s="59">
        <v>75405</v>
      </c>
      <c r="C549" s="60" t="s">
        <v>42</v>
      </c>
      <c r="D549" s="74">
        <f>20000</f>
        <v>20000</v>
      </c>
      <c r="F549" s="22"/>
      <c r="G549" s="11"/>
      <c r="L549" s="23"/>
    </row>
    <row r="550" spans="1:12" s="8" customFormat="1" ht="16.5" customHeight="1" x14ac:dyDescent="0.2">
      <c r="A550" s="69"/>
      <c r="B550" s="59">
        <v>75411</v>
      </c>
      <c r="C550" s="60" t="s">
        <v>57</v>
      </c>
      <c r="D550" s="74">
        <v>10000</v>
      </c>
      <c r="F550" s="7"/>
      <c r="G550" s="11"/>
      <c r="L550" s="31"/>
    </row>
    <row r="551" spans="1:12" s="7" customFormat="1" ht="16.5" customHeight="1" x14ac:dyDescent="0.2">
      <c r="A551" s="69"/>
      <c r="B551" s="59">
        <v>75416</v>
      </c>
      <c r="C551" s="60" t="s">
        <v>43</v>
      </c>
      <c r="D551" s="74">
        <f>17000</f>
        <v>17000</v>
      </c>
      <c r="F551" s="8"/>
      <c r="G551" s="11"/>
      <c r="L551" s="23"/>
    </row>
    <row r="552" spans="1:12" s="7" customFormat="1" ht="16.5" customHeight="1" x14ac:dyDescent="0.2">
      <c r="A552" s="62">
        <v>758</v>
      </c>
      <c r="B552" s="63"/>
      <c r="C552" s="67" t="s">
        <v>27</v>
      </c>
      <c r="D552" s="68">
        <f>D553</f>
        <v>485908</v>
      </c>
      <c r="F552" s="22"/>
      <c r="G552" s="11"/>
    </row>
    <row r="553" spans="1:12" s="8" customFormat="1" ht="16.5" customHeight="1" x14ac:dyDescent="0.2">
      <c r="A553" s="69"/>
      <c r="B553" s="59">
        <v>75818</v>
      </c>
      <c r="C553" s="70" t="s">
        <v>28</v>
      </c>
      <c r="D553" s="71">
        <f>2148973-D543-D545-D548-D554-D556-D558-D560-D562-D564-D566-D569-D572+485908</f>
        <v>485908</v>
      </c>
      <c r="F553" s="22"/>
      <c r="G553" s="11"/>
      <c r="L553" s="31"/>
    </row>
    <row r="554" spans="1:12" s="7" customFormat="1" ht="16.5" customHeight="1" x14ac:dyDescent="0.2">
      <c r="A554" s="62">
        <v>801</v>
      </c>
      <c r="B554" s="63"/>
      <c r="C554" s="67" t="s">
        <v>29</v>
      </c>
      <c r="D554" s="65">
        <f>D555</f>
        <v>631000</v>
      </c>
      <c r="F554" s="22"/>
      <c r="G554" s="11"/>
      <c r="L554" s="23"/>
    </row>
    <row r="555" spans="1:12" s="9" customFormat="1" ht="16.5" customHeight="1" x14ac:dyDescent="0.2">
      <c r="A555" s="69"/>
      <c r="B555" s="73">
        <v>80195</v>
      </c>
      <c r="C555" s="60" t="s">
        <v>7</v>
      </c>
      <c r="D555" s="61">
        <f>5000+31000+66000+11000+66000+11000+11000+11000+16000+11000+85000+82500+82000+17500+12000+82000+30000+1000</f>
        <v>631000</v>
      </c>
      <c r="F555" s="14"/>
      <c r="G555" s="11"/>
      <c r="L555" s="26"/>
    </row>
    <row r="556" spans="1:12" s="9" customFormat="1" ht="16.5" customHeight="1" x14ac:dyDescent="0.2">
      <c r="A556" s="62">
        <v>851</v>
      </c>
      <c r="B556" s="75"/>
      <c r="C556" s="66" t="s">
        <v>48</v>
      </c>
      <c r="D556" s="72">
        <f>D557</f>
        <v>22000</v>
      </c>
      <c r="F556" s="14"/>
      <c r="G556" s="11"/>
      <c r="L556" s="26"/>
    </row>
    <row r="557" spans="1:12" s="9" customFormat="1" ht="16.5" customHeight="1" x14ac:dyDescent="0.2">
      <c r="A557" s="78"/>
      <c r="B557" s="79">
        <v>85149</v>
      </c>
      <c r="C557" s="108" t="s">
        <v>50</v>
      </c>
      <c r="D557" s="81">
        <v>22000</v>
      </c>
      <c r="F557" s="14"/>
      <c r="G557" s="11"/>
      <c r="L557" s="26"/>
    </row>
    <row r="558" spans="1:12" s="7" customFormat="1" ht="16.5" customHeight="1" x14ac:dyDescent="0.2">
      <c r="A558" s="62">
        <v>852</v>
      </c>
      <c r="B558" s="75"/>
      <c r="C558" s="66" t="s">
        <v>54</v>
      </c>
      <c r="D558" s="72">
        <f>D559</f>
        <v>1500</v>
      </c>
      <c r="F558" s="22"/>
      <c r="G558" s="11"/>
      <c r="L558" s="23"/>
    </row>
    <row r="559" spans="1:12" s="7" customFormat="1" ht="16.5" customHeight="1" x14ac:dyDescent="0.2">
      <c r="A559" s="69"/>
      <c r="B559" s="73">
        <v>85295</v>
      </c>
      <c r="C559" s="70" t="s">
        <v>7</v>
      </c>
      <c r="D559" s="74">
        <f>1500</f>
        <v>1500</v>
      </c>
      <c r="F559" s="22"/>
      <c r="G559" s="11"/>
      <c r="L559" s="23"/>
    </row>
    <row r="560" spans="1:12" s="7" customFormat="1" ht="16.5" customHeight="1" x14ac:dyDescent="0.2">
      <c r="A560" s="62">
        <v>853</v>
      </c>
      <c r="B560" s="63"/>
      <c r="C560" s="64" t="s">
        <v>36</v>
      </c>
      <c r="D560" s="77">
        <f>D561</f>
        <v>240000</v>
      </c>
      <c r="E560" s="9"/>
      <c r="F560" s="22"/>
      <c r="G560" s="11"/>
      <c r="L560" s="23"/>
    </row>
    <row r="561" spans="1:12" s="9" customFormat="1" ht="16.5" customHeight="1" x14ac:dyDescent="0.2">
      <c r="A561" s="69"/>
      <c r="B561" s="73">
        <v>85395</v>
      </c>
      <c r="C561" s="70" t="s">
        <v>7</v>
      </c>
      <c r="D561" s="84">
        <f>230000+10000</f>
        <v>240000</v>
      </c>
      <c r="F561" s="14"/>
      <c r="G561" s="11"/>
      <c r="L561" s="26"/>
    </row>
    <row r="562" spans="1:12" s="8" customFormat="1" ht="16.5" customHeight="1" x14ac:dyDescent="0.2">
      <c r="A562" s="62">
        <v>854</v>
      </c>
      <c r="B562" s="75"/>
      <c r="C562" s="66" t="s">
        <v>40</v>
      </c>
      <c r="D562" s="65">
        <f>D563</f>
        <v>125000</v>
      </c>
      <c r="G562" s="11"/>
      <c r="K562" s="24"/>
      <c r="L562" s="31"/>
    </row>
    <row r="563" spans="1:12" s="8" customFormat="1" ht="16.5" customHeight="1" x14ac:dyDescent="0.2">
      <c r="A563" s="69"/>
      <c r="B563" s="73">
        <v>85495</v>
      </c>
      <c r="C563" s="70" t="s">
        <v>7</v>
      </c>
      <c r="D563" s="84">
        <f>125000</f>
        <v>125000</v>
      </c>
      <c r="F563" s="22"/>
      <c r="G563" s="11"/>
      <c r="L563" s="31"/>
    </row>
    <row r="564" spans="1:12" s="8" customFormat="1" ht="16.5" customHeight="1" x14ac:dyDescent="0.2">
      <c r="A564" s="85">
        <v>855</v>
      </c>
      <c r="B564" s="75"/>
      <c r="C564" s="66" t="s">
        <v>61</v>
      </c>
      <c r="D564" s="65">
        <f>D565</f>
        <v>40000</v>
      </c>
      <c r="F564" s="22"/>
      <c r="G564" s="11"/>
      <c r="L564" s="31"/>
    </row>
    <row r="565" spans="1:12" s="7" customFormat="1" ht="16.5" customHeight="1" x14ac:dyDescent="0.2">
      <c r="A565" s="78"/>
      <c r="B565" s="59">
        <v>85516</v>
      </c>
      <c r="C565" s="128" t="s">
        <v>63</v>
      </c>
      <c r="D565" s="86">
        <v>40000</v>
      </c>
      <c r="G565" s="11"/>
      <c r="L565" s="23"/>
    </row>
    <row r="566" spans="1:12" s="8" customFormat="1" ht="16.5" customHeight="1" x14ac:dyDescent="0.2">
      <c r="A566" s="85">
        <v>900</v>
      </c>
      <c r="B566" s="63"/>
      <c r="C566" s="66" t="s">
        <v>30</v>
      </c>
      <c r="D566" s="65">
        <f>D567+D568</f>
        <v>430000</v>
      </c>
      <c r="F566" s="22"/>
      <c r="G566" s="11"/>
      <c r="L566" s="31"/>
    </row>
    <row r="567" spans="1:12" s="9" customFormat="1" ht="16.5" customHeight="1" x14ac:dyDescent="0.2">
      <c r="A567" s="78"/>
      <c r="B567" s="102">
        <v>90004</v>
      </c>
      <c r="C567" s="108" t="s">
        <v>35</v>
      </c>
      <c r="D567" s="71">
        <v>20000</v>
      </c>
      <c r="G567" s="11"/>
      <c r="L567" s="26"/>
    </row>
    <row r="568" spans="1:12" s="7" customFormat="1" ht="16.5" customHeight="1" x14ac:dyDescent="0.2">
      <c r="A568" s="69"/>
      <c r="B568" s="59">
        <v>90095</v>
      </c>
      <c r="C568" s="70" t="s">
        <v>7</v>
      </c>
      <c r="D568" s="86">
        <v>410000</v>
      </c>
      <c r="F568" s="22"/>
      <c r="G568" s="11"/>
      <c r="L568" s="23"/>
    </row>
    <row r="569" spans="1:12" s="7" customFormat="1" ht="16.5" customHeight="1" x14ac:dyDescent="0.2">
      <c r="A569" s="62">
        <v>921</v>
      </c>
      <c r="B569" s="63"/>
      <c r="C569" s="66" t="s">
        <v>44</v>
      </c>
      <c r="D569" s="65">
        <f>D570+D571</f>
        <v>41000</v>
      </c>
      <c r="E569" s="24"/>
      <c r="F569" s="22"/>
      <c r="G569" s="11"/>
      <c r="L569" s="23"/>
    </row>
    <row r="570" spans="1:12" s="9" customFormat="1" ht="16.5" customHeight="1" x14ac:dyDescent="0.2">
      <c r="A570" s="69"/>
      <c r="B570" s="73">
        <v>92109</v>
      </c>
      <c r="C570" s="70" t="s">
        <v>45</v>
      </c>
      <c r="D570" s="84">
        <f>29000</f>
        <v>29000</v>
      </c>
      <c r="G570" s="11"/>
      <c r="L570" s="26"/>
    </row>
    <row r="571" spans="1:12" s="7" customFormat="1" ht="16.5" customHeight="1" x14ac:dyDescent="0.2">
      <c r="A571" s="69"/>
      <c r="B571" s="73">
        <v>92116</v>
      </c>
      <c r="C571" s="70" t="s">
        <v>46</v>
      </c>
      <c r="D571" s="84">
        <f>12000</f>
        <v>12000</v>
      </c>
      <c r="E571" s="24"/>
      <c r="G571" s="11"/>
      <c r="L571" s="23"/>
    </row>
    <row r="572" spans="1:12" s="9" customFormat="1" ht="16.5" customHeight="1" x14ac:dyDescent="0.2">
      <c r="A572" s="62">
        <v>926</v>
      </c>
      <c r="B572" s="63"/>
      <c r="C572" s="67" t="s">
        <v>32</v>
      </c>
      <c r="D572" s="77">
        <f>D573</f>
        <v>10000</v>
      </c>
      <c r="E572" s="43"/>
      <c r="G572" s="11"/>
      <c r="L572" s="26"/>
    </row>
    <row r="573" spans="1:12" s="8" customFormat="1" ht="18.75" customHeight="1" x14ac:dyDescent="0.2">
      <c r="A573" s="138"/>
      <c r="B573" s="89">
        <v>92601</v>
      </c>
      <c r="C573" s="124" t="s">
        <v>33</v>
      </c>
      <c r="D573" s="125">
        <f>10000</f>
        <v>10000</v>
      </c>
      <c r="G573" s="11"/>
      <c r="L573" s="31"/>
    </row>
    <row r="574" spans="1:12" s="7" customFormat="1" ht="18.75" customHeight="1" x14ac:dyDescent="0.2">
      <c r="A574" s="96"/>
      <c r="B574" s="97"/>
      <c r="C574" s="98" t="s">
        <v>25</v>
      </c>
      <c r="D574" s="111">
        <f>D575+D578+D580+D584+D586+D588+D590+D592+D594+D597+D600</f>
        <v>2244394</v>
      </c>
      <c r="F574" s="22"/>
      <c r="G574" s="11"/>
      <c r="L574" s="23"/>
    </row>
    <row r="575" spans="1:12" s="8" customFormat="1" ht="16.5" customHeight="1" x14ac:dyDescent="0.2">
      <c r="A575" s="54">
        <v>600</v>
      </c>
      <c r="B575" s="55"/>
      <c r="C575" s="56" t="s">
        <v>5</v>
      </c>
      <c r="D575" s="57">
        <f>D576+D577</f>
        <v>1058119</v>
      </c>
      <c r="F575" s="7"/>
      <c r="G575" s="11"/>
      <c r="L575" s="31"/>
    </row>
    <row r="576" spans="1:12" s="8" customFormat="1" ht="16.5" customHeight="1" x14ac:dyDescent="0.2">
      <c r="A576" s="126"/>
      <c r="B576" s="102">
        <v>60016</v>
      </c>
      <c r="C576" s="103" t="s">
        <v>6</v>
      </c>
      <c r="D576" s="123">
        <f>1008119</f>
        <v>1008119</v>
      </c>
      <c r="G576" s="11"/>
      <c r="L576" s="31"/>
    </row>
    <row r="577" spans="1:12" s="7" customFormat="1" ht="16.5" customHeight="1" x14ac:dyDescent="0.2">
      <c r="A577" s="58"/>
      <c r="B577" s="59">
        <v>60095</v>
      </c>
      <c r="C577" s="60" t="s">
        <v>7</v>
      </c>
      <c r="D577" s="61">
        <f>50000</f>
        <v>50000</v>
      </c>
      <c r="F577" s="8"/>
      <c r="G577" s="11"/>
      <c r="L577" s="23"/>
    </row>
    <row r="578" spans="1:12" s="7" customFormat="1" ht="16.5" customHeight="1" x14ac:dyDescent="0.2">
      <c r="A578" s="62">
        <v>750</v>
      </c>
      <c r="B578" s="63"/>
      <c r="C578" s="64" t="s">
        <v>52</v>
      </c>
      <c r="D578" s="72">
        <f>D579</f>
        <v>35853</v>
      </c>
      <c r="G578" s="11"/>
      <c r="L578" s="23"/>
    </row>
    <row r="579" spans="1:12" s="7" customFormat="1" ht="16.5" customHeight="1" x14ac:dyDescent="0.2">
      <c r="A579" s="78"/>
      <c r="B579" s="102">
        <v>75095</v>
      </c>
      <c r="C579" s="103" t="s">
        <v>7</v>
      </c>
      <c r="D579" s="81">
        <f>5000+30853</f>
        <v>35853</v>
      </c>
      <c r="F579" s="22"/>
      <c r="G579" s="11"/>
      <c r="L579" s="23"/>
    </row>
    <row r="580" spans="1:12" s="7" customFormat="1" ht="16.5" customHeight="1" x14ac:dyDescent="0.2">
      <c r="A580" s="62">
        <v>754</v>
      </c>
      <c r="B580" s="63"/>
      <c r="C580" s="66" t="s">
        <v>41</v>
      </c>
      <c r="D580" s="72">
        <f>D581+D582+D583</f>
        <v>24000</v>
      </c>
      <c r="F580" s="22"/>
      <c r="G580" s="11"/>
      <c r="L580" s="23"/>
    </row>
    <row r="581" spans="1:12" s="9" customFormat="1" ht="16.5" customHeight="1" x14ac:dyDescent="0.2">
      <c r="A581" s="69"/>
      <c r="B581" s="59">
        <v>75405</v>
      </c>
      <c r="C581" s="60" t="s">
        <v>42</v>
      </c>
      <c r="D581" s="74">
        <f>8000</f>
        <v>8000</v>
      </c>
      <c r="F581" s="7"/>
      <c r="G581" s="11"/>
      <c r="L581" s="26"/>
    </row>
    <row r="582" spans="1:12" s="7" customFormat="1" ht="16.5" customHeight="1" x14ac:dyDescent="0.2">
      <c r="A582" s="69"/>
      <c r="B582" s="59">
        <v>75411</v>
      </c>
      <c r="C582" s="60" t="s">
        <v>57</v>
      </c>
      <c r="D582" s="74">
        <f>8000</f>
        <v>8000</v>
      </c>
      <c r="F582" s="9"/>
      <c r="G582" s="11"/>
      <c r="L582" s="23"/>
    </row>
    <row r="583" spans="1:12" s="9" customFormat="1" ht="16.5" customHeight="1" x14ac:dyDescent="0.2">
      <c r="A583" s="69"/>
      <c r="B583" s="59">
        <v>75416</v>
      </c>
      <c r="C583" s="60" t="s">
        <v>43</v>
      </c>
      <c r="D583" s="74">
        <f>8000</f>
        <v>8000</v>
      </c>
      <c r="F583" s="22"/>
      <c r="G583" s="11"/>
      <c r="L583" s="26"/>
    </row>
    <row r="584" spans="1:12" s="9" customFormat="1" ht="16.5" customHeight="1" x14ac:dyDescent="0.2">
      <c r="A584" s="62">
        <v>758</v>
      </c>
      <c r="B584" s="63"/>
      <c r="C584" s="67" t="s">
        <v>27</v>
      </c>
      <c r="D584" s="68">
        <f>D585</f>
        <v>413897</v>
      </c>
      <c r="F584" s="22"/>
      <c r="G584" s="11"/>
      <c r="L584" s="26"/>
    </row>
    <row r="585" spans="1:12" s="9" customFormat="1" ht="16.5" customHeight="1" x14ac:dyDescent="0.2">
      <c r="A585" s="69"/>
      <c r="B585" s="59">
        <v>75818</v>
      </c>
      <c r="C585" s="70" t="s">
        <v>28</v>
      </c>
      <c r="D585" s="71">
        <f>1830497-D575-D578-D580-D586-D588-D590-D592-D594-D597-D600+413897</f>
        <v>413897</v>
      </c>
      <c r="F585" s="14"/>
      <c r="G585" s="11"/>
      <c r="L585" s="26"/>
    </row>
    <row r="586" spans="1:12" s="9" customFormat="1" ht="16.5" customHeight="1" x14ac:dyDescent="0.2">
      <c r="A586" s="62">
        <v>801</v>
      </c>
      <c r="B586" s="63"/>
      <c r="C586" s="67" t="s">
        <v>29</v>
      </c>
      <c r="D586" s="65">
        <f>D587</f>
        <v>359500</v>
      </c>
      <c r="F586" s="14"/>
      <c r="G586" s="11"/>
      <c r="L586" s="26"/>
    </row>
    <row r="587" spans="1:12" s="7" customFormat="1" ht="16.5" customHeight="1" x14ac:dyDescent="0.2">
      <c r="A587" s="69"/>
      <c r="B587" s="73">
        <v>80195</v>
      </c>
      <c r="C587" s="60" t="s">
        <v>7</v>
      </c>
      <c r="D587" s="61">
        <f>36000+36000+62000+108500+96000+21000</f>
        <v>359500</v>
      </c>
      <c r="F587" s="22"/>
      <c r="G587" s="11"/>
      <c r="L587" s="23"/>
    </row>
    <row r="588" spans="1:12" s="7" customFormat="1" ht="16.5" customHeight="1" x14ac:dyDescent="0.2">
      <c r="A588" s="62">
        <v>852</v>
      </c>
      <c r="B588" s="75"/>
      <c r="C588" s="66" t="s">
        <v>54</v>
      </c>
      <c r="D588" s="72">
        <f>D589</f>
        <v>12000</v>
      </c>
      <c r="F588" s="22"/>
      <c r="G588" s="11"/>
      <c r="L588" s="23"/>
    </row>
    <row r="589" spans="1:12" s="9" customFormat="1" ht="16.5" customHeight="1" x14ac:dyDescent="0.2">
      <c r="A589" s="69"/>
      <c r="B589" s="73">
        <v>85295</v>
      </c>
      <c r="C589" s="70" t="s">
        <v>7</v>
      </c>
      <c r="D589" s="74">
        <f>12000</f>
        <v>12000</v>
      </c>
      <c r="G589" s="11"/>
      <c r="K589" s="27"/>
      <c r="L589" s="26"/>
    </row>
    <row r="590" spans="1:12" s="8" customFormat="1" ht="16.5" customHeight="1" x14ac:dyDescent="0.2">
      <c r="A590" s="62">
        <v>853</v>
      </c>
      <c r="B590" s="63"/>
      <c r="C590" s="64" t="s">
        <v>36</v>
      </c>
      <c r="D590" s="77">
        <f>D591</f>
        <v>79525</v>
      </c>
      <c r="F590" s="22"/>
      <c r="G590" s="11"/>
      <c r="L590" s="31"/>
    </row>
    <row r="591" spans="1:12" s="9" customFormat="1" ht="16.5" customHeight="1" x14ac:dyDescent="0.2">
      <c r="A591" s="69"/>
      <c r="B591" s="73">
        <v>85395</v>
      </c>
      <c r="C591" s="70" t="s">
        <v>7</v>
      </c>
      <c r="D591" s="84">
        <f>6525+7000+66000</f>
        <v>79525</v>
      </c>
      <c r="F591" s="14"/>
      <c r="G591" s="11"/>
      <c r="L591" s="26"/>
    </row>
    <row r="592" spans="1:12" s="7" customFormat="1" ht="16.5" customHeight="1" x14ac:dyDescent="0.2">
      <c r="A592" s="62">
        <v>854</v>
      </c>
      <c r="B592" s="75"/>
      <c r="C592" s="66" t="s">
        <v>40</v>
      </c>
      <c r="D592" s="65">
        <f>D593</f>
        <v>33000</v>
      </c>
      <c r="G592" s="28"/>
      <c r="L592" s="23"/>
    </row>
    <row r="593" spans="1:12" s="9" customFormat="1" ht="16.5" customHeight="1" x14ac:dyDescent="0.2">
      <c r="A593" s="69"/>
      <c r="B593" s="73">
        <v>85495</v>
      </c>
      <c r="C593" s="70" t="s">
        <v>7</v>
      </c>
      <c r="D593" s="84">
        <f>33000</f>
        <v>33000</v>
      </c>
      <c r="F593" s="14"/>
      <c r="G593" s="11"/>
      <c r="L593" s="26"/>
    </row>
    <row r="594" spans="1:12" s="9" customFormat="1" ht="16.5" customHeight="1" x14ac:dyDescent="0.2">
      <c r="A594" s="85">
        <v>900</v>
      </c>
      <c r="B594" s="75"/>
      <c r="C594" s="66" t="s">
        <v>30</v>
      </c>
      <c r="D594" s="65">
        <f>D595+D596</f>
        <v>63000</v>
      </c>
      <c r="G594" s="11"/>
      <c r="L594" s="26"/>
    </row>
    <row r="595" spans="1:12" s="8" customFormat="1" ht="16.5" customHeight="1" x14ac:dyDescent="0.2">
      <c r="A595" s="69"/>
      <c r="B595" s="59">
        <v>90015</v>
      </c>
      <c r="C595" s="70" t="s">
        <v>31</v>
      </c>
      <c r="D595" s="86">
        <f>60000</f>
        <v>60000</v>
      </c>
      <c r="F595" s="22"/>
      <c r="G595" s="11"/>
      <c r="L595" s="31"/>
    </row>
    <row r="596" spans="1:12" s="7" customFormat="1" ht="16.5" customHeight="1" x14ac:dyDescent="0.2">
      <c r="A596" s="69"/>
      <c r="B596" s="59">
        <v>90095</v>
      </c>
      <c r="C596" s="70" t="s">
        <v>7</v>
      </c>
      <c r="D596" s="86">
        <f>3000</f>
        <v>3000</v>
      </c>
      <c r="F596" s="22"/>
      <c r="G596" s="11"/>
      <c r="L596" s="23"/>
    </row>
    <row r="597" spans="1:12" s="7" customFormat="1" ht="16.5" customHeight="1" x14ac:dyDescent="0.2">
      <c r="A597" s="62">
        <v>921</v>
      </c>
      <c r="B597" s="75"/>
      <c r="C597" s="66" t="s">
        <v>44</v>
      </c>
      <c r="D597" s="68">
        <f>D598+D599</f>
        <v>108500</v>
      </c>
      <c r="F597" s="22"/>
      <c r="G597" s="11"/>
      <c r="L597" s="23"/>
    </row>
    <row r="598" spans="1:12" s="7" customFormat="1" ht="16.5" customHeight="1" x14ac:dyDescent="0.2">
      <c r="A598" s="69"/>
      <c r="B598" s="73">
        <v>92109</v>
      </c>
      <c r="C598" s="70" t="s">
        <v>45</v>
      </c>
      <c r="D598" s="86">
        <f>101500</f>
        <v>101500</v>
      </c>
      <c r="G598" s="11"/>
      <c r="L598" s="23"/>
    </row>
    <row r="599" spans="1:12" s="7" customFormat="1" ht="16.5" customHeight="1" x14ac:dyDescent="0.2">
      <c r="A599" s="69"/>
      <c r="B599" s="73">
        <v>92116</v>
      </c>
      <c r="C599" s="70" t="s">
        <v>46</v>
      </c>
      <c r="D599" s="86">
        <f>7000</f>
        <v>7000</v>
      </c>
      <c r="E599" s="44"/>
      <c r="G599" s="11"/>
      <c r="L599" s="23"/>
    </row>
    <row r="600" spans="1:12" s="9" customFormat="1" ht="16.5" customHeight="1" x14ac:dyDescent="0.2">
      <c r="A600" s="62">
        <v>926</v>
      </c>
      <c r="B600" s="63"/>
      <c r="C600" s="67" t="s">
        <v>32</v>
      </c>
      <c r="D600" s="77">
        <f>D601</f>
        <v>57000</v>
      </c>
      <c r="F600" s="14"/>
      <c r="G600" s="11"/>
      <c r="L600" s="26"/>
    </row>
    <row r="601" spans="1:12" s="7" customFormat="1" ht="16.5" customHeight="1" x14ac:dyDescent="0.2">
      <c r="A601" s="69"/>
      <c r="B601" s="59">
        <v>92601</v>
      </c>
      <c r="C601" s="87" t="s">
        <v>33</v>
      </c>
      <c r="D601" s="84">
        <f>57000</f>
        <v>57000</v>
      </c>
      <c r="G601" s="11"/>
      <c r="L601" s="23"/>
    </row>
    <row r="602" spans="1:12" s="7" customFormat="1" ht="18.75" customHeight="1" x14ac:dyDescent="0.2">
      <c r="A602" s="96"/>
      <c r="B602" s="97"/>
      <c r="C602" s="98" t="s">
        <v>26</v>
      </c>
      <c r="D602" s="99">
        <f>D603+D606+D608+D612+D614+D616+D618+D622+D625+D627+D630+D634</f>
        <v>4305101</v>
      </c>
      <c r="F602" s="14"/>
      <c r="G602" s="11"/>
      <c r="L602" s="23"/>
    </row>
    <row r="603" spans="1:12" ht="16.5" customHeight="1" x14ac:dyDescent="0.2">
      <c r="A603" s="54">
        <v>600</v>
      </c>
      <c r="B603" s="55"/>
      <c r="C603" s="56" t="s">
        <v>5</v>
      </c>
      <c r="D603" s="57">
        <f>D604+D605</f>
        <v>800000</v>
      </c>
      <c r="L603" s="50"/>
    </row>
    <row r="604" spans="1:12" ht="16.5" customHeight="1" x14ac:dyDescent="0.2">
      <c r="A604" s="126"/>
      <c r="B604" s="102">
        <v>60016</v>
      </c>
      <c r="C604" s="103" t="s">
        <v>6</v>
      </c>
      <c r="D604" s="123">
        <f>320000</f>
        <v>320000</v>
      </c>
      <c r="L604" s="50"/>
    </row>
    <row r="605" spans="1:12" ht="16.5" customHeight="1" x14ac:dyDescent="0.2">
      <c r="A605" s="58"/>
      <c r="B605" s="59">
        <v>60017</v>
      </c>
      <c r="C605" s="122" t="s">
        <v>62</v>
      </c>
      <c r="D605" s="61">
        <f>480000</f>
        <v>480000</v>
      </c>
      <c r="L605" s="50"/>
    </row>
    <row r="606" spans="1:12" ht="16.5" customHeight="1" x14ac:dyDescent="0.2">
      <c r="A606" s="62">
        <v>750</v>
      </c>
      <c r="B606" s="63"/>
      <c r="C606" s="64" t="s">
        <v>52</v>
      </c>
      <c r="D606" s="72">
        <f>D607</f>
        <v>57500</v>
      </c>
      <c r="L606" s="50"/>
    </row>
    <row r="607" spans="1:12" ht="16.5" customHeight="1" x14ac:dyDescent="0.2">
      <c r="A607" s="78"/>
      <c r="B607" s="102">
        <v>75095</v>
      </c>
      <c r="C607" s="103" t="s">
        <v>7</v>
      </c>
      <c r="D607" s="81">
        <f>3000+54500</f>
        <v>57500</v>
      </c>
      <c r="L607" s="50"/>
    </row>
    <row r="608" spans="1:12" ht="16.5" customHeight="1" x14ac:dyDescent="0.2">
      <c r="A608" s="62">
        <v>754</v>
      </c>
      <c r="B608" s="63"/>
      <c r="C608" s="114" t="s">
        <v>41</v>
      </c>
      <c r="D608" s="65">
        <f>D609+D610+D611</f>
        <v>92000</v>
      </c>
      <c r="L608" s="50"/>
    </row>
    <row r="609" spans="1:12" ht="16.5" customHeight="1" x14ac:dyDescent="0.2">
      <c r="A609" s="69"/>
      <c r="B609" s="59">
        <v>75405</v>
      </c>
      <c r="C609" s="60" t="s">
        <v>42</v>
      </c>
      <c r="D609" s="74">
        <f>58000</f>
        <v>58000</v>
      </c>
      <c r="L609" s="50"/>
    </row>
    <row r="610" spans="1:12" s="7" customFormat="1" ht="16.5" customHeight="1" x14ac:dyDescent="0.2">
      <c r="A610" s="69"/>
      <c r="B610" s="59">
        <v>75411</v>
      </c>
      <c r="C610" s="60" t="s">
        <v>57</v>
      </c>
      <c r="D610" s="74">
        <f>20000</f>
        <v>20000</v>
      </c>
      <c r="F610" s="22"/>
      <c r="G610" s="11"/>
      <c r="L610" s="23"/>
    </row>
    <row r="611" spans="1:12" ht="16.5" customHeight="1" x14ac:dyDescent="0.2">
      <c r="A611" s="139"/>
      <c r="B611" s="63">
        <v>75416</v>
      </c>
      <c r="C611" s="140" t="s">
        <v>43</v>
      </c>
      <c r="D611" s="141">
        <f>14000</f>
        <v>14000</v>
      </c>
      <c r="E611" s="7"/>
      <c r="F611" s="4"/>
      <c r="L611" s="50"/>
    </row>
    <row r="612" spans="1:12" ht="16.5" customHeight="1" x14ac:dyDescent="0.2">
      <c r="A612" s="62">
        <v>758</v>
      </c>
      <c r="B612" s="63"/>
      <c r="C612" s="67" t="s">
        <v>27</v>
      </c>
      <c r="D612" s="68">
        <f>D613</f>
        <v>827542</v>
      </c>
      <c r="F612" s="22"/>
      <c r="L612" s="50"/>
    </row>
    <row r="613" spans="1:12" ht="16.5" customHeight="1" x14ac:dyDescent="0.2">
      <c r="A613" s="69"/>
      <c r="B613" s="59">
        <v>75818</v>
      </c>
      <c r="C613" s="70" t="s">
        <v>28</v>
      </c>
      <c r="D613" s="71">
        <f>3511183-D603-D606-D608-D614-D616-D618-D622-D625-D627-D630-D634+793918</f>
        <v>827542</v>
      </c>
      <c r="F613" s="22"/>
      <c r="L613" s="50"/>
    </row>
    <row r="614" spans="1:12" s="7" customFormat="1" ht="16.5" customHeight="1" x14ac:dyDescent="0.2">
      <c r="A614" s="62">
        <v>801</v>
      </c>
      <c r="B614" s="63"/>
      <c r="C614" s="67" t="s">
        <v>29</v>
      </c>
      <c r="D614" s="65">
        <f>D615</f>
        <v>1045500</v>
      </c>
      <c r="F614" s="22"/>
      <c r="G614" s="11"/>
    </row>
    <row r="615" spans="1:12" s="8" customFormat="1" ht="16.5" customHeight="1" x14ac:dyDescent="0.2">
      <c r="A615" s="78"/>
      <c r="B615" s="79">
        <v>80195</v>
      </c>
      <c r="C615" s="103" t="s">
        <v>7</v>
      </c>
      <c r="D615" s="123">
        <f>35000+56000+40000+45000+35000+40000+40000+40000+30000+40000+40000+44000+40000+30000+45000+40000+40000+44000+40000+40000+40000+51000+42500+42000+4000+4000+51000+7000</f>
        <v>1045500</v>
      </c>
      <c r="F615" s="22"/>
      <c r="G615" s="11"/>
      <c r="L615" s="31"/>
    </row>
    <row r="616" spans="1:12" ht="16.5" customHeight="1" x14ac:dyDescent="0.2">
      <c r="A616" s="62">
        <v>851</v>
      </c>
      <c r="B616" s="75"/>
      <c r="C616" s="66" t="s">
        <v>48</v>
      </c>
      <c r="D616" s="65">
        <f>D617</f>
        <v>100000</v>
      </c>
    </row>
    <row r="617" spans="1:12" ht="16.5" customHeight="1" x14ac:dyDescent="0.2">
      <c r="A617" s="69"/>
      <c r="B617" s="73">
        <v>85111</v>
      </c>
      <c r="C617" s="76" t="s">
        <v>51</v>
      </c>
      <c r="D617" s="61">
        <f>100000</f>
        <v>100000</v>
      </c>
    </row>
    <row r="618" spans="1:12" s="7" customFormat="1" ht="16.5" customHeight="1" x14ac:dyDescent="0.2">
      <c r="A618" s="62">
        <v>852</v>
      </c>
      <c r="B618" s="75"/>
      <c r="C618" s="66" t="s">
        <v>54</v>
      </c>
      <c r="D618" s="72">
        <f>D619+D620+D621</f>
        <v>92000</v>
      </c>
      <c r="F618" s="22"/>
      <c r="G618" s="11"/>
      <c r="L618" s="23"/>
    </row>
    <row r="619" spans="1:12" ht="16.5" customHeight="1" x14ac:dyDescent="0.2">
      <c r="A619" s="69"/>
      <c r="B619" s="73">
        <v>85203</v>
      </c>
      <c r="C619" s="70" t="s">
        <v>56</v>
      </c>
      <c r="D619" s="74">
        <f>10000+10000</f>
        <v>20000</v>
      </c>
    </row>
    <row r="620" spans="1:12" ht="24" x14ac:dyDescent="0.2">
      <c r="A620" s="69"/>
      <c r="B620" s="73">
        <v>85214</v>
      </c>
      <c r="C620" s="70" t="s">
        <v>64</v>
      </c>
      <c r="D620" s="74">
        <f>60000</f>
        <v>60000</v>
      </c>
    </row>
    <row r="621" spans="1:12" ht="16.5" customHeight="1" x14ac:dyDescent="0.2">
      <c r="A621" s="69"/>
      <c r="B621" s="73">
        <v>85295</v>
      </c>
      <c r="C621" s="70" t="s">
        <v>7</v>
      </c>
      <c r="D621" s="74">
        <f>12000</f>
        <v>12000</v>
      </c>
    </row>
    <row r="622" spans="1:12" ht="16.5" customHeight="1" x14ac:dyDescent="0.2">
      <c r="A622" s="62">
        <v>853</v>
      </c>
      <c r="B622" s="63"/>
      <c r="C622" s="64" t="s">
        <v>36</v>
      </c>
      <c r="D622" s="77">
        <f>D623+D624</f>
        <v>155559</v>
      </c>
    </row>
    <row r="623" spans="1:12" ht="16.5" customHeight="1" x14ac:dyDescent="0.2">
      <c r="A623" s="69"/>
      <c r="B623" s="73">
        <v>85311</v>
      </c>
      <c r="C623" s="76" t="s">
        <v>58</v>
      </c>
      <c r="D623" s="74">
        <f>26559</f>
        <v>26559</v>
      </c>
    </row>
    <row r="624" spans="1:12" ht="16.5" customHeight="1" x14ac:dyDescent="0.2">
      <c r="A624" s="69"/>
      <c r="B624" s="73">
        <v>85395</v>
      </c>
      <c r="C624" s="70" t="s">
        <v>7</v>
      </c>
      <c r="D624" s="84">
        <f>10000+40000+10000+15000+44000+10000</f>
        <v>129000</v>
      </c>
    </row>
    <row r="625" spans="1:4" ht="16.5" customHeight="1" x14ac:dyDescent="0.2">
      <c r="A625" s="62">
        <v>854</v>
      </c>
      <c r="B625" s="75"/>
      <c r="C625" s="66" t="s">
        <v>40</v>
      </c>
      <c r="D625" s="65">
        <f>D626</f>
        <v>18000</v>
      </c>
    </row>
    <row r="626" spans="1:4" ht="16.5" customHeight="1" x14ac:dyDescent="0.2">
      <c r="A626" s="69"/>
      <c r="B626" s="73">
        <v>85495</v>
      </c>
      <c r="C626" s="70" t="s">
        <v>7</v>
      </c>
      <c r="D626" s="84">
        <f>8000+10000</f>
        <v>18000</v>
      </c>
    </row>
    <row r="627" spans="1:4" ht="16.5" customHeight="1" x14ac:dyDescent="0.2">
      <c r="A627" s="85">
        <v>900</v>
      </c>
      <c r="B627" s="75"/>
      <c r="C627" s="66" t="s">
        <v>30</v>
      </c>
      <c r="D627" s="65">
        <f>D628+D629</f>
        <v>600000</v>
      </c>
    </row>
    <row r="628" spans="1:4" ht="16.5" customHeight="1" x14ac:dyDescent="0.2">
      <c r="A628" s="119"/>
      <c r="B628" s="102">
        <v>90004</v>
      </c>
      <c r="C628" s="108" t="s">
        <v>35</v>
      </c>
      <c r="D628" s="61">
        <f>100000</f>
        <v>100000</v>
      </c>
    </row>
    <row r="629" spans="1:4" ht="16.5" customHeight="1" x14ac:dyDescent="0.2">
      <c r="A629" s="69"/>
      <c r="B629" s="59">
        <v>90095</v>
      </c>
      <c r="C629" s="70" t="s">
        <v>7</v>
      </c>
      <c r="D629" s="86">
        <f>500000</f>
        <v>500000</v>
      </c>
    </row>
    <row r="630" spans="1:4" ht="16.5" customHeight="1" x14ac:dyDescent="0.2">
      <c r="A630" s="62">
        <v>921</v>
      </c>
      <c r="B630" s="75"/>
      <c r="C630" s="66" t="s">
        <v>44</v>
      </c>
      <c r="D630" s="68">
        <f>D631+D632+D633</f>
        <v>417000</v>
      </c>
    </row>
    <row r="631" spans="1:4" ht="16.5" customHeight="1" x14ac:dyDescent="0.2">
      <c r="A631" s="69"/>
      <c r="B631" s="73">
        <v>92109</v>
      </c>
      <c r="C631" s="70" t="s">
        <v>45</v>
      </c>
      <c r="D631" s="84">
        <f>394000</f>
        <v>394000</v>
      </c>
    </row>
    <row r="632" spans="1:4" ht="16.5" customHeight="1" x14ac:dyDescent="0.2">
      <c r="A632" s="69"/>
      <c r="B632" s="73">
        <v>92116</v>
      </c>
      <c r="C632" s="70" t="s">
        <v>46</v>
      </c>
      <c r="D632" s="84">
        <f>15000</f>
        <v>15000</v>
      </c>
    </row>
    <row r="633" spans="1:4" ht="16.5" customHeight="1" x14ac:dyDescent="0.2">
      <c r="A633" s="69"/>
      <c r="B633" s="73">
        <v>92118</v>
      </c>
      <c r="C633" s="70" t="s">
        <v>47</v>
      </c>
      <c r="D633" s="84">
        <f>8000</f>
        <v>8000</v>
      </c>
    </row>
    <row r="634" spans="1:4" ht="16.5" customHeight="1" x14ac:dyDescent="0.2">
      <c r="A634" s="62">
        <v>926</v>
      </c>
      <c r="B634" s="63"/>
      <c r="C634" s="67" t="s">
        <v>32</v>
      </c>
      <c r="D634" s="77">
        <f>D635</f>
        <v>100000</v>
      </c>
    </row>
    <row r="635" spans="1:4" ht="16.5" customHeight="1" x14ac:dyDescent="0.2">
      <c r="A635" s="54"/>
      <c r="B635" s="89">
        <v>92601</v>
      </c>
      <c r="C635" s="124" t="s">
        <v>33</v>
      </c>
      <c r="D635" s="125">
        <f>100000</f>
        <v>100000</v>
      </c>
    </row>
  </sheetData>
  <mergeCells count="5">
    <mergeCell ref="A8:D8"/>
    <mergeCell ref="D10:D12"/>
    <mergeCell ref="A10:A12"/>
    <mergeCell ref="C10:C12"/>
    <mergeCell ref="B10:B12"/>
  </mergeCells>
  <phoneticPr fontId="8" type="noConversion"/>
  <printOptions horizontalCentered="1"/>
  <pageMargins left="0.70866141732283472" right="0.70866141732283472" top="0.98425196850393704" bottom="0.98425196850393704" header="0.39370078740157483" footer="0.15748031496062992"/>
  <pageSetup paperSize="9" scale="95" orientation="portrait" r:id="rId1"/>
  <headerFooter alignWithMargins="0"/>
  <rowBreaks count="13" manualBreakCount="13">
    <brk id="43" max="3" man="1"/>
    <brk id="80" max="3" man="1"/>
    <brk id="118" max="3" man="1"/>
    <brk id="156" max="3" man="1"/>
    <brk id="193" max="3" man="1"/>
    <brk id="307" max="3" man="1"/>
    <brk id="345" max="3" man="1"/>
    <brk id="421" max="3" man="1"/>
    <brk id="459" max="3" man="1"/>
    <brk id="497" max="3" man="1"/>
    <brk id="536" max="3" man="1"/>
    <brk id="573" max="3" man="1"/>
    <brk id="611" max="3" man="1"/>
  </rowBreaks>
  <ignoredErrors>
    <ignoredError sqref="D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Zał. nr 11</vt:lpstr>
      <vt:lpstr>'Zał. nr 11'!Obszar_wydruku</vt:lpstr>
      <vt:lpstr>'Zał. nr 11'!Tytuły_wydruku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Michałek Magdalena</dc:creator>
  <cp:lastModifiedBy>Żulik Zbigniew</cp:lastModifiedBy>
  <cp:lastPrinted>2021-12-21T11:42:33Z</cp:lastPrinted>
  <dcterms:created xsi:type="dcterms:W3CDTF">2006-11-08T06:56:23Z</dcterms:created>
  <dcterms:modified xsi:type="dcterms:W3CDTF">2021-12-21T11:42:38Z</dcterms:modified>
</cp:coreProperties>
</file>