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gmk.local\dane\BM\BM-06\BIP\ROK 2023-BIP\Tekst jednolity\"/>
    </mc:Choice>
  </mc:AlternateContent>
  <xr:revisionPtr revIDLastSave="0" documentId="13_ncr:1_{586050C9-3467-45D4-BA19-238E044247E2}" xr6:coauthVersionLast="36" xr6:coauthVersionMax="36" xr10:uidLastSave="{00000000-0000-0000-0000-000000000000}"/>
  <bookViews>
    <workbookView xWindow="0" yWindow="0" windowWidth="23040" windowHeight="8490" tabRatio="602" xr2:uid="{00000000-000D-0000-FFFF-FFFF00000000}"/>
  </bookViews>
  <sheets>
    <sheet name="tabela nr 5" sheetId="1" r:id="rId1"/>
  </sheets>
  <definedNames>
    <definedName name="_xlnm._FilterDatabase" localSheetId="0" hidden="1">'tabela nr 5'!$A$2:$Q$2289</definedName>
    <definedName name="_xlnm.Print_Area" localSheetId="0">'tabela nr 5'!$A$1:$P$2259</definedName>
    <definedName name="_xlnm.Print_Titles" localSheetId="0">'tabela nr 5'!$5:$12</definedName>
    <definedName name="Z_1B5A1303_2240_4A1F_9EEE_F7D22BA97DFF_.wvu.Cols" localSheetId="0" hidden="1">'tabela nr 5'!#REF!</definedName>
    <definedName name="Z_1B5A1303_2240_4A1F_9EEE_F7D22BA97DFF_.wvu.FilterData" localSheetId="0" hidden="1">'tabela nr 5'!$A$2:$Q$2289</definedName>
    <definedName name="Z_1B5A1303_2240_4A1F_9EEE_F7D22BA97DFF_.wvu.PrintArea" localSheetId="0" hidden="1">'tabela nr 5'!$A$2:$P$2270</definedName>
    <definedName name="Z_1B5A1303_2240_4A1F_9EEE_F7D22BA97DFF_.wvu.PrintTitles" localSheetId="0" hidden="1">'tabela nr 5'!$5:$12</definedName>
    <definedName name="Z_1B5A1303_2240_4A1F_9EEE_F7D22BA97DFF_.wvu.Rows" localSheetId="0" hidden="1">'tabela nr 5'!#REF!,'tabela nr 5'!$483:$483,'tabela nr 5'!#REF!,'tabela nr 5'!$515:$515,'tabela nr 5'!$522:$522,'tabela nr 5'!$548:$548,'tabela nr 5'!#REF!,'tabela nr 5'!#REF!,'tabela nr 5'!#REF!,'tabela nr 5'!#REF!,'tabela nr 5'!#REF!,'tabela nr 5'!$1668:$1668,'tabela nr 5'!$2254:$2256</definedName>
    <definedName name="Z_1BFA8141_987B_4BBB_8D11_118EDFCB7FD5_.wvu.Cols" localSheetId="0" hidden="1">'tabela nr 5'!#REF!</definedName>
    <definedName name="Z_1BFA8141_987B_4BBB_8D11_118EDFCB7FD5_.wvu.FilterData" localSheetId="0" hidden="1">'tabela nr 5'!$A$2:$Q$2289</definedName>
    <definedName name="Z_1BFA8141_987B_4BBB_8D11_118EDFCB7FD5_.wvu.PrintArea" localSheetId="0" hidden="1">'tabela nr 5'!$A$2:$P$2270</definedName>
    <definedName name="Z_1BFA8141_987B_4BBB_8D11_118EDFCB7FD5_.wvu.PrintTitles" localSheetId="0" hidden="1">'tabela nr 5'!$5:$12</definedName>
    <definedName name="Z_1BFA8141_987B_4BBB_8D11_118EDFCB7FD5_.wvu.Rows" localSheetId="0" hidden="1">'tabela nr 5'!#REF!,'tabela nr 5'!$483:$483,'tabela nr 5'!#REF!,'tabela nr 5'!$515:$515,'tabela nr 5'!$522:$522,'tabela nr 5'!$548:$548,'tabela nr 5'!#REF!,'tabela nr 5'!#REF!,'tabela nr 5'!#REF!,'tabela nr 5'!#REF!,'tabela nr 5'!#REF!,'tabela nr 5'!$1668:$1668,'tabela nr 5'!$2254:$2256</definedName>
    <definedName name="Z_23155118_3AB3_469F_A4AB_BDDA33F39102_.wvu.FilterData" localSheetId="0" hidden="1">'tabela nr 5'!$A$2:$Q$2289</definedName>
    <definedName name="Z_297FA1FB_848A_434C_959A_C7B1330B63E2_.wvu.FilterData" localSheetId="0" hidden="1">'tabela nr 5'!$A$2:$Q$2289</definedName>
    <definedName name="Z_5D1228A6_5986_4FF1_8958_6B30877E07E2_.wvu.FilterData" localSheetId="0" hidden="1">'tabela nr 5'!$A$2:$Q$2289</definedName>
    <definedName name="Z_5D1228A6_5986_4FF1_8958_6B30877E07E2_.wvu.PrintArea" localSheetId="0" hidden="1">'tabela nr 5'!$A$2:$P$2270</definedName>
    <definedName name="Z_5D1228A6_5986_4FF1_8958_6B30877E07E2_.wvu.PrintTitles" localSheetId="0" hidden="1">'tabela nr 5'!$5:$12</definedName>
    <definedName name="Z_7EC7CDD5_A286_4B60_BA8F_4CDAD9D2557F_.wvu.PrintArea" localSheetId="0" hidden="1">'tabela nr 5'!$A$1:$P$2271</definedName>
    <definedName name="Z_7EC7CDD5_A286_4B60_BA8F_4CDAD9D2557F_.wvu.PrintTitles" localSheetId="0" hidden="1">'tabela nr 5'!$7:$12</definedName>
    <definedName name="Z_7EC7CDD5_A286_4B60_BA8F_4CDAD9D2557F_.wvu.Rows" localSheetId="0" hidden="1">'tabela nr 5'!#REF!,'tabela nr 5'!#REF!,'tabela nr 5'!#REF!,'tabela nr 5'!#REF!,'tabela nr 5'!#REF!,'tabela nr 5'!#REF!,'tabela nr 5'!#REF!,'tabela nr 5'!#REF!,'tabela nr 5'!#REF!,'tabela nr 5'!#REF!,'tabela nr 5'!#REF!,'tabela nr 5'!#REF!,'tabela nr 5'!#REF!,'tabela nr 5'!#REF!,'tabela nr 5'!#REF!,'tabela nr 5'!#REF!,'tabela nr 5'!#REF!,'tabela nr 5'!#REF!,'tabela nr 5'!#REF!,'tabela nr 5'!#REF!,'tabela nr 5'!#REF!,'tabela nr 5'!#REF!,'tabela nr 5'!#REF!,'tabela nr 5'!#REF!,'tabela nr 5'!#REF!,'tabela nr 5'!$1948:$1955,'tabela nr 5'!$29:$29,'tabela nr 5'!#REF!,'tabela nr 5'!#REF!,'tabela nr 5'!#REF!,'tabela nr 5'!#REF!,'tabela nr 5'!#REF!,'tabela nr 5'!$440:$440,'tabela nr 5'!#REF!,'tabela nr 5'!$2216:$2216,'tabela nr 5'!#REF!,'tabela nr 5'!#REF!,'tabela nr 5'!#REF!,'tabela nr 5'!#REF!,'tabela nr 5'!#REF!</definedName>
    <definedName name="Z_9E509C2D_EEE6_45E2_AAF7_6C159166801B_.wvu.FilterData" localSheetId="0" hidden="1">'tabela nr 5'!$A$2:$Q$2289</definedName>
    <definedName name="Z_9E509C2D_EEE6_45E2_AAF7_6C159166801B_.wvu.PrintArea" localSheetId="0" hidden="1">'tabela nr 5'!$A$2:$P$2270</definedName>
    <definedName name="Z_9E509C2D_EEE6_45E2_AAF7_6C159166801B_.wvu.PrintTitles" localSheetId="0" hidden="1">'tabela nr 5'!$5:$12</definedName>
    <definedName name="Z_BC8502D0_2702_11D8_9A50_0040953092F6_.wvu.PrintArea" localSheetId="0" hidden="1">'tabela nr 5'!$A$2:$P$2275</definedName>
    <definedName name="Z_BC8502D0_2702_11D8_9A50_0040953092F6_.wvu.PrintTitles" localSheetId="0" hidden="1">'tabela nr 5'!$7:$12</definedName>
    <definedName name="Z_BC8502D0_2702_11D8_9A50_0040953092F6_.wvu.Rows" localSheetId="0" hidden="1">'tabela nr 5'!#REF!,'tabela nr 5'!#REF!,'tabela nr 5'!#REF!,'tabela nr 5'!#REF!,'tabela nr 5'!#REF!,'tabela nr 5'!#REF!,'tabela nr 5'!#REF!,'tabela nr 5'!#REF!,'tabela nr 5'!#REF!,'tabela nr 5'!#REF!,'tabela nr 5'!#REF!,'tabela nr 5'!#REF!,'tabela nr 5'!#REF!,'tabela nr 5'!#REF!,'tabela nr 5'!#REF!,'tabela nr 5'!#REF!,'tabela nr 5'!#REF!,'tabela nr 5'!$1948:$1955,'tabela nr 5'!$358:$358,'tabela nr 5'!#REF!,'tabela nr 5'!#REF!,'tabela nr 5'!#REF!,'tabela nr 5'!#REF!</definedName>
    <definedName name="Z_DCA70EFC_F929_47A4_82CA_A8E8C5DAC33E_.wvu.FilterData" localSheetId="0" hidden="1">'tabela nr 5'!$A$2:$Q$2289</definedName>
  </definedNames>
  <calcPr calcId="191029"/>
  <customWorkbookViews>
    <customWorkbookView name="Ubuntu - Widok osobisty" guid="{9E509C2D-EEE6-45E2-AAF7-6C159166801B}" mergeInterval="0" personalView="1" maximized="1" windowWidth="1276" windowHeight="628" tabRatio="602" activeSheetId="1"/>
    <customWorkbookView name="Okołowicz-Seweryn Aleksandra - Widok osobisty" guid="{1BFA8141-987B-4BBB-8D11-118EDFCB7FD5}" mergeInterval="0" personalView="1" maximized="1" xWindow="-8" yWindow="-8" windowWidth="1696" windowHeight="1066" tabRatio="602" activeSheetId="1"/>
    <customWorkbookView name="okolowal - Widok osobisty" guid="{7EC7CDD5-A286-4B60-BA8F-4CDAD9D2557F}" mergeInterval="0" personalView="1" maximized="1" windowWidth="1276" windowHeight="882" tabRatio="602" activeSheetId="1"/>
    <customWorkbookView name="kuchtael - Widok osobisty" guid="{107F05B0-32C4-418F-8E9E-A6ECB0ADB407}" mergeInterval="0" personalView="1" maximized="1" windowWidth="1020" windowHeight="596" activeSheetId="1"/>
    <customWorkbookView name="Chutkiewicz Beata - Widok osobisty" guid="{1B5A1303-2240-4A1F-9EEE-F7D22BA97DFF}" mergeInterval="0" personalView="1" maximized="1" xWindow="-8" yWindow="-8" windowWidth="1696" windowHeight="1026" tabRatio="602" activeSheetId="1"/>
    <customWorkbookView name="Ramik Anna - Widok osobisty" guid="{5D1228A6-5986-4FF1-8958-6B30877E07E2}" mergeInterval="0" personalView="1" maximized="1" xWindow="-8" yWindow="-8" windowWidth="1936" windowHeight="1056" tabRatio="602" activeSheetId="1"/>
  </customWorkbookViews>
</workbook>
</file>

<file path=xl/calcChain.xml><?xml version="1.0" encoding="utf-8"?>
<calcChain xmlns="http://schemas.openxmlformats.org/spreadsheetml/2006/main">
  <c r="J180" i="1" l="1"/>
  <c r="J1139" i="1" l="1"/>
  <c r="M2257" i="1" l="1"/>
  <c r="O2257" i="1"/>
  <c r="M2258" i="1"/>
  <c r="O2258" i="1"/>
  <c r="M2259" i="1"/>
  <c r="O2259" i="1"/>
  <c r="M15" i="1"/>
  <c r="O15" i="1"/>
  <c r="M16" i="1"/>
  <c r="O16" i="1"/>
  <c r="M17" i="1"/>
  <c r="O17" i="1"/>
  <c r="M19" i="1"/>
  <c r="O19" i="1"/>
  <c r="M22" i="1"/>
  <c r="O22" i="1"/>
  <c r="M23" i="1"/>
  <c r="O23" i="1"/>
  <c r="M24" i="1"/>
  <c r="O24" i="1"/>
  <c r="M27" i="1"/>
  <c r="O27" i="1"/>
  <c r="M28" i="1"/>
  <c r="O28" i="1"/>
  <c r="M29" i="1"/>
  <c r="O29" i="1"/>
  <c r="M32" i="1"/>
  <c r="O32" i="1"/>
  <c r="M33" i="1"/>
  <c r="O33" i="1"/>
  <c r="M34" i="1"/>
  <c r="O34" i="1"/>
  <c r="M35" i="1"/>
  <c r="N35" i="1"/>
  <c r="O35" i="1"/>
  <c r="M36" i="1"/>
  <c r="O36" i="1"/>
  <c r="M37" i="1"/>
  <c r="O37" i="1"/>
  <c r="M38" i="1"/>
  <c r="O38" i="1"/>
  <c r="M39" i="1"/>
  <c r="O39" i="1"/>
  <c r="M40" i="1"/>
  <c r="O40" i="1"/>
  <c r="M43" i="1"/>
  <c r="O43" i="1"/>
  <c r="M44" i="1"/>
  <c r="O44" i="1"/>
  <c r="M45" i="1"/>
  <c r="O45" i="1"/>
  <c r="M46" i="1"/>
  <c r="O46" i="1"/>
  <c r="M47" i="1"/>
  <c r="O47" i="1"/>
  <c r="M48" i="1"/>
  <c r="N48" i="1"/>
  <c r="O48" i="1"/>
  <c r="M49" i="1"/>
  <c r="O49" i="1"/>
  <c r="M52" i="1"/>
  <c r="O52" i="1"/>
  <c r="M53" i="1"/>
  <c r="O53" i="1"/>
  <c r="M54" i="1"/>
  <c r="O54" i="1"/>
  <c r="M55" i="1"/>
  <c r="O55" i="1"/>
  <c r="M56" i="1"/>
  <c r="O56" i="1"/>
  <c r="M57" i="1"/>
  <c r="O57" i="1"/>
  <c r="M58" i="1"/>
  <c r="N58" i="1"/>
  <c r="O58" i="1"/>
  <c r="M59" i="1"/>
  <c r="O59" i="1"/>
  <c r="M60" i="1"/>
  <c r="N60" i="1"/>
  <c r="O60" i="1"/>
  <c r="M61" i="1"/>
  <c r="O61" i="1"/>
  <c r="M62" i="1"/>
  <c r="O62" i="1"/>
  <c r="M63" i="1"/>
  <c r="N63" i="1"/>
  <c r="O63" i="1"/>
  <c r="M64" i="1"/>
  <c r="N64" i="1"/>
  <c r="O64" i="1"/>
  <c r="M67" i="1"/>
  <c r="O67" i="1"/>
  <c r="M68" i="1"/>
  <c r="O68" i="1"/>
  <c r="M69" i="1"/>
  <c r="N69" i="1"/>
  <c r="O69" i="1"/>
  <c r="M72" i="1"/>
  <c r="O72" i="1"/>
  <c r="M73" i="1"/>
  <c r="O73" i="1"/>
  <c r="M74" i="1"/>
  <c r="O74" i="1"/>
  <c r="M75" i="1"/>
  <c r="O75" i="1"/>
  <c r="M76" i="1"/>
  <c r="O76" i="1"/>
  <c r="M77" i="1"/>
  <c r="O77" i="1"/>
  <c r="M78" i="1"/>
  <c r="O78" i="1"/>
  <c r="M79" i="1"/>
  <c r="O79" i="1"/>
  <c r="M80" i="1"/>
  <c r="O80" i="1"/>
  <c r="M81" i="1"/>
  <c r="O81" i="1"/>
  <c r="M84" i="1"/>
  <c r="O84" i="1"/>
  <c r="M85" i="1"/>
  <c r="O85" i="1"/>
  <c r="M86" i="1"/>
  <c r="O86" i="1"/>
  <c r="M87" i="1"/>
  <c r="O87" i="1"/>
  <c r="M90" i="1"/>
  <c r="O90" i="1"/>
  <c r="M91" i="1"/>
  <c r="O91" i="1"/>
  <c r="M92" i="1"/>
  <c r="O92" i="1"/>
  <c r="M93" i="1"/>
  <c r="O93" i="1"/>
  <c r="M94" i="1"/>
  <c r="O94" i="1"/>
  <c r="M95" i="1"/>
  <c r="O95" i="1"/>
  <c r="M96" i="1"/>
  <c r="O96" i="1"/>
  <c r="M97" i="1"/>
  <c r="O97" i="1"/>
  <c r="M98" i="1"/>
  <c r="O98" i="1"/>
  <c r="M99" i="1"/>
  <c r="N99" i="1"/>
  <c r="O99" i="1"/>
  <c r="M100" i="1"/>
  <c r="O100" i="1"/>
  <c r="M101" i="1"/>
  <c r="N101" i="1"/>
  <c r="O101" i="1"/>
  <c r="M102" i="1"/>
  <c r="N102" i="1"/>
  <c r="O102" i="1"/>
  <c r="M103" i="1"/>
  <c r="O103" i="1"/>
  <c r="M104" i="1"/>
  <c r="O104" i="1"/>
  <c r="M105" i="1"/>
  <c r="N105" i="1"/>
  <c r="O105" i="1"/>
  <c r="M108" i="1"/>
  <c r="O108" i="1"/>
  <c r="M109" i="1"/>
  <c r="O109" i="1"/>
  <c r="M110" i="1"/>
  <c r="O110" i="1"/>
  <c r="M113" i="1"/>
  <c r="O113" i="1"/>
  <c r="M114" i="1"/>
  <c r="O114" i="1"/>
  <c r="M115" i="1"/>
  <c r="O115" i="1"/>
  <c r="M116" i="1"/>
  <c r="O116" i="1"/>
  <c r="M117" i="1"/>
  <c r="N117" i="1"/>
  <c r="O117" i="1"/>
  <c r="M120" i="1"/>
  <c r="O120" i="1"/>
  <c r="M121" i="1"/>
  <c r="O121" i="1"/>
  <c r="M122" i="1"/>
  <c r="O122" i="1"/>
  <c r="M123" i="1"/>
  <c r="O123" i="1"/>
  <c r="M124" i="1"/>
  <c r="O124" i="1"/>
  <c r="M125" i="1"/>
  <c r="O125" i="1"/>
  <c r="M127" i="1"/>
  <c r="O127" i="1"/>
  <c r="M128" i="1"/>
  <c r="O128" i="1"/>
  <c r="M129" i="1"/>
  <c r="O129" i="1"/>
  <c r="M130" i="1"/>
  <c r="O130" i="1"/>
  <c r="M131" i="1"/>
  <c r="N131" i="1"/>
  <c r="O131" i="1"/>
  <c r="M132" i="1"/>
  <c r="O132" i="1"/>
  <c r="M133" i="1"/>
  <c r="O133" i="1"/>
  <c r="M134" i="1"/>
  <c r="N134" i="1"/>
  <c r="O134" i="1"/>
  <c r="M137" i="1"/>
  <c r="O137" i="1"/>
  <c r="M138" i="1"/>
  <c r="O138" i="1"/>
  <c r="M139" i="1"/>
  <c r="O139" i="1"/>
  <c r="M141" i="1"/>
  <c r="O141" i="1"/>
  <c r="M142" i="1"/>
  <c r="N142" i="1"/>
  <c r="O142" i="1"/>
  <c r="M145" i="1"/>
  <c r="O145" i="1"/>
  <c r="M146" i="1"/>
  <c r="O146" i="1"/>
  <c r="M147" i="1"/>
  <c r="O147" i="1"/>
  <c r="M148" i="1"/>
  <c r="O148" i="1"/>
  <c r="M149" i="1"/>
  <c r="O149" i="1"/>
  <c r="M150" i="1"/>
  <c r="O150" i="1"/>
  <c r="M151" i="1"/>
  <c r="N151" i="1"/>
  <c r="O151" i="1"/>
  <c r="M152" i="1"/>
  <c r="O152" i="1"/>
  <c r="M153" i="1"/>
  <c r="N153" i="1"/>
  <c r="O153" i="1"/>
  <c r="M156" i="1"/>
  <c r="O156" i="1"/>
  <c r="M157" i="1"/>
  <c r="O157" i="1"/>
  <c r="M158" i="1"/>
  <c r="O158" i="1"/>
  <c r="M159" i="1"/>
  <c r="O159" i="1"/>
  <c r="M160" i="1"/>
  <c r="O160" i="1"/>
  <c r="M161" i="1"/>
  <c r="O161" i="1"/>
  <c r="M162" i="1"/>
  <c r="N162" i="1"/>
  <c r="O162" i="1"/>
  <c r="M163" i="1"/>
  <c r="O163" i="1"/>
  <c r="M164" i="1"/>
  <c r="N164" i="1"/>
  <c r="O164" i="1"/>
  <c r="M167" i="1"/>
  <c r="O167" i="1"/>
  <c r="M168" i="1"/>
  <c r="O168" i="1"/>
  <c r="M169" i="1"/>
  <c r="O169" i="1"/>
  <c r="M170" i="1"/>
  <c r="O170" i="1"/>
  <c r="M171" i="1"/>
  <c r="O171" i="1"/>
  <c r="M172" i="1"/>
  <c r="O172" i="1"/>
  <c r="M173" i="1"/>
  <c r="N173" i="1"/>
  <c r="O173" i="1"/>
  <c r="M174" i="1"/>
  <c r="N174" i="1"/>
  <c r="O174" i="1"/>
  <c r="M175" i="1"/>
  <c r="N175" i="1"/>
  <c r="O175" i="1"/>
  <c r="M178" i="1"/>
  <c r="O178" i="1"/>
  <c r="M179" i="1"/>
  <c r="O179" i="1"/>
  <c r="O180" i="1"/>
  <c r="M182" i="1"/>
  <c r="O182" i="1"/>
  <c r="M183" i="1"/>
  <c r="O183" i="1"/>
  <c r="O184" i="1"/>
  <c r="O185" i="1"/>
  <c r="M186" i="1"/>
  <c r="N186" i="1"/>
  <c r="O186" i="1"/>
  <c r="M187" i="1"/>
  <c r="N187" i="1"/>
  <c r="O187" i="1"/>
  <c r="M188" i="1"/>
  <c r="N188" i="1"/>
  <c r="O188" i="1"/>
  <c r="M189" i="1"/>
  <c r="N189" i="1"/>
  <c r="O189" i="1"/>
  <c r="M190" i="1"/>
  <c r="N190" i="1"/>
  <c r="O190" i="1"/>
  <c r="M191" i="1"/>
  <c r="O191" i="1"/>
  <c r="M192" i="1"/>
  <c r="O192" i="1"/>
  <c r="M195" i="1"/>
  <c r="O195" i="1"/>
  <c r="M196" i="1"/>
  <c r="O196" i="1"/>
  <c r="M197" i="1"/>
  <c r="O197" i="1"/>
  <c r="M198" i="1"/>
  <c r="O198" i="1"/>
  <c r="M199" i="1"/>
  <c r="O199" i="1"/>
  <c r="M200" i="1"/>
  <c r="N200" i="1"/>
  <c r="O200" i="1"/>
  <c r="M203" i="1"/>
  <c r="O203" i="1"/>
  <c r="M204" i="1"/>
  <c r="O204" i="1"/>
  <c r="M205" i="1"/>
  <c r="O205" i="1"/>
  <c r="M206" i="1"/>
  <c r="O206" i="1"/>
  <c r="M207" i="1"/>
  <c r="O207" i="1"/>
  <c r="M208" i="1"/>
  <c r="N208" i="1"/>
  <c r="O208" i="1"/>
  <c r="M211" i="1"/>
  <c r="O211" i="1"/>
  <c r="M212" i="1"/>
  <c r="O212" i="1"/>
  <c r="M213" i="1"/>
  <c r="O213" i="1"/>
  <c r="M214" i="1"/>
  <c r="O214" i="1"/>
  <c r="M215" i="1"/>
  <c r="O215" i="1"/>
  <c r="M218" i="1"/>
  <c r="O218" i="1"/>
  <c r="M219" i="1"/>
  <c r="O219" i="1"/>
  <c r="M220" i="1"/>
  <c r="O220" i="1"/>
  <c r="M221" i="1"/>
  <c r="O221" i="1"/>
  <c r="M223" i="1"/>
  <c r="O223" i="1"/>
  <c r="M224" i="1"/>
  <c r="O224" i="1"/>
  <c r="M225" i="1"/>
  <c r="O225" i="1"/>
  <c r="M226" i="1"/>
  <c r="O226" i="1"/>
  <c r="M227" i="1"/>
  <c r="O227" i="1"/>
  <c r="M228" i="1"/>
  <c r="N228" i="1"/>
  <c r="O228" i="1"/>
  <c r="M231" i="1"/>
  <c r="O231" i="1"/>
  <c r="M232" i="1"/>
  <c r="O232" i="1"/>
  <c r="M233" i="1"/>
  <c r="O233" i="1"/>
  <c r="M234" i="1"/>
  <c r="O234" i="1"/>
  <c r="M235" i="1"/>
  <c r="O235" i="1"/>
  <c r="M236" i="1"/>
  <c r="O236" i="1"/>
  <c r="M237" i="1"/>
  <c r="O237" i="1"/>
  <c r="M238" i="1"/>
  <c r="O238" i="1"/>
  <c r="M239" i="1"/>
  <c r="O239" i="1"/>
  <c r="M240" i="1"/>
  <c r="O240" i="1"/>
  <c r="M241" i="1"/>
  <c r="O241" i="1"/>
  <c r="M242" i="1"/>
  <c r="O242" i="1"/>
  <c r="M243" i="1"/>
  <c r="N243" i="1"/>
  <c r="O243" i="1"/>
  <c r="M244" i="1"/>
  <c r="O244" i="1"/>
  <c r="M245" i="1"/>
  <c r="O245" i="1"/>
  <c r="M246" i="1"/>
  <c r="N246" i="1"/>
  <c r="O246" i="1"/>
  <c r="M247" i="1"/>
  <c r="N247" i="1"/>
  <c r="O247" i="1"/>
  <c r="M248" i="1"/>
  <c r="O248" i="1"/>
  <c r="M249" i="1"/>
  <c r="N249" i="1"/>
  <c r="O249" i="1"/>
  <c r="M252" i="1"/>
  <c r="O252" i="1"/>
  <c r="M254" i="1"/>
  <c r="O254" i="1"/>
  <c r="M256" i="1"/>
  <c r="O256" i="1"/>
  <c r="M257" i="1"/>
  <c r="N257" i="1"/>
  <c r="O257" i="1"/>
  <c r="M258" i="1"/>
  <c r="O258" i="1"/>
  <c r="M261" i="1"/>
  <c r="O261" i="1"/>
  <c r="M262" i="1"/>
  <c r="O262" i="1"/>
  <c r="M263" i="1"/>
  <c r="O263" i="1"/>
  <c r="M264" i="1"/>
  <c r="O264" i="1"/>
  <c r="M265" i="1"/>
  <c r="O265" i="1"/>
  <c r="M266" i="1"/>
  <c r="O266" i="1"/>
  <c r="M267" i="1"/>
  <c r="N267" i="1"/>
  <c r="O267" i="1"/>
  <c r="M268" i="1"/>
  <c r="N268" i="1"/>
  <c r="O268" i="1"/>
  <c r="M271" i="1"/>
  <c r="O271" i="1"/>
  <c r="M272" i="1"/>
  <c r="O272" i="1"/>
  <c r="M273" i="1"/>
  <c r="O273" i="1"/>
  <c r="M274" i="1"/>
  <c r="O274" i="1"/>
  <c r="O275" i="1"/>
  <c r="M276" i="1"/>
  <c r="O276" i="1"/>
  <c r="M277" i="1"/>
  <c r="O277" i="1"/>
  <c r="M278" i="1"/>
  <c r="O278" i="1"/>
  <c r="M279" i="1"/>
  <c r="O279" i="1"/>
  <c r="M280" i="1"/>
  <c r="N280" i="1"/>
  <c r="O280" i="1"/>
  <c r="M281" i="1"/>
  <c r="O281" i="1"/>
  <c r="M282" i="1"/>
  <c r="O282" i="1"/>
  <c r="M283" i="1"/>
  <c r="O283" i="1"/>
  <c r="M284" i="1"/>
  <c r="O284" i="1"/>
  <c r="M285" i="1"/>
  <c r="N285" i="1"/>
  <c r="O285" i="1"/>
  <c r="M288" i="1"/>
  <c r="O288" i="1"/>
  <c r="M289" i="1"/>
  <c r="O289" i="1"/>
  <c r="M291" i="1"/>
  <c r="N291" i="1"/>
  <c r="O291" i="1"/>
  <c r="M293" i="1"/>
  <c r="N293" i="1"/>
  <c r="O293" i="1"/>
  <c r="M294" i="1"/>
  <c r="O294" i="1"/>
  <c r="M295" i="1"/>
  <c r="O295" i="1"/>
  <c r="M296" i="1"/>
  <c r="O296" i="1"/>
  <c r="M297" i="1"/>
  <c r="O297" i="1"/>
  <c r="M298" i="1"/>
  <c r="N298" i="1"/>
  <c r="O298" i="1"/>
  <c r="M299" i="1"/>
  <c r="N299" i="1"/>
  <c r="O299" i="1"/>
  <c r="M300" i="1"/>
  <c r="O300" i="1"/>
  <c r="M301" i="1"/>
  <c r="O301" i="1"/>
  <c r="M302" i="1"/>
  <c r="O302" i="1"/>
  <c r="M305" i="1"/>
  <c r="O305" i="1"/>
  <c r="M306" i="1"/>
  <c r="O306" i="1"/>
  <c r="M307" i="1"/>
  <c r="N307" i="1"/>
  <c r="O307" i="1"/>
  <c r="M310" i="1"/>
  <c r="O310" i="1"/>
  <c r="M311" i="1"/>
  <c r="O311" i="1"/>
  <c r="M312" i="1"/>
  <c r="O312" i="1"/>
  <c r="M313" i="1"/>
  <c r="O313" i="1"/>
  <c r="M314" i="1"/>
  <c r="O314" i="1"/>
  <c r="M315" i="1"/>
  <c r="O315" i="1"/>
  <c r="M316" i="1"/>
  <c r="O316" i="1"/>
  <c r="M319" i="1"/>
  <c r="O319" i="1"/>
  <c r="M320" i="1"/>
  <c r="O320" i="1"/>
  <c r="M321" i="1"/>
  <c r="O321" i="1"/>
  <c r="M322" i="1"/>
  <c r="O322" i="1"/>
  <c r="M323" i="1"/>
  <c r="O323" i="1"/>
  <c r="M324" i="1"/>
  <c r="O324" i="1"/>
  <c r="M325" i="1"/>
  <c r="O325" i="1"/>
  <c r="M326" i="1"/>
  <c r="O326" i="1"/>
  <c r="M327" i="1"/>
  <c r="N327" i="1"/>
  <c r="O327" i="1"/>
  <c r="M328" i="1"/>
  <c r="O328" i="1"/>
  <c r="M329" i="1"/>
  <c r="O329" i="1"/>
  <c r="M330" i="1"/>
  <c r="O330" i="1"/>
  <c r="M333" i="1"/>
  <c r="O333" i="1"/>
  <c r="M334" i="1"/>
  <c r="O334" i="1"/>
  <c r="M335" i="1"/>
  <c r="O335" i="1"/>
  <c r="M336" i="1"/>
  <c r="O336" i="1"/>
  <c r="M337" i="1"/>
  <c r="O337" i="1"/>
  <c r="M338" i="1"/>
  <c r="O338" i="1"/>
  <c r="M339" i="1"/>
  <c r="O339" i="1"/>
  <c r="M340" i="1"/>
  <c r="O340" i="1"/>
  <c r="M341" i="1"/>
  <c r="O341" i="1"/>
  <c r="M342" i="1"/>
  <c r="O342" i="1"/>
  <c r="M343" i="1"/>
  <c r="O343" i="1"/>
  <c r="M344" i="1"/>
  <c r="O344" i="1"/>
  <c r="M345" i="1"/>
  <c r="O345" i="1"/>
  <c r="M346" i="1"/>
  <c r="O346" i="1"/>
  <c r="M347" i="1"/>
  <c r="O347" i="1"/>
  <c r="M348" i="1"/>
  <c r="O348" i="1"/>
  <c r="M349" i="1"/>
  <c r="O349" i="1"/>
  <c r="M350" i="1"/>
  <c r="O350" i="1"/>
  <c r="M351" i="1"/>
  <c r="N351" i="1"/>
  <c r="O351" i="1"/>
  <c r="M352" i="1"/>
  <c r="N352" i="1"/>
  <c r="O352" i="1"/>
  <c r="M353" i="1"/>
  <c r="N353" i="1"/>
  <c r="O353" i="1"/>
  <c r="M354" i="1"/>
  <c r="N354" i="1"/>
  <c r="O354" i="1"/>
  <c r="M355" i="1"/>
  <c r="O355" i="1"/>
  <c r="M356" i="1"/>
  <c r="O356" i="1"/>
  <c r="M357" i="1"/>
  <c r="N357" i="1"/>
  <c r="O357" i="1"/>
  <c r="M358" i="1"/>
  <c r="O358" i="1"/>
  <c r="M359" i="1"/>
  <c r="O359" i="1"/>
  <c r="M362" i="1"/>
  <c r="O362" i="1"/>
  <c r="M363" i="1"/>
  <c r="O363" i="1"/>
  <c r="M364" i="1"/>
  <c r="O364" i="1"/>
  <c r="M367" i="1"/>
  <c r="O367" i="1"/>
  <c r="M368" i="1"/>
  <c r="O368" i="1"/>
  <c r="M369" i="1"/>
  <c r="O369" i="1"/>
  <c r="M370" i="1"/>
  <c r="O370" i="1"/>
  <c r="M371" i="1"/>
  <c r="O371" i="1"/>
  <c r="M374" i="1"/>
  <c r="O374" i="1"/>
  <c r="O377" i="1"/>
  <c r="M378" i="1"/>
  <c r="O378" i="1"/>
  <c r="M380" i="1"/>
  <c r="O380" i="1"/>
  <c r="M381" i="1"/>
  <c r="O381" i="1"/>
  <c r="M382" i="1"/>
  <c r="O382" i="1"/>
  <c r="M383" i="1"/>
  <c r="O383" i="1"/>
  <c r="O384" i="1"/>
  <c r="M385" i="1"/>
  <c r="O385" i="1"/>
  <c r="M387" i="1"/>
  <c r="O387" i="1"/>
  <c r="M389" i="1"/>
  <c r="O389" i="1"/>
  <c r="M390" i="1"/>
  <c r="O390" i="1"/>
  <c r="M391" i="1"/>
  <c r="O391" i="1"/>
  <c r="M393" i="1"/>
  <c r="O393" i="1"/>
  <c r="M394" i="1"/>
  <c r="O394" i="1"/>
  <c r="M395" i="1"/>
  <c r="O395" i="1"/>
  <c r="M396" i="1"/>
  <c r="N396" i="1"/>
  <c r="O396" i="1"/>
  <c r="M397" i="1"/>
  <c r="O397" i="1"/>
  <c r="M398" i="1"/>
  <c r="O398" i="1"/>
  <c r="M399" i="1"/>
  <c r="O399" i="1"/>
  <c r="M400" i="1"/>
  <c r="O400" i="1"/>
  <c r="M401" i="1"/>
  <c r="O401" i="1"/>
  <c r="M402" i="1"/>
  <c r="O402" i="1"/>
  <c r="M403" i="1"/>
  <c r="O403" i="1"/>
  <c r="M404" i="1"/>
  <c r="O404" i="1"/>
  <c r="M405" i="1"/>
  <c r="O405" i="1"/>
  <c r="M406" i="1"/>
  <c r="O406" i="1"/>
  <c r="M407" i="1"/>
  <c r="O407" i="1"/>
  <c r="M408" i="1"/>
  <c r="N408" i="1"/>
  <c r="O408" i="1"/>
  <c r="M411" i="1"/>
  <c r="O411" i="1"/>
  <c r="M412" i="1"/>
  <c r="O412" i="1"/>
  <c r="M413" i="1"/>
  <c r="O413" i="1"/>
  <c r="M415" i="1"/>
  <c r="O415" i="1"/>
  <c r="M416" i="1"/>
  <c r="O416" i="1"/>
  <c r="M417" i="1"/>
  <c r="O417" i="1"/>
  <c r="M420" i="1"/>
  <c r="O420" i="1"/>
  <c r="O421" i="1"/>
  <c r="M422" i="1"/>
  <c r="O422" i="1"/>
  <c r="M423" i="1"/>
  <c r="O423" i="1"/>
  <c r="M424" i="1"/>
  <c r="O424" i="1"/>
  <c r="M425" i="1"/>
  <c r="O425" i="1"/>
  <c r="M426" i="1"/>
  <c r="O426" i="1"/>
  <c r="M427" i="1"/>
  <c r="N427" i="1"/>
  <c r="O427" i="1"/>
  <c r="M430" i="1"/>
  <c r="O430" i="1"/>
  <c r="M431" i="1"/>
  <c r="O431" i="1"/>
  <c r="M432" i="1"/>
  <c r="O432" i="1"/>
  <c r="M433" i="1"/>
  <c r="O433" i="1"/>
  <c r="M434" i="1"/>
  <c r="O434" i="1"/>
  <c r="M435" i="1"/>
  <c r="O435" i="1"/>
  <c r="M436" i="1"/>
  <c r="O436" i="1"/>
  <c r="M437" i="1"/>
  <c r="O437" i="1"/>
  <c r="M438" i="1"/>
  <c r="O438" i="1"/>
  <c r="M439" i="1"/>
  <c r="N439" i="1"/>
  <c r="O439" i="1"/>
  <c r="M440" i="1"/>
  <c r="O440" i="1"/>
  <c r="M443" i="1"/>
  <c r="O443" i="1"/>
  <c r="M444" i="1"/>
  <c r="O444" i="1"/>
  <c r="M445" i="1"/>
  <c r="O445" i="1"/>
  <c r="M446" i="1"/>
  <c r="O446" i="1"/>
  <c r="M447" i="1"/>
  <c r="O447" i="1"/>
  <c r="M448" i="1"/>
  <c r="O448" i="1"/>
  <c r="M449" i="1"/>
  <c r="O449" i="1"/>
  <c r="M450" i="1"/>
  <c r="O450" i="1"/>
  <c r="M451" i="1"/>
  <c r="N451" i="1"/>
  <c r="O451" i="1"/>
  <c r="M452" i="1"/>
  <c r="N452" i="1"/>
  <c r="O452" i="1"/>
  <c r="M455" i="1"/>
  <c r="O455" i="1"/>
  <c r="M456" i="1"/>
  <c r="O456" i="1"/>
  <c r="M457" i="1"/>
  <c r="O457" i="1"/>
  <c r="M458" i="1"/>
  <c r="O458" i="1"/>
  <c r="M459" i="1"/>
  <c r="O459" i="1"/>
  <c r="M460" i="1"/>
  <c r="O460" i="1"/>
  <c r="M461" i="1"/>
  <c r="O461" i="1"/>
  <c r="M462" i="1"/>
  <c r="O462" i="1"/>
  <c r="M463" i="1"/>
  <c r="O463" i="1"/>
  <c r="M464" i="1"/>
  <c r="N464" i="1"/>
  <c r="O464" i="1"/>
  <c r="M465" i="1"/>
  <c r="N465" i="1"/>
  <c r="O465" i="1"/>
  <c r="M466" i="1"/>
  <c r="N466" i="1"/>
  <c r="O466" i="1"/>
  <c r="M469" i="1"/>
  <c r="O469" i="1"/>
  <c r="M470" i="1"/>
  <c r="N470" i="1"/>
  <c r="O470" i="1"/>
  <c r="M471" i="1"/>
  <c r="O471" i="1"/>
  <c r="M472" i="1"/>
  <c r="O472" i="1"/>
  <c r="M475" i="1"/>
  <c r="O475" i="1"/>
  <c r="M476" i="1"/>
  <c r="N476" i="1"/>
  <c r="O476" i="1"/>
  <c r="M477" i="1"/>
  <c r="O477" i="1"/>
  <c r="M480" i="1"/>
  <c r="O480" i="1"/>
  <c r="M481" i="1"/>
  <c r="N481" i="1"/>
  <c r="O481" i="1"/>
  <c r="M482" i="1"/>
  <c r="O482" i="1"/>
  <c r="M483" i="1"/>
  <c r="O483" i="1"/>
  <c r="M484" i="1"/>
  <c r="O484" i="1"/>
  <c r="M487" i="1"/>
  <c r="O487" i="1"/>
  <c r="M488" i="1"/>
  <c r="O488" i="1"/>
  <c r="M489" i="1"/>
  <c r="N489" i="1"/>
  <c r="O489" i="1"/>
  <c r="M490" i="1"/>
  <c r="N490" i="1"/>
  <c r="O490" i="1"/>
  <c r="M493" i="1"/>
  <c r="O493" i="1"/>
  <c r="M494" i="1"/>
  <c r="N494" i="1"/>
  <c r="O494" i="1"/>
  <c r="M495" i="1"/>
  <c r="O495" i="1"/>
  <c r="O498" i="1"/>
  <c r="M499" i="1"/>
  <c r="O499" i="1"/>
  <c r="M500" i="1"/>
  <c r="O500" i="1"/>
  <c r="M501" i="1"/>
  <c r="N501" i="1"/>
  <c r="O501" i="1"/>
  <c r="M504" i="1"/>
  <c r="O504" i="1"/>
  <c r="M505" i="1"/>
  <c r="N505" i="1"/>
  <c r="O505" i="1"/>
  <c r="M508" i="1"/>
  <c r="O508" i="1"/>
  <c r="M509" i="1"/>
  <c r="N509" i="1"/>
  <c r="O509" i="1"/>
  <c r="M510" i="1"/>
  <c r="N510" i="1"/>
  <c r="O510" i="1"/>
  <c r="M513" i="1"/>
  <c r="O513" i="1"/>
  <c r="M514" i="1"/>
  <c r="N514" i="1"/>
  <c r="O514" i="1"/>
  <c r="M515" i="1"/>
  <c r="O515" i="1"/>
  <c r="M516" i="1"/>
  <c r="N516" i="1"/>
  <c r="O516" i="1"/>
  <c r="M519" i="1"/>
  <c r="O519" i="1"/>
  <c r="M520" i="1"/>
  <c r="O520" i="1"/>
  <c r="M521" i="1"/>
  <c r="N521" i="1"/>
  <c r="O521" i="1"/>
  <c r="M522" i="1"/>
  <c r="O522" i="1"/>
  <c r="M523" i="1"/>
  <c r="N523" i="1"/>
  <c r="O523" i="1"/>
  <c r="M526" i="1"/>
  <c r="O526" i="1"/>
  <c r="M527" i="1"/>
  <c r="O527" i="1"/>
  <c r="M528" i="1"/>
  <c r="N528" i="1"/>
  <c r="O528" i="1"/>
  <c r="M531" i="1"/>
  <c r="O531" i="1"/>
  <c r="M532" i="1"/>
  <c r="N532" i="1"/>
  <c r="O532" i="1"/>
  <c r="M533" i="1"/>
  <c r="O533" i="1"/>
  <c r="M534" i="1"/>
  <c r="O534" i="1"/>
  <c r="M535" i="1"/>
  <c r="N535" i="1"/>
  <c r="O535" i="1"/>
  <c r="M538" i="1"/>
  <c r="O538" i="1"/>
  <c r="M539" i="1"/>
  <c r="O539" i="1"/>
  <c r="M540" i="1"/>
  <c r="N540" i="1"/>
  <c r="O540" i="1"/>
  <c r="M541" i="1"/>
  <c r="N541" i="1"/>
  <c r="O541" i="1"/>
  <c r="M542" i="1"/>
  <c r="N542" i="1"/>
  <c r="O542" i="1"/>
  <c r="M545" i="1"/>
  <c r="O545" i="1"/>
  <c r="M546" i="1"/>
  <c r="O546" i="1"/>
  <c r="M547" i="1"/>
  <c r="N547" i="1"/>
  <c r="O547" i="1"/>
  <c r="M548" i="1"/>
  <c r="O548" i="1"/>
  <c r="M549" i="1"/>
  <c r="N549" i="1"/>
  <c r="O549" i="1"/>
  <c r="M552" i="1"/>
  <c r="O552" i="1"/>
  <c r="M553" i="1"/>
  <c r="N553" i="1"/>
  <c r="O553" i="1"/>
  <c r="M554" i="1"/>
  <c r="N554" i="1"/>
  <c r="O554" i="1"/>
  <c r="M555" i="1"/>
  <c r="N555" i="1"/>
  <c r="O555" i="1"/>
  <c r="M558" i="1"/>
  <c r="O558" i="1"/>
  <c r="M559" i="1"/>
  <c r="N559" i="1"/>
  <c r="O559" i="1"/>
  <c r="M560" i="1"/>
  <c r="N560" i="1"/>
  <c r="O560" i="1"/>
  <c r="M561" i="1"/>
  <c r="N561" i="1"/>
  <c r="O561" i="1"/>
  <c r="M564" i="1"/>
  <c r="O564" i="1"/>
  <c r="M565" i="1"/>
  <c r="O565" i="1"/>
  <c r="M566" i="1"/>
  <c r="N566" i="1"/>
  <c r="O566" i="1"/>
  <c r="M567" i="1"/>
  <c r="O567" i="1"/>
  <c r="M568" i="1"/>
  <c r="N568" i="1"/>
  <c r="O568" i="1"/>
  <c r="M571" i="1"/>
  <c r="O571" i="1"/>
  <c r="M572" i="1"/>
  <c r="N572" i="1"/>
  <c r="O572" i="1"/>
  <c r="M573" i="1"/>
  <c r="O573" i="1"/>
  <c r="M574" i="1"/>
  <c r="N574" i="1"/>
  <c r="O574" i="1"/>
  <c r="M577" i="1"/>
  <c r="O577" i="1"/>
  <c r="M578" i="1"/>
  <c r="N578" i="1"/>
  <c r="O578" i="1"/>
  <c r="M579" i="1"/>
  <c r="N579" i="1"/>
  <c r="O579" i="1"/>
  <c r="M580" i="1"/>
  <c r="N580" i="1"/>
  <c r="O580" i="1"/>
  <c r="M583" i="1"/>
  <c r="O583" i="1"/>
  <c r="M584" i="1"/>
  <c r="N584" i="1"/>
  <c r="O584" i="1"/>
  <c r="M585" i="1"/>
  <c r="O585" i="1"/>
  <c r="M586" i="1"/>
  <c r="O586" i="1"/>
  <c r="M587" i="1"/>
  <c r="N587" i="1"/>
  <c r="O587" i="1"/>
  <c r="M588" i="1"/>
  <c r="O588" i="1"/>
  <c r="M591" i="1"/>
  <c r="O591" i="1"/>
  <c r="M592" i="1"/>
  <c r="O592" i="1"/>
  <c r="M593" i="1"/>
  <c r="N593" i="1"/>
  <c r="O593" i="1"/>
  <c r="M594" i="1"/>
  <c r="O594" i="1"/>
  <c r="M597" i="1"/>
  <c r="O597" i="1"/>
  <c r="M598" i="1"/>
  <c r="O598" i="1"/>
  <c r="M599" i="1"/>
  <c r="N599" i="1"/>
  <c r="O599" i="1"/>
  <c r="M600" i="1"/>
  <c r="N600" i="1"/>
  <c r="O600" i="1"/>
  <c r="M601" i="1"/>
  <c r="O601" i="1"/>
  <c r="O604" i="1"/>
  <c r="M605" i="1"/>
  <c r="O605" i="1"/>
  <c r="M606" i="1"/>
  <c r="O606" i="1"/>
  <c r="M607" i="1"/>
  <c r="O607" i="1"/>
  <c r="M608" i="1"/>
  <c r="O608" i="1"/>
  <c r="M609" i="1"/>
  <c r="O609" i="1"/>
  <c r="M610" i="1"/>
  <c r="O610" i="1"/>
  <c r="M612" i="1"/>
  <c r="N612" i="1"/>
  <c r="O612" i="1"/>
  <c r="M613" i="1"/>
  <c r="O613" i="1"/>
  <c r="M614" i="1"/>
  <c r="O614" i="1"/>
  <c r="M615" i="1"/>
  <c r="O615" i="1"/>
  <c r="M616" i="1"/>
  <c r="O616" i="1"/>
  <c r="M617" i="1"/>
  <c r="O617" i="1"/>
  <c r="M618" i="1"/>
  <c r="O618" i="1"/>
  <c r="M619" i="1"/>
  <c r="N619" i="1"/>
  <c r="O619" i="1"/>
  <c r="M620" i="1"/>
  <c r="O620" i="1"/>
  <c r="M621" i="1"/>
  <c r="O621" i="1"/>
  <c r="M622" i="1"/>
  <c r="O622" i="1"/>
  <c r="M623" i="1"/>
  <c r="O623" i="1"/>
  <c r="M624" i="1"/>
  <c r="O624" i="1"/>
  <c r="O625" i="1"/>
  <c r="M626" i="1"/>
  <c r="O626" i="1"/>
  <c r="M627" i="1"/>
  <c r="N627" i="1"/>
  <c r="O627" i="1"/>
  <c r="M628" i="1"/>
  <c r="N628" i="1"/>
  <c r="O628" i="1"/>
  <c r="M629" i="1"/>
  <c r="O629" i="1"/>
  <c r="M630" i="1"/>
  <c r="O630" i="1"/>
  <c r="M631" i="1"/>
  <c r="O631" i="1"/>
  <c r="M632" i="1"/>
  <c r="O632" i="1"/>
  <c r="M633" i="1"/>
  <c r="O633" i="1"/>
  <c r="M634" i="1"/>
  <c r="O634" i="1"/>
  <c r="M635" i="1"/>
  <c r="O635" i="1"/>
  <c r="M636" i="1"/>
  <c r="O636" i="1"/>
  <c r="M637" i="1"/>
  <c r="N637" i="1"/>
  <c r="O637" i="1"/>
  <c r="M638" i="1"/>
  <c r="N638" i="1"/>
  <c r="O638" i="1"/>
  <c r="M639" i="1"/>
  <c r="O639" i="1"/>
  <c r="M640" i="1"/>
  <c r="O640" i="1"/>
  <c r="M641" i="1"/>
  <c r="N641" i="1"/>
  <c r="O641" i="1"/>
  <c r="M642" i="1"/>
  <c r="N642" i="1"/>
  <c r="O642" i="1"/>
  <c r="M643" i="1"/>
  <c r="N643" i="1"/>
  <c r="O643" i="1"/>
  <c r="M644" i="1"/>
  <c r="N644" i="1"/>
  <c r="O644" i="1"/>
  <c r="M645" i="1"/>
  <c r="N645" i="1"/>
  <c r="O645" i="1"/>
  <c r="M646" i="1"/>
  <c r="N646" i="1"/>
  <c r="O646" i="1"/>
  <c r="M647" i="1"/>
  <c r="N647" i="1"/>
  <c r="O647" i="1"/>
  <c r="M648" i="1"/>
  <c r="N648" i="1"/>
  <c r="O648" i="1"/>
  <c r="M649" i="1"/>
  <c r="N649" i="1"/>
  <c r="O649" i="1"/>
  <c r="M650" i="1"/>
  <c r="O650" i="1"/>
  <c r="M651" i="1"/>
  <c r="O651" i="1"/>
  <c r="M652" i="1"/>
  <c r="O652" i="1"/>
  <c r="M653" i="1"/>
  <c r="O653" i="1"/>
  <c r="M654" i="1"/>
  <c r="O654" i="1"/>
  <c r="M655" i="1"/>
  <c r="O655" i="1"/>
  <c r="M658" i="1"/>
  <c r="O658" i="1"/>
  <c r="M659" i="1"/>
  <c r="O659" i="1"/>
  <c r="M660" i="1"/>
  <c r="N660" i="1"/>
  <c r="O660" i="1"/>
  <c r="M661" i="1"/>
  <c r="O661" i="1"/>
  <c r="M662" i="1"/>
  <c r="O662" i="1"/>
  <c r="M665" i="1"/>
  <c r="O665" i="1"/>
  <c r="M666" i="1"/>
  <c r="O666" i="1"/>
  <c r="M667" i="1"/>
  <c r="N667" i="1"/>
  <c r="O667" i="1"/>
  <c r="M668" i="1"/>
  <c r="O668" i="1"/>
  <c r="M669" i="1"/>
  <c r="O669" i="1"/>
  <c r="M670" i="1"/>
  <c r="O670" i="1"/>
  <c r="M671" i="1"/>
  <c r="O671" i="1"/>
  <c r="M672" i="1"/>
  <c r="N672" i="1"/>
  <c r="O672" i="1"/>
  <c r="M673" i="1"/>
  <c r="N673" i="1"/>
  <c r="O673" i="1"/>
  <c r="M674" i="1"/>
  <c r="N674" i="1"/>
  <c r="O674" i="1"/>
  <c r="M677" i="1"/>
  <c r="O677" i="1"/>
  <c r="M678" i="1"/>
  <c r="O678" i="1"/>
  <c r="M679" i="1"/>
  <c r="O679" i="1"/>
  <c r="M680" i="1"/>
  <c r="O680" i="1"/>
  <c r="M681" i="1"/>
  <c r="O681" i="1"/>
  <c r="M682" i="1"/>
  <c r="N682" i="1"/>
  <c r="O682" i="1"/>
  <c r="M683" i="1"/>
  <c r="N683" i="1"/>
  <c r="O683" i="1"/>
  <c r="M684" i="1"/>
  <c r="N684" i="1"/>
  <c r="O684" i="1"/>
  <c r="M685" i="1"/>
  <c r="N685" i="1"/>
  <c r="O685" i="1"/>
  <c r="M688" i="1"/>
  <c r="O688" i="1"/>
  <c r="M689" i="1"/>
  <c r="O689" i="1"/>
  <c r="M690" i="1"/>
  <c r="O690" i="1"/>
  <c r="M691" i="1"/>
  <c r="O691" i="1"/>
  <c r="M692" i="1"/>
  <c r="O692" i="1"/>
  <c r="M693" i="1"/>
  <c r="N693" i="1"/>
  <c r="O693" i="1"/>
  <c r="M694" i="1"/>
  <c r="N694" i="1"/>
  <c r="O694" i="1"/>
  <c r="M695" i="1"/>
  <c r="N695" i="1"/>
  <c r="O695" i="1"/>
  <c r="M698" i="1"/>
  <c r="O698" i="1"/>
  <c r="M699" i="1"/>
  <c r="O699" i="1"/>
  <c r="M700" i="1"/>
  <c r="N700" i="1"/>
  <c r="O700" i="1"/>
  <c r="M701" i="1"/>
  <c r="O701" i="1"/>
  <c r="M702" i="1"/>
  <c r="N702" i="1"/>
  <c r="O702" i="1"/>
  <c r="M703" i="1"/>
  <c r="O703" i="1"/>
  <c r="M704" i="1"/>
  <c r="O704" i="1"/>
  <c r="M705" i="1"/>
  <c r="O705" i="1"/>
  <c r="M706" i="1"/>
  <c r="N706" i="1"/>
  <c r="O706" i="1"/>
  <c r="M707" i="1"/>
  <c r="N707" i="1"/>
  <c r="O707" i="1"/>
  <c r="M708" i="1"/>
  <c r="N708" i="1"/>
  <c r="O708" i="1"/>
  <c r="M709" i="1"/>
  <c r="N709" i="1"/>
  <c r="O709" i="1"/>
  <c r="M712" i="1"/>
  <c r="O712" i="1"/>
  <c r="O713" i="1"/>
  <c r="M714" i="1"/>
  <c r="O714" i="1"/>
  <c r="M715" i="1"/>
  <c r="N715" i="1"/>
  <c r="O715" i="1"/>
  <c r="M716" i="1"/>
  <c r="N716" i="1"/>
  <c r="O716" i="1"/>
  <c r="M717" i="1"/>
  <c r="O717" i="1"/>
  <c r="M718" i="1"/>
  <c r="O718" i="1"/>
  <c r="M719" i="1"/>
  <c r="N719" i="1"/>
  <c r="O719" i="1"/>
  <c r="M722" i="1"/>
  <c r="O722" i="1"/>
  <c r="M723" i="1"/>
  <c r="O723" i="1"/>
  <c r="M724" i="1"/>
  <c r="O724" i="1"/>
  <c r="M725" i="1"/>
  <c r="O725" i="1"/>
  <c r="M726" i="1"/>
  <c r="O726" i="1"/>
  <c r="M727" i="1"/>
  <c r="N727" i="1"/>
  <c r="O727" i="1"/>
  <c r="M728" i="1"/>
  <c r="N728" i="1"/>
  <c r="O728" i="1"/>
  <c r="M729" i="1"/>
  <c r="N729" i="1"/>
  <c r="O729" i="1"/>
  <c r="M730" i="1"/>
  <c r="N730" i="1"/>
  <c r="O730" i="1"/>
  <c r="M733" i="1"/>
  <c r="O733" i="1"/>
  <c r="O734" i="1"/>
  <c r="M735" i="1"/>
  <c r="O735" i="1"/>
  <c r="M736" i="1"/>
  <c r="O736" i="1"/>
  <c r="M737" i="1"/>
  <c r="N737" i="1"/>
  <c r="O737" i="1"/>
  <c r="M738" i="1"/>
  <c r="N738" i="1"/>
  <c r="O738" i="1"/>
  <c r="M739" i="1"/>
  <c r="O739" i="1"/>
  <c r="M740" i="1"/>
  <c r="N740" i="1"/>
  <c r="O740" i="1"/>
  <c r="M743" i="1"/>
  <c r="O743" i="1"/>
  <c r="M744" i="1"/>
  <c r="O744" i="1"/>
  <c r="M745" i="1"/>
  <c r="O745" i="1"/>
  <c r="M746" i="1"/>
  <c r="O746" i="1"/>
  <c r="M747" i="1"/>
  <c r="N747" i="1"/>
  <c r="O747" i="1"/>
  <c r="M748" i="1"/>
  <c r="N748" i="1"/>
  <c r="O748" i="1"/>
  <c r="M749" i="1"/>
  <c r="O749" i="1"/>
  <c r="M750" i="1"/>
  <c r="N750" i="1"/>
  <c r="O750" i="1"/>
  <c r="M753" i="1"/>
  <c r="O753" i="1"/>
  <c r="M754" i="1"/>
  <c r="O754" i="1"/>
  <c r="M755" i="1"/>
  <c r="O755" i="1"/>
  <c r="M756" i="1"/>
  <c r="O756" i="1"/>
  <c r="M757" i="1"/>
  <c r="O757" i="1"/>
  <c r="M758" i="1"/>
  <c r="O758" i="1"/>
  <c r="M759" i="1"/>
  <c r="N759" i="1"/>
  <c r="O759" i="1"/>
  <c r="M760" i="1"/>
  <c r="N760" i="1"/>
  <c r="O760" i="1"/>
  <c r="M761" i="1"/>
  <c r="N761" i="1"/>
  <c r="O761" i="1"/>
  <c r="M764" i="1"/>
  <c r="O764" i="1"/>
  <c r="M765" i="1"/>
  <c r="O765" i="1"/>
  <c r="M766" i="1"/>
  <c r="N766" i="1"/>
  <c r="O766" i="1"/>
  <c r="M767" i="1"/>
  <c r="O767" i="1"/>
  <c r="O768" i="1"/>
  <c r="M769" i="1"/>
  <c r="N769" i="1"/>
  <c r="O769" i="1"/>
  <c r="M770" i="1"/>
  <c r="N770" i="1"/>
  <c r="O770" i="1"/>
  <c r="M771" i="1"/>
  <c r="N771" i="1"/>
  <c r="O771" i="1"/>
  <c r="M772" i="1"/>
  <c r="O772" i="1"/>
  <c r="M773" i="1"/>
  <c r="O773" i="1"/>
  <c r="M774" i="1"/>
  <c r="N774" i="1"/>
  <c r="O774" i="1"/>
  <c r="M777" i="1"/>
  <c r="O777" i="1"/>
  <c r="M778" i="1"/>
  <c r="O778" i="1"/>
  <c r="M779" i="1"/>
  <c r="O779" i="1"/>
  <c r="M780" i="1"/>
  <c r="O780" i="1"/>
  <c r="M781" i="1"/>
  <c r="O781" i="1"/>
  <c r="M782" i="1"/>
  <c r="N782" i="1"/>
  <c r="O782" i="1"/>
  <c r="M783" i="1"/>
  <c r="N783" i="1"/>
  <c r="O783" i="1"/>
  <c r="M784" i="1"/>
  <c r="O784" i="1"/>
  <c r="M785" i="1"/>
  <c r="N785" i="1"/>
  <c r="O785" i="1"/>
  <c r="M786" i="1"/>
  <c r="N786" i="1"/>
  <c r="O786" i="1"/>
  <c r="M789" i="1"/>
  <c r="O789" i="1"/>
  <c r="M790" i="1"/>
  <c r="O790" i="1"/>
  <c r="M791" i="1"/>
  <c r="O791" i="1"/>
  <c r="M792" i="1"/>
  <c r="O792" i="1"/>
  <c r="M793" i="1"/>
  <c r="N793" i="1"/>
  <c r="O793" i="1"/>
  <c r="M794" i="1"/>
  <c r="N794" i="1"/>
  <c r="O794" i="1"/>
  <c r="M795" i="1"/>
  <c r="O795" i="1"/>
  <c r="M796" i="1"/>
  <c r="N796" i="1"/>
  <c r="O796" i="1"/>
  <c r="M799" i="1"/>
  <c r="O799" i="1"/>
  <c r="M800" i="1"/>
  <c r="O800" i="1"/>
  <c r="M801" i="1"/>
  <c r="N801" i="1"/>
  <c r="O801" i="1"/>
  <c r="M802" i="1"/>
  <c r="O802" i="1"/>
  <c r="M803" i="1"/>
  <c r="O803" i="1"/>
  <c r="M804" i="1"/>
  <c r="N804" i="1"/>
  <c r="O804" i="1"/>
  <c r="M805" i="1"/>
  <c r="N805" i="1"/>
  <c r="O805" i="1"/>
  <c r="M806" i="1"/>
  <c r="O806" i="1"/>
  <c r="M807" i="1"/>
  <c r="N807" i="1"/>
  <c r="O807" i="1"/>
  <c r="M810" i="1"/>
  <c r="O810" i="1"/>
  <c r="O811" i="1"/>
  <c r="M812" i="1"/>
  <c r="N812" i="1"/>
  <c r="O812" i="1"/>
  <c r="M813" i="1"/>
  <c r="O813" i="1"/>
  <c r="M814" i="1"/>
  <c r="O814" i="1"/>
  <c r="M815" i="1"/>
  <c r="N815" i="1"/>
  <c r="O815" i="1"/>
  <c r="M816" i="1"/>
  <c r="N816" i="1"/>
  <c r="O816" i="1"/>
  <c r="M819" i="1"/>
  <c r="O819" i="1"/>
  <c r="M820" i="1"/>
  <c r="O820" i="1"/>
  <c r="M821" i="1"/>
  <c r="O821" i="1"/>
  <c r="M822" i="1"/>
  <c r="O822" i="1"/>
  <c r="M823" i="1"/>
  <c r="N823" i="1"/>
  <c r="O823" i="1"/>
  <c r="M824" i="1"/>
  <c r="N824" i="1"/>
  <c r="O824" i="1"/>
  <c r="M825" i="1"/>
  <c r="N825" i="1"/>
  <c r="O825" i="1"/>
  <c r="M826" i="1"/>
  <c r="N826" i="1"/>
  <c r="O826" i="1"/>
  <c r="M829" i="1"/>
  <c r="O829" i="1"/>
  <c r="M830" i="1"/>
  <c r="O830" i="1"/>
  <c r="M831" i="1"/>
  <c r="O831" i="1"/>
  <c r="M832" i="1"/>
  <c r="O832" i="1"/>
  <c r="M833" i="1"/>
  <c r="O833" i="1"/>
  <c r="M834" i="1"/>
  <c r="O834" i="1"/>
  <c r="M835" i="1"/>
  <c r="N835" i="1"/>
  <c r="O835" i="1"/>
  <c r="M836" i="1"/>
  <c r="N836" i="1"/>
  <c r="O836" i="1"/>
  <c r="M837" i="1"/>
  <c r="N837" i="1"/>
  <c r="O837" i="1"/>
  <c r="M838" i="1"/>
  <c r="N838" i="1"/>
  <c r="O838" i="1"/>
  <c r="M841" i="1"/>
  <c r="O841" i="1"/>
  <c r="M842" i="1"/>
  <c r="O842" i="1"/>
  <c r="M843" i="1"/>
  <c r="O843" i="1"/>
  <c r="M844" i="1"/>
  <c r="O844" i="1"/>
  <c r="M845" i="1"/>
  <c r="N845" i="1"/>
  <c r="O845" i="1"/>
  <c r="M846" i="1"/>
  <c r="N846" i="1"/>
  <c r="O846" i="1"/>
  <c r="M847" i="1"/>
  <c r="N847" i="1"/>
  <c r="O847" i="1"/>
  <c r="M848" i="1"/>
  <c r="O848" i="1"/>
  <c r="M849" i="1"/>
  <c r="N849" i="1"/>
  <c r="O849" i="1"/>
  <c r="M852" i="1"/>
  <c r="O852" i="1"/>
  <c r="M853" i="1"/>
  <c r="O853" i="1"/>
  <c r="M854" i="1"/>
  <c r="O854" i="1"/>
  <c r="M855" i="1"/>
  <c r="N855" i="1"/>
  <c r="O855" i="1"/>
  <c r="M856" i="1"/>
  <c r="O856" i="1"/>
  <c r="M857" i="1"/>
  <c r="O857" i="1"/>
  <c r="M858" i="1"/>
  <c r="N858" i="1"/>
  <c r="O858" i="1"/>
  <c r="M859" i="1"/>
  <c r="N859" i="1"/>
  <c r="O859" i="1"/>
  <c r="M860" i="1"/>
  <c r="O860" i="1"/>
  <c r="M861" i="1"/>
  <c r="N861" i="1"/>
  <c r="O861" i="1"/>
  <c r="M864" i="1"/>
  <c r="O864" i="1"/>
  <c r="M865" i="1"/>
  <c r="O865" i="1"/>
  <c r="M866" i="1"/>
  <c r="O866" i="1"/>
  <c r="M867" i="1"/>
  <c r="O867" i="1"/>
  <c r="M868" i="1"/>
  <c r="O868" i="1"/>
  <c r="M869" i="1"/>
  <c r="O869" i="1"/>
  <c r="M870" i="1"/>
  <c r="N870" i="1"/>
  <c r="O870" i="1"/>
  <c r="M871" i="1"/>
  <c r="N871" i="1"/>
  <c r="O871" i="1"/>
  <c r="M872" i="1"/>
  <c r="N872" i="1"/>
  <c r="O872" i="1"/>
  <c r="M875" i="1"/>
  <c r="O875" i="1"/>
  <c r="M876" i="1"/>
  <c r="O876" i="1"/>
  <c r="M877" i="1"/>
  <c r="O877" i="1"/>
  <c r="M878" i="1"/>
  <c r="O878" i="1"/>
  <c r="M879" i="1"/>
  <c r="O879" i="1"/>
  <c r="M880" i="1"/>
  <c r="N880" i="1"/>
  <c r="O880" i="1"/>
  <c r="M881" i="1"/>
  <c r="N881" i="1"/>
  <c r="O881" i="1"/>
  <c r="M882" i="1"/>
  <c r="N882" i="1"/>
  <c r="O882" i="1"/>
  <c r="M883" i="1"/>
  <c r="N883" i="1"/>
  <c r="O883" i="1"/>
  <c r="M884" i="1"/>
  <c r="N884" i="1"/>
  <c r="O884" i="1"/>
  <c r="M887" i="1"/>
  <c r="O887" i="1"/>
  <c r="M888" i="1"/>
  <c r="O888" i="1"/>
  <c r="M889" i="1"/>
  <c r="N889" i="1"/>
  <c r="O889" i="1"/>
  <c r="M890" i="1"/>
  <c r="O890" i="1"/>
  <c r="M891" i="1"/>
  <c r="O891" i="1"/>
  <c r="M892" i="1"/>
  <c r="N892" i="1"/>
  <c r="O892" i="1"/>
  <c r="M893" i="1"/>
  <c r="N893" i="1"/>
  <c r="O893" i="1"/>
  <c r="M894" i="1"/>
  <c r="N894" i="1"/>
  <c r="O894" i="1"/>
  <c r="M895" i="1"/>
  <c r="O895" i="1"/>
  <c r="M896" i="1"/>
  <c r="N896" i="1"/>
  <c r="O896" i="1"/>
  <c r="M899" i="1"/>
  <c r="O899" i="1"/>
  <c r="M900" i="1"/>
  <c r="O900" i="1"/>
  <c r="M901" i="1"/>
  <c r="O901" i="1"/>
  <c r="M902" i="1"/>
  <c r="O902" i="1"/>
  <c r="M903" i="1"/>
  <c r="O903" i="1"/>
  <c r="M904" i="1"/>
  <c r="O904" i="1"/>
  <c r="M905" i="1"/>
  <c r="N905" i="1"/>
  <c r="O905" i="1"/>
  <c r="M906" i="1"/>
  <c r="N906" i="1"/>
  <c r="O906" i="1"/>
  <c r="M907" i="1"/>
  <c r="N907" i="1"/>
  <c r="O907" i="1"/>
  <c r="M908" i="1"/>
  <c r="N908" i="1"/>
  <c r="O908" i="1"/>
  <c r="M911" i="1"/>
  <c r="O911" i="1"/>
  <c r="M912" i="1"/>
  <c r="O912" i="1"/>
  <c r="M913" i="1"/>
  <c r="O913" i="1"/>
  <c r="M914" i="1"/>
  <c r="O914" i="1"/>
  <c r="M915" i="1"/>
  <c r="N915" i="1"/>
  <c r="O915" i="1"/>
  <c r="M916" i="1"/>
  <c r="N916" i="1"/>
  <c r="O916" i="1"/>
  <c r="M919" i="1"/>
  <c r="O919" i="1"/>
  <c r="M920" i="1"/>
  <c r="O920" i="1"/>
  <c r="M921" i="1"/>
  <c r="O921" i="1"/>
  <c r="M922" i="1"/>
  <c r="O922" i="1"/>
  <c r="M923" i="1"/>
  <c r="O923" i="1"/>
  <c r="M924" i="1"/>
  <c r="N924" i="1"/>
  <c r="O924" i="1"/>
  <c r="M925" i="1"/>
  <c r="N925" i="1"/>
  <c r="O925" i="1"/>
  <c r="M926" i="1"/>
  <c r="N926" i="1"/>
  <c r="O926" i="1"/>
  <c r="M927" i="1"/>
  <c r="N927" i="1"/>
  <c r="O927" i="1"/>
  <c r="M928" i="1"/>
  <c r="O928" i="1"/>
  <c r="M931" i="1"/>
  <c r="O931" i="1"/>
  <c r="M932" i="1"/>
  <c r="O932" i="1"/>
  <c r="M933" i="1"/>
  <c r="N933" i="1"/>
  <c r="O933" i="1"/>
  <c r="M934" i="1"/>
  <c r="N934" i="1"/>
  <c r="O934" i="1"/>
  <c r="M935" i="1"/>
  <c r="O935" i="1"/>
  <c r="M936" i="1"/>
  <c r="O936" i="1"/>
  <c r="M937" i="1"/>
  <c r="N937" i="1"/>
  <c r="O937" i="1"/>
  <c r="M938" i="1"/>
  <c r="N938" i="1"/>
  <c r="O938" i="1"/>
  <c r="M939" i="1"/>
  <c r="O939" i="1"/>
  <c r="M940" i="1"/>
  <c r="O940" i="1"/>
  <c r="M943" i="1"/>
  <c r="O943" i="1"/>
  <c r="M944" i="1"/>
  <c r="O944" i="1"/>
  <c r="M945" i="1"/>
  <c r="N945" i="1"/>
  <c r="O945" i="1"/>
  <c r="M946" i="1"/>
  <c r="O946" i="1"/>
  <c r="M947" i="1"/>
  <c r="O947" i="1"/>
  <c r="M948" i="1"/>
  <c r="N948" i="1"/>
  <c r="O948" i="1"/>
  <c r="M949" i="1"/>
  <c r="N949" i="1"/>
  <c r="O949" i="1"/>
  <c r="M950" i="1"/>
  <c r="N950" i="1"/>
  <c r="O950" i="1"/>
  <c r="M953" i="1"/>
  <c r="O953" i="1"/>
  <c r="M954" i="1"/>
  <c r="N954" i="1"/>
  <c r="O954" i="1"/>
  <c r="M955" i="1"/>
  <c r="O955" i="1"/>
  <c r="M956" i="1"/>
  <c r="O956" i="1"/>
  <c r="M957" i="1"/>
  <c r="O957" i="1"/>
  <c r="M958" i="1"/>
  <c r="N958" i="1"/>
  <c r="O958" i="1"/>
  <c r="M959" i="1"/>
  <c r="N959" i="1"/>
  <c r="O959" i="1"/>
  <c r="M960" i="1"/>
  <c r="N960" i="1"/>
  <c r="O960" i="1"/>
  <c r="M963" i="1"/>
  <c r="O963" i="1"/>
  <c r="M964" i="1"/>
  <c r="N964" i="1"/>
  <c r="O964" i="1"/>
  <c r="M965" i="1"/>
  <c r="O965" i="1"/>
  <c r="M966" i="1"/>
  <c r="N966" i="1"/>
  <c r="O966" i="1"/>
  <c r="M967" i="1"/>
  <c r="O967" i="1"/>
  <c r="M968" i="1"/>
  <c r="N968" i="1"/>
  <c r="O968" i="1"/>
  <c r="M969" i="1"/>
  <c r="N969" i="1"/>
  <c r="O969" i="1"/>
  <c r="M972" i="1"/>
  <c r="O972" i="1"/>
  <c r="M973" i="1"/>
  <c r="N973" i="1"/>
  <c r="O973" i="1"/>
  <c r="M974" i="1"/>
  <c r="N974" i="1"/>
  <c r="O974" i="1"/>
  <c r="M975" i="1"/>
  <c r="N975" i="1"/>
  <c r="O975" i="1"/>
  <c r="M976" i="1"/>
  <c r="O976" i="1"/>
  <c r="M977" i="1"/>
  <c r="O977" i="1"/>
  <c r="M978" i="1"/>
  <c r="O978" i="1"/>
  <c r="M979" i="1"/>
  <c r="N979" i="1"/>
  <c r="O979" i="1"/>
  <c r="M980" i="1"/>
  <c r="N980" i="1"/>
  <c r="O980" i="1"/>
  <c r="M983" i="1"/>
  <c r="O983" i="1"/>
  <c r="M984" i="1"/>
  <c r="N984" i="1"/>
  <c r="O984" i="1"/>
  <c r="M985" i="1"/>
  <c r="O985" i="1"/>
  <c r="M986" i="1"/>
  <c r="O986" i="1"/>
  <c r="M987" i="1"/>
  <c r="N987" i="1"/>
  <c r="O987" i="1"/>
  <c r="M988" i="1"/>
  <c r="O988" i="1"/>
  <c r="M989" i="1"/>
  <c r="N989" i="1"/>
  <c r="O989" i="1"/>
  <c r="M990" i="1"/>
  <c r="N990" i="1"/>
  <c r="O990" i="1"/>
  <c r="M993" i="1"/>
  <c r="O993" i="1"/>
  <c r="M994" i="1"/>
  <c r="O994" i="1"/>
  <c r="M995" i="1"/>
  <c r="N995" i="1"/>
  <c r="O995" i="1"/>
  <c r="M996" i="1"/>
  <c r="O996" i="1"/>
  <c r="M997" i="1"/>
  <c r="O997" i="1"/>
  <c r="M998" i="1"/>
  <c r="N998" i="1"/>
  <c r="O998" i="1"/>
  <c r="M999" i="1"/>
  <c r="O999" i="1"/>
  <c r="M1000" i="1"/>
  <c r="O1000" i="1"/>
  <c r="M1003" i="1"/>
  <c r="O1003" i="1"/>
  <c r="M1004" i="1"/>
  <c r="N1004" i="1"/>
  <c r="O1004" i="1"/>
  <c r="M1005" i="1"/>
  <c r="N1005" i="1"/>
  <c r="O1005" i="1"/>
  <c r="M1006" i="1"/>
  <c r="O1006" i="1"/>
  <c r="O1007" i="1"/>
  <c r="M1008" i="1"/>
  <c r="O1008" i="1"/>
  <c r="M1009" i="1"/>
  <c r="O1009" i="1"/>
  <c r="M1010" i="1"/>
  <c r="O1010" i="1"/>
  <c r="M1011" i="1"/>
  <c r="N1011" i="1"/>
  <c r="O1011" i="1"/>
  <c r="M1014" i="1"/>
  <c r="O1014" i="1"/>
  <c r="M1015" i="1"/>
  <c r="N1015" i="1"/>
  <c r="O1015" i="1"/>
  <c r="M1016" i="1"/>
  <c r="O1016" i="1"/>
  <c r="M1017" i="1"/>
  <c r="O1017" i="1"/>
  <c r="M1018" i="1"/>
  <c r="O1018" i="1"/>
  <c r="M1019" i="1"/>
  <c r="N1019" i="1"/>
  <c r="O1019" i="1"/>
  <c r="M1020" i="1"/>
  <c r="N1020" i="1"/>
  <c r="O1020" i="1"/>
  <c r="M1021" i="1"/>
  <c r="N1021" i="1"/>
  <c r="O1021" i="1"/>
  <c r="M1024" i="1"/>
  <c r="O1024" i="1"/>
  <c r="M1025" i="1"/>
  <c r="N1025" i="1"/>
  <c r="O1025" i="1"/>
  <c r="M1026" i="1"/>
  <c r="N1026" i="1"/>
  <c r="O1026" i="1"/>
  <c r="M1027" i="1"/>
  <c r="O1027" i="1"/>
  <c r="M1028" i="1"/>
  <c r="N1028" i="1"/>
  <c r="O1028" i="1"/>
  <c r="M1029" i="1"/>
  <c r="O1029" i="1"/>
  <c r="M1030" i="1"/>
  <c r="O1030" i="1"/>
  <c r="M1031" i="1"/>
  <c r="O1031" i="1"/>
  <c r="M1032" i="1"/>
  <c r="N1032" i="1"/>
  <c r="O1032" i="1"/>
  <c r="M1035" i="1"/>
  <c r="O1035" i="1"/>
  <c r="M1036" i="1"/>
  <c r="O1036" i="1"/>
  <c r="M1037" i="1"/>
  <c r="O1037" i="1"/>
  <c r="M1038" i="1"/>
  <c r="N1038" i="1"/>
  <c r="O1038" i="1"/>
  <c r="M1039" i="1"/>
  <c r="N1039" i="1"/>
  <c r="O1039" i="1"/>
  <c r="M1040" i="1"/>
  <c r="N1040" i="1"/>
  <c r="O1040" i="1"/>
  <c r="M1041" i="1"/>
  <c r="O1041" i="1"/>
  <c r="M1044" i="1"/>
  <c r="O1044" i="1"/>
  <c r="M1045" i="1"/>
  <c r="N1045" i="1"/>
  <c r="O1045" i="1"/>
  <c r="M1046" i="1"/>
  <c r="O1046" i="1"/>
  <c r="M1047" i="1"/>
  <c r="O1047" i="1"/>
  <c r="M1048" i="1"/>
  <c r="N1048" i="1"/>
  <c r="O1048" i="1"/>
  <c r="M1049" i="1"/>
  <c r="O1049" i="1"/>
  <c r="M1050" i="1"/>
  <c r="O1050" i="1"/>
  <c r="M1051" i="1"/>
  <c r="N1051" i="1"/>
  <c r="O1051" i="1"/>
  <c r="M1052" i="1"/>
  <c r="O1052" i="1"/>
  <c r="M1053" i="1"/>
  <c r="N1053" i="1"/>
  <c r="O1053" i="1"/>
  <c r="M1056" i="1"/>
  <c r="O1056" i="1"/>
  <c r="M1057" i="1"/>
  <c r="N1057" i="1"/>
  <c r="O1057" i="1"/>
  <c r="M1058" i="1"/>
  <c r="N1058" i="1"/>
  <c r="O1058" i="1"/>
  <c r="M1059" i="1"/>
  <c r="N1059" i="1"/>
  <c r="O1059" i="1"/>
  <c r="O1060" i="1"/>
  <c r="M1061" i="1"/>
  <c r="N1061" i="1"/>
  <c r="O1061" i="1"/>
  <c r="M1062" i="1"/>
  <c r="N1062" i="1"/>
  <c r="O1062" i="1"/>
  <c r="M1063" i="1"/>
  <c r="O1063" i="1"/>
  <c r="M1064" i="1"/>
  <c r="N1064" i="1"/>
  <c r="O1064" i="1"/>
  <c r="M1065" i="1"/>
  <c r="O1065" i="1"/>
  <c r="M1066" i="1"/>
  <c r="N1066" i="1"/>
  <c r="O1066" i="1"/>
  <c r="M1069" i="1"/>
  <c r="O1069" i="1"/>
  <c r="M1070" i="1"/>
  <c r="O1070" i="1"/>
  <c r="M1071" i="1"/>
  <c r="N1071" i="1"/>
  <c r="O1071" i="1"/>
  <c r="M1072" i="1"/>
  <c r="N1072" i="1"/>
  <c r="O1072" i="1"/>
  <c r="M1075" i="1"/>
  <c r="O1075" i="1"/>
  <c r="M1076" i="1"/>
  <c r="N1076" i="1"/>
  <c r="O1076" i="1"/>
  <c r="M1077" i="1"/>
  <c r="O1077" i="1"/>
  <c r="M1078" i="1"/>
  <c r="O1078" i="1"/>
  <c r="M1079" i="1"/>
  <c r="N1079" i="1"/>
  <c r="O1079" i="1"/>
  <c r="M1080" i="1"/>
  <c r="O1080" i="1"/>
  <c r="M1081" i="1"/>
  <c r="O1081" i="1"/>
  <c r="M1082" i="1"/>
  <c r="N1082" i="1"/>
  <c r="O1082" i="1"/>
  <c r="M1083" i="1"/>
  <c r="O1083" i="1"/>
  <c r="M1086" i="1"/>
  <c r="O1086" i="1"/>
  <c r="M1087" i="1"/>
  <c r="N1087" i="1"/>
  <c r="O1087" i="1"/>
  <c r="M1088" i="1"/>
  <c r="O1088" i="1"/>
  <c r="M1089" i="1"/>
  <c r="N1089" i="1"/>
  <c r="O1089" i="1"/>
  <c r="M1090" i="1"/>
  <c r="N1090" i="1"/>
  <c r="O1090" i="1"/>
  <c r="M1091" i="1"/>
  <c r="O1091" i="1"/>
  <c r="M1094" i="1"/>
  <c r="O1094" i="1"/>
  <c r="M1095" i="1"/>
  <c r="N1095" i="1"/>
  <c r="O1095" i="1"/>
  <c r="M1096" i="1"/>
  <c r="N1096" i="1"/>
  <c r="O1096" i="1"/>
  <c r="M1097" i="1"/>
  <c r="N1097" i="1"/>
  <c r="O1097" i="1"/>
  <c r="M1098" i="1"/>
  <c r="N1098" i="1"/>
  <c r="O1098" i="1"/>
  <c r="M1099" i="1"/>
  <c r="O1099" i="1"/>
  <c r="M1100" i="1"/>
  <c r="N1100" i="1"/>
  <c r="O1100" i="1"/>
  <c r="M1101" i="1"/>
  <c r="N1101" i="1"/>
  <c r="O1101" i="1"/>
  <c r="M1105" i="1"/>
  <c r="O1105" i="1"/>
  <c r="M1106" i="1"/>
  <c r="N1106" i="1"/>
  <c r="O1106" i="1"/>
  <c r="M1107" i="1"/>
  <c r="O1107" i="1"/>
  <c r="M1108" i="1"/>
  <c r="N1108" i="1"/>
  <c r="O1108" i="1"/>
  <c r="M1109" i="1"/>
  <c r="O1109" i="1"/>
  <c r="M1110" i="1"/>
  <c r="O1110" i="1"/>
  <c r="M1111" i="1"/>
  <c r="N1111" i="1"/>
  <c r="O1111" i="1"/>
  <c r="M1112" i="1"/>
  <c r="O1112" i="1"/>
  <c r="M1115" i="1"/>
  <c r="O1115" i="1"/>
  <c r="M1116" i="1"/>
  <c r="N1116" i="1"/>
  <c r="O1116" i="1"/>
  <c r="M1117" i="1"/>
  <c r="O1117" i="1"/>
  <c r="M1118" i="1"/>
  <c r="N1118" i="1"/>
  <c r="O1118" i="1"/>
  <c r="M1119" i="1"/>
  <c r="N1119" i="1"/>
  <c r="O1119" i="1"/>
  <c r="M1122" i="1"/>
  <c r="O1122" i="1"/>
  <c r="M1123" i="1"/>
  <c r="N1123" i="1"/>
  <c r="O1123" i="1"/>
  <c r="M1124" i="1"/>
  <c r="O1124" i="1"/>
  <c r="M1125" i="1"/>
  <c r="N1125" i="1"/>
  <c r="O1125" i="1"/>
  <c r="M1126" i="1"/>
  <c r="N1126" i="1"/>
  <c r="O1126" i="1"/>
  <c r="M1129" i="1"/>
  <c r="O1129" i="1"/>
  <c r="M1130" i="1"/>
  <c r="N1130" i="1"/>
  <c r="O1130" i="1"/>
  <c r="M1131" i="1"/>
  <c r="O1131" i="1"/>
  <c r="M1132" i="1"/>
  <c r="O1132" i="1"/>
  <c r="M1133" i="1"/>
  <c r="N1133" i="1"/>
  <c r="O1133" i="1"/>
  <c r="M1134" i="1"/>
  <c r="N1134" i="1"/>
  <c r="O1134" i="1"/>
  <c r="M1135" i="1"/>
  <c r="N1135" i="1"/>
  <c r="O1135" i="1"/>
  <c r="M1138" i="1"/>
  <c r="O1138" i="1"/>
  <c r="M1139" i="1"/>
  <c r="N1139" i="1"/>
  <c r="O1139" i="1"/>
  <c r="M1140" i="1"/>
  <c r="O1140" i="1"/>
  <c r="M1141" i="1"/>
  <c r="N1141" i="1"/>
  <c r="O1141" i="1"/>
  <c r="M1142" i="1"/>
  <c r="O1142" i="1"/>
  <c r="M1143" i="1"/>
  <c r="N1143" i="1"/>
  <c r="O1143" i="1"/>
  <c r="M1144" i="1"/>
  <c r="N1144" i="1"/>
  <c r="O1144" i="1"/>
  <c r="M1147" i="1"/>
  <c r="O1147" i="1"/>
  <c r="M1148" i="1"/>
  <c r="N1148" i="1"/>
  <c r="O1148" i="1"/>
  <c r="M1149" i="1"/>
  <c r="N1149" i="1"/>
  <c r="O1149" i="1"/>
  <c r="M1150" i="1"/>
  <c r="N1150" i="1"/>
  <c r="O1150" i="1"/>
  <c r="M1151" i="1"/>
  <c r="O1151" i="1"/>
  <c r="M1152" i="1"/>
  <c r="O1152" i="1"/>
  <c r="M1153" i="1"/>
  <c r="N1153" i="1"/>
  <c r="O1153" i="1"/>
  <c r="M1154" i="1"/>
  <c r="O1154" i="1"/>
  <c r="M1155" i="1"/>
  <c r="N1155" i="1"/>
  <c r="O1155" i="1"/>
  <c r="M1158" i="1"/>
  <c r="O1158" i="1"/>
  <c r="M1159" i="1"/>
  <c r="N1159" i="1"/>
  <c r="O1159" i="1"/>
  <c r="M1160" i="1"/>
  <c r="O1160" i="1"/>
  <c r="M1161" i="1"/>
  <c r="O1161" i="1"/>
  <c r="M1162" i="1"/>
  <c r="N1162" i="1"/>
  <c r="O1162" i="1"/>
  <c r="M1163" i="1"/>
  <c r="N1163" i="1"/>
  <c r="O1163" i="1"/>
  <c r="M1164" i="1"/>
  <c r="N1164" i="1"/>
  <c r="O1164" i="1"/>
  <c r="M1165" i="1"/>
  <c r="N1165" i="1"/>
  <c r="O1165" i="1"/>
  <c r="M1168" i="1"/>
  <c r="O1168" i="1"/>
  <c r="M1169" i="1"/>
  <c r="O1169" i="1"/>
  <c r="M1170" i="1"/>
  <c r="O1170" i="1"/>
  <c r="M1171" i="1"/>
  <c r="N1171" i="1"/>
  <c r="O1171" i="1"/>
  <c r="M1172" i="1"/>
  <c r="O1172" i="1"/>
  <c r="M1173" i="1"/>
  <c r="O1173" i="1"/>
  <c r="M1174" i="1"/>
  <c r="N1174" i="1"/>
  <c r="O1174" i="1"/>
  <c r="M1175" i="1"/>
  <c r="N1175" i="1"/>
  <c r="O1175" i="1"/>
  <c r="M1176" i="1"/>
  <c r="N1176" i="1"/>
  <c r="O1176" i="1"/>
  <c r="M1177" i="1"/>
  <c r="O1177" i="1"/>
  <c r="M1180" i="1"/>
  <c r="O1180" i="1"/>
  <c r="M1181" i="1"/>
  <c r="O1181" i="1"/>
  <c r="M1182" i="1"/>
  <c r="N1182" i="1"/>
  <c r="O1182" i="1"/>
  <c r="M1183" i="1"/>
  <c r="N1183" i="1"/>
  <c r="O1183" i="1"/>
  <c r="M1184" i="1"/>
  <c r="N1184" i="1"/>
  <c r="O1184" i="1"/>
  <c r="M1185" i="1"/>
  <c r="O1185" i="1"/>
  <c r="M1186" i="1"/>
  <c r="N1186" i="1"/>
  <c r="O1186" i="1"/>
  <c r="M1187" i="1"/>
  <c r="O1187" i="1"/>
  <c r="M1188" i="1"/>
  <c r="O1188" i="1"/>
  <c r="M1189" i="1"/>
  <c r="N1189" i="1"/>
  <c r="O1189" i="1"/>
  <c r="M1192" i="1"/>
  <c r="O1192" i="1"/>
  <c r="M1193" i="1"/>
  <c r="O1193" i="1"/>
  <c r="M1194" i="1"/>
  <c r="O1194" i="1"/>
  <c r="M1195" i="1"/>
  <c r="N1195" i="1"/>
  <c r="O1195" i="1"/>
  <c r="M1196" i="1"/>
  <c r="N1196" i="1"/>
  <c r="O1196" i="1"/>
  <c r="M1197" i="1"/>
  <c r="N1197" i="1"/>
  <c r="O1197" i="1"/>
  <c r="M1198" i="1"/>
  <c r="O1198" i="1"/>
  <c r="M1199" i="1"/>
  <c r="N1199" i="1"/>
  <c r="O1199" i="1"/>
  <c r="M1200" i="1"/>
  <c r="O1200" i="1"/>
  <c r="M1201" i="1"/>
  <c r="O1201" i="1"/>
  <c r="M1202" i="1"/>
  <c r="O1202" i="1"/>
  <c r="M1203" i="1"/>
  <c r="O1203" i="1"/>
  <c r="M1204" i="1"/>
  <c r="O1204" i="1"/>
  <c r="M1205" i="1"/>
  <c r="N1205" i="1"/>
  <c r="O1205" i="1"/>
  <c r="M1206" i="1"/>
  <c r="O1206" i="1"/>
  <c r="M1209" i="1"/>
  <c r="O1209" i="1"/>
  <c r="M1210" i="1"/>
  <c r="O1210" i="1"/>
  <c r="M1211" i="1"/>
  <c r="O1211" i="1"/>
  <c r="M1212" i="1"/>
  <c r="N1212" i="1"/>
  <c r="O1212" i="1"/>
  <c r="M1213" i="1"/>
  <c r="O1213" i="1"/>
  <c r="M1214" i="1"/>
  <c r="O1214" i="1"/>
  <c r="M1215" i="1"/>
  <c r="N1215" i="1"/>
  <c r="O1215" i="1"/>
  <c r="M1216" i="1"/>
  <c r="O1216" i="1"/>
  <c r="M1217" i="1"/>
  <c r="O1217" i="1"/>
  <c r="M1218" i="1"/>
  <c r="N1218" i="1"/>
  <c r="O1218" i="1"/>
  <c r="M1221" i="1"/>
  <c r="O1221" i="1"/>
  <c r="M1222" i="1"/>
  <c r="O1222" i="1"/>
  <c r="M1223" i="1"/>
  <c r="N1223" i="1"/>
  <c r="O1223" i="1"/>
  <c r="M1224" i="1"/>
  <c r="O1224" i="1"/>
  <c r="M1225" i="1"/>
  <c r="O1225" i="1"/>
  <c r="M1226" i="1"/>
  <c r="N1226" i="1"/>
  <c r="O1226" i="1"/>
  <c r="M1227" i="1"/>
  <c r="O1227" i="1"/>
  <c r="M1228" i="1"/>
  <c r="O1228" i="1"/>
  <c r="M1229" i="1"/>
  <c r="N1229" i="1"/>
  <c r="O1229" i="1"/>
  <c r="M1230" i="1"/>
  <c r="O1230" i="1"/>
  <c r="M1231" i="1"/>
  <c r="N1231" i="1"/>
  <c r="O1231" i="1"/>
  <c r="M1232" i="1"/>
  <c r="N1232" i="1"/>
  <c r="O1232" i="1"/>
  <c r="M1233" i="1"/>
  <c r="N1233" i="1"/>
  <c r="O1233" i="1"/>
  <c r="M1236" i="1"/>
  <c r="O1236" i="1"/>
  <c r="M1237" i="1"/>
  <c r="O1237" i="1"/>
  <c r="M1238" i="1"/>
  <c r="O1238" i="1"/>
  <c r="M1239" i="1"/>
  <c r="N1239" i="1"/>
  <c r="O1239" i="1"/>
  <c r="M1240" i="1"/>
  <c r="O1240" i="1"/>
  <c r="M1241" i="1"/>
  <c r="O1241" i="1"/>
  <c r="M1242" i="1"/>
  <c r="N1242" i="1"/>
  <c r="O1242" i="1"/>
  <c r="M1243" i="1"/>
  <c r="O1243" i="1"/>
  <c r="M1244" i="1"/>
  <c r="N1244" i="1"/>
  <c r="O1244" i="1"/>
  <c r="M1245" i="1"/>
  <c r="O1245" i="1"/>
  <c r="M1248" i="1"/>
  <c r="O1248" i="1"/>
  <c r="M1249" i="1"/>
  <c r="O1249" i="1"/>
  <c r="M1250" i="1"/>
  <c r="O1250" i="1"/>
  <c r="M1251" i="1"/>
  <c r="N1251" i="1"/>
  <c r="O1251" i="1"/>
  <c r="M1252" i="1"/>
  <c r="O1252" i="1"/>
  <c r="M1253" i="1"/>
  <c r="N1253" i="1"/>
  <c r="O1253" i="1"/>
  <c r="M1254" i="1"/>
  <c r="O1254" i="1"/>
  <c r="M1255" i="1"/>
  <c r="N1255" i="1"/>
  <c r="O1255" i="1"/>
  <c r="M1256" i="1"/>
  <c r="O1256" i="1"/>
  <c r="M1259" i="1"/>
  <c r="O1259" i="1"/>
  <c r="M1260" i="1"/>
  <c r="N1260" i="1"/>
  <c r="O1260" i="1"/>
  <c r="M1261" i="1"/>
  <c r="O1261" i="1"/>
  <c r="M1262" i="1"/>
  <c r="O1262" i="1"/>
  <c r="M1263" i="1"/>
  <c r="N1263" i="1"/>
  <c r="O1263" i="1"/>
  <c r="M1264" i="1"/>
  <c r="N1264" i="1"/>
  <c r="O1264" i="1"/>
  <c r="M1265" i="1"/>
  <c r="O1265" i="1"/>
  <c r="M1266" i="1"/>
  <c r="O1266" i="1"/>
  <c r="M1267" i="1"/>
  <c r="N1267" i="1"/>
  <c r="O1267" i="1"/>
  <c r="M1268" i="1"/>
  <c r="O1268" i="1"/>
  <c r="M1269" i="1"/>
  <c r="O1269" i="1"/>
  <c r="M1270" i="1"/>
  <c r="N1270" i="1"/>
  <c r="O1270" i="1"/>
  <c r="M1271" i="1"/>
  <c r="N1271" i="1"/>
  <c r="O1271" i="1"/>
  <c r="M1272" i="1"/>
  <c r="O1272" i="1"/>
  <c r="M1273" i="1"/>
  <c r="O1273" i="1"/>
  <c r="M1276" i="1"/>
  <c r="O1276" i="1"/>
  <c r="M1277" i="1"/>
  <c r="O1277" i="1"/>
  <c r="M1278" i="1"/>
  <c r="N1278" i="1"/>
  <c r="O1278" i="1"/>
  <c r="M1279" i="1"/>
  <c r="O1279" i="1"/>
  <c r="M1280" i="1"/>
  <c r="O1280" i="1"/>
  <c r="M1281" i="1"/>
  <c r="N1281" i="1"/>
  <c r="O1281" i="1"/>
  <c r="M1282" i="1"/>
  <c r="N1282" i="1"/>
  <c r="O1282" i="1"/>
  <c r="M1283" i="1"/>
  <c r="N1283" i="1"/>
  <c r="O1283" i="1"/>
  <c r="M1284" i="1"/>
  <c r="O1284" i="1"/>
  <c r="M1287" i="1"/>
  <c r="O1287" i="1"/>
  <c r="M1288" i="1"/>
  <c r="N1288" i="1"/>
  <c r="O1288" i="1"/>
  <c r="M1289" i="1"/>
  <c r="O1289" i="1"/>
  <c r="M1290" i="1"/>
  <c r="O1290" i="1"/>
  <c r="M1291" i="1"/>
  <c r="O1291" i="1"/>
  <c r="M1292" i="1"/>
  <c r="O1292" i="1"/>
  <c r="M1293" i="1"/>
  <c r="O1293" i="1"/>
  <c r="M1294" i="1"/>
  <c r="O1294" i="1"/>
  <c r="M1295" i="1"/>
  <c r="N1295" i="1"/>
  <c r="O1295" i="1"/>
  <c r="M1296" i="1"/>
  <c r="N1296" i="1"/>
  <c r="O1296" i="1"/>
  <c r="M1297" i="1"/>
  <c r="N1297" i="1"/>
  <c r="O1297" i="1"/>
  <c r="M1300" i="1"/>
  <c r="O1300" i="1"/>
  <c r="M1301" i="1"/>
  <c r="O1301" i="1"/>
  <c r="M1302" i="1"/>
  <c r="O1302" i="1"/>
  <c r="M1303" i="1"/>
  <c r="O1303" i="1"/>
  <c r="M1304" i="1"/>
  <c r="O1304" i="1"/>
  <c r="M1305" i="1"/>
  <c r="O1305" i="1"/>
  <c r="M1306" i="1"/>
  <c r="N1306" i="1"/>
  <c r="O1306" i="1"/>
  <c r="M1307" i="1"/>
  <c r="O1307" i="1"/>
  <c r="M1308" i="1"/>
  <c r="N1308" i="1"/>
  <c r="O1308" i="1"/>
  <c r="M1309" i="1"/>
  <c r="N1309" i="1"/>
  <c r="O1309" i="1"/>
  <c r="M1312" i="1"/>
  <c r="O1312" i="1"/>
  <c r="M1313" i="1"/>
  <c r="O1313" i="1"/>
  <c r="M1314" i="1"/>
  <c r="O1314" i="1"/>
  <c r="M1315" i="1"/>
  <c r="N1315" i="1"/>
  <c r="O1315" i="1"/>
  <c r="M1316" i="1"/>
  <c r="O1316" i="1"/>
  <c r="M1317" i="1"/>
  <c r="N1317" i="1"/>
  <c r="O1317" i="1"/>
  <c r="M1318" i="1"/>
  <c r="O1318" i="1"/>
  <c r="M1319" i="1"/>
  <c r="N1319" i="1"/>
  <c r="O1319" i="1"/>
  <c r="M1320" i="1"/>
  <c r="N1320" i="1"/>
  <c r="O1320" i="1"/>
  <c r="M1321" i="1"/>
  <c r="N1321" i="1"/>
  <c r="O1321" i="1"/>
  <c r="M1322" i="1"/>
  <c r="O1322" i="1"/>
  <c r="M1325" i="1"/>
  <c r="O1325" i="1"/>
  <c r="M1326" i="1"/>
  <c r="O1326" i="1"/>
  <c r="M1327" i="1"/>
  <c r="O1327" i="1"/>
  <c r="M1328" i="1"/>
  <c r="N1328" i="1"/>
  <c r="O1328" i="1"/>
  <c r="M1329" i="1"/>
  <c r="N1329" i="1"/>
  <c r="O1329" i="1"/>
  <c r="M1330" i="1"/>
  <c r="O1330" i="1"/>
  <c r="M1331" i="1"/>
  <c r="O1331" i="1"/>
  <c r="M1332" i="1"/>
  <c r="O1332" i="1"/>
  <c r="M1333" i="1"/>
  <c r="N1333" i="1"/>
  <c r="O1333" i="1"/>
  <c r="M1334" i="1"/>
  <c r="O1334" i="1"/>
  <c r="M1335" i="1"/>
  <c r="N1335" i="1"/>
  <c r="O1335" i="1"/>
  <c r="M1336" i="1"/>
  <c r="O1336" i="1"/>
  <c r="M1339" i="1"/>
  <c r="O1339" i="1"/>
  <c r="M1340" i="1"/>
  <c r="O1340" i="1"/>
  <c r="M1341" i="1"/>
  <c r="O1341" i="1"/>
  <c r="M1342" i="1"/>
  <c r="O1342" i="1"/>
  <c r="M1343" i="1"/>
  <c r="O1343" i="1"/>
  <c r="M1344" i="1"/>
  <c r="N1344" i="1"/>
  <c r="O1344" i="1"/>
  <c r="M1345" i="1"/>
  <c r="N1345" i="1"/>
  <c r="O1345" i="1"/>
  <c r="M1346" i="1"/>
  <c r="N1346" i="1"/>
  <c r="O1346" i="1"/>
  <c r="M1349" i="1"/>
  <c r="O1349" i="1"/>
  <c r="M1350" i="1"/>
  <c r="O1350" i="1"/>
  <c r="M1351" i="1"/>
  <c r="O1351" i="1"/>
  <c r="M1352" i="1"/>
  <c r="O1352" i="1"/>
  <c r="M1353" i="1"/>
  <c r="O1353" i="1"/>
  <c r="M1354" i="1"/>
  <c r="N1354" i="1"/>
  <c r="O1354" i="1"/>
  <c r="M1355" i="1"/>
  <c r="O1355" i="1"/>
  <c r="M1356" i="1"/>
  <c r="O1356" i="1"/>
  <c r="M1357" i="1"/>
  <c r="O1357" i="1"/>
  <c r="M1358" i="1"/>
  <c r="N1358" i="1"/>
  <c r="O1358" i="1"/>
  <c r="M1359" i="1"/>
  <c r="N1359" i="1"/>
  <c r="O1359" i="1"/>
  <c r="M1360" i="1"/>
  <c r="N1360" i="1"/>
  <c r="O1360" i="1"/>
  <c r="M1361" i="1"/>
  <c r="O1361" i="1"/>
  <c r="M1362" i="1"/>
  <c r="N1362" i="1"/>
  <c r="O1362" i="1"/>
  <c r="M1365" i="1"/>
  <c r="O1365" i="1"/>
  <c r="M1366" i="1"/>
  <c r="N1366" i="1"/>
  <c r="O1366" i="1"/>
  <c r="M1367" i="1"/>
  <c r="N1367" i="1"/>
  <c r="O1367" i="1"/>
  <c r="M1368" i="1"/>
  <c r="O1368" i="1"/>
  <c r="O1369" i="1"/>
  <c r="M1370" i="1"/>
  <c r="N1370" i="1"/>
  <c r="O1370" i="1"/>
  <c r="M1371" i="1"/>
  <c r="N1371" i="1"/>
  <c r="O1371" i="1"/>
  <c r="M1374" i="1"/>
  <c r="O1374" i="1"/>
  <c r="M1375" i="1"/>
  <c r="O1375" i="1"/>
  <c r="M1376" i="1"/>
  <c r="O1376" i="1"/>
  <c r="M1377" i="1"/>
  <c r="O1377" i="1"/>
  <c r="M1378" i="1"/>
  <c r="N1378" i="1"/>
  <c r="O1378" i="1"/>
  <c r="M1379" i="1"/>
  <c r="O1379" i="1"/>
  <c r="M1380" i="1"/>
  <c r="O1380" i="1"/>
  <c r="M1381" i="1"/>
  <c r="O1381" i="1"/>
  <c r="M1382" i="1"/>
  <c r="N1382" i="1"/>
  <c r="O1382" i="1"/>
  <c r="M1383" i="1"/>
  <c r="N1383" i="1"/>
  <c r="O1383" i="1"/>
  <c r="M1384" i="1"/>
  <c r="N1384" i="1"/>
  <c r="O1384" i="1"/>
  <c r="M1387" i="1"/>
  <c r="O1387" i="1"/>
  <c r="M1388" i="1"/>
  <c r="N1388" i="1"/>
  <c r="O1388" i="1"/>
  <c r="M1389" i="1"/>
  <c r="O1389" i="1"/>
  <c r="M1390" i="1"/>
  <c r="N1390" i="1"/>
  <c r="O1390" i="1"/>
  <c r="M1391" i="1"/>
  <c r="N1391" i="1"/>
  <c r="O1391" i="1"/>
  <c r="M1392" i="1"/>
  <c r="N1392" i="1"/>
  <c r="O1392" i="1"/>
  <c r="M1395" i="1"/>
  <c r="O1395" i="1"/>
  <c r="M1396" i="1"/>
  <c r="O1396" i="1"/>
  <c r="M1397" i="1"/>
  <c r="O1397" i="1"/>
  <c r="M1398" i="1"/>
  <c r="N1398" i="1"/>
  <c r="O1398" i="1"/>
  <c r="M1399" i="1"/>
  <c r="O1399" i="1"/>
  <c r="M1400" i="1"/>
  <c r="N1400" i="1"/>
  <c r="O1400" i="1"/>
  <c r="M1401" i="1"/>
  <c r="O1401" i="1"/>
  <c r="M1402" i="1"/>
  <c r="N1402" i="1"/>
  <c r="O1402" i="1"/>
  <c r="M1403" i="1"/>
  <c r="N1403" i="1"/>
  <c r="O1403" i="1"/>
  <c r="M1404" i="1"/>
  <c r="O1404" i="1"/>
  <c r="M1407" i="1"/>
  <c r="O1407" i="1"/>
  <c r="M1408" i="1"/>
  <c r="N1408" i="1"/>
  <c r="O1408" i="1"/>
  <c r="M1409" i="1"/>
  <c r="O1409" i="1"/>
  <c r="M1410" i="1"/>
  <c r="N1410" i="1"/>
  <c r="O1410" i="1"/>
  <c r="M1411" i="1"/>
  <c r="N1411" i="1"/>
  <c r="O1411" i="1"/>
  <c r="M1412" i="1"/>
  <c r="N1412" i="1"/>
  <c r="O1412" i="1"/>
  <c r="M1413" i="1"/>
  <c r="N1413" i="1"/>
  <c r="O1413" i="1"/>
  <c r="M1416" i="1"/>
  <c r="O1416" i="1"/>
  <c r="M1417" i="1"/>
  <c r="O1417" i="1"/>
  <c r="M1418" i="1"/>
  <c r="N1418" i="1"/>
  <c r="O1418" i="1"/>
  <c r="M1419" i="1"/>
  <c r="O1419" i="1"/>
  <c r="M1420" i="1"/>
  <c r="O1420" i="1"/>
  <c r="M1421" i="1"/>
  <c r="O1421" i="1"/>
  <c r="M1422" i="1"/>
  <c r="O1422" i="1"/>
  <c r="M1423" i="1"/>
  <c r="N1423" i="1"/>
  <c r="O1423" i="1"/>
  <c r="M1424" i="1"/>
  <c r="N1424" i="1"/>
  <c r="O1424" i="1"/>
  <c r="M1425" i="1"/>
  <c r="N1425" i="1"/>
  <c r="O1425" i="1"/>
  <c r="M1426" i="1"/>
  <c r="N1426" i="1"/>
  <c r="O1426" i="1"/>
  <c r="M1429" i="1"/>
  <c r="O1429" i="1"/>
  <c r="M1430" i="1"/>
  <c r="O1430" i="1"/>
  <c r="M1431" i="1"/>
  <c r="O1431" i="1"/>
  <c r="M1432" i="1"/>
  <c r="O1432" i="1"/>
  <c r="M1433" i="1"/>
  <c r="O1433" i="1"/>
  <c r="M1434" i="1"/>
  <c r="O1434" i="1"/>
  <c r="M1435" i="1"/>
  <c r="O1435" i="1"/>
  <c r="M1436" i="1"/>
  <c r="O1436" i="1"/>
  <c r="M1437" i="1"/>
  <c r="O1437" i="1"/>
  <c r="M1438" i="1"/>
  <c r="N1438" i="1"/>
  <c r="O1438" i="1"/>
  <c r="M1439" i="1"/>
  <c r="N1439" i="1"/>
  <c r="O1439" i="1"/>
  <c r="M1440" i="1"/>
  <c r="O1440" i="1"/>
  <c r="M1443" i="1"/>
  <c r="O1443" i="1"/>
  <c r="M1444" i="1"/>
  <c r="N1444" i="1"/>
  <c r="O1444" i="1"/>
  <c r="M1445" i="1"/>
  <c r="O1445" i="1"/>
  <c r="M1446" i="1"/>
  <c r="N1446" i="1"/>
  <c r="O1446" i="1"/>
  <c r="M1447" i="1"/>
  <c r="O1447" i="1"/>
  <c r="M1448" i="1"/>
  <c r="O1448" i="1"/>
  <c r="M1451" i="1"/>
  <c r="O1451" i="1"/>
  <c r="M1452" i="1"/>
  <c r="O1452" i="1"/>
  <c r="M1453" i="1"/>
  <c r="O1453" i="1"/>
  <c r="M1454" i="1"/>
  <c r="O1454" i="1"/>
  <c r="M1455" i="1"/>
  <c r="O1455" i="1"/>
  <c r="M1456" i="1"/>
  <c r="N1456" i="1"/>
  <c r="O1456" i="1"/>
  <c r="M1457" i="1"/>
  <c r="O1457" i="1"/>
  <c r="M1458" i="1"/>
  <c r="N1458" i="1"/>
  <c r="O1458" i="1"/>
  <c r="M1461" i="1"/>
  <c r="O1461" i="1"/>
  <c r="M1462" i="1"/>
  <c r="N1462" i="1"/>
  <c r="O1462" i="1"/>
  <c r="M1463" i="1"/>
  <c r="O1463" i="1"/>
  <c r="M1464" i="1"/>
  <c r="O1464" i="1"/>
  <c r="M1465" i="1"/>
  <c r="O1465" i="1"/>
  <c r="M1466" i="1"/>
  <c r="N1466" i="1"/>
  <c r="O1466" i="1"/>
  <c r="M1467" i="1"/>
  <c r="N1467" i="1"/>
  <c r="O1467" i="1"/>
  <c r="M1470" i="1"/>
  <c r="O1470" i="1"/>
  <c r="M1471" i="1"/>
  <c r="O1471" i="1"/>
  <c r="M1472" i="1"/>
  <c r="N1472" i="1"/>
  <c r="O1472" i="1"/>
  <c r="M1473" i="1"/>
  <c r="O1473" i="1"/>
  <c r="M1476" i="1"/>
  <c r="O1476" i="1"/>
  <c r="M1477" i="1"/>
  <c r="O1477" i="1"/>
  <c r="M1478" i="1"/>
  <c r="O1478" i="1"/>
  <c r="M1479" i="1"/>
  <c r="N1479" i="1"/>
  <c r="O1479" i="1"/>
  <c r="M1480" i="1"/>
  <c r="O1480" i="1"/>
  <c r="M1481" i="1"/>
  <c r="O1481" i="1"/>
  <c r="M1482" i="1"/>
  <c r="N1482" i="1"/>
  <c r="O1482" i="1"/>
  <c r="M1483" i="1"/>
  <c r="O1483" i="1"/>
  <c r="M1484" i="1"/>
  <c r="N1484" i="1"/>
  <c r="O1484" i="1"/>
  <c r="M1485" i="1"/>
  <c r="N1485" i="1"/>
  <c r="O1485" i="1"/>
  <c r="M1486" i="1"/>
  <c r="O1486" i="1"/>
  <c r="M1489" i="1"/>
  <c r="O1489" i="1"/>
  <c r="M1490" i="1"/>
  <c r="O1490" i="1"/>
  <c r="M1491" i="1"/>
  <c r="O1491" i="1"/>
  <c r="M1492" i="1"/>
  <c r="O1492" i="1"/>
  <c r="M1493" i="1"/>
  <c r="O1493" i="1"/>
  <c r="M1494" i="1"/>
  <c r="O1494" i="1"/>
  <c r="M1495" i="1"/>
  <c r="O1495" i="1"/>
  <c r="M1496" i="1"/>
  <c r="N1496" i="1"/>
  <c r="O1496" i="1"/>
  <c r="M1497" i="1"/>
  <c r="O1497" i="1"/>
  <c r="M1498" i="1"/>
  <c r="N1498" i="1"/>
  <c r="O1498" i="1"/>
  <c r="M1501" i="1"/>
  <c r="O1501" i="1"/>
  <c r="M1502" i="1"/>
  <c r="O1502" i="1"/>
  <c r="M1503" i="1"/>
  <c r="O1503" i="1"/>
  <c r="M1504" i="1"/>
  <c r="O1504" i="1"/>
  <c r="M1505" i="1"/>
  <c r="O1505" i="1"/>
  <c r="M1506" i="1"/>
  <c r="O1506" i="1"/>
  <c r="M1507" i="1"/>
  <c r="O1507" i="1"/>
  <c r="M1510" i="1"/>
  <c r="O1510" i="1"/>
  <c r="M1511" i="1"/>
  <c r="N1511" i="1"/>
  <c r="O1511" i="1"/>
  <c r="M1512" i="1"/>
  <c r="O1512" i="1"/>
  <c r="M1513" i="1"/>
  <c r="O1513" i="1"/>
  <c r="M1514" i="1"/>
  <c r="O1514" i="1"/>
  <c r="M1515" i="1"/>
  <c r="O1515" i="1"/>
  <c r="M1516" i="1"/>
  <c r="O1516" i="1"/>
  <c r="M1517" i="1"/>
  <c r="O1517" i="1"/>
  <c r="M1518" i="1"/>
  <c r="O1518" i="1"/>
  <c r="M1521" i="1"/>
  <c r="O1521" i="1"/>
  <c r="M1522" i="1"/>
  <c r="O1522" i="1"/>
  <c r="M1523" i="1"/>
  <c r="O1523" i="1"/>
  <c r="M1524" i="1"/>
  <c r="O1524" i="1"/>
  <c r="M1525" i="1"/>
  <c r="N1525" i="1"/>
  <c r="O1525" i="1"/>
  <c r="M1526" i="1"/>
  <c r="N1526" i="1"/>
  <c r="O1526" i="1"/>
  <c r="M1527" i="1"/>
  <c r="N1527" i="1"/>
  <c r="O1527" i="1"/>
  <c r="M1528" i="1"/>
  <c r="O1528" i="1"/>
  <c r="M1529" i="1"/>
  <c r="N1529" i="1"/>
  <c r="O1529" i="1"/>
  <c r="M1532" i="1"/>
  <c r="O1532" i="1"/>
  <c r="M1533" i="1"/>
  <c r="O1533" i="1"/>
  <c r="M1534" i="1"/>
  <c r="O1534" i="1"/>
  <c r="M1535" i="1"/>
  <c r="O1535" i="1"/>
  <c r="M1536" i="1"/>
  <c r="O1536" i="1"/>
  <c r="M1537" i="1"/>
  <c r="O1537" i="1"/>
  <c r="M1538" i="1"/>
  <c r="O1538" i="1"/>
  <c r="M1539" i="1"/>
  <c r="O1539" i="1"/>
  <c r="M1540" i="1"/>
  <c r="O1540" i="1"/>
  <c r="M1541" i="1"/>
  <c r="N1541" i="1"/>
  <c r="O1541" i="1"/>
  <c r="M1544" i="1"/>
  <c r="O1544" i="1"/>
  <c r="M1545" i="1"/>
  <c r="O1545" i="1"/>
  <c r="M1546" i="1"/>
  <c r="O1546" i="1"/>
  <c r="M1547" i="1"/>
  <c r="N1547" i="1"/>
  <c r="O1547" i="1"/>
  <c r="M1548" i="1"/>
  <c r="N1548" i="1"/>
  <c r="O1548" i="1"/>
  <c r="M1549" i="1"/>
  <c r="O1549" i="1"/>
  <c r="M1550" i="1"/>
  <c r="N1550" i="1"/>
  <c r="O1550" i="1"/>
  <c r="M1551" i="1"/>
  <c r="N1551" i="1"/>
  <c r="O1551" i="1"/>
  <c r="M1552" i="1"/>
  <c r="N1552" i="1"/>
  <c r="O1552" i="1"/>
  <c r="M1555" i="1"/>
  <c r="O1555" i="1"/>
  <c r="M1556" i="1"/>
  <c r="O1556" i="1"/>
  <c r="M1557" i="1"/>
  <c r="O1557" i="1"/>
  <c r="M1558" i="1"/>
  <c r="O1558" i="1"/>
  <c r="M1559" i="1"/>
  <c r="O1559" i="1"/>
  <c r="M1560" i="1"/>
  <c r="O1560" i="1"/>
  <c r="M1561" i="1"/>
  <c r="O1561" i="1"/>
  <c r="M1562" i="1"/>
  <c r="N1562" i="1"/>
  <c r="O1562" i="1"/>
  <c r="M1565" i="1"/>
  <c r="O1565" i="1"/>
  <c r="M1566" i="1"/>
  <c r="O1566" i="1"/>
  <c r="M1567" i="1"/>
  <c r="N1567" i="1"/>
  <c r="O1567" i="1"/>
  <c r="M1568" i="1"/>
  <c r="O1568" i="1"/>
  <c r="M1569" i="1"/>
  <c r="O1569" i="1"/>
  <c r="M1570" i="1"/>
  <c r="N1570" i="1"/>
  <c r="O1570" i="1"/>
  <c r="M1573" i="1"/>
  <c r="O1573" i="1"/>
  <c r="M1574" i="1"/>
  <c r="O1574" i="1"/>
  <c r="M1575" i="1"/>
  <c r="N1575" i="1"/>
  <c r="O1575" i="1"/>
  <c r="M1576" i="1"/>
  <c r="N1576" i="1"/>
  <c r="O1576" i="1"/>
  <c r="M1577" i="1"/>
  <c r="O1577" i="1"/>
  <c r="M1580" i="1"/>
  <c r="O1580" i="1"/>
  <c r="M1581" i="1"/>
  <c r="O1581" i="1"/>
  <c r="M1582" i="1"/>
  <c r="N1582" i="1"/>
  <c r="O1582" i="1"/>
  <c r="M1583" i="1"/>
  <c r="O1583" i="1"/>
  <c r="M1584" i="1"/>
  <c r="N1584" i="1"/>
  <c r="O1584" i="1"/>
  <c r="M1587" i="1"/>
  <c r="O1587" i="1"/>
  <c r="M1588" i="1"/>
  <c r="O1588" i="1"/>
  <c r="M1589" i="1"/>
  <c r="O1589" i="1"/>
  <c r="M1590" i="1"/>
  <c r="N1590" i="1"/>
  <c r="O1590" i="1"/>
  <c r="M1591" i="1"/>
  <c r="O1591" i="1"/>
  <c r="M1592" i="1"/>
  <c r="N1592" i="1"/>
  <c r="O1592" i="1"/>
  <c r="M1595" i="1"/>
  <c r="O1595" i="1"/>
  <c r="M1596" i="1"/>
  <c r="O1596" i="1"/>
  <c r="M1597" i="1"/>
  <c r="N1597" i="1"/>
  <c r="O1597" i="1"/>
  <c r="M1598" i="1"/>
  <c r="O1598" i="1"/>
  <c r="M1601" i="1"/>
  <c r="O1601" i="1"/>
  <c r="M1602" i="1"/>
  <c r="O1602" i="1"/>
  <c r="M1603" i="1"/>
  <c r="O1603" i="1"/>
  <c r="M1604" i="1"/>
  <c r="N1604" i="1"/>
  <c r="O1604" i="1"/>
  <c r="M1605" i="1"/>
  <c r="O1605" i="1"/>
  <c r="M1606" i="1"/>
  <c r="O1606" i="1"/>
  <c r="M1609" i="1"/>
  <c r="O1609" i="1"/>
  <c r="M1610" i="1"/>
  <c r="O1610" i="1"/>
  <c r="M1611" i="1"/>
  <c r="O1611" i="1"/>
  <c r="M1612" i="1"/>
  <c r="O1612" i="1"/>
  <c r="M1613" i="1"/>
  <c r="N1613" i="1"/>
  <c r="O1613" i="1"/>
  <c r="M1614" i="1"/>
  <c r="N1614" i="1"/>
  <c r="O1614" i="1"/>
  <c r="M1615" i="1"/>
  <c r="O1615" i="1"/>
  <c r="M1616" i="1"/>
  <c r="O1616" i="1"/>
  <c r="M1617" i="1"/>
  <c r="O1617" i="1"/>
  <c r="M1620" i="1"/>
  <c r="O1620" i="1"/>
  <c r="M1621" i="1"/>
  <c r="O1621" i="1"/>
  <c r="M1622" i="1"/>
  <c r="O1622" i="1"/>
  <c r="M1623" i="1"/>
  <c r="O1623" i="1"/>
  <c r="M1624" i="1"/>
  <c r="N1624" i="1"/>
  <c r="O1624" i="1"/>
  <c r="M1625" i="1"/>
  <c r="O1625" i="1"/>
  <c r="M1626" i="1"/>
  <c r="O1626" i="1"/>
  <c r="M1629" i="1"/>
  <c r="O1629" i="1"/>
  <c r="M1630" i="1"/>
  <c r="O1630" i="1"/>
  <c r="M1631" i="1"/>
  <c r="N1631" i="1"/>
  <c r="O1631" i="1"/>
  <c r="M1632" i="1"/>
  <c r="O1632" i="1"/>
  <c r="M1633" i="1"/>
  <c r="O1633" i="1"/>
  <c r="M1634" i="1"/>
  <c r="N1634" i="1"/>
  <c r="O1634" i="1"/>
  <c r="M1635" i="1"/>
  <c r="O1635" i="1"/>
  <c r="M1638" i="1"/>
  <c r="O1638" i="1"/>
  <c r="M1639" i="1"/>
  <c r="O1639" i="1"/>
  <c r="M1640" i="1"/>
  <c r="O1640" i="1"/>
  <c r="M1641" i="1"/>
  <c r="N1641" i="1"/>
  <c r="O1641" i="1"/>
  <c r="M1642" i="1"/>
  <c r="O1642" i="1"/>
  <c r="M1645" i="1"/>
  <c r="O1645" i="1"/>
  <c r="M1646" i="1"/>
  <c r="O1646" i="1"/>
  <c r="M1647" i="1"/>
  <c r="O1647" i="1"/>
  <c r="M1650" i="1"/>
  <c r="O1650" i="1"/>
  <c r="M1651" i="1"/>
  <c r="N1651" i="1"/>
  <c r="O1651" i="1"/>
  <c r="M1652" i="1"/>
  <c r="O1652" i="1"/>
  <c r="M1653" i="1"/>
  <c r="O1653" i="1"/>
  <c r="M1656" i="1"/>
  <c r="O1656" i="1"/>
  <c r="M1657" i="1"/>
  <c r="O1657" i="1"/>
  <c r="M1658" i="1"/>
  <c r="O1658" i="1"/>
  <c r="M1659" i="1"/>
  <c r="N1659" i="1"/>
  <c r="O1659" i="1"/>
  <c r="M1660" i="1"/>
  <c r="O1660" i="1"/>
  <c r="M1661" i="1"/>
  <c r="N1661" i="1"/>
  <c r="O1661" i="1"/>
  <c r="M1664" i="1"/>
  <c r="O1664" i="1"/>
  <c r="M1665" i="1"/>
  <c r="O1665" i="1"/>
  <c r="M1666" i="1"/>
  <c r="N1666" i="1"/>
  <c r="O1666" i="1"/>
  <c r="M1667" i="1"/>
  <c r="N1667" i="1"/>
  <c r="O1667" i="1"/>
  <c r="M1668" i="1"/>
  <c r="O1668" i="1"/>
  <c r="M1669" i="1"/>
  <c r="O1669" i="1"/>
  <c r="M1672" i="1"/>
  <c r="O1672" i="1"/>
  <c r="M1673" i="1"/>
  <c r="N1673" i="1"/>
  <c r="O1673" i="1"/>
  <c r="M1674" i="1"/>
  <c r="O1674" i="1"/>
  <c r="M1675" i="1"/>
  <c r="N1675" i="1"/>
  <c r="O1675" i="1"/>
  <c r="M1678" i="1"/>
  <c r="O1678" i="1"/>
  <c r="M1679" i="1"/>
  <c r="N1679" i="1"/>
  <c r="O1679" i="1"/>
  <c r="M1680" i="1"/>
  <c r="N1680" i="1"/>
  <c r="O1680" i="1"/>
  <c r="M1681" i="1"/>
  <c r="N1681" i="1"/>
  <c r="O1681" i="1"/>
  <c r="M1682" i="1"/>
  <c r="O1682" i="1"/>
  <c r="M1683" i="1"/>
  <c r="N1683" i="1"/>
  <c r="O1683" i="1"/>
  <c r="M1686" i="1"/>
  <c r="O1686" i="1"/>
  <c r="M1687" i="1"/>
  <c r="O1687" i="1"/>
  <c r="M1688" i="1"/>
  <c r="O1688" i="1"/>
  <c r="M1689" i="1"/>
  <c r="O1689" i="1"/>
  <c r="M1692" i="1"/>
  <c r="O1692" i="1"/>
  <c r="M1693" i="1"/>
  <c r="N1693" i="1"/>
  <c r="O1693" i="1"/>
  <c r="M1694" i="1"/>
  <c r="O1694" i="1"/>
  <c r="M1695" i="1"/>
  <c r="O1695" i="1"/>
  <c r="M1696" i="1"/>
  <c r="O1696" i="1"/>
  <c r="M1697" i="1"/>
  <c r="O1697" i="1"/>
  <c r="M1698" i="1"/>
  <c r="O1698" i="1"/>
  <c r="M1699" i="1"/>
  <c r="O1699" i="1"/>
  <c r="M1702" i="1"/>
  <c r="O1702" i="1"/>
  <c r="M1703" i="1"/>
  <c r="O1703" i="1"/>
  <c r="M1704" i="1"/>
  <c r="O1704" i="1"/>
  <c r="M1705" i="1"/>
  <c r="N1705" i="1"/>
  <c r="O1705" i="1"/>
  <c r="M1706" i="1"/>
  <c r="O1706" i="1"/>
  <c r="M1709" i="1"/>
  <c r="O1709" i="1"/>
  <c r="M1710" i="1"/>
  <c r="N1710" i="1"/>
  <c r="O1710" i="1"/>
  <c r="M1711" i="1"/>
  <c r="N1711" i="1"/>
  <c r="O1711" i="1"/>
  <c r="M1712" i="1"/>
  <c r="O1712" i="1"/>
  <c r="M1713" i="1"/>
  <c r="O1713" i="1"/>
  <c r="M1714" i="1"/>
  <c r="N1714" i="1"/>
  <c r="O1714" i="1"/>
  <c r="M1715" i="1"/>
  <c r="O1715" i="1"/>
  <c r="M1718" i="1"/>
  <c r="O1718" i="1"/>
  <c r="M1719" i="1"/>
  <c r="N1719" i="1"/>
  <c r="O1719" i="1"/>
  <c r="M1720" i="1"/>
  <c r="O1720" i="1"/>
  <c r="M1721" i="1"/>
  <c r="O1721" i="1"/>
  <c r="M1722" i="1"/>
  <c r="N1722" i="1"/>
  <c r="O1722" i="1"/>
  <c r="M1723" i="1"/>
  <c r="N1723" i="1"/>
  <c r="O1723" i="1"/>
  <c r="M1726" i="1"/>
  <c r="O1726" i="1"/>
  <c r="M1727" i="1"/>
  <c r="O1727" i="1"/>
  <c r="M1728" i="1"/>
  <c r="O1728" i="1"/>
  <c r="M1729" i="1"/>
  <c r="O1729" i="1"/>
  <c r="M1730" i="1"/>
  <c r="N1730" i="1"/>
  <c r="O1730" i="1"/>
  <c r="M1731" i="1"/>
  <c r="O1731" i="1"/>
  <c r="M1734" i="1"/>
  <c r="O1734" i="1"/>
  <c r="M1735" i="1"/>
  <c r="O1735" i="1"/>
  <c r="M1736" i="1"/>
  <c r="O1736" i="1"/>
  <c r="M1737" i="1"/>
  <c r="O1737" i="1"/>
  <c r="M1738" i="1"/>
  <c r="O1738" i="1"/>
  <c r="M1739" i="1"/>
  <c r="O1739" i="1"/>
  <c r="M1740" i="1"/>
  <c r="O1740" i="1"/>
  <c r="M1741" i="1"/>
  <c r="O1741" i="1"/>
  <c r="M1744" i="1"/>
  <c r="O1744" i="1"/>
  <c r="M1746" i="1"/>
  <c r="N1746" i="1"/>
  <c r="O1746" i="1"/>
  <c r="M1747" i="1"/>
  <c r="O1747" i="1"/>
  <c r="M1748" i="1"/>
  <c r="N1748" i="1"/>
  <c r="O1748" i="1"/>
  <c r="M1749" i="1"/>
  <c r="O1749" i="1"/>
  <c r="O1750" i="1"/>
  <c r="M1751" i="1"/>
  <c r="O1751" i="1"/>
  <c r="M1752" i="1"/>
  <c r="O1752" i="1"/>
  <c r="M1753" i="1"/>
  <c r="N1753" i="1"/>
  <c r="O1753" i="1"/>
  <c r="M1754" i="1"/>
  <c r="O1754" i="1"/>
  <c r="M1755" i="1"/>
  <c r="N1755" i="1"/>
  <c r="O1755" i="1"/>
  <c r="M1758" i="1"/>
  <c r="O1758" i="1"/>
  <c r="M1759" i="1"/>
  <c r="O1759" i="1"/>
  <c r="M1760" i="1"/>
  <c r="O1760" i="1"/>
  <c r="M1761" i="1"/>
  <c r="N1761" i="1"/>
  <c r="O1761" i="1"/>
  <c r="M1762" i="1"/>
  <c r="O1762" i="1"/>
  <c r="M1763" i="1"/>
  <c r="O1763" i="1"/>
  <c r="M1766" i="1"/>
  <c r="O1766" i="1"/>
  <c r="M1767" i="1"/>
  <c r="O1767" i="1"/>
  <c r="M1768" i="1"/>
  <c r="O1768" i="1"/>
  <c r="M1769" i="1"/>
  <c r="N1769" i="1"/>
  <c r="O1769" i="1"/>
  <c r="M1773" i="1"/>
  <c r="N1773" i="1"/>
  <c r="O1773" i="1"/>
  <c r="M1774" i="1"/>
  <c r="O1774" i="1"/>
  <c r="M1775" i="1"/>
  <c r="O1775" i="1"/>
  <c r="M1779" i="1"/>
  <c r="N1779" i="1"/>
  <c r="O1779" i="1"/>
  <c r="M1780" i="1"/>
  <c r="N1780" i="1"/>
  <c r="O1780" i="1"/>
  <c r="M1781" i="1"/>
  <c r="O1781" i="1"/>
  <c r="M1782" i="1"/>
  <c r="O1782" i="1"/>
  <c r="M1785" i="1"/>
  <c r="O1785" i="1"/>
  <c r="M1786" i="1"/>
  <c r="O1786" i="1"/>
  <c r="M1789" i="1"/>
  <c r="O1789" i="1"/>
  <c r="M1790" i="1"/>
  <c r="O1790" i="1"/>
  <c r="M1791" i="1"/>
  <c r="N1791" i="1"/>
  <c r="O1791" i="1"/>
  <c r="M1794" i="1"/>
  <c r="O1794" i="1"/>
  <c r="M1795" i="1"/>
  <c r="N1795" i="1"/>
  <c r="O1795" i="1"/>
  <c r="M1798" i="1"/>
  <c r="O1798" i="1"/>
  <c r="M1799" i="1"/>
  <c r="O1799" i="1"/>
  <c r="M1802" i="1"/>
  <c r="O1802" i="1"/>
  <c r="M1803" i="1"/>
  <c r="O1803" i="1"/>
  <c r="M1807" i="1"/>
  <c r="N1807" i="1"/>
  <c r="O1807" i="1"/>
  <c r="M1808" i="1"/>
  <c r="O1808" i="1"/>
  <c r="M1809" i="1"/>
  <c r="O1809" i="1"/>
  <c r="M1813" i="1"/>
  <c r="N1813" i="1"/>
  <c r="O1813" i="1"/>
  <c r="M1814" i="1"/>
  <c r="O1814" i="1"/>
  <c r="M1815" i="1"/>
  <c r="O1815" i="1"/>
  <c r="M1818" i="1"/>
  <c r="O1818" i="1"/>
  <c r="M1819" i="1"/>
  <c r="O1819" i="1"/>
  <c r="M1822" i="1"/>
  <c r="O1822" i="1"/>
  <c r="M1823" i="1"/>
  <c r="O1823" i="1"/>
  <c r="M1827" i="1"/>
  <c r="N1827" i="1"/>
  <c r="O1827" i="1"/>
  <c r="M1828" i="1"/>
  <c r="O1828" i="1"/>
  <c r="M1831" i="1"/>
  <c r="O1831" i="1"/>
  <c r="M1832" i="1"/>
  <c r="O1832" i="1"/>
  <c r="M1833" i="1"/>
  <c r="N1833" i="1"/>
  <c r="O1833" i="1"/>
  <c r="M1836" i="1"/>
  <c r="O1836" i="1"/>
  <c r="M1837" i="1"/>
  <c r="O1837" i="1"/>
  <c r="M1840" i="1"/>
  <c r="O1840" i="1"/>
  <c r="M1841" i="1"/>
  <c r="O1841" i="1"/>
  <c r="M1844" i="1"/>
  <c r="O1844" i="1"/>
  <c r="M1845" i="1"/>
  <c r="O1845" i="1"/>
  <c r="M1848" i="1"/>
  <c r="O1848" i="1"/>
  <c r="M1849" i="1"/>
  <c r="O1849" i="1"/>
  <c r="M1852" i="1"/>
  <c r="O1852" i="1"/>
  <c r="M1853" i="1"/>
  <c r="O1853" i="1"/>
  <c r="O1856" i="1"/>
  <c r="M1857" i="1"/>
  <c r="N1857" i="1"/>
  <c r="O1857" i="1"/>
  <c r="M1858" i="1"/>
  <c r="O1858" i="1"/>
  <c r="M1863" i="1"/>
  <c r="N1863" i="1"/>
  <c r="O1863" i="1"/>
  <c r="M1864" i="1"/>
  <c r="O1864" i="1"/>
  <c r="M1865" i="1"/>
  <c r="O1865" i="1"/>
  <c r="M1866" i="1"/>
  <c r="O1866" i="1"/>
  <c r="M1867" i="1"/>
  <c r="O1867" i="1"/>
  <c r="M1871" i="1"/>
  <c r="N1871" i="1"/>
  <c r="O1871" i="1"/>
  <c r="M1872" i="1"/>
  <c r="O1872" i="1"/>
  <c r="M1873" i="1"/>
  <c r="O1873" i="1"/>
  <c r="M1874" i="1"/>
  <c r="O1874" i="1"/>
  <c r="M1877" i="1"/>
  <c r="O1877" i="1"/>
  <c r="M1878" i="1"/>
  <c r="O1878" i="1"/>
  <c r="M1879" i="1"/>
  <c r="N1879" i="1"/>
  <c r="O1879" i="1"/>
  <c r="M1882" i="1"/>
  <c r="O1882" i="1"/>
  <c r="M1883" i="1"/>
  <c r="O1883" i="1"/>
  <c r="M1888" i="1"/>
  <c r="O1888" i="1"/>
  <c r="O1893" i="1"/>
  <c r="M1894" i="1"/>
  <c r="O1894" i="1"/>
  <c r="M1895" i="1"/>
  <c r="O1895" i="1"/>
  <c r="M1899" i="1"/>
  <c r="O1899" i="1"/>
  <c r="M1900" i="1"/>
  <c r="O1900" i="1"/>
  <c r="M1901" i="1"/>
  <c r="O1901" i="1"/>
  <c r="M1904" i="1"/>
  <c r="O1904" i="1"/>
  <c r="M1905" i="1"/>
  <c r="N1905" i="1"/>
  <c r="O1905" i="1"/>
  <c r="M1906" i="1"/>
  <c r="O1906" i="1"/>
  <c r="M1907" i="1"/>
  <c r="O1907" i="1"/>
  <c r="M1908" i="1"/>
  <c r="O1908" i="1"/>
  <c r="M1912" i="1"/>
  <c r="N1912" i="1"/>
  <c r="O1912" i="1"/>
  <c r="M1913" i="1"/>
  <c r="N1913" i="1"/>
  <c r="O1913" i="1"/>
  <c r="M1914" i="1"/>
  <c r="O1914" i="1"/>
  <c r="M1915" i="1"/>
  <c r="N1915" i="1"/>
  <c r="O1915" i="1"/>
  <c r="M1916" i="1"/>
  <c r="N1916" i="1"/>
  <c r="O1916" i="1"/>
  <c r="M1919" i="1"/>
  <c r="O1919" i="1"/>
  <c r="M1920" i="1"/>
  <c r="O1920" i="1"/>
  <c r="M1921" i="1"/>
  <c r="O1921" i="1"/>
  <c r="M1922" i="1"/>
  <c r="O1922" i="1"/>
  <c r="M1923" i="1"/>
  <c r="O1923" i="1"/>
  <c r="M1924" i="1"/>
  <c r="O1924" i="1"/>
  <c r="M1925" i="1"/>
  <c r="O1925" i="1"/>
  <c r="M1926" i="1"/>
  <c r="O1926" i="1"/>
  <c r="M1927" i="1"/>
  <c r="N1927" i="1"/>
  <c r="O1927" i="1"/>
  <c r="M1928" i="1"/>
  <c r="N1928" i="1"/>
  <c r="O1928" i="1"/>
  <c r="M1929" i="1"/>
  <c r="O1929" i="1"/>
  <c r="M1930" i="1"/>
  <c r="N1930" i="1"/>
  <c r="O1930" i="1"/>
  <c r="M1931" i="1"/>
  <c r="O1931" i="1"/>
  <c r="M1932" i="1"/>
  <c r="O1932" i="1"/>
  <c r="M1935" i="1"/>
  <c r="O1935" i="1"/>
  <c r="M1936" i="1"/>
  <c r="O1936" i="1"/>
  <c r="M1937" i="1"/>
  <c r="O1937" i="1"/>
  <c r="M1938" i="1"/>
  <c r="O1938" i="1"/>
  <c r="M1939" i="1"/>
  <c r="O1939" i="1"/>
  <c r="M1940" i="1"/>
  <c r="O1940" i="1"/>
  <c r="M1941" i="1"/>
  <c r="O1941" i="1"/>
  <c r="M1942" i="1"/>
  <c r="N1942" i="1"/>
  <c r="O1942" i="1"/>
  <c r="M1943" i="1"/>
  <c r="O1943" i="1"/>
  <c r="M1944" i="1"/>
  <c r="O1944" i="1"/>
  <c r="M1945" i="1"/>
  <c r="O1945" i="1"/>
  <c r="M1946" i="1"/>
  <c r="O1946" i="1"/>
  <c r="M1947" i="1"/>
  <c r="N1947" i="1"/>
  <c r="O1947" i="1"/>
  <c r="M1950" i="1"/>
  <c r="O1950" i="1"/>
  <c r="M1952" i="1"/>
  <c r="O1952" i="1"/>
  <c r="M1953" i="1"/>
  <c r="O1953" i="1"/>
  <c r="M1954" i="1"/>
  <c r="O1954" i="1"/>
  <c r="M1955" i="1"/>
  <c r="O1955" i="1"/>
  <c r="M1956" i="1"/>
  <c r="O1956" i="1"/>
  <c r="M1957" i="1"/>
  <c r="O1957" i="1"/>
  <c r="M1960" i="1"/>
  <c r="O1960" i="1"/>
  <c r="M1961" i="1"/>
  <c r="O1961" i="1"/>
  <c r="M1962" i="1"/>
  <c r="O1962" i="1"/>
  <c r="M1963" i="1"/>
  <c r="O1963" i="1"/>
  <c r="O1964" i="1"/>
  <c r="M1965" i="1"/>
  <c r="O1965" i="1"/>
  <c r="M1966" i="1"/>
  <c r="O1966" i="1"/>
  <c r="M1967" i="1"/>
  <c r="O1967" i="1"/>
  <c r="M1968" i="1"/>
  <c r="O1968" i="1"/>
  <c r="M1969" i="1"/>
  <c r="O1969" i="1"/>
  <c r="M1970" i="1"/>
  <c r="O1970" i="1"/>
  <c r="M1971" i="1"/>
  <c r="O1971" i="1"/>
  <c r="M1972" i="1"/>
  <c r="O1972" i="1"/>
  <c r="M1973" i="1"/>
  <c r="N1973" i="1"/>
  <c r="O1973" i="1"/>
  <c r="M1974" i="1"/>
  <c r="O1974" i="1"/>
  <c r="M1975" i="1"/>
  <c r="O1975" i="1"/>
  <c r="M1976" i="1"/>
  <c r="O1976" i="1"/>
  <c r="M1977" i="1"/>
  <c r="O1977" i="1"/>
  <c r="M1978" i="1"/>
  <c r="O1978" i="1"/>
  <c r="M1979" i="1"/>
  <c r="O1979" i="1"/>
  <c r="M1980" i="1"/>
  <c r="O1980" i="1"/>
  <c r="M1981" i="1"/>
  <c r="O1981" i="1"/>
  <c r="M1982" i="1"/>
  <c r="O1982" i="1"/>
  <c r="M1983" i="1"/>
  <c r="O1983" i="1"/>
  <c r="M1984" i="1"/>
  <c r="N1984" i="1"/>
  <c r="O1984" i="1"/>
  <c r="M1987" i="1"/>
  <c r="O1987" i="1"/>
  <c r="M1988" i="1"/>
  <c r="O1988" i="1"/>
  <c r="O1989" i="1"/>
  <c r="M1990" i="1"/>
  <c r="O1990" i="1"/>
  <c r="M1991" i="1"/>
  <c r="O1991" i="1"/>
  <c r="M1992" i="1"/>
  <c r="O1992" i="1"/>
  <c r="M1993" i="1"/>
  <c r="O1993" i="1"/>
  <c r="M1996" i="1"/>
  <c r="O1996" i="1"/>
  <c r="M1997" i="1"/>
  <c r="O1997" i="1"/>
  <c r="M1998" i="1"/>
  <c r="O1998" i="1"/>
  <c r="M1999" i="1"/>
  <c r="O1999" i="1"/>
  <c r="M2000" i="1"/>
  <c r="O2000" i="1"/>
  <c r="M2001" i="1"/>
  <c r="O2001" i="1"/>
  <c r="M2002" i="1"/>
  <c r="O2002" i="1"/>
  <c r="M2003" i="1"/>
  <c r="N2003" i="1"/>
  <c r="M2004" i="1"/>
  <c r="N2004" i="1"/>
  <c r="O2004" i="1"/>
  <c r="M2005" i="1"/>
  <c r="N2005" i="1"/>
  <c r="O2005" i="1"/>
  <c r="M2006" i="1"/>
  <c r="O2006" i="1"/>
  <c r="M2007" i="1"/>
  <c r="O2007" i="1"/>
  <c r="M2008" i="1"/>
  <c r="N2008" i="1"/>
  <c r="O2008" i="1"/>
  <c r="M2009" i="1"/>
  <c r="O2009" i="1"/>
  <c r="M2010" i="1"/>
  <c r="O2010" i="1"/>
  <c r="M2011" i="1"/>
  <c r="O2011" i="1"/>
  <c r="M2014" i="1"/>
  <c r="O2014" i="1"/>
  <c r="M2015" i="1"/>
  <c r="O2015" i="1"/>
  <c r="M2016" i="1"/>
  <c r="O2016" i="1"/>
  <c r="M2017" i="1"/>
  <c r="O2017" i="1"/>
  <c r="M2018" i="1"/>
  <c r="O2018" i="1"/>
  <c r="M2019" i="1"/>
  <c r="O2019" i="1"/>
  <c r="M2020" i="1"/>
  <c r="O2020" i="1"/>
  <c r="M2021" i="1"/>
  <c r="O2021" i="1"/>
  <c r="M2022" i="1"/>
  <c r="O2022" i="1"/>
  <c r="M2023" i="1"/>
  <c r="N2023" i="1"/>
  <c r="O2023" i="1"/>
  <c r="M2024" i="1"/>
  <c r="O2024" i="1"/>
  <c r="M2025" i="1"/>
  <c r="N2025" i="1"/>
  <c r="O2025" i="1"/>
  <c r="M2028" i="1"/>
  <c r="O2028" i="1"/>
  <c r="M2030" i="1"/>
  <c r="N2030" i="1"/>
  <c r="O2030" i="1"/>
  <c r="M2031" i="1"/>
  <c r="O2031" i="1"/>
  <c r="M2032" i="1"/>
  <c r="O2032" i="1"/>
  <c r="M2033" i="1"/>
  <c r="O2033" i="1"/>
  <c r="M2034" i="1"/>
  <c r="O2034" i="1"/>
  <c r="M2035" i="1"/>
  <c r="O2035" i="1"/>
  <c r="M2036" i="1"/>
  <c r="O2036" i="1"/>
  <c r="M2037" i="1"/>
  <c r="O2037" i="1"/>
  <c r="O2038" i="1"/>
  <c r="M2039" i="1"/>
  <c r="N2039" i="1"/>
  <c r="O2039" i="1"/>
  <c r="M2040" i="1"/>
  <c r="O2040" i="1"/>
  <c r="O2041" i="1"/>
  <c r="M2042" i="1"/>
  <c r="O2042" i="1"/>
  <c r="M2043" i="1"/>
  <c r="O2043" i="1"/>
  <c r="M2044" i="1"/>
  <c r="O2044" i="1"/>
  <c r="M2045" i="1"/>
  <c r="O2045" i="1"/>
  <c r="M2046" i="1"/>
  <c r="O2046" i="1"/>
  <c r="M2047" i="1"/>
  <c r="O2047" i="1"/>
  <c r="M2048" i="1"/>
  <c r="N2048" i="1"/>
  <c r="O2048" i="1"/>
  <c r="M2051" i="1"/>
  <c r="O2051" i="1"/>
  <c r="M2052" i="1"/>
  <c r="O2052" i="1"/>
  <c r="M2053" i="1"/>
  <c r="O2053" i="1"/>
  <c r="M2054" i="1"/>
  <c r="O2054" i="1"/>
  <c r="M2055" i="1"/>
  <c r="O2055" i="1"/>
  <c r="M2056" i="1"/>
  <c r="O2056" i="1"/>
  <c r="M2059" i="1"/>
  <c r="O2059" i="1"/>
  <c r="M2060" i="1"/>
  <c r="O2060" i="1"/>
  <c r="M2061" i="1"/>
  <c r="O2061" i="1"/>
  <c r="M2062" i="1"/>
  <c r="O2062" i="1"/>
  <c r="M2063" i="1"/>
  <c r="O2063" i="1"/>
  <c r="M2064" i="1"/>
  <c r="O2064" i="1"/>
  <c r="O2065" i="1"/>
  <c r="M2066" i="1"/>
  <c r="O2066" i="1"/>
  <c r="M2067" i="1"/>
  <c r="N2067" i="1"/>
  <c r="O2067" i="1"/>
  <c r="M2068" i="1"/>
  <c r="O2068" i="1"/>
  <c r="M2069" i="1"/>
  <c r="O2069" i="1"/>
  <c r="M2070" i="1"/>
  <c r="N2070" i="1"/>
  <c r="O2070" i="1"/>
  <c r="M2073" i="1"/>
  <c r="O2073" i="1"/>
  <c r="M2074" i="1"/>
  <c r="O2074" i="1"/>
  <c r="M2075" i="1"/>
  <c r="O2075" i="1"/>
  <c r="M2076" i="1"/>
  <c r="N2076" i="1"/>
  <c r="O2076" i="1"/>
  <c r="M2077" i="1"/>
  <c r="O2077" i="1"/>
  <c r="M2078" i="1"/>
  <c r="N2078" i="1"/>
  <c r="O2078" i="1"/>
  <c r="M2081" i="1"/>
  <c r="O2081" i="1"/>
  <c r="O2083" i="1"/>
  <c r="O2084" i="1"/>
  <c r="M2085" i="1"/>
  <c r="O2085" i="1"/>
  <c r="M2086" i="1"/>
  <c r="O2086" i="1"/>
  <c r="M2087" i="1"/>
  <c r="O2087" i="1"/>
  <c r="M2089" i="1"/>
  <c r="O2089" i="1"/>
  <c r="M2090" i="1"/>
  <c r="O2090" i="1"/>
  <c r="M2091" i="1"/>
  <c r="O2091" i="1"/>
  <c r="M2092" i="1"/>
  <c r="O2092" i="1"/>
  <c r="O2093" i="1"/>
  <c r="M2094" i="1"/>
  <c r="N2094" i="1"/>
  <c r="O2094" i="1"/>
  <c r="M2096" i="1"/>
  <c r="N2096" i="1"/>
  <c r="O2096" i="1"/>
  <c r="M2097" i="1"/>
  <c r="N2097" i="1"/>
  <c r="O2097" i="1"/>
  <c r="M2098" i="1"/>
  <c r="N2098" i="1"/>
  <c r="O2098" i="1"/>
  <c r="M2099" i="1"/>
  <c r="O2099" i="1"/>
  <c r="M2100" i="1"/>
  <c r="O2100" i="1"/>
  <c r="M2101" i="1"/>
  <c r="O2101" i="1"/>
  <c r="M2102" i="1"/>
  <c r="O2102" i="1"/>
  <c r="M2103" i="1"/>
  <c r="O2103" i="1"/>
  <c r="O2106" i="1"/>
  <c r="M2107" i="1"/>
  <c r="O2107" i="1"/>
  <c r="M2108" i="1"/>
  <c r="N2108" i="1"/>
  <c r="O2108" i="1"/>
  <c r="M2109" i="1"/>
  <c r="O2109" i="1"/>
  <c r="O2112" i="1"/>
  <c r="M2113" i="1"/>
  <c r="O2113" i="1"/>
  <c r="M2114" i="1"/>
  <c r="N2114" i="1"/>
  <c r="O2114" i="1"/>
  <c r="M2115" i="1"/>
  <c r="O2115" i="1"/>
  <c r="M2116" i="1"/>
  <c r="N2116" i="1"/>
  <c r="O2116" i="1"/>
  <c r="O2119" i="1"/>
  <c r="M2120" i="1"/>
  <c r="N2120" i="1"/>
  <c r="O2120" i="1"/>
  <c r="M2121" i="1"/>
  <c r="O2121" i="1"/>
  <c r="M2122" i="1"/>
  <c r="N2122" i="1"/>
  <c r="O2122" i="1"/>
  <c r="O2125" i="1"/>
  <c r="M2126" i="1"/>
  <c r="O2126" i="1"/>
  <c r="M2127" i="1"/>
  <c r="N2127" i="1"/>
  <c r="O2127" i="1"/>
  <c r="M2128" i="1"/>
  <c r="O2128" i="1"/>
  <c r="M2129" i="1"/>
  <c r="O2129" i="1"/>
  <c r="M2130" i="1"/>
  <c r="N2130" i="1"/>
  <c r="O2130" i="1"/>
  <c r="O2133" i="1"/>
  <c r="M2134" i="1"/>
  <c r="O2134" i="1"/>
  <c r="M2135" i="1"/>
  <c r="N2135" i="1"/>
  <c r="O2135" i="1"/>
  <c r="M2136" i="1"/>
  <c r="N2136" i="1"/>
  <c r="O2136" i="1"/>
  <c r="M2137" i="1"/>
  <c r="O2137" i="1"/>
  <c r="O2140" i="1"/>
  <c r="M2141" i="1"/>
  <c r="O2141" i="1"/>
  <c r="M2142" i="1"/>
  <c r="N2142" i="1"/>
  <c r="O2142" i="1"/>
  <c r="M2143" i="1"/>
  <c r="O2143" i="1"/>
  <c r="M2144" i="1"/>
  <c r="O2144" i="1"/>
  <c r="M2145" i="1"/>
  <c r="O2145" i="1"/>
  <c r="O2148" i="1"/>
  <c r="M2149" i="1"/>
  <c r="O2149" i="1"/>
  <c r="M2150" i="1"/>
  <c r="N2150" i="1"/>
  <c r="O2150" i="1"/>
  <c r="M2151" i="1"/>
  <c r="O2151" i="1"/>
  <c r="M2152" i="1"/>
  <c r="O2152" i="1"/>
  <c r="M2153" i="1"/>
  <c r="N2153" i="1"/>
  <c r="O2153" i="1"/>
  <c r="O2156" i="1"/>
  <c r="M2157" i="1"/>
  <c r="O2157" i="1"/>
  <c r="M2158" i="1"/>
  <c r="N2158" i="1"/>
  <c r="O2158" i="1"/>
  <c r="O2161" i="1"/>
  <c r="M2162" i="1"/>
  <c r="O2162" i="1"/>
  <c r="M2163" i="1"/>
  <c r="O2163" i="1"/>
  <c r="M2164" i="1"/>
  <c r="N2164" i="1"/>
  <c r="O2164" i="1"/>
  <c r="M2165" i="1"/>
  <c r="N2165" i="1"/>
  <c r="O2165" i="1"/>
  <c r="M2166" i="1"/>
  <c r="O2166" i="1"/>
  <c r="O2169" i="1"/>
  <c r="M2170" i="1"/>
  <c r="N2170" i="1"/>
  <c r="O2170" i="1"/>
  <c r="M2171" i="1"/>
  <c r="N2171" i="1"/>
  <c r="O2171" i="1"/>
  <c r="M2172" i="1"/>
  <c r="O2172" i="1"/>
  <c r="M2173" i="1"/>
  <c r="N2173" i="1"/>
  <c r="O2173" i="1"/>
  <c r="O2176" i="1"/>
  <c r="M2177" i="1"/>
  <c r="O2177" i="1"/>
  <c r="M2178" i="1"/>
  <c r="N2178" i="1"/>
  <c r="O2178" i="1"/>
  <c r="M2179" i="1"/>
  <c r="O2179" i="1"/>
  <c r="M2180" i="1"/>
  <c r="N2180" i="1"/>
  <c r="O2180" i="1"/>
  <c r="O2183" i="1"/>
  <c r="M2184" i="1"/>
  <c r="O2184" i="1"/>
  <c r="M2185" i="1"/>
  <c r="N2185" i="1"/>
  <c r="O2185" i="1"/>
  <c r="O2188" i="1"/>
  <c r="M2189" i="1"/>
  <c r="O2189" i="1"/>
  <c r="M2190" i="1"/>
  <c r="O2190" i="1"/>
  <c r="M2191" i="1"/>
  <c r="O2191" i="1"/>
  <c r="M2192" i="1"/>
  <c r="N2192" i="1"/>
  <c r="O2192" i="1"/>
  <c r="M2193" i="1"/>
  <c r="N2193" i="1"/>
  <c r="O2193" i="1"/>
  <c r="M2194" i="1"/>
  <c r="O2194" i="1"/>
  <c r="M2197" i="1"/>
  <c r="O2197" i="1"/>
  <c r="M2198" i="1"/>
  <c r="O2198" i="1"/>
  <c r="M2199" i="1"/>
  <c r="O2199" i="1"/>
  <c r="O2202" i="1"/>
  <c r="M2203" i="1"/>
  <c r="O2203" i="1"/>
  <c r="M2204" i="1"/>
  <c r="N2204" i="1"/>
  <c r="O2204" i="1"/>
  <c r="M2205" i="1"/>
  <c r="N2205" i="1"/>
  <c r="O2205" i="1"/>
  <c r="M2206" i="1"/>
  <c r="O2206" i="1"/>
  <c r="O2209" i="1"/>
  <c r="M2210" i="1"/>
  <c r="N2210" i="1"/>
  <c r="O2210" i="1"/>
  <c r="M2211" i="1"/>
  <c r="O2211" i="1"/>
  <c r="M2212" i="1"/>
  <c r="O2212" i="1"/>
  <c r="O2215" i="1"/>
  <c r="M2216" i="1"/>
  <c r="O2216" i="1"/>
  <c r="O2219" i="1"/>
  <c r="M2220" i="1"/>
  <c r="N2220" i="1"/>
  <c r="O2220" i="1"/>
  <c r="M2221" i="1"/>
  <c r="N2221" i="1"/>
  <c r="O2221" i="1"/>
  <c r="M2222" i="1"/>
  <c r="O2222" i="1"/>
  <c r="M2225" i="1"/>
  <c r="O2225" i="1"/>
  <c r="M2226" i="1"/>
  <c r="O2226" i="1"/>
  <c r="M2227" i="1"/>
  <c r="O2227" i="1"/>
  <c r="M2230" i="1"/>
  <c r="O2230" i="1"/>
  <c r="M2231" i="1"/>
  <c r="N2231" i="1"/>
  <c r="O2231" i="1"/>
  <c r="M2232" i="1"/>
  <c r="O2232" i="1"/>
  <c r="M2233" i="1"/>
  <c r="N2233" i="1"/>
  <c r="O2233" i="1"/>
  <c r="M2236" i="1"/>
  <c r="O2236" i="1"/>
  <c r="M2238" i="1"/>
  <c r="O2238" i="1"/>
  <c r="M2239" i="1"/>
  <c r="N2239" i="1"/>
  <c r="O2239" i="1"/>
  <c r="M2240" i="1"/>
  <c r="O2240" i="1"/>
  <c r="M2241" i="1"/>
  <c r="O2241" i="1"/>
  <c r="M2242" i="1"/>
  <c r="O2242" i="1"/>
  <c r="M2244" i="1"/>
  <c r="O2244" i="1"/>
  <c r="M2245" i="1"/>
  <c r="O2245" i="1"/>
  <c r="M2246" i="1"/>
  <c r="O2246" i="1"/>
  <c r="M2247" i="1"/>
  <c r="N2247" i="1"/>
  <c r="O2247" i="1"/>
  <c r="M2248" i="1"/>
  <c r="N2248" i="1"/>
  <c r="O2248" i="1"/>
  <c r="M2249" i="1"/>
  <c r="N2249" i="1"/>
  <c r="O2249" i="1"/>
  <c r="M2250" i="1"/>
  <c r="O2250" i="1"/>
  <c r="M2251" i="1"/>
  <c r="N2251" i="1"/>
  <c r="O2251" i="1"/>
  <c r="M2252" i="1"/>
  <c r="N2252" i="1"/>
  <c r="O2252" i="1"/>
  <c r="M2253" i="1"/>
  <c r="N2253" i="1"/>
  <c r="O2253" i="1"/>
  <c r="P974" i="1"/>
  <c r="P975" i="1"/>
  <c r="J885" i="1"/>
  <c r="J886" i="1"/>
  <c r="P889" i="1"/>
  <c r="P855" i="1"/>
  <c r="P801" i="1"/>
  <c r="P766" i="1"/>
  <c r="P667" i="1"/>
  <c r="P637" i="1"/>
  <c r="P638" i="1"/>
  <c r="P351" i="1"/>
  <c r="P352" i="1"/>
  <c r="P353" i="1"/>
  <c r="P354" i="1"/>
  <c r="K31" i="1"/>
  <c r="J31" i="1"/>
  <c r="P35" i="1"/>
  <c r="K30" i="1"/>
  <c r="J30" i="1"/>
  <c r="J2237" i="1" l="1"/>
  <c r="J2167" i="1"/>
  <c r="P2170" i="1"/>
  <c r="P2097" i="1"/>
  <c r="P2098" i="1"/>
  <c r="P2076" i="1"/>
  <c r="J2071" i="1"/>
  <c r="J2072" i="1"/>
  <c r="P1711" i="1"/>
  <c r="J1707" i="1"/>
  <c r="P1680" i="1"/>
  <c r="P1681" i="1"/>
  <c r="J1676" i="1"/>
  <c r="J1618" i="1"/>
  <c r="P1614" i="1"/>
  <c r="J1607" i="1"/>
  <c r="J1599" i="1"/>
  <c r="J1593" i="1"/>
  <c r="J1585" i="1"/>
  <c r="J1578" i="1"/>
  <c r="J1571" i="1"/>
  <c r="J1563" i="1"/>
  <c r="P1446" i="1"/>
  <c r="J1441" i="1"/>
  <c r="P1139" i="1"/>
  <c r="J1136" i="1"/>
  <c r="P1116" i="1"/>
  <c r="J1113" i="1"/>
  <c r="J1092" i="1"/>
  <c r="J1093" i="1"/>
  <c r="P1097" i="1"/>
  <c r="P1087" i="1"/>
  <c r="J1084" i="1"/>
  <c r="P1057" i="1"/>
  <c r="P1058" i="1"/>
  <c r="P1059" i="1"/>
  <c r="P1062" i="1"/>
  <c r="J1054" i="1"/>
  <c r="P396" i="1"/>
  <c r="J331" i="1"/>
  <c r="J332" i="1"/>
  <c r="P298" i="1"/>
  <c r="P291" i="1"/>
  <c r="P293" i="1"/>
  <c r="L291" i="1"/>
  <c r="L293" i="1"/>
  <c r="J177" i="1"/>
  <c r="J176" i="1"/>
  <c r="K1951" i="1" l="1"/>
  <c r="K1950" i="1"/>
  <c r="K1949" i="1" s="1"/>
  <c r="L1087" i="1" l="1"/>
  <c r="L1116" i="1"/>
  <c r="L1567" i="1"/>
  <c r="J2095" i="1" l="1"/>
  <c r="M2095" i="1" l="1"/>
  <c r="O2095" i="1"/>
  <c r="L2097" i="1"/>
  <c r="L2098" i="1"/>
  <c r="J2088" i="1"/>
  <c r="O2088" i="1" s="1"/>
  <c r="J2082" i="1"/>
  <c r="L2170" i="1"/>
  <c r="L2250" i="1"/>
  <c r="L2245" i="1"/>
  <c r="N2245" i="1" s="1"/>
  <c r="N2250" i="1" l="1"/>
  <c r="L2246" i="1"/>
  <c r="L2082" i="1"/>
  <c r="O2082" i="1"/>
  <c r="J2079" i="1"/>
  <c r="J2080" i="1"/>
  <c r="L2076" i="1"/>
  <c r="L35" i="1"/>
  <c r="L1097" i="1"/>
  <c r="L1058" i="1"/>
  <c r="L975" i="1"/>
  <c r="J975" i="1"/>
  <c r="J970" i="1" s="1"/>
  <c r="L889" i="1"/>
  <c r="J855" i="1"/>
  <c r="L855" i="1" l="1"/>
  <c r="J850" i="1"/>
  <c r="J766" i="1"/>
  <c r="L188" i="1"/>
  <c r="L189" i="1"/>
  <c r="L187" i="1"/>
  <c r="L190" i="1"/>
  <c r="L1446" i="1"/>
  <c r="J1951" i="1"/>
  <c r="J2003" i="1"/>
  <c r="J2029" i="1"/>
  <c r="L766" i="1" l="1"/>
  <c r="J762" i="1"/>
  <c r="O2003" i="1"/>
  <c r="J1994" i="1"/>
  <c r="J1995" i="1"/>
  <c r="O2029" i="1"/>
  <c r="J2026" i="1"/>
  <c r="J2027" i="1"/>
  <c r="M1951" i="1"/>
  <c r="O1951" i="1"/>
  <c r="J1949" i="1"/>
  <c r="L1590" i="1"/>
  <c r="J1745" i="1"/>
  <c r="O1745" i="1" s="1"/>
  <c r="J1911" i="1"/>
  <c r="J1778" i="1"/>
  <c r="J1806" i="1"/>
  <c r="J1826" i="1"/>
  <c r="J1870" i="1"/>
  <c r="J1772" i="1"/>
  <c r="J1862" i="1"/>
  <c r="J1812" i="1"/>
  <c r="J290" i="1"/>
  <c r="J292" i="1"/>
  <c r="O1862" i="1" l="1"/>
  <c r="M1862" i="1"/>
  <c r="J1860" i="1"/>
  <c r="O292" i="1"/>
  <c r="M292" i="1"/>
  <c r="L292" i="1"/>
  <c r="O1806" i="1"/>
  <c r="M1806" i="1"/>
  <c r="J1804" i="1"/>
  <c r="O1772" i="1"/>
  <c r="M1772" i="1"/>
  <c r="J1770" i="1"/>
  <c r="O1778" i="1"/>
  <c r="M1778" i="1"/>
  <c r="J1776" i="1"/>
  <c r="M290" i="1"/>
  <c r="O290" i="1"/>
  <c r="J286" i="1"/>
  <c r="J287" i="1"/>
  <c r="O1870" i="1"/>
  <c r="M1870" i="1"/>
  <c r="J1868" i="1"/>
  <c r="M1911" i="1"/>
  <c r="O1911" i="1"/>
  <c r="J1909" i="1"/>
  <c r="M1812" i="1"/>
  <c r="O1812" i="1"/>
  <c r="O1826" i="1"/>
  <c r="M1826" i="1"/>
  <c r="L1139" i="1"/>
  <c r="J801" i="1"/>
  <c r="J667" i="1"/>
  <c r="L1576" i="1"/>
  <c r="L1575" i="1"/>
  <c r="L1624" i="1"/>
  <c r="L1614" i="1"/>
  <c r="L1613" i="1"/>
  <c r="L1604" i="1"/>
  <c r="L1597" i="1"/>
  <c r="J1145" i="1"/>
  <c r="L1148" i="1"/>
  <c r="P1148" i="1"/>
  <c r="L638" i="1"/>
  <c r="J611" i="1"/>
  <c r="O611" i="1" l="1"/>
  <c r="M611" i="1"/>
  <c r="J603" i="1"/>
  <c r="J602" i="1"/>
  <c r="L667" i="1"/>
  <c r="J663" i="1"/>
  <c r="L801" i="1"/>
  <c r="J797" i="1"/>
  <c r="J798" i="1"/>
  <c r="J537" i="1"/>
  <c r="J536" i="1"/>
  <c r="G536" i="1"/>
  <c r="O536" i="1" s="1"/>
  <c r="D536" i="1"/>
  <c r="D529" i="1"/>
  <c r="M536" i="1" l="1"/>
  <c r="I2242" i="1"/>
  <c r="L2241" i="1"/>
  <c r="L2240" i="1"/>
  <c r="L2238" i="1"/>
  <c r="L2236" i="1"/>
  <c r="J2235" i="1"/>
  <c r="I2241" i="1"/>
  <c r="I2240" i="1"/>
  <c r="I2238" i="1"/>
  <c r="I2236" i="1"/>
  <c r="G2237" i="1"/>
  <c r="D2237" i="1"/>
  <c r="D2235" i="1" l="1"/>
  <c r="M2235" i="1" s="1"/>
  <c r="M2237" i="1"/>
  <c r="I2237" i="1"/>
  <c r="O2237" i="1"/>
  <c r="F2237" i="1"/>
  <c r="L2237" i="1"/>
  <c r="F2236" i="1"/>
  <c r="N2236" i="1" s="1"/>
  <c r="N2237" i="1" l="1"/>
  <c r="F2240" i="1"/>
  <c r="N2240" i="1" s="1"/>
  <c r="F2241" i="1"/>
  <c r="N2241" i="1" s="1"/>
  <c r="F2238" i="1"/>
  <c r="N2238" i="1" s="1"/>
  <c r="J140" i="1" l="1"/>
  <c r="J136" i="1" l="1"/>
  <c r="O140" i="1"/>
  <c r="M2254" i="1"/>
  <c r="N2254" i="1"/>
  <c r="M2255" i="1"/>
  <c r="M2256" i="1"/>
  <c r="N2256" i="1"/>
  <c r="P2239" i="1" l="1"/>
  <c r="G2235" i="1" l="1"/>
  <c r="O2235" i="1" s="1"/>
  <c r="H2235" i="1"/>
  <c r="I2235" i="1" l="1"/>
  <c r="J1889" i="1"/>
  <c r="J1887" i="1"/>
  <c r="L1857" i="1"/>
  <c r="M1887" i="1" l="1"/>
  <c r="O1887" i="1"/>
  <c r="O1889" i="1"/>
  <c r="M1889" i="1"/>
  <c r="L186" i="1"/>
  <c r="L297" i="1" l="1"/>
  <c r="L298" i="1"/>
  <c r="L299" i="1"/>
  <c r="L1780" i="1"/>
  <c r="J1876" i="1"/>
  <c r="D1903" i="1"/>
  <c r="M1903" i="1" s="1"/>
  <c r="L1905" i="1"/>
  <c r="P1905" i="1"/>
  <c r="J1903" i="1"/>
  <c r="J375" i="1" l="1"/>
  <c r="J386" i="1"/>
  <c r="O386" i="1" s="1"/>
  <c r="J388" i="1"/>
  <c r="J379" i="1"/>
  <c r="O379" i="1" s="1"/>
  <c r="J376" i="1"/>
  <c r="J392" i="1"/>
  <c r="O392" i="1" s="1"/>
  <c r="L402" i="1"/>
  <c r="L403" i="1"/>
  <c r="L404" i="1"/>
  <c r="L405" i="1"/>
  <c r="L395" i="1"/>
  <c r="L396" i="1"/>
  <c r="M388" i="1" l="1"/>
  <c r="O388" i="1"/>
  <c r="M376" i="1"/>
  <c r="O376" i="1"/>
  <c r="O375" i="1"/>
  <c r="J372" i="1"/>
  <c r="J373" i="1"/>
  <c r="P64" i="1"/>
  <c r="J65" i="1"/>
  <c r="K65" i="1"/>
  <c r="J66" i="1"/>
  <c r="K66" i="1"/>
  <c r="G65" i="1"/>
  <c r="O65" i="1" s="1"/>
  <c r="H65" i="1"/>
  <c r="G66" i="1"/>
  <c r="O66" i="1" s="1"/>
  <c r="H66" i="1"/>
  <c r="E65" i="1"/>
  <c r="E66" i="1"/>
  <c r="D65" i="1"/>
  <c r="M65" i="1" s="1"/>
  <c r="D66" i="1"/>
  <c r="M66" i="1" s="1"/>
  <c r="L68" i="1"/>
  <c r="I68" i="1"/>
  <c r="F68" i="1"/>
  <c r="L67" i="1"/>
  <c r="I67" i="1"/>
  <c r="F67" i="1"/>
  <c r="J1743" i="1"/>
  <c r="N68" i="1" l="1"/>
  <c r="N67" i="1"/>
  <c r="P68" i="1"/>
  <c r="P67" i="1"/>
  <c r="F65" i="1"/>
  <c r="N65" i="1" s="1"/>
  <c r="I65" i="1"/>
  <c r="F66" i="1"/>
  <c r="N66" i="1" s="1"/>
  <c r="L66" i="1"/>
  <c r="L65" i="1"/>
  <c r="I66" i="1"/>
  <c r="J414" i="1"/>
  <c r="J253" i="1"/>
  <c r="J255" i="1"/>
  <c r="L124" i="1"/>
  <c r="L125" i="1"/>
  <c r="L129" i="1"/>
  <c r="L127" i="1"/>
  <c r="L128" i="1"/>
  <c r="L130" i="1"/>
  <c r="L131" i="1"/>
  <c r="L132" i="1"/>
  <c r="J126" i="1"/>
  <c r="L1942" i="1"/>
  <c r="P812" i="1"/>
  <c r="J808" i="1"/>
  <c r="J809" i="1"/>
  <c r="L812" i="1"/>
  <c r="O253" i="1" l="1"/>
  <c r="M253" i="1"/>
  <c r="O414" i="1"/>
  <c r="M414" i="1"/>
  <c r="M126" i="1"/>
  <c r="O126" i="1"/>
  <c r="M255" i="1"/>
  <c r="O255" i="1"/>
  <c r="L126" i="1"/>
  <c r="P65" i="1"/>
  <c r="P66" i="1"/>
  <c r="L244" i="1"/>
  <c r="L240" i="1"/>
  <c r="L241" i="1"/>
  <c r="L242" i="1"/>
  <c r="L245" i="1"/>
  <c r="L243" i="1"/>
  <c r="L246" i="1"/>
  <c r="L247" i="1"/>
  <c r="L248" i="1"/>
  <c r="K2026" i="1" l="1"/>
  <c r="K2027" i="1"/>
  <c r="L2042" i="1"/>
  <c r="L2038" i="1"/>
  <c r="L2045" i="1"/>
  <c r="L2039" i="1"/>
  <c r="L2046" i="1"/>
  <c r="L2008" i="1"/>
  <c r="L2009" i="1"/>
  <c r="L2010" i="1"/>
  <c r="G1994" i="1"/>
  <c r="O1994" i="1" s="1"/>
  <c r="G1995" i="1"/>
  <c r="O1995" i="1" s="1"/>
  <c r="D1994" i="1"/>
  <c r="M1994" i="1" s="1"/>
  <c r="D1995" i="1"/>
  <c r="M1995" i="1" s="1"/>
  <c r="L2005" i="1"/>
  <c r="L2003" i="1"/>
  <c r="L2006" i="1"/>
  <c r="L1973" i="1"/>
  <c r="J2013" i="1"/>
  <c r="K202" i="1"/>
  <c r="K201" i="1"/>
  <c r="L1954" i="1" l="1"/>
  <c r="L1955" i="1"/>
  <c r="L1956" i="1"/>
  <c r="L1929" i="1"/>
  <c r="L1930" i="1"/>
  <c r="L1931" i="1"/>
  <c r="L1928" i="1"/>
  <c r="L1953" i="1"/>
  <c r="L2019" i="1"/>
  <c r="L1927" i="1" l="1"/>
  <c r="P285" i="1" l="1"/>
  <c r="L280" i="1"/>
  <c r="L281" i="1"/>
  <c r="L282" i="1"/>
  <c r="J18" i="1" l="1"/>
  <c r="O18" i="1" s="1"/>
  <c r="J222" i="1" l="1"/>
  <c r="M222" i="1" l="1"/>
  <c r="O222" i="1"/>
  <c r="J557" i="1"/>
  <c r="J544" i="1"/>
  <c r="L579" i="1"/>
  <c r="L578" i="1"/>
  <c r="L566" i="1"/>
  <c r="L567" i="1"/>
  <c r="J563" i="1"/>
  <c r="G563" i="1"/>
  <c r="O563" i="1" s="1"/>
  <c r="D562" i="1"/>
  <c r="D563" i="1"/>
  <c r="M563" i="1" s="1"/>
  <c r="L559" i="1"/>
  <c r="P559" i="1"/>
  <c r="L560" i="1"/>
  <c r="J551" i="1"/>
  <c r="P553" i="1"/>
  <c r="L553" i="1"/>
  <c r="P60" i="1" l="1"/>
  <c r="L60" i="1"/>
  <c r="L58" i="1"/>
  <c r="L59" i="1"/>
  <c r="L62" i="1"/>
  <c r="L2189" i="1" l="1"/>
  <c r="L2190" i="1"/>
  <c r="L2192" i="1"/>
  <c r="L2095" i="1" l="1"/>
  <c r="L2101" i="1"/>
  <c r="K2080" i="1"/>
  <c r="L2093" i="1"/>
  <c r="L2094" i="1"/>
  <c r="L2096" i="1"/>
  <c r="K154" i="1" l="1"/>
  <c r="K155" i="1"/>
  <c r="J154" i="1"/>
  <c r="J155" i="1"/>
  <c r="G155" i="1"/>
  <c r="H154" i="1"/>
  <c r="H155" i="1"/>
  <c r="E154" i="1"/>
  <c r="E155" i="1"/>
  <c r="D154" i="1"/>
  <c r="D155" i="1"/>
  <c r="P162" i="1"/>
  <c r="G154" i="1"/>
  <c r="L162" i="1"/>
  <c r="M155" i="1" l="1"/>
  <c r="M154" i="1"/>
  <c r="O154" i="1"/>
  <c r="O155" i="1"/>
  <c r="L637" i="1"/>
  <c r="L635" i="1"/>
  <c r="L650" i="1"/>
  <c r="L636" i="1"/>
  <c r="L652" i="1"/>
  <c r="L627" i="1"/>
  <c r="L628" i="1"/>
  <c r="L651" i="1"/>
  <c r="L629" i="1"/>
  <c r="L630" i="1"/>
  <c r="L631" i="1"/>
  <c r="L632" i="1"/>
  <c r="L633" i="1"/>
  <c r="L634" i="1"/>
  <c r="L647" i="1"/>
  <c r="L619" i="1"/>
  <c r="L648" i="1"/>
  <c r="L618" i="1"/>
  <c r="L620" i="1"/>
  <c r="L621" i="1"/>
  <c r="L649" i="1"/>
  <c r="L622" i="1"/>
  <c r="L623" i="1"/>
  <c r="L645" i="1"/>
  <c r="L646" i="1"/>
  <c r="L615" i="1"/>
  <c r="L642" i="1"/>
  <c r="L643" i="1"/>
  <c r="L644" i="1"/>
  <c r="L610" i="1"/>
  <c r="L611" i="1"/>
  <c r="L641" i="1"/>
  <c r="L606" i="1"/>
  <c r="L607" i="1"/>
  <c r="K441" i="1" l="1"/>
  <c r="K442" i="1"/>
  <c r="L256" i="1" l="1"/>
  <c r="L226" i="1"/>
  <c r="J317" i="1"/>
  <c r="J318" i="1"/>
  <c r="G317" i="1"/>
  <c r="G318" i="1"/>
  <c r="E318" i="1"/>
  <c r="D317" i="1"/>
  <c r="M317" i="1" s="1"/>
  <c r="D318" i="1"/>
  <c r="L324" i="1"/>
  <c r="O318" i="1" l="1"/>
  <c r="M318" i="1"/>
  <c r="O317" i="1"/>
  <c r="F318" i="1"/>
  <c r="L354" i="1"/>
  <c r="L353" i="1"/>
  <c r="L352" i="1"/>
  <c r="L351" i="1"/>
  <c r="L346" i="1"/>
  <c r="L347" i="1"/>
  <c r="L348" i="1"/>
  <c r="L349" i="1"/>
  <c r="L350" i="1"/>
  <c r="P267" i="1"/>
  <c r="L267" i="1"/>
  <c r="L266" i="1"/>
  <c r="P101" i="1"/>
  <c r="P102" i="1"/>
  <c r="L101" i="1"/>
  <c r="L102" i="1"/>
  <c r="L103" i="1"/>
  <c r="L104" i="1"/>
  <c r="L99" i="1"/>
  <c r="J309" i="1"/>
  <c r="K373" i="1" l="1"/>
  <c r="J1258" i="1" l="1"/>
  <c r="G1258" i="1"/>
  <c r="O1258" i="1" s="1"/>
  <c r="D1258" i="1"/>
  <c r="M1258" i="1" s="1"/>
  <c r="G1219" i="1" l="1"/>
  <c r="G1220" i="1"/>
  <c r="G1043" i="1"/>
  <c r="J828" i="1" l="1"/>
  <c r="G828" i="1"/>
  <c r="D828" i="1"/>
  <c r="J818" i="1"/>
  <c r="G818" i="1"/>
  <c r="D818" i="1"/>
  <c r="G809" i="1"/>
  <c r="O809" i="1" s="1"/>
  <c r="G797" i="1"/>
  <c r="O797" i="1" s="1"/>
  <c r="G798" i="1"/>
  <c r="O798" i="1" s="1"/>
  <c r="J775" i="1"/>
  <c r="J776" i="1"/>
  <c r="G775" i="1"/>
  <c r="O775" i="1" s="1"/>
  <c r="G776" i="1"/>
  <c r="O776" i="1" s="1"/>
  <c r="D776" i="1"/>
  <c r="G763" i="1"/>
  <c r="J763" i="1"/>
  <c r="D752" i="1"/>
  <c r="M752" i="1" s="1"/>
  <c r="G752" i="1"/>
  <c r="J752" i="1"/>
  <c r="J742" i="1"/>
  <c r="G742" i="1"/>
  <c r="D742" i="1"/>
  <c r="G731" i="1"/>
  <c r="G732" i="1"/>
  <c r="O732" i="1" s="1"/>
  <c r="J732" i="1"/>
  <c r="J720" i="1"/>
  <c r="J721" i="1"/>
  <c r="G720" i="1"/>
  <c r="O720" i="1" s="1"/>
  <c r="G721" i="1"/>
  <c r="O721" i="1" s="1"/>
  <c r="D720" i="1"/>
  <c r="M720" i="1" s="1"/>
  <c r="D721" i="1"/>
  <c r="M721" i="1" s="1"/>
  <c r="J710" i="1"/>
  <c r="J711" i="1"/>
  <c r="G710" i="1"/>
  <c r="G711" i="1"/>
  <c r="J696" i="1"/>
  <c r="J697" i="1"/>
  <c r="G696" i="1"/>
  <c r="G697" i="1"/>
  <c r="D696" i="1"/>
  <c r="M696" i="1" s="1"/>
  <c r="D697" i="1"/>
  <c r="M697" i="1" s="1"/>
  <c r="J686" i="1"/>
  <c r="J687" i="1"/>
  <c r="G686" i="1"/>
  <c r="O686" i="1" s="1"/>
  <c r="G687" i="1"/>
  <c r="O687" i="1" s="1"/>
  <c r="D686" i="1"/>
  <c r="M686" i="1" s="1"/>
  <c r="D687" i="1"/>
  <c r="M687" i="1" s="1"/>
  <c r="J675" i="1"/>
  <c r="J676" i="1"/>
  <c r="G675" i="1"/>
  <c r="G676" i="1"/>
  <c r="D675" i="1"/>
  <c r="M675" i="1" s="1"/>
  <c r="D676" i="1"/>
  <c r="M676" i="1" s="1"/>
  <c r="J664" i="1"/>
  <c r="G663" i="1"/>
  <c r="O663" i="1" s="1"/>
  <c r="G664" i="1"/>
  <c r="O664" i="1" s="1"/>
  <c r="D663" i="1"/>
  <c r="M663" i="1" s="1"/>
  <c r="D664" i="1"/>
  <c r="M664" i="1" s="1"/>
  <c r="J656" i="1"/>
  <c r="J657" i="1"/>
  <c r="G656" i="1"/>
  <c r="O656" i="1" s="1"/>
  <c r="G657" i="1"/>
  <c r="D657" i="1"/>
  <c r="D656" i="1"/>
  <c r="M656" i="1" s="1"/>
  <c r="O742" i="1" l="1"/>
  <c r="O818" i="1"/>
  <c r="O676" i="1"/>
  <c r="O697" i="1"/>
  <c r="O711" i="1"/>
  <c r="O763" i="1"/>
  <c r="M828" i="1"/>
  <c r="M657" i="1"/>
  <c r="O657" i="1"/>
  <c r="O675" i="1"/>
  <c r="O696" i="1"/>
  <c r="O710" i="1"/>
  <c r="M742" i="1"/>
  <c r="O752" i="1"/>
  <c r="M776" i="1"/>
  <c r="M818" i="1"/>
  <c r="O828" i="1"/>
  <c r="L1752" i="1"/>
  <c r="L1751" i="1"/>
  <c r="L1747" i="1"/>
  <c r="L1748" i="1"/>
  <c r="L1736" i="1"/>
  <c r="L1667" i="1"/>
  <c r="L1666" i="1"/>
  <c r="L1631" i="1"/>
  <c r="L1583" i="1"/>
  <c r="L1581" i="1"/>
  <c r="L1582" i="1"/>
  <c r="L1584" i="1"/>
  <c r="L1580" i="1"/>
  <c r="L1547" i="1"/>
  <c r="L1548" i="1"/>
  <c r="L1551" i="1"/>
  <c r="L1549" i="1"/>
  <c r="L1535" i="1"/>
  <c r="L1538" i="1"/>
  <c r="L1536" i="1"/>
  <c r="L1537" i="1"/>
  <c r="L1539" i="1"/>
  <c r="L1514" i="1"/>
  <c r="L1515" i="1"/>
  <c r="L1511" i="1"/>
  <c r="L1516" i="1"/>
  <c r="L1493" i="1"/>
  <c r="L1494" i="1"/>
  <c r="L1490" i="1"/>
  <c r="L1491" i="1"/>
  <c r="L1495" i="1"/>
  <c r="L1496" i="1"/>
  <c r="L1492" i="1"/>
  <c r="L1497" i="1"/>
  <c r="L1477" i="1"/>
  <c r="L1483" i="1"/>
  <c r="L1478" i="1"/>
  <c r="L1479" i="1"/>
  <c r="L1484" i="1"/>
  <c r="L1482" i="1"/>
  <c r="L1480" i="1"/>
  <c r="L1481" i="1"/>
  <c r="L1485" i="1"/>
  <c r="L1465" i="1"/>
  <c r="L1462" i="1"/>
  <c r="L1463" i="1"/>
  <c r="L1464" i="1"/>
  <c r="L1466" i="1"/>
  <c r="L1436" i="1"/>
  <c r="L1422" i="1"/>
  <c r="L1417" i="1"/>
  <c r="L1418" i="1"/>
  <c r="L1423" i="1"/>
  <c r="L1424" i="1"/>
  <c r="L1366" i="1"/>
  <c r="L1367" i="1"/>
  <c r="L1370" i="1"/>
  <c r="L974" i="1"/>
  <c r="L966" i="1"/>
  <c r="L964" i="1"/>
  <c r="L967" i="1"/>
  <c r="L968" i="1"/>
  <c r="L957" i="1"/>
  <c r="L958" i="1"/>
  <c r="L959" i="1"/>
  <c r="L954" i="1"/>
  <c r="L1719" i="1"/>
  <c r="L1693" i="1"/>
  <c r="L1679" i="1"/>
  <c r="L1681" i="1"/>
  <c r="L1682" i="1"/>
  <c r="L1673" i="1" l="1"/>
  <c r="L1674" i="1"/>
  <c r="L1398" i="1"/>
  <c r="L1378" i="1"/>
  <c r="L1354" i="1"/>
  <c r="L1332" i="1" l="1"/>
  <c r="L1329" i="1"/>
  <c r="L1294" i="1"/>
  <c r="L1288" i="1"/>
  <c r="L1269" i="1"/>
  <c r="L1264" i="1"/>
  <c r="L1251" i="1"/>
  <c r="L1239" i="1"/>
  <c r="L1226" i="1"/>
  <c r="L1196" i="1"/>
  <c r="L1195" i="1"/>
  <c r="L1188" i="1"/>
  <c r="L1182" i="1"/>
  <c r="L1183" i="1"/>
  <c r="L1162" i="1"/>
  <c r="L1163" i="1"/>
  <c r="L1159" i="1"/>
  <c r="L1106" i="1"/>
  <c r="L1079" i="1"/>
  <c r="L1080" i="1"/>
  <c r="L1081" i="1"/>
  <c r="L1082" i="1"/>
  <c r="L1076" i="1"/>
  <c r="L1057" i="1"/>
  <c r="L1045" i="1"/>
  <c r="L1026" i="1"/>
  <c r="L1015" i="1"/>
  <c r="L1018" i="1"/>
  <c r="L1019" i="1"/>
  <c r="L1008" i="1"/>
  <c r="L1004" i="1"/>
  <c r="L1005" i="1"/>
  <c r="L995" i="1"/>
  <c r="L987" i="1"/>
  <c r="L988" i="1"/>
  <c r="L984" i="1"/>
  <c r="L934" i="1"/>
  <c r="J930" i="1"/>
  <c r="L1410" i="1" l="1"/>
  <c r="L1411" i="1"/>
  <c r="L1408" i="1"/>
  <c r="L1412" i="1"/>
  <c r="L1390" i="1"/>
  <c r="L1388" i="1"/>
  <c r="L1391" i="1"/>
  <c r="L1353" i="1"/>
  <c r="L1360" i="1"/>
  <c r="L1334" i="1"/>
  <c r="L1328" i="1"/>
  <c r="L1335" i="1"/>
  <c r="L1315" i="1"/>
  <c r="L1319" i="1"/>
  <c r="L1320" i="1"/>
  <c r="L1278" i="1"/>
  <c r="L1281" i="1"/>
  <c r="L1282" i="1"/>
  <c r="L1283" i="1"/>
  <c r="L1267" i="1"/>
  <c r="L1268" i="1"/>
  <c r="L1260" i="1"/>
  <c r="L1261" i="1"/>
  <c r="L1262" i="1"/>
  <c r="L1263" i="1"/>
  <c r="L1271" i="1"/>
  <c r="L1270" i="1"/>
  <c r="L1230" i="1"/>
  <c r="L1223" i="1"/>
  <c r="L1216" i="1"/>
  <c r="L1212" i="1"/>
  <c r="L1217" i="1"/>
  <c r="L1200" i="1"/>
  <c r="L1201" i="1"/>
  <c r="L1202" i="1"/>
  <c r="L1203" i="1"/>
  <c r="L1197" i="1"/>
  <c r="L1198" i="1"/>
  <c r="L1184" i="1"/>
  <c r="L1175" i="1"/>
  <c r="L1171" i="1"/>
  <c r="L1176" i="1"/>
  <c r="L1153" i="1"/>
  <c r="L1154" i="1"/>
  <c r="L1150" i="1"/>
  <c r="L1133" i="1"/>
  <c r="L1134" i="1"/>
  <c r="L1130" i="1"/>
  <c r="L1100" i="1"/>
  <c r="L1095" i="1"/>
  <c r="L1096" i="1"/>
  <c r="L1098" i="1"/>
  <c r="L1028" i="1"/>
  <c r="L1029" i="1"/>
  <c r="L1030" i="1"/>
  <c r="L1025" i="1"/>
  <c r="L978" i="1"/>
  <c r="L973" i="1"/>
  <c r="L948" i="1"/>
  <c r="L945" i="1"/>
  <c r="L949" i="1"/>
  <c r="L933" i="1"/>
  <c r="L937" i="1"/>
  <c r="L938" i="1"/>
  <c r="L935" i="1"/>
  <c r="L915" i="1"/>
  <c r="L913" i="1"/>
  <c r="L834" i="1"/>
  <c r="L831" i="1"/>
  <c r="L835" i="1"/>
  <c r="L836" i="1"/>
  <c r="L837" i="1"/>
  <c r="L832" i="1"/>
  <c r="L702" i="1" l="1"/>
  <c r="L705" i="1"/>
  <c r="L700" i="1"/>
  <c r="L706" i="1"/>
  <c r="L707" i="1"/>
  <c r="L708" i="1"/>
  <c r="L1744" i="1" l="1"/>
  <c r="L1749" i="1"/>
  <c r="L1745" i="1"/>
  <c r="L1750" i="1"/>
  <c r="L1056" i="1"/>
  <c r="L1061" i="1"/>
  <c r="L1063" i="1"/>
  <c r="L1065" i="1"/>
  <c r="L1059" i="1"/>
  <c r="L1060" i="1"/>
  <c r="D1508" i="1" l="1"/>
  <c r="D1509" i="1"/>
  <c r="D1475" i="1"/>
  <c r="D1469" i="1"/>
  <c r="J1298" i="1"/>
  <c r="J1299" i="1"/>
  <c r="G1298" i="1"/>
  <c r="O1298" i="1" s="1"/>
  <c r="G1299" i="1"/>
  <c r="O1299" i="1" s="1"/>
  <c r="D1298" i="1"/>
  <c r="M1298" i="1" s="1"/>
  <c r="D1299" i="1"/>
  <c r="M1299" i="1" s="1"/>
  <c r="G1285" i="1"/>
  <c r="G1286" i="1"/>
  <c r="D1285" i="1"/>
  <c r="D1286" i="1"/>
  <c r="D1235" i="1"/>
  <c r="G1235" i="1"/>
  <c r="J1219" i="1"/>
  <c r="O1219" i="1" s="1"/>
  <c r="J1220" i="1"/>
  <c r="O1220" i="1" s="1"/>
  <c r="D1220" i="1"/>
  <c r="M1220" i="1" s="1"/>
  <c r="D1219" i="1"/>
  <c r="M1219" i="1" s="1"/>
  <c r="G1191" i="1"/>
  <c r="J1190" i="1"/>
  <c r="J1191" i="1"/>
  <c r="D1191" i="1"/>
  <c r="M1191" i="1" s="1"/>
  <c r="G1167" i="1"/>
  <c r="D1167" i="1"/>
  <c r="J1121" i="1"/>
  <c r="G1121" i="1"/>
  <c r="O1121" i="1" s="1"/>
  <c r="D1121" i="1"/>
  <c r="J1068" i="1"/>
  <c r="G1068" i="1"/>
  <c r="O1068" i="1" s="1"/>
  <c r="D1068" i="1"/>
  <c r="M1068" i="1" s="1"/>
  <c r="J1055" i="1"/>
  <c r="G1054" i="1"/>
  <c r="O1054" i="1" s="1"/>
  <c r="G1055" i="1"/>
  <c r="O1055" i="1" s="1"/>
  <c r="D1043" i="1"/>
  <c r="J1033" i="1"/>
  <c r="J1034" i="1"/>
  <c r="G1033" i="1"/>
  <c r="O1033" i="1" s="1"/>
  <c r="G1034" i="1"/>
  <c r="O1034" i="1" s="1"/>
  <c r="D1033" i="1"/>
  <c r="M1033" i="1" s="1"/>
  <c r="D1034" i="1"/>
  <c r="M1034" i="1" s="1"/>
  <c r="J1022" i="1"/>
  <c r="J1023" i="1"/>
  <c r="G1022" i="1"/>
  <c r="G1023" i="1"/>
  <c r="D1022" i="1"/>
  <c r="M1022" i="1" s="1"/>
  <c r="D1023" i="1"/>
  <c r="M1023" i="1" s="1"/>
  <c r="G1013" i="1"/>
  <c r="D1013" i="1"/>
  <c r="J981" i="1"/>
  <c r="J982" i="1"/>
  <c r="G981" i="1"/>
  <c r="G982" i="1"/>
  <c r="O982" i="1" s="1"/>
  <c r="D981" i="1"/>
  <c r="M981" i="1" s="1"/>
  <c r="D982" i="1"/>
  <c r="M982" i="1" s="1"/>
  <c r="D970" i="1"/>
  <c r="M970" i="1" s="1"/>
  <c r="G970" i="1"/>
  <c r="O970" i="1" s="1"/>
  <c r="G971" i="1"/>
  <c r="D971" i="1"/>
  <c r="J942" i="1"/>
  <c r="G942" i="1"/>
  <c r="O942" i="1" s="1"/>
  <c r="D942" i="1"/>
  <c r="M942" i="1" s="1"/>
  <c r="G930" i="1"/>
  <c r="O930" i="1" s="1"/>
  <c r="D930" i="1"/>
  <c r="M930" i="1" s="1"/>
  <c r="J918" i="1"/>
  <c r="G918" i="1"/>
  <c r="D918" i="1"/>
  <c r="G602" i="1"/>
  <c r="O602" i="1" s="1"/>
  <c r="G603" i="1"/>
  <c r="O603" i="1" s="1"/>
  <c r="J229" i="1"/>
  <c r="J230" i="1"/>
  <c r="G229" i="1"/>
  <c r="G230" i="1"/>
  <c r="O230" i="1" s="1"/>
  <c r="D229" i="1"/>
  <c r="M229" i="1" s="1"/>
  <c r="D230" i="1"/>
  <c r="M230" i="1" s="1"/>
  <c r="K165" i="1"/>
  <c r="K166" i="1"/>
  <c r="J165" i="1"/>
  <c r="J166" i="1"/>
  <c r="H165" i="1"/>
  <c r="H166" i="1"/>
  <c r="G165" i="1"/>
  <c r="O165" i="1" s="1"/>
  <c r="G166" i="1"/>
  <c r="O166" i="1" s="1"/>
  <c r="E166" i="1"/>
  <c r="D165" i="1"/>
  <c r="M165" i="1" s="1"/>
  <c r="D166" i="1"/>
  <c r="M166" i="1" s="1"/>
  <c r="J2217" i="1"/>
  <c r="J2218" i="1"/>
  <c r="J2207" i="1"/>
  <c r="J2208" i="1"/>
  <c r="J2200" i="1"/>
  <c r="J2201" i="1"/>
  <c r="J2196" i="1"/>
  <c r="J2186" i="1"/>
  <c r="J2187" i="1"/>
  <c r="J2181" i="1"/>
  <c r="J2182" i="1"/>
  <c r="J2174" i="1"/>
  <c r="J2175" i="1"/>
  <c r="J2168" i="1"/>
  <c r="J2159" i="1"/>
  <c r="J2160" i="1"/>
  <c r="J2154" i="1"/>
  <c r="J2155" i="1"/>
  <c r="J2146" i="1"/>
  <c r="J2147" i="1"/>
  <c r="J2138" i="1"/>
  <c r="J2139" i="1"/>
  <c r="J2131" i="1"/>
  <c r="J2132" i="1"/>
  <c r="J2123" i="1"/>
  <c r="J2124" i="1"/>
  <c r="J2117" i="1"/>
  <c r="J2118" i="1"/>
  <c r="J2110" i="1"/>
  <c r="J2111" i="1"/>
  <c r="J2104" i="1"/>
  <c r="J2105" i="1"/>
  <c r="J2057" i="1"/>
  <c r="J2058" i="1"/>
  <c r="J2049" i="1"/>
  <c r="J2050" i="1"/>
  <c r="J2012" i="1"/>
  <c r="J1985" i="1"/>
  <c r="J1986" i="1"/>
  <c r="J1948" i="1"/>
  <c r="J1958" i="1"/>
  <c r="J1959" i="1"/>
  <c r="J1933" i="1"/>
  <c r="J1934" i="1"/>
  <c r="J1917" i="1"/>
  <c r="J1918" i="1"/>
  <c r="J1869" i="1"/>
  <c r="J1861" i="1"/>
  <c r="J1855" i="1"/>
  <c r="J1830" i="1"/>
  <c r="J1810" i="1"/>
  <c r="J1811" i="1"/>
  <c r="J1805" i="1"/>
  <c r="J1787" i="1"/>
  <c r="J1788" i="1"/>
  <c r="J1777" i="1"/>
  <c r="J1771" i="1"/>
  <c r="J1764" i="1"/>
  <c r="J1765" i="1"/>
  <c r="J1756" i="1"/>
  <c r="J1757" i="1"/>
  <c r="J1742" i="1"/>
  <c r="J1732" i="1"/>
  <c r="J1733" i="1"/>
  <c r="J1724" i="1"/>
  <c r="J1725" i="1"/>
  <c r="J1716" i="1"/>
  <c r="J1717" i="1"/>
  <c r="J1708" i="1"/>
  <c r="J1700" i="1"/>
  <c r="J1701" i="1"/>
  <c r="J1690" i="1"/>
  <c r="J1691" i="1"/>
  <c r="J1684" i="1"/>
  <c r="J1685" i="1"/>
  <c r="J1677" i="1"/>
  <c r="J1670" i="1"/>
  <c r="J1671" i="1"/>
  <c r="J1662" i="1"/>
  <c r="J1663" i="1"/>
  <c r="J1654" i="1"/>
  <c r="J1655" i="1"/>
  <c r="J1649" i="1"/>
  <c r="J1648" i="1"/>
  <c r="J1643" i="1"/>
  <c r="J1644" i="1"/>
  <c r="J1636" i="1"/>
  <c r="J1637" i="1"/>
  <c r="J1627" i="1"/>
  <c r="J1628" i="1"/>
  <c r="J1619" i="1"/>
  <c r="J1608" i="1"/>
  <c r="J1600" i="1"/>
  <c r="J1594" i="1"/>
  <c r="J1586" i="1"/>
  <c r="J1579" i="1"/>
  <c r="J1572" i="1"/>
  <c r="J1564" i="1"/>
  <c r="J1554" i="1"/>
  <c r="J1553" i="1"/>
  <c r="J1543" i="1"/>
  <c r="J1542" i="1"/>
  <c r="J1531" i="1"/>
  <c r="J1530" i="1"/>
  <c r="J1519" i="1"/>
  <c r="J1520" i="1"/>
  <c r="J1508" i="1"/>
  <c r="J1509" i="1"/>
  <c r="J1499" i="1"/>
  <c r="J1500" i="1"/>
  <c r="J1487" i="1"/>
  <c r="J1488" i="1"/>
  <c r="J1475" i="1"/>
  <c r="J1474" i="1"/>
  <c r="M918" i="1" l="1"/>
  <c r="O1235" i="1"/>
  <c r="O918" i="1"/>
  <c r="M1475" i="1"/>
  <c r="M1013" i="1"/>
  <c r="O1023" i="1"/>
  <c r="M1509" i="1"/>
  <c r="O229" i="1"/>
  <c r="O981" i="1"/>
  <c r="O1022" i="1"/>
  <c r="M1121" i="1"/>
  <c r="O1191" i="1"/>
  <c r="M1285" i="1"/>
  <c r="M1508" i="1"/>
  <c r="J1468" i="1"/>
  <c r="J1469" i="1"/>
  <c r="M1469" i="1" s="1"/>
  <c r="J1459" i="1"/>
  <c r="J1460" i="1"/>
  <c r="J1449" i="1"/>
  <c r="J1450" i="1"/>
  <c r="J1442" i="1"/>
  <c r="J1427" i="1"/>
  <c r="J1428" i="1"/>
  <c r="G1427" i="1"/>
  <c r="O1427" i="1" s="1"/>
  <c r="G1428" i="1"/>
  <c r="O1428" i="1" s="1"/>
  <c r="D1427" i="1"/>
  <c r="M1427" i="1" s="1"/>
  <c r="D1428" i="1"/>
  <c r="M1428" i="1" s="1"/>
  <c r="J1414" i="1"/>
  <c r="J1415" i="1"/>
  <c r="J1405" i="1"/>
  <c r="J1406" i="1"/>
  <c r="J1393" i="1"/>
  <c r="J1394" i="1"/>
  <c r="J1385" i="1"/>
  <c r="J1386" i="1"/>
  <c r="J1373" i="1"/>
  <c r="J1363" i="1"/>
  <c r="J1364" i="1"/>
  <c r="J1347" i="1"/>
  <c r="J1348" i="1"/>
  <c r="J1337" i="1"/>
  <c r="J1338" i="1"/>
  <c r="J1323" i="1"/>
  <c r="J1324" i="1"/>
  <c r="J1310" i="1"/>
  <c r="J1311" i="1"/>
  <c r="J1285" i="1"/>
  <c r="O1285" i="1" s="1"/>
  <c r="J1286" i="1"/>
  <c r="O1286" i="1" s="1"/>
  <c r="J1274" i="1"/>
  <c r="J1275" i="1"/>
  <c r="J1257" i="1"/>
  <c r="J1246" i="1"/>
  <c r="J1247" i="1"/>
  <c r="G1246" i="1"/>
  <c r="O1246" i="1" s="1"/>
  <c r="D1246" i="1"/>
  <c r="M1246" i="1" s="1"/>
  <c r="G1247" i="1"/>
  <c r="D1247" i="1"/>
  <c r="M1247" i="1" s="1"/>
  <c r="J1234" i="1"/>
  <c r="J1235" i="1"/>
  <c r="M1235" i="1" s="1"/>
  <c r="J1207" i="1"/>
  <c r="J1208" i="1"/>
  <c r="G1207" i="1"/>
  <c r="O1207" i="1" s="1"/>
  <c r="G1208" i="1"/>
  <c r="D1207" i="1"/>
  <c r="M1207" i="1" s="1"/>
  <c r="D1208" i="1"/>
  <c r="M1208" i="1" s="1"/>
  <c r="J1178" i="1"/>
  <c r="J1179" i="1"/>
  <c r="G1178" i="1"/>
  <c r="O1178" i="1" s="1"/>
  <c r="G1179" i="1"/>
  <c r="O1179" i="1" s="1"/>
  <c r="D1178" i="1"/>
  <c r="M1178" i="1" s="1"/>
  <c r="D1179" i="1"/>
  <c r="M1179" i="1" s="1"/>
  <c r="J1166" i="1"/>
  <c r="J1167" i="1"/>
  <c r="M1167" i="1" s="1"/>
  <c r="J1156" i="1"/>
  <c r="J1157" i="1"/>
  <c r="J1146" i="1"/>
  <c r="G1145" i="1"/>
  <c r="O1145" i="1" s="1"/>
  <c r="G1146" i="1"/>
  <c r="O1146" i="1" s="1"/>
  <c r="D1145" i="1"/>
  <c r="M1145" i="1" s="1"/>
  <c r="D1146" i="1"/>
  <c r="M1146" i="1" s="1"/>
  <c r="J1137" i="1"/>
  <c r="J1127" i="1"/>
  <c r="J1128" i="1"/>
  <c r="J1120" i="1"/>
  <c r="J1114" i="1"/>
  <c r="J1103" i="1"/>
  <c r="J1104" i="1"/>
  <c r="J1085" i="1"/>
  <c r="J1074" i="1"/>
  <c r="J1073" i="1"/>
  <c r="J1067" i="1"/>
  <c r="J1042" i="1"/>
  <c r="J1043" i="1"/>
  <c r="O1043" i="1" s="1"/>
  <c r="J1013" i="1"/>
  <c r="O1013" i="1" s="1"/>
  <c r="J1002" i="1"/>
  <c r="J1012" i="1"/>
  <c r="J1001" i="1"/>
  <c r="O1247" i="1" l="1"/>
  <c r="M1286" i="1"/>
  <c r="M1043" i="1"/>
  <c r="O1208" i="1"/>
  <c r="O1167" i="1"/>
  <c r="J991" i="1"/>
  <c r="J992" i="1"/>
  <c r="J971" i="1"/>
  <c r="J961" i="1"/>
  <c r="J962" i="1"/>
  <c r="J951" i="1"/>
  <c r="J952" i="1"/>
  <c r="J941" i="1"/>
  <c r="J929" i="1"/>
  <c r="J917" i="1"/>
  <c r="J909" i="1"/>
  <c r="J910" i="1"/>
  <c r="J898" i="1"/>
  <c r="J897" i="1"/>
  <c r="J873" i="1"/>
  <c r="J874" i="1"/>
  <c r="J862" i="1"/>
  <c r="J863" i="1"/>
  <c r="J851" i="1"/>
  <c r="J839" i="1"/>
  <c r="J840" i="1"/>
  <c r="J827" i="1"/>
  <c r="J817" i="1"/>
  <c r="J787" i="1"/>
  <c r="J788" i="1"/>
  <c r="J751" i="1"/>
  <c r="J741" i="1"/>
  <c r="J731" i="1"/>
  <c r="O731" i="1" s="1"/>
  <c r="J595" i="1"/>
  <c r="J596" i="1"/>
  <c r="J589" i="1"/>
  <c r="J590" i="1"/>
  <c r="J581" i="1"/>
  <c r="J582" i="1"/>
  <c r="J576" i="1"/>
  <c r="J575" i="1"/>
  <c r="J569" i="1"/>
  <c r="J570" i="1"/>
  <c r="J562" i="1"/>
  <c r="M562" i="1" s="1"/>
  <c r="J556" i="1"/>
  <c r="J550" i="1"/>
  <c r="J543" i="1"/>
  <c r="J529" i="1"/>
  <c r="M529" i="1" s="1"/>
  <c r="J530" i="1"/>
  <c r="J525" i="1"/>
  <c r="J524" i="1"/>
  <c r="J517" i="1"/>
  <c r="J518" i="1"/>
  <c r="J511" i="1"/>
  <c r="J512" i="1"/>
  <c r="J506" i="1"/>
  <c r="J507" i="1"/>
  <c r="J502" i="1"/>
  <c r="J503" i="1"/>
  <c r="J496" i="1"/>
  <c r="J497" i="1"/>
  <c r="J491" i="1"/>
  <c r="J492" i="1"/>
  <c r="J485" i="1"/>
  <c r="J486" i="1"/>
  <c r="J478" i="1"/>
  <c r="J479" i="1"/>
  <c r="J473" i="1"/>
  <c r="J474" i="1"/>
  <c r="J467" i="1"/>
  <c r="J468" i="1"/>
  <c r="M971" i="1" l="1"/>
  <c r="O971" i="1"/>
  <c r="K461" i="1"/>
  <c r="K460" i="1"/>
  <c r="J453" i="1"/>
  <c r="J454" i="1"/>
  <c r="J441" i="1"/>
  <c r="J442" i="1"/>
  <c r="J428" i="1"/>
  <c r="J429" i="1"/>
  <c r="J418" i="1"/>
  <c r="J419" i="1"/>
  <c r="J409" i="1"/>
  <c r="J410" i="1"/>
  <c r="J365" i="1"/>
  <c r="J366" i="1"/>
  <c r="J360" i="1"/>
  <c r="J361" i="1"/>
  <c r="J308" i="1"/>
  <c r="J303" i="1"/>
  <c r="J304" i="1"/>
  <c r="J269" i="1"/>
  <c r="J270" i="1"/>
  <c r="J259" i="1"/>
  <c r="J260" i="1"/>
  <c r="J250" i="1"/>
  <c r="J251" i="1"/>
  <c r="J216" i="1"/>
  <c r="J217" i="1"/>
  <c r="J209" i="1"/>
  <c r="J210" i="1"/>
  <c r="J201" i="1"/>
  <c r="J202" i="1"/>
  <c r="J193" i="1"/>
  <c r="J194" i="1"/>
  <c r="J143" i="1"/>
  <c r="J144" i="1"/>
  <c r="J135" i="1"/>
  <c r="J118" i="1"/>
  <c r="J119" i="1"/>
  <c r="J111" i="1"/>
  <c r="J112" i="1"/>
  <c r="J106" i="1"/>
  <c r="J107" i="1"/>
  <c r="J88" i="1"/>
  <c r="J89" i="1"/>
  <c r="J82" i="1"/>
  <c r="J83" i="1"/>
  <c r="J70" i="1"/>
  <c r="J71" i="1"/>
  <c r="J50" i="1"/>
  <c r="J51" i="1"/>
  <c r="K42" i="1"/>
  <c r="J41" i="1"/>
  <c r="J42" i="1"/>
  <c r="G31" i="1"/>
  <c r="O31" i="1" s="1"/>
  <c r="G25" i="1"/>
  <c r="G26" i="1"/>
  <c r="O26" i="1" s="1"/>
  <c r="H26" i="1"/>
  <c r="G21" i="1"/>
  <c r="O21" i="1" s="1"/>
  <c r="J26" i="1"/>
  <c r="J21" i="1"/>
  <c r="J20" i="1"/>
  <c r="K20" i="1"/>
  <c r="K21" i="1"/>
  <c r="G20" i="1"/>
  <c r="J13" i="1"/>
  <c r="J14" i="1"/>
  <c r="O20" i="1" l="1"/>
  <c r="L21" i="1"/>
  <c r="L20" i="1"/>
  <c r="H2012" i="1"/>
  <c r="H2013" i="1"/>
  <c r="P2245" i="1" l="1"/>
  <c r="P2247" i="1"/>
  <c r="P2248" i="1"/>
  <c r="P2249" i="1"/>
  <c r="P2250" i="1"/>
  <c r="P2251" i="1"/>
  <c r="P2252" i="1"/>
  <c r="P2253" i="1"/>
  <c r="O2254" i="1"/>
  <c r="P2254" i="1"/>
  <c r="O2255" i="1"/>
  <c r="O2256" i="1"/>
  <c r="P2256" i="1"/>
  <c r="J2287" i="1"/>
  <c r="H2027" i="1"/>
  <c r="I349" i="1" l="1"/>
  <c r="P349" i="1" s="1"/>
  <c r="I350" i="1"/>
  <c r="P350" i="1" s="1"/>
  <c r="I370" i="1"/>
  <c r="I263" i="1"/>
  <c r="I264" i="1"/>
  <c r="I265" i="1"/>
  <c r="I266" i="1"/>
  <c r="I226" i="1"/>
  <c r="F2242" i="1" l="1"/>
  <c r="N2242" i="1" s="1"/>
  <c r="P2236" i="1" l="1"/>
  <c r="H309" i="1"/>
  <c r="H318" i="1"/>
  <c r="H332" i="1"/>
  <c r="H361" i="1"/>
  <c r="H366" i="1"/>
  <c r="H373" i="1"/>
  <c r="H410" i="1"/>
  <c r="H429" i="1"/>
  <c r="H442" i="1"/>
  <c r="H454" i="1"/>
  <c r="K2235" i="1" l="1"/>
  <c r="E2235" i="1"/>
  <c r="F2235" i="1" s="1"/>
  <c r="F2259" i="1" l="1"/>
  <c r="H177" i="1"/>
  <c r="G1074" i="1"/>
  <c r="O1074" i="1" s="1"/>
  <c r="G1085" i="1"/>
  <c r="O1085" i="1" s="1"/>
  <c r="G1093" i="1"/>
  <c r="O1093" i="1" s="1"/>
  <c r="G1104" i="1"/>
  <c r="O1104" i="1" s="1"/>
  <c r="G1114" i="1"/>
  <c r="O1114" i="1" s="1"/>
  <c r="G1128" i="1"/>
  <c r="O1128" i="1" s="1"/>
  <c r="G1137" i="1"/>
  <c r="O1137" i="1" s="1"/>
  <c r="G1157" i="1"/>
  <c r="O1157" i="1" s="1"/>
  <c r="K13" i="1"/>
  <c r="K14" i="1"/>
  <c r="H14" i="1"/>
  <c r="H13" i="1"/>
  <c r="L14" i="1" l="1"/>
  <c r="L13" i="1"/>
  <c r="H287" i="1"/>
  <c r="G286" i="1"/>
  <c r="O286" i="1" s="1"/>
  <c r="G372" i="1"/>
  <c r="O372" i="1" s="1"/>
  <c r="G373" i="1"/>
  <c r="O373" i="1" s="1"/>
  <c r="F405" i="1"/>
  <c r="N405" i="1" s="1"/>
  <c r="F395" i="1"/>
  <c r="N395" i="1" s="1"/>
  <c r="F397" i="1"/>
  <c r="F398" i="1"/>
  <c r="F406" i="1"/>
  <c r="N406" i="1" s="1"/>
  <c r="E372" i="1"/>
  <c r="E373" i="1"/>
  <c r="H51" i="1" l="1"/>
  <c r="H1959" i="1"/>
  <c r="H1995" i="1"/>
  <c r="I280" i="1" l="1"/>
  <c r="H144" i="1"/>
  <c r="I151" i="1"/>
  <c r="P280" i="1" l="1"/>
  <c r="P151" i="1"/>
  <c r="H2058" i="1"/>
  <c r="H2057" i="1"/>
  <c r="G1933" i="1"/>
  <c r="O1933" i="1" s="1"/>
  <c r="H365" i="1"/>
  <c r="I348" i="1"/>
  <c r="P348" i="1" s="1"/>
  <c r="H119" i="1"/>
  <c r="H217" i="1"/>
  <c r="H441" i="1"/>
  <c r="H2080" i="1"/>
  <c r="J2290" i="1" l="1"/>
  <c r="L2289" i="1"/>
  <c r="J2289" i="1"/>
  <c r="J2288" i="1"/>
  <c r="G576" i="1" l="1"/>
  <c r="O576" i="1" s="1"/>
  <c r="G1275" i="1"/>
  <c r="O1275" i="1" s="1"/>
  <c r="G1311" i="1"/>
  <c r="O1311" i="1" s="1"/>
  <c r="G1324" i="1"/>
  <c r="O1324" i="1" s="1"/>
  <c r="G1338" i="1"/>
  <c r="O1338" i="1" s="1"/>
  <c r="G1348" i="1"/>
  <c r="O1348" i="1" s="1"/>
  <c r="G1364" i="1"/>
  <c r="O1364" i="1" s="1"/>
  <c r="G1373" i="1"/>
  <c r="O1373" i="1" s="1"/>
  <c r="G1386" i="1"/>
  <c r="O1386" i="1" s="1"/>
  <c r="G1394" i="1"/>
  <c r="O1394" i="1" s="1"/>
  <c r="G1406" i="1"/>
  <c r="O1406" i="1" s="1"/>
  <c r="G1415" i="1"/>
  <c r="O1415" i="1" s="1"/>
  <c r="G1442" i="1"/>
  <c r="O1442" i="1" s="1"/>
  <c r="G1450" i="1"/>
  <c r="O1450" i="1" s="1"/>
  <c r="G1460" i="1"/>
  <c r="O1460" i="1" s="1"/>
  <c r="G1469" i="1"/>
  <c r="O1469" i="1" s="1"/>
  <c r="G1475" i="1"/>
  <c r="O1475" i="1" s="1"/>
  <c r="G1488" i="1"/>
  <c r="O1488" i="1" s="1"/>
  <c r="G1500" i="1"/>
  <c r="O1500" i="1" s="1"/>
  <c r="G1509" i="1"/>
  <c r="O1509" i="1" s="1"/>
  <c r="G1520" i="1"/>
  <c r="O1520" i="1" s="1"/>
  <c r="G1531" i="1"/>
  <c r="O1531" i="1" s="1"/>
  <c r="G1543" i="1"/>
  <c r="O1543" i="1" s="1"/>
  <c r="G1554" i="1"/>
  <c r="O1554" i="1" s="1"/>
  <c r="G1564" i="1"/>
  <c r="O1564" i="1" s="1"/>
  <c r="G1572" i="1"/>
  <c r="O1572" i="1" s="1"/>
  <c r="G1579" i="1"/>
  <c r="O1579" i="1" s="1"/>
  <c r="G1586" i="1"/>
  <c r="O1586" i="1" s="1"/>
  <c r="G1594" i="1"/>
  <c r="O1594" i="1" s="1"/>
  <c r="G1600" i="1"/>
  <c r="O1600" i="1" s="1"/>
  <c r="G1608" i="1"/>
  <c r="O1608" i="1" s="1"/>
  <c r="G1619" i="1"/>
  <c r="O1619" i="1" s="1"/>
  <c r="G1628" i="1"/>
  <c r="O1628" i="1" s="1"/>
  <c r="G1637" i="1"/>
  <c r="O1637" i="1" s="1"/>
  <c r="G1644" i="1"/>
  <c r="O1644" i="1" s="1"/>
  <c r="K1648" i="1"/>
  <c r="L1649" i="1"/>
  <c r="G1649" i="1"/>
  <c r="O1649" i="1" s="1"/>
  <c r="G1655" i="1"/>
  <c r="O1655" i="1" s="1"/>
  <c r="K1654" i="1"/>
  <c r="K1655" i="1"/>
  <c r="G1654" i="1"/>
  <c r="O1654" i="1" s="1"/>
  <c r="G1663" i="1"/>
  <c r="O1663" i="1" s="1"/>
  <c r="G1671" i="1"/>
  <c r="O1671" i="1" s="1"/>
  <c r="G1677" i="1"/>
  <c r="O1677" i="1" s="1"/>
  <c r="G1685" i="1"/>
  <c r="O1685" i="1" s="1"/>
  <c r="G1691" i="1"/>
  <c r="O1691" i="1" s="1"/>
  <c r="G1701" i="1"/>
  <c r="O1701" i="1" s="1"/>
  <c r="G1708" i="1"/>
  <c r="O1708" i="1" s="1"/>
  <c r="G1717" i="1"/>
  <c r="O1717" i="1" s="1"/>
  <c r="G1725" i="1"/>
  <c r="O1725" i="1" s="1"/>
  <c r="G1733" i="1"/>
  <c r="O1733" i="1" s="1"/>
  <c r="G1743" i="1"/>
  <c r="O1743" i="1" s="1"/>
  <c r="G1757" i="1"/>
  <c r="O1757" i="1" s="1"/>
  <c r="G1765" i="1"/>
  <c r="O1765" i="1" s="1"/>
  <c r="G1771" i="1"/>
  <c r="O1771" i="1" s="1"/>
  <c r="G1777" i="1"/>
  <c r="O1777" i="1" s="1"/>
  <c r="G1788" i="1"/>
  <c r="O1788" i="1" s="1"/>
  <c r="G1805" i="1"/>
  <c r="O1805" i="1" s="1"/>
  <c r="G1811" i="1"/>
  <c r="O1811" i="1" s="1"/>
  <c r="J1829" i="1"/>
  <c r="K1829" i="1"/>
  <c r="L1830" i="1"/>
  <c r="G1830" i="1"/>
  <c r="O1830" i="1" s="1"/>
  <c r="G1855" i="1"/>
  <c r="O1855" i="1" s="1"/>
  <c r="G1861" i="1"/>
  <c r="O1861" i="1" s="1"/>
  <c r="G1869" i="1"/>
  <c r="O1869" i="1" s="1"/>
  <c r="G1876" i="1"/>
  <c r="O1876" i="1" s="1"/>
  <c r="G1881" i="1"/>
  <c r="G1886" i="1"/>
  <c r="G1892" i="1"/>
  <c r="G1898" i="1"/>
  <c r="G1903" i="1"/>
  <c r="O1903" i="1" s="1"/>
  <c r="G1910" i="1"/>
  <c r="G1918" i="1"/>
  <c r="O1918" i="1" s="1"/>
  <c r="G1934" i="1"/>
  <c r="O1934" i="1" s="1"/>
  <c r="G1949" i="1"/>
  <c r="O1949" i="1" s="1"/>
  <c r="G1959" i="1"/>
  <c r="O1959" i="1" s="1"/>
  <c r="G1986" i="1"/>
  <c r="O1986" i="1" s="1"/>
  <c r="G2013" i="1"/>
  <c r="O2013" i="1" s="1"/>
  <c r="G2027" i="1"/>
  <c r="O2027" i="1" s="1"/>
  <c r="G2050" i="1"/>
  <c r="O2050" i="1" s="1"/>
  <c r="G2058" i="1"/>
  <c r="O2058" i="1" s="1"/>
  <c r="G2072" i="1"/>
  <c r="O2072" i="1" s="1"/>
  <c r="G118" i="1"/>
  <c r="O118" i="1" s="1"/>
  <c r="G119" i="1"/>
  <c r="O119" i="1" s="1"/>
  <c r="J2223" i="1"/>
  <c r="K2223" i="1"/>
  <c r="J2224" i="1"/>
  <c r="K2224" i="1"/>
  <c r="K2217" i="1"/>
  <c r="L2218" i="1"/>
  <c r="G2218" i="1"/>
  <c r="O2218" i="1" s="1"/>
  <c r="K2207" i="1"/>
  <c r="K2208" i="1"/>
  <c r="G2208" i="1"/>
  <c r="O2208" i="1" s="1"/>
  <c r="K2200" i="1"/>
  <c r="L2201" i="1"/>
  <c r="G2201" i="1"/>
  <c r="O2201" i="1" s="1"/>
  <c r="G2196" i="1"/>
  <c r="O2196" i="1" s="1"/>
  <c r="J2195" i="1"/>
  <c r="K2195" i="1"/>
  <c r="L2196" i="1"/>
  <c r="G2187" i="1"/>
  <c r="O2187" i="1" s="1"/>
  <c r="K2186" i="1"/>
  <c r="L2187" i="1"/>
  <c r="G2182" i="1"/>
  <c r="O2182" i="1" s="1"/>
  <c r="K2181" i="1"/>
  <c r="K2182" i="1"/>
  <c r="G2175" i="1"/>
  <c r="O2175" i="1" s="1"/>
  <c r="K2174" i="1"/>
  <c r="K2175" i="1"/>
  <c r="G2168" i="1"/>
  <c r="O2168" i="1" s="1"/>
  <c r="K2167" i="1"/>
  <c r="K2168" i="1"/>
  <c r="K2159" i="1"/>
  <c r="K2160" i="1"/>
  <c r="G2160" i="1"/>
  <c r="O2160" i="1" s="1"/>
  <c r="G2155" i="1"/>
  <c r="O2155" i="1" s="1"/>
  <c r="K2154" i="1"/>
  <c r="K2155" i="1"/>
  <c r="K2146" i="1"/>
  <c r="K2147" i="1"/>
  <c r="K2138" i="1"/>
  <c r="K2139" i="1"/>
  <c r="K2131" i="1"/>
  <c r="L2132" i="1"/>
  <c r="K2123" i="1"/>
  <c r="K2124" i="1"/>
  <c r="K2117" i="1"/>
  <c r="K2118" i="1"/>
  <c r="K2110" i="1"/>
  <c r="K2111" i="1"/>
  <c r="K2104" i="1"/>
  <c r="K2105" i="1"/>
  <c r="K2079" i="1"/>
  <c r="G2080" i="1"/>
  <c r="O2080" i="1" s="1"/>
  <c r="G2079" i="1"/>
  <c r="O2079" i="1" s="1"/>
  <c r="G2105" i="1"/>
  <c r="O2105" i="1" s="1"/>
  <c r="G2111" i="1"/>
  <c r="O2111" i="1" s="1"/>
  <c r="G2118" i="1"/>
  <c r="O2118" i="1" s="1"/>
  <c r="G2124" i="1"/>
  <c r="O2124" i="1" s="1"/>
  <c r="G2132" i="1"/>
  <c r="O2132" i="1" s="1"/>
  <c r="G2139" i="1"/>
  <c r="O2139" i="1" s="1"/>
  <c r="G2147" i="1"/>
  <c r="O2147" i="1" s="1"/>
  <c r="G873" i="1"/>
  <c r="O873" i="1" s="1"/>
  <c r="G874" i="1"/>
  <c r="O874" i="1" s="1"/>
  <c r="I880" i="1"/>
  <c r="G2186" i="1"/>
  <c r="O2186" i="1" s="1"/>
  <c r="G2159" i="1"/>
  <c r="O2159" i="1" s="1"/>
  <c r="G2138" i="1"/>
  <c r="O2138" i="1" s="1"/>
  <c r="G2131" i="1"/>
  <c r="O2131" i="1" s="1"/>
  <c r="L2159" i="1" l="1"/>
  <c r="L2080" i="1"/>
  <c r="L2117" i="1"/>
  <c r="L2208" i="1"/>
  <c r="L2224" i="1"/>
  <c r="L2118" i="1"/>
  <c r="L2124" i="1"/>
  <c r="L2139" i="1"/>
  <c r="L2147" i="1"/>
  <c r="L2146" i="1"/>
  <c r="L2154" i="1"/>
  <c r="L2168" i="1"/>
  <c r="L2175" i="1"/>
  <c r="L2110" i="1"/>
  <c r="L2167" i="1"/>
  <c r="L2186" i="1"/>
  <c r="L1648" i="1"/>
  <c r="L2160" i="1"/>
  <c r="L2182" i="1"/>
  <c r="L1655" i="1"/>
  <c r="L2105" i="1"/>
  <c r="L2111" i="1"/>
  <c r="L2123" i="1"/>
  <c r="L2104" i="1"/>
  <c r="L2138" i="1"/>
  <c r="L2217" i="1"/>
  <c r="L2223" i="1"/>
  <c r="L1829" i="1"/>
  <c r="L1654" i="1"/>
  <c r="L2181" i="1"/>
  <c r="L2200" i="1"/>
  <c r="L2079" i="1"/>
  <c r="L2131" i="1"/>
  <c r="L2155" i="1"/>
  <c r="L2174" i="1"/>
  <c r="L2195" i="1"/>
  <c r="L2207" i="1"/>
  <c r="I2096" i="1"/>
  <c r="P2096" i="1" s="1"/>
  <c r="E2079" i="1"/>
  <c r="E2080" i="1"/>
  <c r="I2008" i="1"/>
  <c r="I2003" i="1"/>
  <c r="I1928" i="1"/>
  <c r="G1917" i="1"/>
  <c r="O1917" i="1" s="1"/>
  <c r="P2008" i="1" l="1"/>
  <c r="P1928" i="1"/>
  <c r="I684" i="1"/>
  <c r="I2220" i="1"/>
  <c r="I2221" i="1"/>
  <c r="I2210" i="1"/>
  <c r="I2211" i="1"/>
  <c r="I2204" i="1"/>
  <c r="I2205" i="1"/>
  <c r="I2189" i="1"/>
  <c r="I2190" i="1"/>
  <c r="I2192" i="1"/>
  <c r="I2191" i="1"/>
  <c r="I2193" i="1"/>
  <c r="I2178" i="1"/>
  <c r="I2179" i="1"/>
  <c r="I2171" i="1"/>
  <c r="I2172" i="1"/>
  <c r="I2165" i="1"/>
  <c r="I2163" i="1"/>
  <c r="I2162" i="1"/>
  <c r="I2164" i="1"/>
  <c r="I2149" i="1"/>
  <c r="I2150" i="1"/>
  <c r="I2151" i="1"/>
  <c r="I2152" i="1"/>
  <c r="I2141" i="1"/>
  <c r="I2142" i="1"/>
  <c r="I2134" i="1"/>
  <c r="I2135" i="1"/>
  <c r="I2136" i="1"/>
  <c r="I2127" i="1"/>
  <c r="I2120" i="1"/>
  <c r="I2114" i="1"/>
  <c r="I2090" i="1"/>
  <c r="I2091" i="1"/>
  <c r="I2092" i="1"/>
  <c r="I2093" i="1"/>
  <c r="I2094" i="1"/>
  <c r="I2067" i="1"/>
  <c r="I2043" i="1"/>
  <c r="I2044" i="1"/>
  <c r="I2037" i="1"/>
  <c r="I2042" i="1"/>
  <c r="I2038" i="1"/>
  <c r="I2045" i="1"/>
  <c r="I2039" i="1"/>
  <c r="I2019" i="1"/>
  <c r="I2022" i="1"/>
  <c r="I2023" i="1"/>
  <c r="I2020" i="1"/>
  <c r="I2024" i="1"/>
  <c r="I1969" i="1"/>
  <c r="I1970" i="1"/>
  <c r="I1971" i="1"/>
  <c r="I1972" i="1"/>
  <c r="I1973" i="1"/>
  <c r="I1974" i="1"/>
  <c r="I1980" i="1"/>
  <c r="I1975" i="1"/>
  <c r="I1976" i="1"/>
  <c r="I1977" i="1"/>
  <c r="I1978" i="1"/>
  <c r="I1979" i="1"/>
  <c r="I1953" i="1"/>
  <c r="I1955" i="1"/>
  <c r="I1954" i="1"/>
  <c r="I1940" i="1"/>
  <c r="I1941" i="1"/>
  <c r="I1943" i="1"/>
  <c r="I1925" i="1"/>
  <c r="I1926" i="1"/>
  <c r="I1927" i="1"/>
  <c r="I1929" i="1"/>
  <c r="I1930" i="1"/>
  <c r="I1900" i="1"/>
  <c r="I1730" i="1"/>
  <c r="I1710" i="1"/>
  <c r="I1651" i="1"/>
  <c r="I1634" i="1"/>
  <c r="I1641" i="1"/>
  <c r="I1631" i="1"/>
  <c r="I1534" i="1"/>
  <c r="I1535" i="1"/>
  <c r="I1538" i="1"/>
  <c r="I1536" i="1"/>
  <c r="I1537" i="1"/>
  <c r="I1539" i="1"/>
  <c r="I1540" i="1"/>
  <c r="I1472" i="1"/>
  <c r="I1456" i="1"/>
  <c r="I1444" i="1"/>
  <c r="I1445" i="1"/>
  <c r="I1307" i="1"/>
  <c r="I1305" i="1"/>
  <c r="I1306" i="1"/>
  <c r="I1253" i="1"/>
  <c r="I1255" i="1"/>
  <c r="I1244" i="1"/>
  <c r="I1241" i="1"/>
  <c r="I1242" i="1"/>
  <c r="I1230" i="1"/>
  <c r="I1223" i="1"/>
  <c r="I1228" i="1"/>
  <c r="I1229" i="1"/>
  <c r="I1224" i="1"/>
  <c r="I1225" i="1"/>
  <c r="I1231" i="1"/>
  <c r="I1232" i="1"/>
  <c r="I1215" i="1"/>
  <c r="I1197" i="1"/>
  <c r="I1199" i="1"/>
  <c r="I1204" i="1"/>
  <c r="I1202" i="1"/>
  <c r="I1205" i="1"/>
  <c r="I1184" i="1"/>
  <c r="I1186" i="1"/>
  <c r="I1150" i="1"/>
  <c r="I1152" i="1"/>
  <c r="I1153" i="1"/>
  <c r="I1125" i="1"/>
  <c r="I1123" i="1"/>
  <c r="I1071" i="1"/>
  <c r="I1025" i="1"/>
  <c r="I1028" i="1"/>
  <c r="I1031" i="1"/>
  <c r="I973" i="1"/>
  <c r="P973" i="1" s="1"/>
  <c r="I979" i="1"/>
  <c r="I907" i="1"/>
  <c r="I883" i="1"/>
  <c r="P2220" i="1" l="1"/>
  <c r="P2094" i="1"/>
  <c r="P2093" i="1"/>
  <c r="P2092" i="1"/>
  <c r="P2038" i="1"/>
  <c r="P2039" i="1"/>
  <c r="P2042" i="1"/>
  <c r="P2045" i="1"/>
  <c r="P1979" i="1"/>
  <c r="P1980" i="1"/>
  <c r="P1973" i="1"/>
  <c r="P1927" i="1"/>
  <c r="P2142" i="1"/>
  <c r="P2141" i="1"/>
  <c r="P2149" i="1"/>
  <c r="P2164" i="1"/>
  <c r="P2162" i="1"/>
  <c r="P2163" i="1"/>
  <c r="P1943" i="1"/>
  <c r="G1909" i="1"/>
  <c r="O1909" i="1" s="1"/>
  <c r="D1909" i="1"/>
  <c r="M1909" i="1" s="1"/>
  <c r="D1910" i="1"/>
  <c r="I1913" i="1"/>
  <c r="I1914" i="1"/>
  <c r="I1915" i="1"/>
  <c r="G1897" i="1"/>
  <c r="I1747" i="1"/>
  <c r="I1748" i="1"/>
  <c r="I1750" i="1"/>
  <c r="I1753" i="1"/>
  <c r="G1742" i="1"/>
  <c r="O1742" i="1" s="1"/>
  <c r="I1679" i="1"/>
  <c r="P1679" i="1" s="1"/>
  <c r="I1667" i="1"/>
  <c r="I1666" i="1"/>
  <c r="I1659" i="1"/>
  <c r="G1648" i="1"/>
  <c r="O1648" i="1" s="1"/>
  <c r="G1636" i="1"/>
  <c r="O1636" i="1" s="1"/>
  <c r="I1624" i="1"/>
  <c r="P1624" i="1" s="1"/>
  <c r="I1612" i="1"/>
  <c r="I1613" i="1"/>
  <c r="P1613" i="1" s="1"/>
  <c r="I1604" i="1"/>
  <c r="P1604" i="1" s="1"/>
  <c r="I1597" i="1"/>
  <c r="P1597" i="1" s="1"/>
  <c r="G1585" i="1"/>
  <c r="O1585" i="1" s="1"/>
  <c r="I1590" i="1"/>
  <c r="P1590" i="1" s="1"/>
  <c r="I1580" i="1"/>
  <c r="I1583" i="1"/>
  <c r="I1581" i="1"/>
  <c r="I1582" i="1"/>
  <c r="P1582" i="1" s="1"/>
  <c r="I1584" i="1"/>
  <c r="G1571" i="1"/>
  <c r="O1571" i="1" s="1"/>
  <c r="I1574" i="1"/>
  <c r="I1576" i="1"/>
  <c r="I1575" i="1"/>
  <c r="P1575" i="1" s="1"/>
  <c r="I1567" i="1"/>
  <c r="P1567" i="1" s="1"/>
  <c r="I1550" i="1"/>
  <c r="I1545" i="1"/>
  <c r="I1546" i="1"/>
  <c r="I1547" i="1"/>
  <c r="I1548" i="1"/>
  <c r="I1551" i="1"/>
  <c r="I1525" i="1"/>
  <c r="G1519" i="1"/>
  <c r="O1519" i="1" s="1"/>
  <c r="I1526" i="1"/>
  <c r="I1527" i="1"/>
  <c r="I1511" i="1"/>
  <c r="I1516" i="1"/>
  <c r="I1513" i="1"/>
  <c r="I1517" i="1"/>
  <c r="I1493" i="1"/>
  <c r="I1494" i="1"/>
  <c r="I1490" i="1"/>
  <c r="I1491" i="1"/>
  <c r="I1495" i="1"/>
  <c r="I1496" i="1"/>
  <c r="I1479" i="1"/>
  <c r="I1484" i="1"/>
  <c r="I1482" i="1"/>
  <c r="I1462" i="1"/>
  <c r="I1464" i="1"/>
  <c r="I1466" i="1"/>
  <c r="K1427" i="1"/>
  <c r="L1428" i="1"/>
  <c r="I1436" i="1"/>
  <c r="I1437" i="1"/>
  <c r="I1438" i="1"/>
  <c r="I1439" i="1"/>
  <c r="P1576" i="1" l="1"/>
  <c r="P1750" i="1"/>
  <c r="P1748" i="1"/>
  <c r="P1753" i="1"/>
  <c r="L1427" i="1"/>
  <c r="D1415" i="1"/>
  <c r="M1415" i="1" s="1"/>
  <c r="D1405" i="1"/>
  <c r="M1405" i="1" s="1"/>
  <c r="D1406" i="1"/>
  <c r="M1406" i="1" s="1"/>
  <c r="G1414" i="1"/>
  <c r="O1414" i="1" s="1"/>
  <c r="I1418" i="1"/>
  <c r="K1414" i="1"/>
  <c r="K1415" i="1"/>
  <c r="I1417" i="1"/>
  <c r="I1423" i="1"/>
  <c r="I1421" i="1"/>
  <c r="I1424" i="1"/>
  <c r="I1420" i="1"/>
  <c r="I1425" i="1"/>
  <c r="K1405" i="1"/>
  <c r="L1406" i="1"/>
  <c r="I1410" i="1"/>
  <c r="I1411" i="1"/>
  <c r="I1408" i="1"/>
  <c r="I1412" i="1"/>
  <c r="I1409" i="1"/>
  <c r="I1413" i="1"/>
  <c r="G1405" i="1"/>
  <c r="O1405" i="1" s="1"/>
  <c r="I1402" i="1"/>
  <c r="I1399" i="1"/>
  <c r="G1393" i="1"/>
  <c r="O1393" i="1" s="1"/>
  <c r="I1400" i="1"/>
  <c r="I1396" i="1"/>
  <c r="I1397" i="1"/>
  <c r="I1401" i="1"/>
  <c r="I1403" i="1"/>
  <c r="I1390" i="1"/>
  <c r="I1388" i="1"/>
  <c r="I1391" i="1"/>
  <c r="I1389" i="1"/>
  <c r="I1375" i="1"/>
  <c r="I1376" i="1"/>
  <c r="I1377" i="1"/>
  <c r="I1380" i="1"/>
  <c r="I1381" i="1"/>
  <c r="I1382" i="1"/>
  <c r="I1383" i="1"/>
  <c r="I1379" i="1"/>
  <c r="I1370" i="1"/>
  <c r="I1350" i="1"/>
  <c r="I1356" i="1"/>
  <c r="I1357" i="1"/>
  <c r="I1358" i="1"/>
  <c r="I1359" i="1"/>
  <c r="I1351" i="1"/>
  <c r="I1352" i="1"/>
  <c r="I1353" i="1"/>
  <c r="I1360" i="1"/>
  <c r="I1355" i="1"/>
  <c r="I1361" i="1"/>
  <c r="I1345" i="1"/>
  <c r="I1340" i="1"/>
  <c r="I1341" i="1"/>
  <c r="I1342" i="1"/>
  <c r="I1344" i="1"/>
  <c r="I1333" i="1"/>
  <c r="I1328" i="1"/>
  <c r="I1335" i="1"/>
  <c r="K1310" i="1"/>
  <c r="L1311" i="1"/>
  <c r="G1310" i="1"/>
  <c r="O1310" i="1" s="1"/>
  <c r="I1321" i="1"/>
  <c r="I1317" i="1"/>
  <c r="I1318" i="1"/>
  <c r="I1313" i="1"/>
  <c r="I1314" i="1"/>
  <c r="I1315" i="1"/>
  <c r="I1319" i="1"/>
  <c r="I1320" i="1"/>
  <c r="K1285" i="1"/>
  <c r="L1286" i="1"/>
  <c r="I1296" i="1"/>
  <c r="I1295" i="1"/>
  <c r="I1278" i="1"/>
  <c r="I1281" i="1"/>
  <c r="I1282" i="1"/>
  <c r="I1283" i="1"/>
  <c r="I1267" i="1"/>
  <c r="I1268" i="1"/>
  <c r="I1265" i="1"/>
  <c r="I1269" i="1"/>
  <c r="I1260" i="1"/>
  <c r="I1261" i="1"/>
  <c r="I1262" i="1"/>
  <c r="I1263" i="1"/>
  <c r="I1271" i="1"/>
  <c r="I1270" i="1"/>
  <c r="I1266" i="1"/>
  <c r="I1272" i="1"/>
  <c r="I1212" i="1"/>
  <c r="I1175" i="1"/>
  <c r="D1166" i="1"/>
  <c r="M1166" i="1" s="1"/>
  <c r="G1166" i="1"/>
  <c r="O1166" i="1" s="1"/>
  <c r="I1176" i="1"/>
  <c r="L1415" i="1" l="1"/>
  <c r="L1405" i="1"/>
  <c r="L1414" i="1"/>
  <c r="L1285" i="1"/>
  <c r="L1310" i="1"/>
  <c r="I1171" i="1"/>
  <c r="I1174" i="1"/>
  <c r="G1156" i="1"/>
  <c r="O1156" i="1" s="1"/>
  <c r="I1162" i="1"/>
  <c r="I1163" i="1"/>
  <c r="I1160" i="1"/>
  <c r="I1161" i="1"/>
  <c r="I1164" i="1"/>
  <c r="G1136" i="1"/>
  <c r="O1136" i="1" s="1"/>
  <c r="I1141" i="1"/>
  <c r="I1133" i="1"/>
  <c r="I1134" i="1"/>
  <c r="I1130" i="1"/>
  <c r="G1103" i="1"/>
  <c r="O1103" i="1" s="1"/>
  <c r="I1108" i="1"/>
  <c r="I1109" i="1"/>
  <c r="I1110" i="1"/>
  <c r="I1107" i="1"/>
  <c r="I1111" i="1"/>
  <c r="G1092" i="1"/>
  <c r="O1092" i="1" s="1"/>
  <c r="D1093" i="1"/>
  <c r="M1093" i="1" s="1"/>
  <c r="I1100" i="1"/>
  <c r="P1100" i="1" s="1"/>
  <c r="I1095" i="1"/>
  <c r="P1095" i="1" s="1"/>
  <c r="I1096" i="1"/>
  <c r="P1096" i="1" s="1"/>
  <c r="I1098" i="1"/>
  <c r="P1098" i="1" s="1"/>
  <c r="I1099" i="1"/>
  <c r="I1101" i="1"/>
  <c r="I1089" i="1"/>
  <c r="I1090" i="1"/>
  <c r="I1079" i="1"/>
  <c r="I1080" i="1"/>
  <c r="I1081" i="1"/>
  <c r="I1082" i="1"/>
  <c r="G1073" i="1"/>
  <c r="O1073" i="1" s="1"/>
  <c r="D1073" i="1"/>
  <c r="M1073" i="1" s="1"/>
  <c r="D1074" i="1"/>
  <c r="M1074" i="1" s="1"/>
  <c r="I1061" i="1"/>
  <c r="P1061" i="1" s="1"/>
  <c r="I1063" i="1"/>
  <c r="P1063" i="1" s="1"/>
  <c r="I1064" i="1"/>
  <c r="P1064" i="1" s="1"/>
  <c r="I1065" i="1"/>
  <c r="P1065" i="1" s="1"/>
  <c r="I1048" i="1"/>
  <c r="I1050" i="1"/>
  <c r="I1051" i="1"/>
  <c r="I1038" i="1"/>
  <c r="I1039" i="1"/>
  <c r="D1012" i="1"/>
  <c r="M1012" i="1" s="1"/>
  <c r="I1019" i="1"/>
  <c r="I1016" i="1"/>
  <c r="I1020" i="1"/>
  <c r="G1012" i="1"/>
  <c r="O1012" i="1" s="1"/>
  <c r="G991" i="1"/>
  <c r="O991" i="1" s="1"/>
  <c r="I998" i="1"/>
  <c r="K981" i="1"/>
  <c r="L982" i="1"/>
  <c r="I987" i="1"/>
  <c r="I985" i="1"/>
  <c r="I988" i="1"/>
  <c r="I986" i="1"/>
  <c r="I989" i="1"/>
  <c r="I966" i="1"/>
  <c r="I967" i="1"/>
  <c r="I968" i="1"/>
  <c r="I965" i="1"/>
  <c r="L981" i="1" l="1"/>
  <c r="I958" i="1"/>
  <c r="I959" i="1"/>
  <c r="G941" i="1"/>
  <c r="O941" i="1" s="1"/>
  <c r="I948" i="1"/>
  <c r="I945" i="1"/>
  <c r="I949" i="1"/>
  <c r="I947" i="1"/>
  <c r="I937" i="1"/>
  <c r="I933" i="1"/>
  <c r="I938" i="1"/>
  <c r="I926" i="1"/>
  <c r="I924" i="1"/>
  <c r="I920" i="1"/>
  <c r="I925" i="1"/>
  <c r="I927" i="1"/>
  <c r="I915" i="1"/>
  <c r="I913" i="1"/>
  <c r="G897" i="1"/>
  <c r="O897" i="1" s="1"/>
  <c r="G898" i="1"/>
  <c r="O898" i="1" s="1"/>
  <c r="K885" i="1"/>
  <c r="L886" i="1"/>
  <c r="G885" i="1"/>
  <c r="O885" i="1" s="1"/>
  <c r="G886" i="1"/>
  <c r="O886" i="1" s="1"/>
  <c r="I905" i="1"/>
  <c r="I906" i="1"/>
  <c r="I894" i="1"/>
  <c r="I892" i="1"/>
  <c r="I893" i="1"/>
  <c r="I881" i="1"/>
  <c r="I882" i="1"/>
  <c r="I870" i="1"/>
  <c r="I871" i="1"/>
  <c r="I858" i="1"/>
  <c r="I859" i="1"/>
  <c r="I845" i="1"/>
  <c r="I846" i="1"/>
  <c r="I847" i="1"/>
  <c r="I835" i="1"/>
  <c r="I831" i="1"/>
  <c r="I836" i="1"/>
  <c r="I837" i="1"/>
  <c r="I823" i="1"/>
  <c r="I824" i="1"/>
  <c r="I815" i="1"/>
  <c r="I804" i="1"/>
  <c r="I805" i="1"/>
  <c r="I793" i="1"/>
  <c r="I794" i="1"/>
  <c r="I784" i="1"/>
  <c r="I785" i="1"/>
  <c r="I782" i="1"/>
  <c r="I783" i="1"/>
  <c r="I769" i="1"/>
  <c r="I770" i="1"/>
  <c r="I771" i="1"/>
  <c r="I759" i="1"/>
  <c r="I760" i="1"/>
  <c r="G741" i="1"/>
  <c r="O741" i="1" s="1"/>
  <c r="I747" i="1"/>
  <c r="I748" i="1"/>
  <c r="I737" i="1"/>
  <c r="I738" i="1"/>
  <c r="I727" i="1"/>
  <c r="I728" i="1"/>
  <c r="I715" i="1"/>
  <c r="I716" i="1"/>
  <c r="L885" i="1" l="1"/>
  <c r="L675" i="1"/>
  <c r="L676" i="1"/>
  <c r="I702" i="1"/>
  <c r="I700" i="1"/>
  <c r="I706" i="1"/>
  <c r="I707" i="1"/>
  <c r="I708" i="1"/>
  <c r="I693" i="1"/>
  <c r="I694" i="1"/>
  <c r="I683" i="1"/>
  <c r="I673" i="1"/>
  <c r="I660" i="1"/>
  <c r="G2290" i="1" l="1"/>
  <c r="G2289" i="1"/>
  <c r="G2288" i="1"/>
  <c r="G2287" i="1"/>
  <c r="I682" i="1" l="1"/>
  <c r="I671" i="1"/>
  <c r="I672" i="1"/>
  <c r="I648" i="1"/>
  <c r="I644" i="1"/>
  <c r="I641" i="1"/>
  <c r="I646" i="1"/>
  <c r="I605" i="1"/>
  <c r="I606" i="1"/>
  <c r="I607" i="1"/>
  <c r="I608" i="1"/>
  <c r="I609" i="1"/>
  <c r="I642" i="1"/>
  <c r="I643" i="1"/>
  <c r="I610" i="1"/>
  <c r="I611" i="1"/>
  <c r="I613" i="1"/>
  <c r="I614" i="1"/>
  <c r="I645" i="1"/>
  <c r="I615" i="1"/>
  <c r="I620" i="1"/>
  <c r="I621" i="1"/>
  <c r="I649" i="1"/>
  <c r="I622" i="1"/>
  <c r="I616" i="1"/>
  <c r="I617" i="1"/>
  <c r="I647" i="1"/>
  <c r="I619" i="1"/>
  <c r="I618" i="1"/>
  <c r="I623" i="1"/>
  <c r="I624" i="1"/>
  <c r="I639" i="1"/>
  <c r="I625" i="1"/>
  <c r="I626" i="1"/>
  <c r="I627" i="1"/>
  <c r="I628" i="1"/>
  <c r="I651" i="1"/>
  <c r="I629" i="1"/>
  <c r="I630" i="1"/>
  <c r="I631" i="1"/>
  <c r="I632" i="1"/>
  <c r="I633" i="1"/>
  <c r="I634" i="1"/>
  <c r="I635" i="1"/>
  <c r="I650" i="1"/>
  <c r="I640" i="1"/>
  <c r="I636" i="1"/>
  <c r="P636" i="1" s="1"/>
  <c r="I652" i="1"/>
  <c r="I653" i="1"/>
  <c r="I654" i="1"/>
  <c r="I572" i="1"/>
  <c r="I566" i="1"/>
  <c r="I560" i="1"/>
  <c r="I554" i="1"/>
  <c r="I547" i="1"/>
  <c r="I540" i="1"/>
  <c r="I532" i="1"/>
  <c r="I521" i="1"/>
  <c r="I514" i="1"/>
  <c r="I509" i="1"/>
  <c r="I494" i="1"/>
  <c r="I489" i="1"/>
  <c r="I481" i="1"/>
  <c r="I476" i="1"/>
  <c r="I470" i="1"/>
  <c r="I131" i="1"/>
  <c r="I100" i="1"/>
  <c r="I104" i="1"/>
  <c r="I80" i="1"/>
  <c r="I61" i="1"/>
  <c r="I55" i="1"/>
  <c r="I56" i="1"/>
  <c r="I57" i="1"/>
  <c r="I58" i="1"/>
  <c r="I59" i="1"/>
  <c r="I62" i="1"/>
  <c r="I599" i="1"/>
  <c r="I598" i="1"/>
  <c r="I600" i="1"/>
  <c r="G596" i="1"/>
  <c r="O596" i="1" s="1"/>
  <c r="G595" i="1"/>
  <c r="O595" i="1" s="1"/>
  <c r="K581" i="1"/>
  <c r="L582" i="1"/>
  <c r="G581" i="1"/>
  <c r="O581" i="1" s="1"/>
  <c r="G582" i="1"/>
  <c r="O582" i="1" s="1"/>
  <c r="I584" i="1"/>
  <c r="I585" i="1"/>
  <c r="I586" i="1"/>
  <c r="I587" i="1"/>
  <c r="K575" i="1"/>
  <c r="L576" i="1"/>
  <c r="G575" i="1"/>
  <c r="O575" i="1" s="1"/>
  <c r="I579" i="1"/>
  <c r="I578" i="1"/>
  <c r="G569" i="1"/>
  <c r="O569" i="1" s="1"/>
  <c r="G570" i="1"/>
  <c r="O570" i="1" s="1"/>
  <c r="K556" i="1"/>
  <c r="L557" i="1"/>
  <c r="G556" i="1"/>
  <c r="O556" i="1" s="1"/>
  <c r="G557" i="1"/>
  <c r="O557" i="1" s="1"/>
  <c r="I541" i="1"/>
  <c r="I534" i="1"/>
  <c r="K506" i="1"/>
  <c r="L507" i="1"/>
  <c r="G506" i="1"/>
  <c r="O506" i="1" s="1"/>
  <c r="G507" i="1"/>
  <c r="O507" i="1" s="1"/>
  <c r="G485" i="1"/>
  <c r="O485" i="1" s="1"/>
  <c r="K485" i="1"/>
  <c r="L486" i="1"/>
  <c r="G486" i="1"/>
  <c r="O486" i="1" s="1"/>
  <c r="P131" i="1" l="1"/>
  <c r="P80" i="1"/>
  <c r="P572" i="1"/>
  <c r="P578" i="1"/>
  <c r="P579" i="1"/>
  <c r="P566" i="1"/>
  <c r="P554" i="1"/>
  <c r="P560" i="1"/>
  <c r="P547" i="1"/>
  <c r="P59" i="1"/>
  <c r="P58" i="1"/>
  <c r="P470" i="1"/>
  <c r="P62" i="1"/>
  <c r="P632" i="1"/>
  <c r="P620" i="1"/>
  <c r="P641" i="1"/>
  <c r="P634" i="1"/>
  <c r="P630" i="1"/>
  <c r="P627" i="1"/>
  <c r="P647" i="1"/>
  <c r="P649" i="1"/>
  <c r="P645" i="1"/>
  <c r="P610" i="1"/>
  <c r="P648" i="1"/>
  <c r="P651" i="1"/>
  <c r="P606" i="1"/>
  <c r="P633" i="1"/>
  <c r="P629" i="1"/>
  <c r="P623" i="1"/>
  <c r="P621" i="1"/>
  <c r="P643" i="1"/>
  <c r="P607" i="1"/>
  <c r="P646" i="1"/>
  <c r="P650" i="1"/>
  <c r="P618" i="1"/>
  <c r="P642" i="1"/>
  <c r="P652" i="1"/>
  <c r="P635" i="1"/>
  <c r="P631" i="1"/>
  <c r="P628" i="1"/>
  <c r="P619" i="1"/>
  <c r="P622" i="1"/>
  <c r="P615" i="1"/>
  <c r="P611" i="1"/>
  <c r="P644" i="1"/>
  <c r="L575" i="1"/>
  <c r="L506" i="1"/>
  <c r="L581" i="1"/>
  <c r="L556" i="1"/>
  <c r="L485" i="1"/>
  <c r="G410" i="1"/>
  <c r="O410" i="1" s="1"/>
  <c r="G332" i="1"/>
  <c r="O332" i="1" s="1"/>
  <c r="G287" i="1"/>
  <c r="O287" i="1" s="1"/>
  <c r="G270" i="1"/>
  <c r="O270" i="1" s="1"/>
  <c r="G217" i="1"/>
  <c r="O217" i="1" s="1"/>
  <c r="G177" i="1"/>
  <c r="O177" i="1" s="1"/>
  <c r="G144" i="1"/>
  <c r="O144" i="1" s="1"/>
  <c r="G51" i="1"/>
  <c r="O51" i="1" s="1"/>
  <c r="G479" i="1"/>
  <c r="O479" i="1" s="1"/>
  <c r="G442" i="1"/>
  <c r="O442" i="1" s="1"/>
  <c r="G441" i="1"/>
  <c r="O441" i="1" s="1"/>
  <c r="I448" i="1"/>
  <c r="I449" i="1"/>
  <c r="I450" i="1"/>
  <c r="K428" i="1"/>
  <c r="K429" i="1"/>
  <c r="G428" i="1"/>
  <c r="O428" i="1" s="1"/>
  <c r="G429" i="1"/>
  <c r="O429" i="1" s="1"/>
  <c r="I437" i="1"/>
  <c r="I438" i="1"/>
  <c r="I439" i="1"/>
  <c r="K372" i="1"/>
  <c r="I393" i="1"/>
  <c r="I394" i="1"/>
  <c r="I405" i="1"/>
  <c r="I395" i="1"/>
  <c r="P395" i="1" s="1"/>
  <c r="I406" i="1"/>
  <c r="K331" i="1"/>
  <c r="K332" i="1"/>
  <c r="G331" i="1"/>
  <c r="O331" i="1" s="1"/>
  <c r="I357" i="1"/>
  <c r="I327" i="1"/>
  <c r="I299" i="1"/>
  <c r="P299" i="1" s="1"/>
  <c r="I279" i="1"/>
  <c r="I281" i="1"/>
  <c r="I261" i="1"/>
  <c r="I262" i="1"/>
  <c r="I256" i="1"/>
  <c r="I257" i="1"/>
  <c r="I243" i="1"/>
  <c r="I246" i="1"/>
  <c r="I247" i="1"/>
  <c r="I187" i="1"/>
  <c r="P187" i="1" s="1"/>
  <c r="G176" i="1"/>
  <c r="O176" i="1" s="1"/>
  <c r="I186" i="1"/>
  <c r="I188" i="1"/>
  <c r="I189" i="1"/>
  <c r="I190" i="1"/>
  <c r="I171" i="1"/>
  <c r="I173" i="1"/>
  <c r="I174" i="1"/>
  <c r="I150" i="1"/>
  <c r="I149" i="1"/>
  <c r="P188" i="1" l="1"/>
  <c r="P186" i="1"/>
  <c r="P189" i="1"/>
  <c r="P281" i="1"/>
  <c r="P247" i="1"/>
  <c r="P243" i="1"/>
  <c r="P246" i="1"/>
  <c r="P327" i="1"/>
  <c r="P406" i="1"/>
  <c r="P405" i="1"/>
  <c r="L373" i="1"/>
  <c r="L429" i="1"/>
  <c r="L372" i="1"/>
  <c r="L428" i="1"/>
  <c r="L331" i="1"/>
  <c r="L442" i="1"/>
  <c r="L332" i="1"/>
  <c r="L441" i="1"/>
  <c r="I2289" i="1"/>
  <c r="I99" i="1"/>
  <c r="P99" i="1" l="1"/>
  <c r="K897" i="1"/>
  <c r="L898" i="1"/>
  <c r="H897" i="1"/>
  <c r="I898" i="1"/>
  <c r="D897" i="1"/>
  <c r="M897" i="1" s="1"/>
  <c r="D898" i="1"/>
  <c r="M898" i="1" s="1"/>
  <c r="K1347" i="1"/>
  <c r="L1348" i="1"/>
  <c r="G1347" i="1"/>
  <c r="O1347" i="1" s="1"/>
  <c r="H1347" i="1"/>
  <c r="I1348" i="1"/>
  <c r="F1350" i="1"/>
  <c r="N1350" i="1" s="1"/>
  <c r="F1361" i="1"/>
  <c r="N1361" i="1" s="1"/>
  <c r="D1347" i="1"/>
  <c r="M1347" i="1" s="1"/>
  <c r="D1348" i="1"/>
  <c r="M1348" i="1" s="1"/>
  <c r="H372" i="1"/>
  <c r="D741" i="1"/>
  <c r="M741" i="1" s="1"/>
  <c r="K1530" i="1"/>
  <c r="L1531" i="1"/>
  <c r="G1530" i="1"/>
  <c r="O1530" i="1" s="1"/>
  <c r="H1530" i="1"/>
  <c r="I1531" i="1"/>
  <c r="F1538" i="1"/>
  <c r="N1538" i="1" s="1"/>
  <c r="F1536" i="1"/>
  <c r="N1536" i="1" s="1"/>
  <c r="F1537" i="1"/>
  <c r="N1537" i="1" s="1"/>
  <c r="F1539" i="1"/>
  <c r="N1539" i="1" s="1"/>
  <c r="F1540" i="1"/>
  <c r="N1540" i="1" s="1"/>
  <c r="D1530" i="1"/>
  <c r="M1530" i="1" s="1"/>
  <c r="D1531" i="1"/>
  <c r="M1531" i="1" s="1"/>
  <c r="G1508" i="1"/>
  <c r="O1508" i="1" s="1"/>
  <c r="K1508" i="1"/>
  <c r="L1509" i="1"/>
  <c r="H1508" i="1"/>
  <c r="I1509" i="1"/>
  <c r="F1517" i="1"/>
  <c r="N1517" i="1" s="1"/>
  <c r="D1725" i="1"/>
  <c r="M1725" i="1" s="1"/>
  <c r="I1508" i="1" l="1"/>
  <c r="I373" i="1"/>
  <c r="I372" i="1"/>
  <c r="L1347" i="1"/>
  <c r="I897" i="1"/>
  <c r="L897" i="1"/>
  <c r="I1347" i="1"/>
  <c r="I1530" i="1"/>
  <c r="L1530" i="1"/>
  <c r="L1508" i="1"/>
  <c r="D1918" i="1"/>
  <c r="M1918" i="1" s="1"/>
  <c r="D1519" i="1" l="1"/>
  <c r="M1519" i="1" s="1"/>
  <c r="D1520" i="1"/>
  <c r="M1520" i="1" s="1"/>
  <c r="K1474" i="1"/>
  <c r="L1475" i="1"/>
  <c r="G1474" i="1"/>
  <c r="O1474" i="1" s="1"/>
  <c r="H1474" i="1"/>
  <c r="I1475" i="1"/>
  <c r="D1474" i="1"/>
  <c r="M1474" i="1" s="1"/>
  <c r="D917" i="1"/>
  <c r="M917" i="1" s="1"/>
  <c r="D885" i="1"/>
  <c r="M885" i="1" s="1"/>
  <c r="D886" i="1"/>
  <c r="M886" i="1" s="1"/>
  <c r="D873" i="1"/>
  <c r="M873" i="1" s="1"/>
  <c r="D874" i="1"/>
  <c r="M874" i="1" s="1"/>
  <c r="D863" i="1"/>
  <c r="M863" i="1" s="1"/>
  <c r="D850" i="1"/>
  <c r="M850" i="1" s="1"/>
  <c r="D851" i="1"/>
  <c r="M851" i="1" s="1"/>
  <c r="D839" i="1"/>
  <c r="M839" i="1" s="1"/>
  <c r="D840" i="1"/>
  <c r="M840" i="1" s="1"/>
  <c r="D827" i="1"/>
  <c r="M827" i="1" s="1"/>
  <c r="D817" i="1"/>
  <c r="M817" i="1" s="1"/>
  <c r="D787" i="1"/>
  <c r="M787" i="1" s="1"/>
  <c r="D797" i="1"/>
  <c r="M797" i="1" s="1"/>
  <c r="D798" i="1"/>
  <c r="M798" i="1" s="1"/>
  <c r="D788" i="1"/>
  <c r="M788" i="1" s="1"/>
  <c r="K775" i="1"/>
  <c r="K776" i="1"/>
  <c r="H775" i="1"/>
  <c r="H776" i="1"/>
  <c r="D775" i="1"/>
  <c r="M775" i="1" s="1"/>
  <c r="I1474" i="1" l="1"/>
  <c r="L1474" i="1"/>
  <c r="L776" i="1"/>
  <c r="I775" i="1"/>
  <c r="I776" i="1"/>
  <c r="L775" i="1"/>
  <c r="D1628" i="1"/>
  <c r="M1628" i="1" s="1"/>
  <c r="D1543" i="1"/>
  <c r="M1543" i="1" s="1"/>
  <c r="D1386" i="1"/>
  <c r="M1386" i="1" s="1"/>
  <c r="D1324" i="1"/>
  <c r="M1324" i="1" s="1"/>
  <c r="D1311" i="1"/>
  <c r="M1311" i="1" s="1"/>
  <c r="D1275" i="1"/>
  <c r="M1275" i="1" s="1"/>
  <c r="D1128" i="1"/>
  <c r="M1128" i="1" s="1"/>
  <c r="K1042" i="1"/>
  <c r="K1043" i="1"/>
  <c r="G1042" i="1"/>
  <c r="O1042" i="1" s="1"/>
  <c r="H1042" i="1"/>
  <c r="H1043" i="1"/>
  <c r="F1050" i="1"/>
  <c r="N1050" i="1" s="1"/>
  <c r="I1043" i="1" l="1"/>
  <c r="I1042" i="1"/>
  <c r="L1042" i="1"/>
  <c r="L1043" i="1"/>
  <c r="D1460" i="1"/>
  <c r="M1460" i="1" s="1"/>
  <c r="G2217" i="1" l="1"/>
  <c r="O2217" i="1" s="1"/>
  <c r="H2217" i="1"/>
  <c r="I2218" i="1"/>
  <c r="G2207" i="1"/>
  <c r="O2207" i="1" s="1"/>
  <c r="H2207" i="1"/>
  <c r="H2208" i="1"/>
  <c r="G2200" i="1"/>
  <c r="O2200" i="1" s="1"/>
  <c r="H2200" i="1"/>
  <c r="I2201" i="1"/>
  <c r="H2138" i="1"/>
  <c r="H2139" i="1"/>
  <c r="D2013" i="1"/>
  <c r="M2013" i="1" s="1"/>
  <c r="K1662" i="1"/>
  <c r="K1663" i="1"/>
  <c r="G1662" i="1"/>
  <c r="O1662" i="1" s="1"/>
  <c r="H1662" i="1"/>
  <c r="H1663" i="1"/>
  <c r="D1662" i="1"/>
  <c r="M1662" i="1" s="1"/>
  <c r="D1663" i="1"/>
  <c r="M1663" i="1" s="1"/>
  <c r="D1655" i="1"/>
  <c r="M1655" i="1" s="1"/>
  <c r="D1649" i="1"/>
  <c r="M1649" i="1" s="1"/>
  <c r="K1571" i="1"/>
  <c r="L1572" i="1"/>
  <c r="H1571" i="1"/>
  <c r="I1572" i="1"/>
  <c r="D1572" i="1"/>
  <c r="M1572" i="1" s="1"/>
  <c r="D1373" i="1"/>
  <c r="M1373" i="1" s="1"/>
  <c r="K317" i="1"/>
  <c r="K318" i="1"/>
  <c r="H317" i="1"/>
  <c r="F319" i="1"/>
  <c r="D260" i="1"/>
  <c r="M260" i="1" s="1"/>
  <c r="D251" i="1"/>
  <c r="M251" i="1" s="1"/>
  <c r="D144" i="1"/>
  <c r="M144" i="1" s="1"/>
  <c r="D119" i="1"/>
  <c r="M119" i="1" s="1"/>
  <c r="D89" i="1"/>
  <c r="M89" i="1" s="1"/>
  <c r="D71" i="1"/>
  <c r="M71" i="1" s="1"/>
  <c r="D51" i="1"/>
  <c r="M51" i="1" s="1"/>
  <c r="D596" i="1"/>
  <c r="M596" i="1" s="1"/>
  <c r="D590" i="1"/>
  <c r="M590" i="1" s="1"/>
  <c r="D582" i="1"/>
  <c r="M582" i="1" s="1"/>
  <c r="I576" i="1"/>
  <c r="H575" i="1"/>
  <c r="D576" i="1"/>
  <c r="M576" i="1" s="1"/>
  <c r="D570" i="1"/>
  <c r="M570" i="1" s="1"/>
  <c r="L551" i="1"/>
  <c r="K550" i="1"/>
  <c r="G551" i="1"/>
  <c r="H550" i="1"/>
  <c r="G550" i="1"/>
  <c r="O550" i="1" s="1"/>
  <c r="D550" i="1"/>
  <c r="M550" i="1" s="1"/>
  <c r="D551" i="1"/>
  <c r="M551" i="1" s="1"/>
  <c r="D543" i="1"/>
  <c r="M543" i="1" s="1"/>
  <c r="D544" i="1"/>
  <c r="M544" i="1" s="1"/>
  <c r="D537" i="1"/>
  <c r="M537" i="1" s="1"/>
  <c r="D530" i="1"/>
  <c r="M530" i="1" s="1"/>
  <c r="D525" i="1"/>
  <c r="M525" i="1" s="1"/>
  <c r="D517" i="1"/>
  <c r="M517" i="1" s="1"/>
  <c r="D518" i="1"/>
  <c r="M518" i="1" s="1"/>
  <c r="D512" i="1"/>
  <c r="M512" i="1" s="1"/>
  <c r="I507" i="1"/>
  <c r="H506" i="1"/>
  <c r="D507" i="1"/>
  <c r="M507" i="1" s="1"/>
  <c r="D491" i="1"/>
  <c r="M491" i="1" s="1"/>
  <c r="D492" i="1"/>
  <c r="M492" i="1" s="1"/>
  <c r="D478" i="1"/>
  <c r="M478" i="1" s="1"/>
  <c r="D479" i="1"/>
  <c r="M479" i="1" s="1"/>
  <c r="L474" i="1"/>
  <c r="L473" i="1"/>
  <c r="G474" i="1"/>
  <c r="G473" i="1"/>
  <c r="D474" i="1"/>
  <c r="M474" i="1" s="1"/>
  <c r="D467" i="1"/>
  <c r="M467" i="1" s="1"/>
  <c r="D468" i="1"/>
  <c r="M468" i="1" s="1"/>
  <c r="I473" i="1" l="1"/>
  <c r="O473" i="1"/>
  <c r="I551" i="1"/>
  <c r="O551" i="1"/>
  <c r="I474" i="1"/>
  <c r="O474" i="1"/>
  <c r="I2208" i="1"/>
  <c r="I2217" i="1"/>
  <c r="I2139" i="1"/>
  <c r="I1663" i="1"/>
  <c r="L1663" i="1"/>
  <c r="I2200" i="1"/>
  <c r="I2207" i="1"/>
  <c r="I318" i="1"/>
  <c r="L318" i="1"/>
  <c r="N318" i="1" s="1"/>
  <c r="I1662" i="1"/>
  <c r="I2138" i="1"/>
  <c r="L1662" i="1"/>
  <c r="I1571" i="1"/>
  <c r="L1571" i="1"/>
  <c r="I575" i="1"/>
  <c r="L550" i="1"/>
  <c r="I550" i="1"/>
  <c r="I506" i="1"/>
  <c r="E251" i="1" l="1"/>
  <c r="F251" i="1" s="1"/>
  <c r="D250" i="1"/>
  <c r="M250" i="1" s="1"/>
  <c r="K229" i="1"/>
  <c r="K230" i="1"/>
  <c r="H229" i="1"/>
  <c r="H230" i="1"/>
  <c r="E230" i="1"/>
  <c r="F230" i="1" s="1"/>
  <c r="K176" i="1"/>
  <c r="K177" i="1"/>
  <c r="H176" i="1"/>
  <c r="E176" i="1"/>
  <c r="E177" i="1"/>
  <c r="E165" i="1"/>
  <c r="F166" i="1"/>
  <c r="K143" i="1"/>
  <c r="K144" i="1"/>
  <c r="G143" i="1"/>
  <c r="O143" i="1" s="1"/>
  <c r="H143" i="1"/>
  <c r="E143" i="1"/>
  <c r="E144" i="1"/>
  <c r="F144" i="1" s="1"/>
  <c r="D143" i="1"/>
  <c r="M143" i="1" s="1"/>
  <c r="K118" i="1"/>
  <c r="K119" i="1"/>
  <c r="H118" i="1"/>
  <c r="E118" i="1"/>
  <c r="E119" i="1"/>
  <c r="F119" i="1" s="1"/>
  <c r="D118" i="1"/>
  <c r="M118" i="1" s="1"/>
  <c r="F104" i="1"/>
  <c r="K88" i="1"/>
  <c r="K89" i="1"/>
  <c r="G88" i="1"/>
  <c r="O88" i="1" s="1"/>
  <c r="H88" i="1"/>
  <c r="G89" i="1"/>
  <c r="O89" i="1" s="1"/>
  <c r="H89" i="1"/>
  <c r="E88" i="1"/>
  <c r="E89" i="1"/>
  <c r="F89" i="1" s="1"/>
  <c r="D88" i="1"/>
  <c r="M88" i="1" s="1"/>
  <c r="K70" i="1"/>
  <c r="K71" i="1"/>
  <c r="G70" i="1"/>
  <c r="O70" i="1" s="1"/>
  <c r="H70" i="1"/>
  <c r="G71" i="1"/>
  <c r="O71" i="1" s="1"/>
  <c r="H71" i="1"/>
  <c r="F80" i="1"/>
  <c r="E71" i="1"/>
  <c r="F71" i="1" s="1"/>
  <c r="E70" i="1"/>
  <c r="D70" i="1"/>
  <c r="M70" i="1" s="1"/>
  <c r="K50" i="1"/>
  <c r="K51" i="1"/>
  <c r="G50" i="1"/>
  <c r="O50" i="1" s="1"/>
  <c r="H50" i="1"/>
  <c r="D50" i="1"/>
  <c r="M50" i="1" s="1"/>
  <c r="F59" i="1"/>
  <c r="F62" i="1"/>
  <c r="E51" i="1"/>
  <c r="F51" i="1" s="1"/>
  <c r="N119" i="1" l="1"/>
  <c r="N166" i="1"/>
  <c r="N80" i="1"/>
  <c r="N104" i="1"/>
  <c r="N62" i="1"/>
  <c r="N59" i="1"/>
  <c r="I70" i="1"/>
  <c r="I144" i="1"/>
  <c r="L144" i="1"/>
  <c r="L71" i="1"/>
  <c r="N71" i="1" s="1"/>
  <c r="I166" i="1"/>
  <c r="L118" i="1"/>
  <c r="L165" i="1"/>
  <c r="I177" i="1"/>
  <c r="L177" i="1"/>
  <c r="I230" i="1"/>
  <c r="L166" i="1"/>
  <c r="I51" i="1"/>
  <c r="I119" i="1"/>
  <c r="L119" i="1"/>
  <c r="I143" i="1"/>
  <c r="L50" i="1"/>
  <c r="I71" i="1"/>
  <c r="L70" i="1"/>
  <c r="I88" i="1"/>
  <c r="L88" i="1"/>
  <c r="I176" i="1"/>
  <c r="L51" i="1"/>
  <c r="L229" i="1"/>
  <c r="I89" i="1"/>
  <c r="L89" i="1"/>
  <c r="N89" i="1" s="1"/>
  <c r="I118" i="1"/>
  <c r="I165" i="1"/>
  <c r="L143" i="1"/>
  <c r="L176" i="1"/>
  <c r="I229" i="1"/>
  <c r="I50" i="1"/>
  <c r="L230" i="1"/>
  <c r="N230" i="1" s="1"/>
  <c r="N144" i="1" l="1"/>
  <c r="N51" i="1"/>
  <c r="P48" i="1"/>
  <c r="P69" i="1"/>
  <c r="P70" i="1"/>
  <c r="P88" i="1"/>
  <c r="P89" i="1"/>
  <c r="P105" i="1"/>
  <c r="P117" i="1"/>
  <c r="P118" i="1"/>
  <c r="P119" i="1"/>
  <c r="P134" i="1"/>
  <c r="P142" i="1"/>
  <c r="P153" i="1"/>
  <c r="P164" i="1"/>
  <c r="P165" i="1"/>
  <c r="P175" i="1"/>
  <c r="P200" i="1"/>
  <c r="P208" i="1"/>
  <c r="P226" i="1"/>
  <c r="P228" i="1"/>
  <c r="P229" i="1"/>
  <c r="P230" i="1"/>
  <c r="P249" i="1"/>
  <c r="P256" i="1"/>
  <c r="P266" i="1"/>
  <c r="P268" i="1"/>
  <c r="P307" i="1"/>
  <c r="P408" i="1"/>
  <c r="P427" i="1"/>
  <c r="P451" i="1"/>
  <c r="P452" i="1"/>
  <c r="P464" i="1"/>
  <c r="P465" i="1"/>
  <c r="P466" i="1"/>
  <c r="P490" i="1"/>
  <c r="P501" i="1"/>
  <c r="P505" i="1"/>
  <c r="P510" i="1"/>
  <c r="P516" i="1"/>
  <c r="P523" i="1"/>
  <c r="P528" i="1"/>
  <c r="P535" i="1"/>
  <c r="P541" i="1"/>
  <c r="P542" i="1"/>
  <c r="P549" i="1"/>
  <c r="P555" i="1"/>
  <c r="P561" i="1"/>
  <c r="P568" i="1"/>
  <c r="P574" i="1"/>
  <c r="P580" i="1"/>
  <c r="P587" i="1"/>
  <c r="P593" i="1"/>
  <c r="P674" i="1"/>
  <c r="P685" i="1"/>
  <c r="P695" i="1"/>
  <c r="P709" i="1"/>
  <c r="P719" i="1"/>
  <c r="P729" i="1"/>
  <c r="P730" i="1"/>
  <c r="P740" i="1"/>
  <c r="P750" i="1"/>
  <c r="P761" i="1"/>
  <c r="P774" i="1"/>
  <c r="P785" i="1"/>
  <c r="P786" i="1"/>
  <c r="P796" i="1"/>
  <c r="P807" i="1"/>
  <c r="P816" i="1"/>
  <c r="P825" i="1"/>
  <c r="P826" i="1"/>
  <c r="P831" i="1"/>
  <c r="P838" i="1"/>
  <c r="P849" i="1"/>
  <c r="P861" i="1"/>
  <c r="P872" i="1"/>
  <c r="P884" i="1"/>
  <c r="P896" i="1"/>
  <c r="P908" i="1"/>
  <c r="P913" i="1"/>
  <c r="P916" i="1"/>
  <c r="P950" i="1"/>
  <c r="P960" i="1"/>
  <c r="P969" i="1"/>
  <c r="P979" i="1"/>
  <c r="P980" i="1"/>
  <c r="P990" i="1"/>
  <c r="P1011" i="1"/>
  <c r="P1021" i="1"/>
  <c r="P1032" i="1"/>
  <c r="P1040" i="1"/>
  <c r="P1053" i="1"/>
  <c r="P1066" i="1"/>
  <c r="P1072" i="1"/>
  <c r="P1118" i="1"/>
  <c r="P1119" i="1"/>
  <c r="P1126" i="1"/>
  <c r="P1135" i="1"/>
  <c r="P1143" i="1"/>
  <c r="P1144" i="1"/>
  <c r="P1155" i="1"/>
  <c r="P1165" i="1"/>
  <c r="P1189" i="1"/>
  <c r="P1205" i="1"/>
  <c r="P1218" i="1"/>
  <c r="P1230" i="1"/>
  <c r="P1233" i="1"/>
  <c r="P1255" i="1"/>
  <c r="P1297" i="1"/>
  <c r="P1308" i="1"/>
  <c r="P1309" i="1"/>
  <c r="P1346" i="1"/>
  <c r="P1356" i="1"/>
  <c r="P1353" i="1"/>
  <c r="P1362" i="1"/>
  <c r="P1371" i="1"/>
  <c r="P1384" i="1"/>
  <c r="P1392" i="1"/>
  <c r="P1413" i="1"/>
  <c r="P1417" i="1"/>
  <c r="P1426" i="1"/>
  <c r="P1436" i="1"/>
  <c r="P1458" i="1"/>
  <c r="P1467" i="1"/>
  <c r="P1485" i="1"/>
  <c r="P1491" i="1"/>
  <c r="P1498" i="1"/>
  <c r="P1516" i="1"/>
  <c r="P1529" i="1"/>
  <c r="P1535" i="1"/>
  <c r="P1541" i="1"/>
  <c r="P1552" i="1"/>
  <c r="P1562" i="1"/>
  <c r="P1570" i="1"/>
  <c r="P1580" i="1"/>
  <c r="P1583" i="1"/>
  <c r="P1581" i="1"/>
  <c r="P1584" i="1"/>
  <c r="P1592" i="1"/>
  <c r="P1634" i="1"/>
  <c r="P1652" i="1"/>
  <c r="P1661" i="1"/>
  <c r="P1675" i="1"/>
  <c r="P1683" i="1"/>
  <c r="P1705" i="1"/>
  <c r="P1714" i="1"/>
  <c r="P1722" i="1"/>
  <c r="P1723" i="1"/>
  <c r="P1736" i="1"/>
  <c r="P1747" i="1"/>
  <c r="P1755" i="1"/>
  <c r="P1761" i="1"/>
  <c r="P1769" i="1"/>
  <c r="P1791" i="1"/>
  <c r="P1795" i="1"/>
  <c r="P1832" i="1"/>
  <c r="P1833" i="1"/>
  <c r="P1879" i="1"/>
  <c r="P1916" i="1"/>
  <c r="P1947" i="1"/>
  <c r="P1953" i="1"/>
  <c r="P1955" i="1"/>
  <c r="P1984" i="1"/>
  <c r="P2019" i="1"/>
  <c r="P2025" i="1"/>
  <c r="P2048" i="1"/>
  <c r="P2070" i="1"/>
  <c r="P2078" i="1"/>
  <c r="P2108" i="1"/>
  <c r="P2116" i="1"/>
  <c r="P2122" i="1"/>
  <c r="P2130" i="1"/>
  <c r="P2136" i="1"/>
  <c r="P2153" i="1"/>
  <c r="P2158" i="1"/>
  <c r="P2173" i="1"/>
  <c r="P2180" i="1"/>
  <c r="P2185" i="1"/>
  <c r="P2189" i="1"/>
  <c r="P2190" i="1"/>
  <c r="P2205" i="1"/>
  <c r="P2221" i="1"/>
  <c r="P2231" i="1"/>
  <c r="P2233" i="1"/>
  <c r="E13" i="1" l="1"/>
  <c r="E14" i="1"/>
  <c r="D18" i="1"/>
  <c r="M18" i="1" s="1"/>
  <c r="D20" i="1"/>
  <c r="M20" i="1" s="1"/>
  <c r="E20" i="1"/>
  <c r="D21" i="1"/>
  <c r="M21" i="1" s="1"/>
  <c r="E21" i="1"/>
  <c r="D25" i="1"/>
  <c r="E25" i="1"/>
  <c r="D26" i="1"/>
  <c r="M26" i="1" s="1"/>
  <c r="E26" i="1"/>
  <c r="D30" i="1"/>
  <c r="M30" i="1" s="1"/>
  <c r="E30" i="1"/>
  <c r="D31" i="1"/>
  <c r="M31" i="1" s="1"/>
  <c r="E31" i="1"/>
  <c r="D41" i="1"/>
  <c r="M41" i="1" s="1"/>
  <c r="E41" i="1"/>
  <c r="D42" i="1"/>
  <c r="M42" i="1" s="1"/>
  <c r="E42" i="1"/>
  <c r="E50" i="1"/>
  <c r="D82" i="1"/>
  <c r="M82" i="1" s="1"/>
  <c r="E82" i="1"/>
  <c r="D83" i="1"/>
  <c r="M83" i="1" s="1"/>
  <c r="E83" i="1"/>
  <c r="D106" i="1"/>
  <c r="M106" i="1" s="1"/>
  <c r="E106" i="1"/>
  <c r="D107" i="1"/>
  <c r="M107" i="1" s="1"/>
  <c r="E107" i="1"/>
  <c r="D111" i="1"/>
  <c r="M111" i="1" s="1"/>
  <c r="E111" i="1"/>
  <c r="D112" i="1"/>
  <c r="M112" i="1" s="1"/>
  <c r="E112" i="1"/>
  <c r="F118" i="1"/>
  <c r="N118" i="1" s="1"/>
  <c r="E135" i="1"/>
  <c r="E136" i="1"/>
  <c r="D140" i="1"/>
  <c r="M140" i="1" s="1"/>
  <c r="D180" i="1"/>
  <c r="M180" i="1" s="1"/>
  <c r="D184" i="1"/>
  <c r="M184" i="1" s="1"/>
  <c r="D185" i="1"/>
  <c r="M185" i="1" s="1"/>
  <c r="D193" i="1"/>
  <c r="M193" i="1" s="1"/>
  <c r="E193" i="1"/>
  <c r="D194" i="1"/>
  <c r="M194" i="1" s="1"/>
  <c r="E194" i="1"/>
  <c r="D201" i="1"/>
  <c r="M201" i="1" s="1"/>
  <c r="E201" i="1"/>
  <c r="D202" i="1"/>
  <c r="M202" i="1" s="1"/>
  <c r="E202" i="1"/>
  <c r="D209" i="1"/>
  <c r="M209" i="1" s="1"/>
  <c r="E209" i="1"/>
  <c r="D210" i="1"/>
  <c r="M210" i="1" s="1"/>
  <c r="E210" i="1"/>
  <c r="D216" i="1"/>
  <c r="M216" i="1" s="1"/>
  <c r="E216" i="1"/>
  <c r="D217" i="1"/>
  <c r="M217" i="1" s="1"/>
  <c r="E217" i="1"/>
  <c r="E229" i="1"/>
  <c r="E250" i="1"/>
  <c r="D259" i="1"/>
  <c r="M259" i="1" s="1"/>
  <c r="E259" i="1"/>
  <c r="E260" i="1"/>
  <c r="F260" i="1" s="1"/>
  <c r="E269" i="1"/>
  <c r="E270" i="1"/>
  <c r="D275" i="1"/>
  <c r="M275" i="1" s="1"/>
  <c r="D286" i="1"/>
  <c r="M286" i="1" s="1"/>
  <c r="E286" i="1"/>
  <c r="D287" i="1"/>
  <c r="M287" i="1" s="1"/>
  <c r="E287" i="1"/>
  <c r="D303" i="1"/>
  <c r="M303" i="1" s="1"/>
  <c r="E303" i="1"/>
  <c r="D304" i="1"/>
  <c r="M304" i="1" s="1"/>
  <c r="E304" i="1"/>
  <c r="D308" i="1"/>
  <c r="M308" i="1" s="1"/>
  <c r="E308" i="1"/>
  <c r="D309" i="1"/>
  <c r="M309" i="1" s="1"/>
  <c r="E309" i="1"/>
  <c r="E317" i="1"/>
  <c r="D331" i="1"/>
  <c r="M331" i="1" s="1"/>
  <c r="E331" i="1"/>
  <c r="D332" i="1"/>
  <c r="M332" i="1" s="1"/>
  <c r="E332" i="1"/>
  <c r="D360" i="1"/>
  <c r="M360" i="1" s="1"/>
  <c r="E360" i="1"/>
  <c r="D361" i="1"/>
  <c r="M361" i="1" s="1"/>
  <c r="E361" i="1"/>
  <c r="D365" i="1"/>
  <c r="M365" i="1" s="1"/>
  <c r="E365" i="1"/>
  <c r="D366" i="1"/>
  <c r="M366" i="1" s="1"/>
  <c r="E366" i="1"/>
  <c r="D375" i="1"/>
  <c r="M375" i="1" s="1"/>
  <c r="D377" i="1"/>
  <c r="M377" i="1" s="1"/>
  <c r="D379" i="1"/>
  <c r="M379" i="1" s="1"/>
  <c r="D384" i="1"/>
  <c r="M384" i="1" s="1"/>
  <c r="D386" i="1"/>
  <c r="M386" i="1" s="1"/>
  <c r="D392" i="1"/>
  <c r="M392" i="1" s="1"/>
  <c r="D409" i="1"/>
  <c r="M409" i="1" s="1"/>
  <c r="E409" i="1"/>
  <c r="D410" i="1"/>
  <c r="M410" i="1" s="1"/>
  <c r="E410" i="1"/>
  <c r="E418" i="1"/>
  <c r="E419" i="1"/>
  <c r="D421" i="1"/>
  <c r="M421" i="1" s="1"/>
  <c r="D428" i="1"/>
  <c r="M428" i="1" s="1"/>
  <c r="E428" i="1"/>
  <c r="D429" i="1"/>
  <c r="M429" i="1" s="1"/>
  <c r="E429" i="1"/>
  <c r="D441" i="1"/>
  <c r="M441" i="1" s="1"/>
  <c r="E441" i="1"/>
  <c r="D442" i="1"/>
  <c r="M442" i="1" s="1"/>
  <c r="E442" i="1"/>
  <c r="D453" i="1"/>
  <c r="M453" i="1" s="1"/>
  <c r="E453" i="1"/>
  <c r="D454" i="1"/>
  <c r="M454" i="1" s="1"/>
  <c r="E454" i="1"/>
  <c r="E460" i="1"/>
  <c r="F460" i="1" s="1"/>
  <c r="E461" i="1"/>
  <c r="F461" i="1" s="1"/>
  <c r="E467" i="1"/>
  <c r="F468" i="1"/>
  <c r="D473" i="1"/>
  <c r="M473" i="1" s="1"/>
  <c r="E478" i="1"/>
  <c r="E479" i="1"/>
  <c r="D485" i="1"/>
  <c r="M485" i="1" s="1"/>
  <c r="E485" i="1"/>
  <c r="D486" i="1"/>
  <c r="M486" i="1" s="1"/>
  <c r="E496" i="1"/>
  <c r="E497" i="1"/>
  <c r="D498" i="1"/>
  <c r="M498" i="1" s="1"/>
  <c r="D502" i="1"/>
  <c r="M502" i="1" s="1"/>
  <c r="D503" i="1"/>
  <c r="M503" i="1" s="1"/>
  <c r="D506" i="1"/>
  <c r="M506" i="1" s="1"/>
  <c r="E506" i="1"/>
  <c r="D511" i="1"/>
  <c r="M511" i="1" s="1"/>
  <c r="E511" i="1"/>
  <c r="E512" i="1"/>
  <c r="E517" i="1"/>
  <c r="E518" i="1"/>
  <c r="D524" i="1"/>
  <c r="M524" i="1" s="1"/>
  <c r="E524" i="1"/>
  <c r="E529" i="1"/>
  <c r="E536" i="1"/>
  <c r="E543" i="1"/>
  <c r="E544" i="1"/>
  <c r="E550" i="1"/>
  <c r="F550" i="1" s="1"/>
  <c r="N550" i="1" s="1"/>
  <c r="D556" i="1"/>
  <c r="M556" i="1" s="1"/>
  <c r="E556" i="1"/>
  <c r="D557" i="1"/>
  <c r="M557" i="1" s="1"/>
  <c r="E562" i="1"/>
  <c r="E563" i="1"/>
  <c r="F563" i="1" s="1"/>
  <c r="D569" i="1"/>
  <c r="M569" i="1" s="1"/>
  <c r="E569" i="1"/>
  <c r="D575" i="1"/>
  <c r="M575" i="1" s="1"/>
  <c r="E575" i="1"/>
  <c r="D581" i="1"/>
  <c r="M581" i="1" s="1"/>
  <c r="E581" i="1"/>
  <c r="D589" i="1"/>
  <c r="M589" i="1" s="1"/>
  <c r="E589" i="1"/>
  <c r="D595" i="1"/>
  <c r="M595" i="1" s="1"/>
  <c r="E595" i="1"/>
  <c r="E602" i="1"/>
  <c r="D604" i="1"/>
  <c r="M604" i="1" s="1"/>
  <c r="D625" i="1"/>
  <c r="M625" i="1" s="1"/>
  <c r="F663" i="1"/>
  <c r="F686" i="1"/>
  <c r="F687" i="1"/>
  <c r="E710" i="1"/>
  <c r="E711" i="1"/>
  <c r="D713" i="1"/>
  <c r="M713" i="1" s="1"/>
  <c r="E720" i="1"/>
  <c r="E731" i="1"/>
  <c r="D734" i="1"/>
  <c r="M734" i="1" s="1"/>
  <c r="E741" i="1"/>
  <c r="E742" i="1"/>
  <c r="D751" i="1"/>
  <c r="M751" i="1" s="1"/>
  <c r="E751" i="1"/>
  <c r="E762" i="1"/>
  <c r="E763" i="1"/>
  <c r="D768" i="1"/>
  <c r="M768" i="1" s="1"/>
  <c r="E775" i="1"/>
  <c r="E776" i="1"/>
  <c r="E787" i="1"/>
  <c r="E788" i="1"/>
  <c r="E797" i="1"/>
  <c r="E808" i="1"/>
  <c r="D811" i="1"/>
  <c r="M811" i="1" s="1"/>
  <c r="E817" i="1"/>
  <c r="E827" i="1"/>
  <c r="E839" i="1"/>
  <c r="E840" i="1"/>
  <c r="E850" i="1"/>
  <c r="E851" i="1"/>
  <c r="D862" i="1"/>
  <c r="M862" i="1" s="1"/>
  <c r="E862" i="1"/>
  <c r="E873" i="1"/>
  <c r="F874" i="1"/>
  <c r="E885" i="1"/>
  <c r="E897" i="1"/>
  <c r="D909" i="1"/>
  <c r="M909" i="1" s="1"/>
  <c r="D910" i="1"/>
  <c r="M910" i="1" s="1"/>
  <c r="E917" i="1"/>
  <c r="E909" i="1" s="1"/>
  <c r="D929" i="1"/>
  <c r="M929" i="1" s="1"/>
  <c r="E929" i="1"/>
  <c r="D941" i="1"/>
  <c r="M941" i="1" s="1"/>
  <c r="E941" i="1"/>
  <c r="D951" i="1"/>
  <c r="M951" i="1" s="1"/>
  <c r="E951" i="1"/>
  <c r="D952" i="1"/>
  <c r="M952" i="1" s="1"/>
  <c r="D961" i="1"/>
  <c r="M961" i="1" s="1"/>
  <c r="E961" i="1"/>
  <c r="D962" i="1"/>
  <c r="M962" i="1" s="1"/>
  <c r="E970" i="1"/>
  <c r="E981" i="1"/>
  <c r="D991" i="1"/>
  <c r="M991" i="1" s="1"/>
  <c r="E991" i="1"/>
  <c r="D992" i="1"/>
  <c r="M992" i="1" s="1"/>
  <c r="E992" i="1"/>
  <c r="E1001" i="1"/>
  <c r="D1007" i="1"/>
  <c r="M1007" i="1" s="1"/>
  <c r="E1012" i="1"/>
  <c r="E1022" i="1"/>
  <c r="E1033" i="1"/>
  <c r="D1042" i="1"/>
  <c r="M1042" i="1" s="1"/>
  <c r="E1042" i="1"/>
  <c r="E1043" i="1"/>
  <c r="E1054" i="1"/>
  <c r="D1060" i="1"/>
  <c r="M1060" i="1" s="1"/>
  <c r="D1067" i="1"/>
  <c r="M1067" i="1" s="1"/>
  <c r="E1067" i="1"/>
  <c r="E1073" i="1"/>
  <c r="F1074" i="1"/>
  <c r="D1084" i="1"/>
  <c r="M1084" i="1" s="1"/>
  <c r="E1084" i="1"/>
  <c r="D1085" i="1"/>
  <c r="M1085" i="1" s="1"/>
  <c r="D1092" i="1"/>
  <c r="M1092" i="1" s="1"/>
  <c r="E1092" i="1"/>
  <c r="D1102" i="1"/>
  <c r="M1102" i="1" s="1"/>
  <c r="D1103" i="1"/>
  <c r="M1103" i="1" s="1"/>
  <c r="E1103" i="1"/>
  <c r="D1104" i="1"/>
  <c r="M1104" i="1" s="1"/>
  <c r="D1113" i="1"/>
  <c r="M1113" i="1" s="1"/>
  <c r="E1113" i="1"/>
  <c r="D1114" i="1"/>
  <c r="M1114" i="1" s="1"/>
  <c r="D1120" i="1"/>
  <c r="M1120" i="1" s="1"/>
  <c r="E1120" i="1"/>
  <c r="F1121" i="1"/>
  <c r="D1127" i="1"/>
  <c r="M1127" i="1" s="1"/>
  <c r="E1127" i="1"/>
  <c r="D1136" i="1"/>
  <c r="M1136" i="1" s="1"/>
  <c r="E1136" i="1"/>
  <c r="D1137" i="1"/>
  <c r="M1137" i="1" s="1"/>
  <c r="E1145" i="1"/>
  <c r="D1156" i="1"/>
  <c r="M1156" i="1" s="1"/>
  <c r="E1156" i="1"/>
  <c r="D1157" i="1"/>
  <c r="M1157" i="1" s="1"/>
  <c r="E1166" i="1"/>
  <c r="E1178" i="1"/>
  <c r="D1190" i="1"/>
  <c r="M1190" i="1" s="1"/>
  <c r="E1190" i="1"/>
  <c r="E1207" i="1"/>
  <c r="E1219" i="1"/>
  <c r="D1234" i="1"/>
  <c r="M1234" i="1" s="1"/>
  <c r="E1234" i="1"/>
  <c r="E1246" i="1"/>
  <c r="D1257" i="1"/>
  <c r="M1257" i="1" s="1"/>
  <c r="E1257" i="1"/>
  <c r="D1274" i="1"/>
  <c r="M1274" i="1" s="1"/>
  <c r="E1274" i="1"/>
  <c r="E1285" i="1"/>
  <c r="E1298" i="1"/>
  <c r="D1310" i="1"/>
  <c r="M1310" i="1" s="1"/>
  <c r="E1310" i="1"/>
  <c r="D1323" i="1"/>
  <c r="M1323" i="1" s="1"/>
  <c r="E1323" i="1"/>
  <c r="D1337" i="1"/>
  <c r="M1337" i="1" s="1"/>
  <c r="E1337" i="1"/>
  <c r="D1338" i="1"/>
  <c r="M1338" i="1" s="1"/>
  <c r="E1347" i="1"/>
  <c r="E1363" i="1"/>
  <c r="D1369" i="1"/>
  <c r="M1369" i="1" s="1"/>
  <c r="D1372" i="1"/>
  <c r="E1372" i="1"/>
  <c r="D1385" i="1"/>
  <c r="M1385" i="1" s="1"/>
  <c r="E1385" i="1"/>
  <c r="F1386" i="1"/>
  <c r="D1393" i="1"/>
  <c r="M1393" i="1" s="1"/>
  <c r="E1393" i="1"/>
  <c r="D1394" i="1"/>
  <c r="M1394" i="1" s="1"/>
  <c r="E1405" i="1"/>
  <c r="D1414" i="1"/>
  <c r="M1414" i="1" s="1"/>
  <c r="E1414" i="1"/>
  <c r="E1415" i="1"/>
  <c r="E1427" i="1"/>
  <c r="D1441" i="1"/>
  <c r="M1441" i="1" s="1"/>
  <c r="E1441" i="1"/>
  <c r="D1442" i="1"/>
  <c r="M1442" i="1" s="1"/>
  <c r="D1449" i="1"/>
  <c r="M1449" i="1" s="1"/>
  <c r="E1449" i="1"/>
  <c r="D1450" i="1"/>
  <c r="M1450" i="1" s="1"/>
  <c r="E1450" i="1"/>
  <c r="D1459" i="1"/>
  <c r="M1459" i="1" s="1"/>
  <c r="E1459" i="1"/>
  <c r="D1468" i="1"/>
  <c r="M1468" i="1" s="1"/>
  <c r="E1468" i="1"/>
  <c r="E1474" i="1"/>
  <c r="D1487" i="1"/>
  <c r="M1487" i="1" s="1"/>
  <c r="E1487" i="1"/>
  <c r="D1488" i="1"/>
  <c r="M1488" i="1" s="1"/>
  <c r="E1488" i="1"/>
  <c r="D1499" i="1"/>
  <c r="M1499" i="1" s="1"/>
  <c r="E1499" i="1"/>
  <c r="D1500" i="1"/>
  <c r="M1500" i="1" s="1"/>
  <c r="E1500" i="1"/>
  <c r="E1508" i="1"/>
  <c r="E1519" i="1"/>
  <c r="E1520" i="1"/>
  <c r="E1530" i="1"/>
  <c r="D1542" i="1"/>
  <c r="M1542" i="1" s="1"/>
  <c r="E1542" i="1"/>
  <c r="D1553" i="1"/>
  <c r="M1553" i="1" s="1"/>
  <c r="E1553" i="1"/>
  <c r="D1554" i="1"/>
  <c r="M1554" i="1" s="1"/>
  <c r="D1563" i="1"/>
  <c r="M1563" i="1" s="1"/>
  <c r="E1563" i="1"/>
  <c r="D1564" i="1"/>
  <c r="M1564" i="1" s="1"/>
  <c r="D1571" i="1"/>
  <c r="M1571" i="1" s="1"/>
  <c r="E1571" i="1"/>
  <c r="D1578" i="1"/>
  <c r="M1578" i="1" s="1"/>
  <c r="E1578" i="1"/>
  <c r="D1579" i="1"/>
  <c r="M1579" i="1" s="1"/>
  <c r="D1585" i="1"/>
  <c r="M1585" i="1" s="1"/>
  <c r="E1585" i="1"/>
  <c r="D1586" i="1"/>
  <c r="M1586" i="1" s="1"/>
  <c r="D1593" i="1"/>
  <c r="M1593" i="1" s="1"/>
  <c r="E1593" i="1"/>
  <c r="D1594" i="1"/>
  <c r="M1594" i="1" s="1"/>
  <c r="D1599" i="1"/>
  <c r="M1599" i="1" s="1"/>
  <c r="E1599" i="1"/>
  <c r="D1600" i="1"/>
  <c r="M1600" i="1" s="1"/>
  <c r="D1607" i="1"/>
  <c r="M1607" i="1" s="1"/>
  <c r="E1607" i="1"/>
  <c r="D1608" i="1"/>
  <c r="M1608" i="1" s="1"/>
  <c r="D1618" i="1"/>
  <c r="M1618" i="1" s="1"/>
  <c r="E1618" i="1"/>
  <c r="D1619" i="1"/>
  <c r="M1619" i="1" s="1"/>
  <c r="D1627" i="1"/>
  <c r="M1627" i="1" s="1"/>
  <c r="E1627" i="1"/>
  <c r="D1636" i="1"/>
  <c r="M1636" i="1" s="1"/>
  <c r="E1636" i="1"/>
  <c r="D1637" i="1"/>
  <c r="M1637" i="1" s="1"/>
  <c r="D1643" i="1"/>
  <c r="M1643" i="1" s="1"/>
  <c r="E1643" i="1"/>
  <c r="D1644" i="1"/>
  <c r="M1644" i="1" s="1"/>
  <c r="D1648" i="1"/>
  <c r="M1648" i="1" s="1"/>
  <c r="E1648" i="1"/>
  <c r="D1654" i="1"/>
  <c r="M1654" i="1" s="1"/>
  <c r="E1654" i="1"/>
  <c r="E1655" i="1"/>
  <c r="E1662" i="1"/>
  <c r="E1663" i="1"/>
  <c r="D1670" i="1"/>
  <c r="M1670" i="1" s="1"/>
  <c r="E1670" i="1"/>
  <c r="D1671" i="1"/>
  <c r="M1671" i="1" s="1"/>
  <c r="D1676" i="1"/>
  <c r="M1676" i="1" s="1"/>
  <c r="E1676" i="1"/>
  <c r="D1677" i="1"/>
  <c r="M1677" i="1" s="1"/>
  <c r="D1684" i="1"/>
  <c r="M1684" i="1" s="1"/>
  <c r="E1684" i="1"/>
  <c r="D1685" i="1"/>
  <c r="M1685" i="1" s="1"/>
  <c r="D1690" i="1"/>
  <c r="M1690" i="1" s="1"/>
  <c r="E1690" i="1"/>
  <c r="D1691" i="1"/>
  <c r="M1691" i="1" s="1"/>
  <c r="E1691" i="1"/>
  <c r="D1700" i="1"/>
  <c r="M1700" i="1" s="1"/>
  <c r="E1700" i="1"/>
  <c r="D1701" i="1"/>
  <c r="M1701" i="1" s="1"/>
  <c r="D1707" i="1"/>
  <c r="M1707" i="1" s="1"/>
  <c r="E1707" i="1"/>
  <c r="D1708" i="1"/>
  <c r="M1708" i="1" s="1"/>
  <c r="D1716" i="1"/>
  <c r="M1716" i="1" s="1"/>
  <c r="E1716" i="1"/>
  <c r="D1717" i="1"/>
  <c r="M1717" i="1" s="1"/>
  <c r="D1724" i="1"/>
  <c r="M1724" i="1" s="1"/>
  <c r="E1724" i="1"/>
  <c r="D1732" i="1"/>
  <c r="M1732" i="1" s="1"/>
  <c r="E1732" i="1"/>
  <c r="D1733" i="1"/>
  <c r="M1733" i="1" s="1"/>
  <c r="E1733" i="1"/>
  <c r="E1742" i="1"/>
  <c r="D1745" i="1"/>
  <c r="M1745" i="1" s="1"/>
  <c r="D1750" i="1"/>
  <c r="M1750" i="1" s="1"/>
  <c r="D1756" i="1"/>
  <c r="M1756" i="1" s="1"/>
  <c r="E1756" i="1"/>
  <c r="D1757" i="1"/>
  <c r="M1757" i="1" s="1"/>
  <c r="E1757" i="1"/>
  <c r="D1764" i="1"/>
  <c r="M1764" i="1" s="1"/>
  <c r="E1764" i="1"/>
  <c r="D1765" i="1"/>
  <c r="M1765" i="1" s="1"/>
  <c r="D1770" i="1"/>
  <c r="M1770" i="1" s="1"/>
  <c r="E1770" i="1"/>
  <c r="D1771" i="1"/>
  <c r="M1771" i="1" s="1"/>
  <c r="D1776" i="1"/>
  <c r="M1776" i="1" s="1"/>
  <c r="E1776" i="1"/>
  <c r="D1777" i="1"/>
  <c r="M1777" i="1" s="1"/>
  <c r="D1783" i="1"/>
  <c r="E1783" i="1"/>
  <c r="D1784" i="1"/>
  <c r="D1787" i="1"/>
  <c r="M1787" i="1" s="1"/>
  <c r="E1787" i="1"/>
  <c r="D1788" i="1"/>
  <c r="M1788" i="1" s="1"/>
  <c r="D1792" i="1"/>
  <c r="E1792" i="1"/>
  <c r="D1793" i="1"/>
  <c r="D1796" i="1"/>
  <c r="E1796" i="1"/>
  <c r="D1797" i="1"/>
  <c r="D1800" i="1"/>
  <c r="E1800" i="1"/>
  <c r="D1801" i="1"/>
  <c r="D1804" i="1"/>
  <c r="M1804" i="1" s="1"/>
  <c r="E1804" i="1"/>
  <c r="D1805" i="1"/>
  <c r="M1805" i="1" s="1"/>
  <c r="D1810" i="1"/>
  <c r="M1810" i="1" s="1"/>
  <c r="E1810" i="1"/>
  <c r="D1811" i="1"/>
  <c r="M1811" i="1" s="1"/>
  <c r="D1816" i="1"/>
  <c r="E1816" i="1"/>
  <c r="D1817" i="1"/>
  <c r="D1820" i="1"/>
  <c r="E1820" i="1"/>
  <c r="D1821" i="1"/>
  <c r="D1824" i="1"/>
  <c r="D1825" i="1"/>
  <c r="D1829" i="1"/>
  <c r="M1829" i="1" s="1"/>
  <c r="E1829" i="1"/>
  <c r="D1830" i="1"/>
  <c r="M1830" i="1" s="1"/>
  <c r="D1834" i="1"/>
  <c r="E1834" i="1"/>
  <c r="D1835" i="1"/>
  <c r="D1838" i="1"/>
  <c r="E1838" i="1"/>
  <c r="D1839" i="1"/>
  <c r="D1842" i="1"/>
  <c r="E1842" i="1"/>
  <c r="D1843" i="1"/>
  <c r="D1846" i="1"/>
  <c r="E1846" i="1"/>
  <c r="D1847" i="1"/>
  <c r="D1850" i="1"/>
  <c r="E1850" i="1"/>
  <c r="D1851" i="1"/>
  <c r="E1854" i="1"/>
  <c r="D1856" i="1"/>
  <c r="M1856" i="1" s="1"/>
  <c r="D1859" i="1"/>
  <c r="M1859" i="1" s="1"/>
  <c r="D1860" i="1"/>
  <c r="M1860" i="1" s="1"/>
  <c r="E1860" i="1"/>
  <c r="D1861" i="1"/>
  <c r="M1861" i="1" s="1"/>
  <c r="D1868" i="1"/>
  <c r="M1868" i="1" s="1"/>
  <c r="E1868" i="1"/>
  <c r="D1869" i="1"/>
  <c r="M1869" i="1" s="1"/>
  <c r="D1875" i="1"/>
  <c r="E1875" i="1"/>
  <c r="D1876" i="1"/>
  <c r="M1876" i="1" s="1"/>
  <c r="D1880" i="1"/>
  <c r="E1880" i="1"/>
  <c r="D1881" i="1"/>
  <c r="D1884" i="1"/>
  <c r="M1884" i="1" s="1"/>
  <c r="E1885" i="1"/>
  <c r="D1886" i="1"/>
  <c r="D1890" i="1"/>
  <c r="M1890" i="1" s="1"/>
  <c r="E1891" i="1"/>
  <c r="D1893" i="1"/>
  <c r="M1893" i="1" s="1"/>
  <c r="D1896" i="1"/>
  <c r="M1896" i="1" s="1"/>
  <c r="D1897" i="1"/>
  <c r="E1897" i="1"/>
  <c r="D1898" i="1"/>
  <c r="D1902" i="1"/>
  <c r="E1902" i="1"/>
  <c r="E1909" i="1"/>
  <c r="F1910" i="1"/>
  <c r="D1917" i="1"/>
  <c r="M1917" i="1" s="1"/>
  <c r="E1917" i="1"/>
  <c r="E1918" i="1"/>
  <c r="D1933" i="1"/>
  <c r="M1933" i="1" s="1"/>
  <c r="E1933" i="1"/>
  <c r="D1934" i="1"/>
  <c r="M1934" i="1" s="1"/>
  <c r="E1934" i="1"/>
  <c r="D1948" i="1"/>
  <c r="M1948" i="1" s="1"/>
  <c r="E1948" i="1"/>
  <c r="D1949" i="1"/>
  <c r="M1949" i="1" s="1"/>
  <c r="E1949" i="1"/>
  <c r="E1958" i="1"/>
  <c r="E1959" i="1"/>
  <c r="D1964" i="1"/>
  <c r="M1964" i="1" s="1"/>
  <c r="E1985" i="1"/>
  <c r="E1986" i="1"/>
  <c r="D1989" i="1"/>
  <c r="M1989" i="1" s="1"/>
  <c r="E1994" i="1"/>
  <c r="E1995" i="1"/>
  <c r="D2012" i="1"/>
  <c r="M2012" i="1" s="1"/>
  <c r="E2012" i="1"/>
  <c r="E2013" i="1"/>
  <c r="E2026" i="1"/>
  <c r="E2027" i="1"/>
  <c r="D2029" i="1"/>
  <c r="M2029" i="1" s="1"/>
  <c r="D2041" i="1"/>
  <c r="M2041" i="1" s="1"/>
  <c r="D2038" i="1"/>
  <c r="M2038" i="1" s="1"/>
  <c r="D2049" i="1"/>
  <c r="M2049" i="1" s="1"/>
  <c r="E2049" i="1"/>
  <c r="D2050" i="1"/>
  <c r="M2050" i="1" s="1"/>
  <c r="E2050" i="1"/>
  <c r="E2057" i="1"/>
  <c r="E2058" i="1"/>
  <c r="D2065" i="1"/>
  <c r="M2065" i="1" s="1"/>
  <c r="D2071" i="1"/>
  <c r="M2071" i="1" s="1"/>
  <c r="E2071" i="1"/>
  <c r="D2072" i="1"/>
  <c r="M2072" i="1" s="1"/>
  <c r="E2072" i="1"/>
  <c r="D2082" i="1"/>
  <c r="M2082" i="1" s="1"/>
  <c r="D2083" i="1"/>
  <c r="M2083" i="1" s="1"/>
  <c r="D2084" i="1"/>
  <c r="M2084" i="1" s="1"/>
  <c r="D2088" i="1"/>
  <c r="M2088" i="1" s="1"/>
  <c r="D2093" i="1"/>
  <c r="M2093" i="1" s="1"/>
  <c r="E2104" i="1"/>
  <c r="E2105" i="1"/>
  <c r="D2106" i="1"/>
  <c r="M2106" i="1" s="1"/>
  <c r="E2110" i="1"/>
  <c r="E2111" i="1"/>
  <c r="D2112" i="1"/>
  <c r="M2112" i="1" s="1"/>
  <c r="E2117" i="1"/>
  <c r="E2118" i="1"/>
  <c r="D2119" i="1"/>
  <c r="M2119" i="1" s="1"/>
  <c r="E2123" i="1"/>
  <c r="E2124" i="1"/>
  <c r="D2125" i="1"/>
  <c r="M2125" i="1" s="1"/>
  <c r="E2131" i="1"/>
  <c r="D2133" i="1"/>
  <c r="M2133" i="1" s="1"/>
  <c r="E2138" i="1"/>
  <c r="E2139" i="1"/>
  <c r="D2140" i="1"/>
  <c r="M2140" i="1" s="1"/>
  <c r="E2146" i="1"/>
  <c r="E2147" i="1"/>
  <c r="D2148" i="1"/>
  <c r="M2148" i="1" s="1"/>
  <c r="E2154" i="1"/>
  <c r="E2155" i="1"/>
  <c r="D2156" i="1"/>
  <c r="M2156" i="1" s="1"/>
  <c r="E2159" i="1"/>
  <c r="E2160" i="1"/>
  <c r="D2161" i="1"/>
  <c r="M2161" i="1" s="1"/>
  <c r="E2167" i="1"/>
  <c r="E2168" i="1"/>
  <c r="D2169" i="1"/>
  <c r="M2169" i="1" s="1"/>
  <c r="E2174" i="1"/>
  <c r="E2175" i="1"/>
  <c r="D2176" i="1"/>
  <c r="M2176" i="1" s="1"/>
  <c r="E2181" i="1"/>
  <c r="E2182" i="1"/>
  <c r="D2183" i="1"/>
  <c r="M2183" i="1" s="1"/>
  <c r="D2290" i="1"/>
  <c r="F2289" i="1"/>
  <c r="D2289" i="1"/>
  <c r="D2288" i="1"/>
  <c r="D2287" i="1"/>
  <c r="F2255" i="1"/>
  <c r="N2255" i="1" s="1"/>
  <c r="F2246" i="1"/>
  <c r="N2246" i="1" s="1"/>
  <c r="F2232" i="1"/>
  <c r="N2232" i="1" s="1"/>
  <c r="F2230" i="1"/>
  <c r="D2229" i="1"/>
  <c r="E2228" i="1"/>
  <c r="D2228" i="1"/>
  <c r="F2227" i="1"/>
  <c r="N2227" i="1" s="1"/>
  <c r="F2226" i="1"/>
  <c r="N2226" i="1" s="1"/>
  <c r="F2225" i="1"/>
  <c r="E2224" i="1"/>
  <c r="D2224" i="1"/>
  <c r="M2224" i="1" s="1"/>
  <c r="E2223" i="1"/>
  <c r="D2223" i="1"/>
  <c r="M2223" i="1" s="1"/>
  <c r="F2222" i="1"/>
  <c r="N2222" i="1" s="1"/>
  <c r="D2219" i="1"/>
  <c r="M2219" i="1" s="1"/>
  <c r="E2217" i="1"/>
  <c r="F2216" i="1"/>
  <c r="N2216" i="1" s="1"/>
  <c r="D2215" i="1"/>
  <c r="M2215" i="1" s="1"/>
  <c r="E2213" i="1"/>
  <c r="F2212" i="1"/>
  <c r="N2212" i="1" s="1"/>
  <c r="F2211" i="1"/>
  <c r="N2211" i="1" s="1"/>
  <c r="D2209" i="1"/>
  <c r="M2209" i="1" s="1"/>
  <c r="E2208" i="1"/>
  <c r="E2207" i="1"/>
  <c r="F2206" i="1"/>
  <c r="N2206" i="1" s="1"/>
  <c r="F2203" i="1"/>
  <c r="D2202" i="1"/>
  <c r="M2202" i="1" s="1"/>
  <c r="E2200" i="1"/>
  <c r="F2199" i="1"/>
  <c r="N2199" i="1" s="1"/>
  <c r="F2198" i="1"/>
  <c r="F2197" i="1"/>
  <c r="D2196" i="1"/>
  <c r="M2196" i="1" s="1"/>
  <c r="E2195" i="1"/>
  <c r="D2195" i="1"/>
  <c r="M2195" i="1" s="1"/>
  <c r="F2194" i="1"/>
  <c r="N2194" i="1" s="1"/>
  <c r="F2190" i="1"/>
  <c r="N2190" i="1" s="1"/>
  <c r="F2189" i="1"/>
  <c r="N2189" i="1" s="1"/>
  <c r="F2191" i="1"/>
  <c r="D2188" i="1"/>
  <c r="M2188" i="1" s="1"/>
  <c r="E2186" i="1"/>
  <c r="F2184" i="1"/>
  <c r="N2184" i="1" s="1"/>
  <c r="F2179" i="1"/>
  <c r="N2179" i="1" s="1"/>
  <c r="F2177" i="1"/>
  <c r="F2172" i="1"/>
  <c r="N2172" i="1" s="1"/>
  <c r="F2166" i="1"/>
  <c r="N2166" i="1" s="1"/>
  <c r="F2162" i="1"/>
  <c r="N2162" i="1" s="1"/>
  <c r="F2163" i="1"/>
  <c r="N2163" i="1" s="1"/>
  <c r="F2157" i="1"/>
  <c r="N2157" i="1" s="1"/>
  <c r="F2152" i="1"/>
  <c r="N2152" i="1" s="1"/>
  <c r="F2151" i="1"/>
  <c r="N2151" i="1" s="1"/>
  <c r="F2149" i="1"/>
  <c r="N2149" i="1" s="1"/>
  <c r="F2145" i="1"/>
  <c r="N2145" i="1" s="1"/>
  <c r="F2144" i="1"/>
  <c r="N2144" i="1" s="1"/>
  <c r="F2143" i="1"/>
  <c r="N2143" i="1" s="1"/>
  <c r="F2141" i="1"/>
  <c r="F2137" i="1"/>
  <c r="N2137" i="1" s="1"/>
  <c r="F2134" i="1"/>
  <c r="F2129" i="1"/>
  <c r="N2129" i="1" s="1"/>
  <c r="F2128" i="1"/>
  <c r="N2128" i="1" s="1"/>
  <c r="F2126" i="1"/>
  <c r="F2121" i="1"/>
  <c r="N2121" i="1" s="1"/>
  <c r="F2115" i="1"/>
  <c r="N2115" i="1" s="1"/>
  <c r="F2113" i="1"/>
  <c r="F2109" i="1"/>
  <c r="N2109" i="1" s="1"/>
  <c r="F2107" i="1"/>
  <c r="N2107" i="1" s="1"/>
  <c r="F2103" i="1"/>
  <c r="N2103" i="1" s="1"/>
  <c r="F2102" i="1"/>
  <c r="N2102" i="1" s="1"/>
  <c r="F2092" i="1"/>
  <c r="N2092" i="1" s="1"/>
  <c r="F2091" i="1"/>
  <c r="F2090" i="1"/>
  <c r="F2089" i="1"/>
  <c r="F2100" i="1"/>
  <c r="F2099" i="1"/>
  <c r="F2087" i="1"/>
  <c r="F2101" i="1"/>
  <c r="N2101" i="1" s="1"/>
  <c r="F2095" i="1"/>
  <c r="N2095" i="1" s="1"/>
  <c r="F2086" i="1"/>
  <c r="F2085" i="1"/>
  <c r="F2081" i="1"/>
  <c r="F2077" i="1"/>
  <c r="N2077" i="1" s="1"/>
  <c r="F2075" i="1"/>
  <c r="F2074" i="1"/>
  <c r="F2073" i="1"/>
  <c r="F2069" i="1"/>
  <c r="N2069" i="1" s="1"/>
  <c r="F2068" i="1"/>
  <c r="N2068" i="1" s="1"/>
  <c r="F2066" i="1"/>
  <c r="F2064" i="1"/>
  <c r="N2064" i="1" s="1"/>
  <c r="F2063" i="1"/>
  <c r="F2062" i="1"/>
  <c r="F2061" i="1"/>
  <c r="F2060" i="1"/>
  <c r="F2059" i="1"/>
  <c r="F2056" i="1"/>
  <c r="N2056" i="1" s="1"/>
  <c r="F2055" i="1"/>
  <c r="N2055" i="1" s="1"/>
  <c r="F2054" i="1"/>
  <c r="N2054" i="1" s="1"/>
  <c r="F2053" i="1"/>
  <c r="F2052" i="1"/>
  <c r="F2051" i="1"/>
  <c r="F2047" i="1"/>
  <c r="N2047" i="1" s="1"/>
  <c r="F2046" i="1"/>
  <c r="N2046" i="1" s="1"/>
  <c r="F2045" i="1"/>
  <c r="N2045" i="1" s="1"/>
  <c r="F2042" i="1"/>
  <c r="N2042" i="1" s="1"/>
  <c r="F2037" i="1"/>
  <c r="F2044" i="1"/>
  <c r="F2043" i="1"/>
  <c r="F2036" i="1"/>
  <c r="F2035" i="1"/>
  <c r="N2035" i="1" s="1"/>
  <c r="F2034" i="1"/>
  <c r="F2040" i="1"/>
  <c r="F2033" i="1"/>
  <c r="F2032" i="1"/>
  <c r="F2031" i="1"/>
  <c r="F2028" i="1"/>
  <c r="F2024" i="1"/>
  <c r="N2024" i="1" s="1"/>
  <c r="F2020" i="1"/>
  <c r="N2020" i="1" s="1"/>
  <c r="F2022" i="1"/>
  <c r="F2019" i="1"/>
  <c r="N2019" i="1" s="1"/>
  <c r="F2018" i="1"/>
  <c r="F2021" i="1"/>
  <c r="F2017" i="1"/>
  <c r="F2016" i="1"/>
  <c r="F2015" i="1"/>
  <c r="F2014" i="1"/>
  <c r="F2011" i="1"/>
  <c r="N2011" i="1" s="1"/>
  <c r="F2010" i="1"/>
  <c r="N2010" i="1" s="1"/>
  <c r="F2009" i="1"/>
  <c r="N2009" i="1" s="1"/>
  <c r="F2007" i="1"/>
  <c r="F2006" i="1"/>
  <c r="N2006" i="1" s="1"/>
  <c r="F2002" i="1"/>
  <c r="F2001" i="1"/>
  <c r="N2001" i="1" s="1"/>
  <c r="F2000" i="1"/>
  <c r="F1999" i="1"/>
  <c r="F1998" i="1"/>
  <c r="F1997" i="1"/>
  <c r="F1996" i="1"/>
  <c r="F1993" i="1"/>
  <c r="N1993" i="1" s="1"/>
  <c r="F1992" i="1"/>
  <c r="N1992" i="1" s="1"/>
  <c r="F1991" i="1"/>
  <c r="F1990" i="1"/>
  <c r="F1988" i="1"/>
  <c r="N1988" i="1" s="1"/>
  <c r="F1987" i="1"/>
  <c r="F1983" i="1"/>
  <c r="N1983" i="1" s="1"/>
  <c r="F1982" i="1"/>
  <c r="N1982" i="1" s="1"/>
  <c r="F1979" i="1"/>
  <c r="N1979" i="1" s="1"/>
  <c r="F1978" i="1"/>
  <c r="F1977" i="1"/>
  <c r="F1976" i="1"/>
  <c r="F1975" i="1"/>
  <c r="F1980" i="1"/>
  <c r="N1980" i="1" s="1"/>
  <c r="F1974" i="1"/>
  <c r="F1972" i="1"/>
  <c r="F1971" i="1"/>
  <c r="F1970" i="1"/>
  <c r="F1969" i="1"/>
  <c r="F1968" i="1"/>
  <c r="F1967" i="1"/>
  <c r="F1966" i="1"/>
  <c r="F1965" i="1"/>
  <c r="F1981" i="1"/>
  <c r="F1963" i="1"/>
  <c r="F1962" i="1"/>
  <c r="F1961" i="1"/>
  <c r="F1960" i="1"/>
  <c r="F1957" i="1"/>
  <c r="N1957" i="1" s="1"/>
  <c r="F1956" i="1"/>
  <c r="N1956" i="1" s="1"/>
  <c r="F1954" i="1"/>
  <c r="N1954" i="1" s="1"/>
  <c r="F1955" i="1"/>
  <c r="N1955" i="1" s="1"/>
  <c r="F1953" i="1"/>
  <c r="N1953" i="1" s="1"/>
  <c r="F1952" i="1"/>
  <c r="F1951" i="1"/>
  <c r="F1950" i="1"/>
  <c r="F1946" i="1"/>
  <c r="N1946" i="1" s="1"/>
  <c r="F1945" i="1"/>
  <c r="N1945" i="1" s="1"/>
  <c r="F1944" i="1"/>
  <c r="N1944" i="1" s="1"/>
  <c r="F1943" i="1"/>
  <c r="N1943" i="1" s="1"/>
  <c r="F1941" i="1"/>
  <c r="F1940" i="1"/>
  <c r="F1939" i="1"/>
  <c r="F1938" i="1"/>
  <c r="F1937" i="1"/>
  <c r="F1936" i="1"/>
  <c r="F1935" i="1"/>
  <c r="F1932" i="1"/>
  <c r="N1932" i="1" s="1"/>
  <c r="F1931" i="1"/>
  <c r="N1931" i="1" s="1"/>
  <c r="F1929" i="1"/>
  <c r="N1929" i="1" s="1"/>
  <c r="F1926" i="1"/>
  <c r="F1925" i="1"/>
  <c r="F1924" i="1"/>
  <c r="F1923" i="1"/>
  <c r="F1922" i="1"/>
  <c r="F1921" i="1"/>
  <c r="F1920" i="1"/>
  <c r="F1919" i="1"/>
  <c r="F1914" i="1"/>
  <c r="F1911" i="1"/>
  <c r="F1908" i="1"/>
  <c r="N1908" i="1" s="1"/>
  <c r="F1906" i="1"/>
  <c r="F1907" i="1"/>
  <c r="F1904" i="1"/>
  <c r="F1901" i="1"/>
  <c r="N1901" i="1" s="1"/>
  <c r="F1900" i="1"/>
  <c r="F1899" i="1"/>
  <c r="F1895" i="1"/>
  <c r="F1894" i="1"/>
  <c r="F1889" i="1"/>
  <c r="F1888" i="1"/>
  <c r="F1887" i="1"/>
  <c r="F1883" i="1"/>
  <c r="F1882" i="1"/>
  <c r="F1878" i="1"/>
  <c r="F1877" i="1"/>
  <c r="F1874" i="1"/>
  <c r="N1874" i="1" s="1"/>
  <c r="F1873" i="1"/>
  <c r="N1873" i="1" s="1"/>
  <c r="F1872" i="1"/>
  <c r="F1870" i="1"/>
  <c r="F1867" i="1"/>
  <c r="N1867" i="1" s="1"/>
  <c r="F1866" i="1"/>
  <c r="F1865" i="1"/>
  <c r="F1864" i="1"/>
  <c r="F1862" i="1"/>
  <c r="F1858" i="1"/>
  <c r="F1853" i="1"/>
  <c r="N1853" i="1" s="1"/>
  <c r="F1852" i="1"/>
  <c r="F1849" i="1"/>
  <c r="N1849" i="1" s="1"/>
  <c r="F1848" i="1"/>
  <c r="F1845" i="1"/>
  <c r="N1845" i="1" s="1"/>
  <c r="F1844" i="1"/>
  <c r="F1841" i="1"/>
  <c r="N1841" i="1" s="1"/>
  <c r="F1840" i="1"/>
  <c r="F1837" i="1"/>
  <c r="N1837" i="1" s="1"/>
  <c r="F1836" i="1"/>
  <c r="F1832" i="1"/>
  <c r="N1832" i="1" s="1"/>
  <c r="F1831" i="1"/>
  <c r="F1828" i="1"/>
  <c r="N1828" i="1" s="1"/>
  <c r="F1826" i="1"/>
  <c r="F1823" i="1"/>
  <c r="N1823" i="1" s="1"/>
  <c r="F1822" i="1"/>
  <c r="F1819" i="1"/>
  <c r="N1819" i="1" s="1"/>
  <c r="F1818" i="1"/>
  <c r="F1815" i="1"/>
  <c r="N1815" i="1" s="1"/>
  <c r="F1814" i="1"/>
  <c r="N1814" i="1" s="1"/>
  <c r="F1812" i="1"/>
  <c r="F1809" i="1"/>
  <c r="N1809" i="1" s="1"/>
  <c r="F1808" i="1"/>
  <c r="F1806" i="1"/>
  <c r="F1803" i="1"/>
  <c r="N1803" i="1" s="1"/>
  <c r="F1802" i="1"/>
  <c r="F1799" i="1"/>
  <c r="N1799" i="1" s="1"/>
  <c r="F1798" i="1"/>
  <c r="F1794" i="1"/>
  <c r="F1790" i="1"/>
  <c r="F1789" i="1"/>
  <c r="F1786" i="1"/>
  <c r="N1786" i="1" s="1"/>
  <c r="F1785" i="1"/>
  <c r="F1782" i="1"/>
  <c r="N1782" i="1" s="1"/>
  <c r="F1781" i="1"/>
  <c r="F1778" i="1"/>
  <c r="F1775" i="1"/>
  <c r="N1775" i="1" s="1"/>
  <c r="F1774" i="1"/>
  <c r="F1772" i="1"/>
  <c r="F1768" i="1"/>
  <c r="F1767" i="1"/>
  <c r="F1766" i="1"/>
  <c r="F1763" i="1"/>
  <c r="N1763" i="1" s="1"/>
  <c r="F1762" i="1"/>
  <c r="N1762" i="1" s="1"/>
  <c r="F1760" i="1"/>
  <c r="F1759" i="1"/>
  <c r="F1758" i="1"/>
  <c r="F1754" i="1"/>
  <c r="N1754" i="1" s="1"/>
  <c r="F1747" i="1"/>
  <c r="N1747" i="1" s="1"/>
  <c r="F1751" i="1"/>
  <c r="N1751" i="1" s="1"/>
  <c r="F1752" i="1"/>
  <c r="N1752" i="1" s="1"/>
  <c r="F1749" i="1"/>
  <c r="N1749" i="1" s="1"/>
  <c r="F1744" i="1"/>
  <c r="N1744" i="1" s="1"/>
  <c r="F1741" i="1"/>
  <c r="N1741" i="1" s="1"/>
  <c r="F1740" i="1"/>
  <c r="N1740" i="1" s="1"/>
  <c r="F1739" i="1"/>
  <c r="N1739" i="1" s="1"/>
  <c r="F1738" i="1"/>
  <c r="N1738" i="1" s="1"/>
  <c r="F1737" i="1"/>
  <c r="F1736" i="1"/>
  <c r="N1736" i="1" s="1"/>
  <c r="F1735" i="1"/>
  <c r="F1734" i="1"/>
  <c r="F1731" i="1"/>
  <c r="N1731" i="1" s="1"/>
  <c r="F1729" i="1"/>
  <c r="F1727" i="1"/>
  <c r="F1728" i="1"/>
  <c r="F1726" i="1"/>
  <c r="F1721" i="1"/>
  <c r="F1720" i="1"/>
  <c r="F1718" i="1"/>
  <c r="F1715" i="1"/>
  <c r="N1715" i="1" s="1"/>
  <c r="F1713" i="1"/>
  <c r="F1712" i="1"/>
  <c r="F1709" i="1"/>
  <c r="F1706" i="1"/>
  <c r="N1706" i="1" s="1"/>
  <c r="F1704" i="1"/>
  <c r="F1703" i="1"/>
  <c r="F1702" i="1"/>
  <c r="F1699" i="1"/>
  <c r="N1699" i="1" s="1"/>
  <c r="F1698" i="1"/>
  <c r="N1698" i="1" s="1"/>
  <c r="F1695" i="1"/>
  <c r="F1697" i="1"/>
  <c r="F1696" i="1"/>
  <c r="F1694" i="1"/>
  <c r="F1692" i="1"/>
  <c r="F1689" i="1"/>
  <c r="N1689" i="1" s="1"/>
  <c r="F1688" i="1"/>
  <c r="F1687" i="1"/>
  <c r="F1686" i="1"/>
  <c r="F1682" i="1"/>
  <c r="N1682" i="1" s="1"/>
  <c r="F1678" i="1"/>
  <c r="F1674" i="1"/>
  <c r="N1674" i="1" s="1"/>
  <c r="F1672" i="1"/>
  <c r="F1669" i="1"/>
  <c r="N1669" i="1" s="1"/>
  <c r="F1668" i="1"/>
  <c r="N1668" i="1" s="1"/>
  <c r="F1665" i="1"/>
  <c r="F1664" i="1"/>
  <c r="F1660" i="1"/>
  <c r="N1660" i="1" s="1"/>
  <c r="F1657" i="1"/>
  <c r="F1658" i="1"/>
  <c r="F1656" i="1"/>
  <c r="F1653" i="1"/>
  <c r="N1653" i="1" s="1"/>
  <c r="F1652" i="1"/>
  <c r="F1650" i="1"/>
  <c r="F1647" i="1"/>
  <c r="N1647" i="1" s="1"/>
  <c r="F1646" i="1"/>
  <c r="F1645" i="1"/>
  <c r="F1642" i="1"/>
  <c r="N1642" i="1" s="1"/>
  <c r="F1639" i="1"/>
  <c r="N1639" i="1" s="1"/>
  <c r="F1640" i="1"/>
  <c r="F1638" i="1"/>
  <c r="F1635" i="1"/>
  <c r="N1635" i="1" s="1"/>
  <c r="F1632" i="1"/>
  <c r="N1632" i="1" s="1"/>
  <c r="F1633" i="1"/>
  <c r="F1630" i="1"/>
  <c r="F1629" i="1"/>
  <c r="F1626" i="1"/>
  <c r="N1626" i="1" s="1"/>
  <c r="F1625" i="1"/>
  <c r="N1625" i="1" s="1"/>
  <c r="F1623" i="1"/>
  <c r="F1622" i="1"/>
  <c r="F1621" i="1"/>
  <c r="F1620" i="1"/>
  <c r="F1617" i="1"/>
  <c r="N1617" i="1" s="1"/>
  <c r="F1616" i="1"/>
  <c r="N1616" i="1" s="1"/>
  <c r="F1615" i="1"/>
  <c r="F1612" i="1"/>
  <c r="F1611" i="1"/>
  <c r="F1610" i="1"/>
  <c r="F1609" i="1"/>
  <c r="F1606" i="1"/>
  <c r="N1606" i="1" s="1"/>
  <c r="F1605" i="1"/>
  <c r="N1605" i="1" s="1"/>
  <c r="F1603" i="1"/>
  <c r="F1602" i="1"/>
  <c r="F1601" i="1"/>
  <c r="F1598" i="1"/>
  <c r="N1598" i="1" s="1"/>
  <c r="F1596" i="1"/>
  <c r="F1595" i="1"/>
  <c r="F1591" i="1"/>
  <c r="N1591" i="1" s="1"/>
  <c r="F1588" i="1"/>
  <c r="N1588" i="1" s="1"/>
  <c r="F1589" i="1"/>
  <c r="F1587" i="1"/>
  <c r="F1581" i="1"/>
  <c r="N1581" i="1" s="1"/>
  <c r="F1583" i="1"/>
  <c r="N1583" i="1" s="1"/>
  <c r="F1580" i="1"/>
  <c r="N1580" i="1" s="1"/>
  <c r="F1577" i="1"/>
  <c r="N1577" i="1" s="1"/>
  <c r="F1574" i="1"/>
  <c r="F1573" i="1"/>
  <c r="F1569" i="1"/>
  <c r="N1569" i="1" s="1"/>
  <c r="F1568" i="1"/>
  <c r="F1566" i="1"/>
  <c r="F1565" i="1"/>
  <c r="F1561" i="1"/>
  <c r="N1561" i="1" s="1"/>
  <c r="F1559" i="1"/>
  <c r="N1559" i="1" s="1"/>
  <c r="F1558" i="1"/>
  <c r="F1557" i="1"/>
  <c r="F1560" i="1"/>
  <c r="F1556" i="1"/>
  <c r="F1555" i="1"/>
  <c r="F1549" i="1"/>
  <c r="N1549" i="1" s="1"/>
  <c r="F1546" i="1"/>
  <c r="F1545" i="1"/>
  <c r="F1544" i="1"/>
  <c r="F1535" i="1"/>
  <c r="N1535" i="1" s="1"/>
  <c r="F1534" i="1"/>
  <c r="F1533" i="1"/>
  <c r="F1532" i="1"/>
  <c r="F1528" i="1"/>
  <c r="N1528" i="1" s="1"/>
  <c r="F1524" i="1"/>
  <c r="N1524" i="1" s="1"/>
  <c r="F1523" i="1"/>
  <c r="F1522" i="1"/>
  <c r="F1521" i="1"/>
  <c r="F1518" i="1"/>
  <c r="N1518" i="1" s="1"/>
  <c r="F1513" i="1"/>
  <c r="F1516" i="1"/>
  <c r="N1516" i="1" s="1"/>
  <c r="F1515" i="1"/>
  <c r="N1515" i="1" s="1"/>
  <c r="F1512" i="1"/>
  <c r="F1514" i="1"/>
  <c r="N1514" i="1" s="1"/>
  <c r="F1510" i="1"/>
  <c r="F1507" i="1"/>
  <c r="N1507" i="1" s="1"/>
  <c r="F1506" i="1"/>
  <c r="N1506" i="1" s="1"/>
  <c r="F1504" i="1"/>
  <c r="N1504" i="1" s="1"/>
  <c r="F1503" i="1"/>
  <c r="F1505" i="1"/>
  <c r="F1502" i="1"/>
  <c r="F1501" i="1"/>
  <c r="F1497" i="1"/>
  <c r="N1497" i="1" s="1"/>
  <c r="F1495" i="1"/>
  <c r="N1495" i="1" s="1"/>
  <c r="F1492" i="1"/>
  <c r="N1492" i="1" s="1"/>
  <c r="F1491" i="1"/>
  <c r="N1491" i="1" s="1"/>
  <c r="F1490" i="1"/>
  <c r="N1490" i="1" s="1"/>
  <c r="F1494" i="1"/>
  <c r="N1494" i="1" s="1"/>
  <c r="F1493" i="1"/>
  <c r="N1493" i="1" s="1"/>
  <c r="F1489" i="1"/>
  <c r="F1486" i="1"/>
  <c r="N1486" i="1" s="1"/>
  <c r="F1481" i="1"/>
  <c r="N1481" i="1" s="1"/>
  <c r="F1478" i="1"/>
  <c r="N1478" i="1" s="1"/>
  <c r="F1483" i="1"/>
  <c r="N1483" i="1" s="1"/>
  <c r="F1480" i="1"/>
  <c r="N1480" i="1" s="1"/>
  <c r="F1477" i="1"/>
  <c r="N1477" i="1" s="1"/>
  <c r="F1476" i="1"/>
  <c r="F1473" i="1"/>
  <c r="N1473" i="1" s="1"/>
  <c r="F1471" i="1"/>
  <c r="F1470" i="1"/>
  <c r="F1464" i="1"/>
  <c r="N1464" i="1" s="1"/>
  <c r="F1465" i="1"/>
  <c r="N1465" i="1" s="1"/>
  <c r="F1463" i="1"/>
  <c r="N1463" i="1" s="1"/>
  <c r="F1461" i="1"/>
  <c r="F1457" i="1"/>
  <c r="N1457" i="1" s="1"/>
  <c r="F1455" i="1"/>
  <c r="N1455" i="1" s="1"/>
  <c r="F1454" i="1"/>
  <c r="F1452" i="1"/>
  <c r="F1453" i="1"/>
  <c r="F1451" i="1"/>
  <c r="F1448" i="1"/>
  <c r="N1448" i="1" s="1"/>
  <c r="F1445" i="1"/>
  <c r="N1445" i="1" s="1"/>
  <c r="F1447" i="1"/>
  <c r="F1443" i="1"/>
  <c r="F1440" i="1"/>
  <c r="N1440" i="1" s="1"/>
  <c r="F1437" i="1"/>
  <c r="F1436" i="1"/>
  <c r="N1436" i="1" s="1"/>
  <c r="F1435" i="1"/>
  <c r="F1434" i="1"/>
  <c r="F1433" i="1"/>
  <c r="F1432" i="1"/>
  <c r="F1431" i="1"/>
  <c r="F1430" i="1"/>
  <c r="F1429" i="1"/>
  <c r="F1421" i="1"/>
  <c r="N1421" i="1" s="1"/>
  <c r="F1420" i="1"/>
  <c r="F1417" i="1"/>
  <c r="N1417" i="1" s="1"/>
  <c r="F1422" i="1"/>
  <c r="N1422" i="1" s="1"/>
  <c r="F1419" i="1"/>
  <c r="F1416" i="1"/>
  <c r="F1409" i="1"/>
  <c r="F1407" i="1"/>
  <c r="F1404" i="1"/>
  <c r="N1404" i="1" s="1"/>
  <c r="F1399" i="1"/>
  <c r="F1401" i="1"/>
  <c r="F1397" i="1"/>
  <c r="F1396" i="1"/>
  <c r="F1395" i="1"/>
  <c r="F1389" i="1"/>
  <c r="F1387" i="1"/>
  <c r="F1380" i="1"/>
  <c r="N1380" i="1" s="1"/>
  <c r="F1379" i="1"/>
  <c r="F1381" i="1"/>
  <c r="F1377" i="1"/>
  <c r="F1376" i="1"/>
  <c r="F1375" i="1"/>
  <c r="F1374" i="1"/>
  <c r="F1368" i="1"/>
  <c r="F1365" i="1"/>
  <c r="F1355" i="1"/>
  <c r="F1353" i="1"/>
  <c r="N1353" i="1" s="1"/>
  <c r="F1352" i="1"/>
  <c r="F1351" i="1"/>
  <c r="F1357" i="1"/>
  <c r="F1356" i="1"/>
  <c r="N1356" i="1" s="1"/>
  <c r="F1349" i="1"/>
  <c r="F1343" i="1"/>
  <c r="F1342" i="1"/>
  <c r="F1341" i="1"/>
  <c r="F1340" i="1"/>
  <c r="F1339" i="1"/>
  <c r="F1336" i="1"/>
  <c r="N1336" i="1" s="1"/>
  <c r="F1331" i="1"/>
  <c r="N1331" i="1" s="1"/>
  <c r="F1330" i="1"/>
  <c r="F1334" i="1"/>
  <c r="N1334" i="1" s="1"/>
  <c r="F1326" i="1"/>
  <c r="F1327" i="1"/>
  <c r="F1332" i="1"/>
  <c r="N1332" i="1" s="1"/>
  <c r="F1325" i="1"/>
  <c r="F1324" i="1"/>
  <c r="F1322" i="1"/>
  <c r="N1322" i="1" s="1"/>
  <c r="F1316" i="1"/>
  <c r="F1314" i="1"/>
  <c r="F1313" i="1"/>
  <c r="F1318" i="1"/>
  <c r="F1312" i="1"/>
  <c r="F1305" i="1"/>
  <c r="F1307" i="1"/>
  <c r="F1304" i="1"/>
  <c r="F1303" i="1"/>
  <c r="F1302" i="1"/>
  <c r="F1301" i="1"/>
  <c r="F1300" i="1"/>
  <c r="F1293" i="1"/>
  <c r="N1293" i="1" s="1"/>
  <c r="F1292" i="1"/>
  <c r="F1290" i="1"/>
  <c r="F1289" i="1"/>
  <c r="F1291" i="1"/>
  <c r="F1294" i="1"/>
  <c r="N1294" i="1" s="1"/>
  <c r="F1287" i="1"/>
  <c r="F1284" i="1"/>
  <c r="N1284" i="1" s="1"/>
  <c r="F1280" i="1"/>
  <c r="N1280" i="1" s="1"/>
  <c r="F1279" i="1"/>
  <c r="F1277" i="1"/>
  <c r="F1276" i="1"/>
  <c r="F1275" i="1"/>
  <c r="F1273" i="1"/>
  <c r="N1273" i="1" s="1"/>
  <c r="F1272" i="1"/>
  <c r="N1272" i="1" s="1"/>
  <c r="F1266" i="1"/>
  <c r="F1262" i="1"/>
  <c r="N1262" i="1" s="1"/>
  <c r="F1261" i="1"/>
  <c r="N1261" i="1" s="1"/>
  <c r="F1269" i="1"/>
  <c r="N1269" i="1" s="1"/>
  <c r="F1265" i="1"/>
  <c r="F1268" i="1"/>
  <c r="N1268" i="1" s="1"/>
  <c r="F1259" i="1"/>
  <c r="F1256" i="1"/>
  <c r="N1256" i="1" s="1"/>
  <c r="F1252" i="1"/>
  <c r="F1254" i="1"/>
  <c r="F1250" i="1"/>
  <c r="F1249" i="1"/>
  <c r="F1248" i="1"/>
  <c r="F1245" i="1"/>
  <c r="N1245" i="1" s="1"/>
  <c r="F1241" i="1"/>
  <c r="F1243" i="1"/>
  <c r="F1238" i="1"/>
  <c r="F1240" i="1"/>
  <c r="F1237" i="1"/>
  <c r="F1236" i="1"/>
  <c r="F1225" i="1"/>
  <c r="N1225" i="1" s="1"/>
  <c r="F1224" i="1"/>
  <c r="N1224" i="1" s="1"/>
  <c r="F1228" i="1"/>
  <c r="F1230" i="1"/>
  <c r="N1230" i="1" s="1"/>
  <c r="F1222" i="1"/>
  <c r="F1227" i="1"/>
  <c r="F1221" i="1"/>
  <c r="F1220" i="1"/>
  <c r="F1214" i="1"/>
  <c r="F1217" i="1"/>
  <c r="N1217" i="1" s="1"/>
  <c r="F1216" i="1"/>
  <c r="N1216" i="1" s="1"/>
  <c r="F1213" i="1"/>
  <c r="F1211" i="1"/>
  <c r="F1210" i="1"/>
  <c r="F1209" i="1"/>
  <c r="F1206" i="1"/>
  <c r="N1206" i="1" s="1"/>
  <c r="F1202" i="1"/>
  <c r="N1202" i="1" s="1"/>
  <c r="F1204" i="1"/>
  <c r="N1204" i="1" s="1"/>
  <c r="F1198" i="1"/>
  <c r="N1198" i="1" s="1"/>
  <c r="F1203" i="1"/>
  <c r="N1203" i="1" s="1"/>
  <c r="F1201" i="1"/>
  <c r="N1201" i="1" s="1"/>
  <c r="F1200" i="1"/>
  <c r="N1200" i="1" s="1"/>
  <c r="F1194" i="1"/>
  <c r="F1193" i="1"/>
  <c r="F1192" i="1"/>
  <c r="F1185" i="1"/>
  <c r="F1188" i="1"/>
  <c r="N1188" i="1" s="1"/>
  <c r="F1181" i="1"/>
  <c r="F1187" i="1"/>
  <c r="F1180" i="1"/>
  <c r="F1177" i="1"/>
  <c r="N1177" i="1" s="1"/>
  <c r="F1173" i="1"/>
  <c r="F1170" i="1"/>
  <c r="F1172" i="1"/>
  <c r="F1169" i="1"/>
  <c r="F1168" i="1"/>
  <c r="F1167" i="1"/>
  <c r="F1161" i="1"/>
  <c r="F1160" i="1"/>
  <c r="F1158" i="1"/>
  <c r="F1152" i="1"/>
  <c r="F1154" i="1"/>
  <c r="N1154" i="1" s="1"/>
  <c r="F1151" i="1"/>
  <c r="F1147" i="1"/>
  <c r="F1140" i="1"/>
  <c r="F1142" i="1"/>
  <c r="F1138" i="1"/>
  <c r="F1132" i="1"/>
  <c r="F1131" i="1"/>
  <c r="F1129" i="1"/>
  <c r="F1128" i="1"/>
  <c r="F1124" i="1"/>
  <c r="F1122" i="1"/>
  <c r="F1117" i="1"/>
  <c r="N1117" i="1" s="1"/>
  <c r="F1115" i="1"/>
  <c r="F1112" i="1"/>
  <c r="N1112" i="1" s="1"/>
  <c r="F1107" i="1"/>
  <c r="F1110" i="1"/>
  <c r="F1109" i="1"/>
  <c r="F1105" i="1"/>
  <c r="F1099" i="1"/>
  <c r="F1094" i="1"/>
  <c r="F1091" i="1"/>
  <c r="N1091" i="1" s="1"/>
  <c r="F1088" i="1"/>
  <c r="F1086" i="1"/>
  <c r="F1083" i="1"/>
  <c r="N1083" i="1" s="1"/>
  <c r="F1081" i="1"/>
  <c r="N1081" i="1" s="1"/>
  <c r="F1080" i="1"/>
  <c r="N1080" i="1" s="1"/>
  <c r="F1078" i="1"/>
  <c r="F1077" i="1"/>
  <c r="F1075" i="1"/>
  <c r="F1070" i="1"/>
  <c r="F1069" i="1"/>
  <c r="F1065" i="1"/>
  <c r="N1065" i="1" s="1"/>
  <c r="F1063" i="1"/>
  <c r="N1063" i="1" s="1"/>
  <c r="F1056" i="1"/>
  <c r="N1056" i="1" s="1"/>
  <c r="F1052" i="1"/>
  <c r="N1052" i="1" s="1"/>
  <c r="F1047" i="1"/>
  <c r="F1046" i="1"/>
  <c r="F1049" i="1"/>
  <c r="F1044" i="1"/>
  <c r="F1041" i="1"/>
  <c r="N1041" i="1" s="1"/>
  <c r="F1036" i="1"/>
  <c r="N1036" i="1" s="1"/>
  <c r="F1037" i="1"/>
  <c r="F1035" i="1"/>
  <c r="F1031" i="1"/>
  <c r="N1031" i="1" s="1"/>
  <c r="F1027" i="1"/>
  <c r="F1030" i="1"/>
  <c r="N1030" i="1" s="1"/>
  <c r="F1029" i="1"/>
  <c r="N1029" i="1" s="1"/>
  <c r="F1024" i="1"/>
  <c r="F1023" i="1"/>
  <c r="F1016" i="1"/>
  <c r="N1016" i="1" s="1"/>
  <c r="F1017" i="1"/>
  <c r="F1018" i="1"/>
  <c r="N1018" i="1" s="1"/>
  <c r="F1014" i="1"/>
  <c r="F1010" i="1"/>
  <c r="N1010" i="1" s="1"/>
  <c r="F1009" i="1"/>
  <c r="N1009" i="1" s="1"/>
  <c r="F1006" i="1"/>
  <c r="F1008" i="1"/>
  <c r="N1008" i="1" s="1"/>
  <c r="F1003" i="1"/>
  <c r="F1000" i="1"/>
  <c r="N1000" i="1" s="1"/>
  <c r="F999" i="1"/>
  <c r="N999" i="1" s="1"/>
  <c r="F996" i="1"/>
  <c r="F994" i="1"/>
  <c r="F997" i="1"/>
  <c r="F993" i="1"/>
  <c r="F986" i="1"/>
  <c r="F988" i="1"/>
  <c r="N988" i="1" s="1"/>
  <c r="F985" i="1"/>
  <c r="F983" i="1"/>
  <c r="F977" i="1"/>
  <c r="F976" i="1"/>
  <c r="F978" i="1"/>
  <c r="N978" i="1" s="1"/>
  <c r="F972" i="1"/>
  <c r="F965" i="1"/>
  <c r="F967" i="1"/>
  <c r="N967" i="1" s="1"/>
  <c r="F963" i="1"/>
  <c r="F957" i="1"/>
  <c r="N957" i="1" s="1"/>
  <c r="F956" i="1"/>
  <c r="F955" i="1"/>
  <c r="F953" i="1"/>
  <c r="F944" i="1"/>
  <c r="N944" i="1" s="1"/>
  <c r="F947" i="1"/>
  <c r="F946" i="1"/>
  <c r="F943" i="1"/>
  <c r="F940" i="1"/>
  <c r="N940" i="1" s="1"/>
  <c r="F939" i="1"/>
  <c r="N939" i="1" s="1"/>
  <c r="F936" i="1"/>
  <c r="F935" i="1"/>
  <c r="N935" i="1" s="1"/>
  <c r="F932" i="1"/>
  <c r="F931" i="1"/>
  <c r="F928" i="1"/>
  <c r="N928" i="1" s="1"/>
  <c r="F922" i="1"/>
  <c r="N922" i="1" s="1"/>
  <c r="F921" i="1"/>
  <c r="F923" i="1"/>
  <c r="F920" i="1"/>
  <c r="F919" i="1"/>
  <c r="F918" i="1"/>
  <c r="F914" i="1"/>
  <c r="F913" i="1"/>
  <c r="N913" i="1" s="1"/>
  <c r="F912" i="1"/>
  <c r="F911" i="1"/>
  <c r="F903" i="1"/>
  <c r="F901" i="1"/>
  <c r="F904" i="1"/>
  <c r="F902" i="1"/>
  <c r="F900" i="1"/>
  <c r="F899" i="1"/>
  <c r="F895" i="1"/>
  <c r="N895" i="1" s="1"/>
  <c r="F891" i="1"/>
  <c r="F890" i="1"/>
  <c r="F888" i="1"/>
  <c r="F887" i="1"/>
  <c r="F886" i="1"/>
  <c r="N886" i="1" s="1"/>
  <c r="F878" i="1"/>
  <c r="F879" i="1"/>
  <c r="F877" i="1"/>
  <c r="F876" i="1"/>
  <c r="F875" i="1"/>
  <c r="F867" i="1"/>
  <c r="F869" i="1"/>
  <c r="F868" i="1"/>
  <c r="F866" i="1"/>
  <c r="F865" i="1"/>
  <c r="F864" i="1"/>
  <c r="F860" i="1"/>
  <c r="N860" i="1" s="1"/>
  <c r="F857" i="1"/>
  <c r="F854" i="1"/>
  <c r="F856" i="1"/>
  <c r="F853" i="1"/>
  <c r="F852" i="1"/>
  <c r="F848" i="1"/>
  <c r="N848" i="1" s="1"/>
  <c r="F844" i="1"/>
  <c r="F843" i="1"/>
  <c r="F842" i="1"/>
  <c r="F841" i="1"/>
  <c r="F833" i="1"/>
  <c r="F831" i="1"/>
  <c r="N831" i="1" s="1"/>
  <c r="F834" i="1"/>
  <c r="N834" i="1" s="1"/>
  <c r="F832" i="1"/>
  <c r="N832" i="1" s="1"/>
  <c r="F830" i="1"/>
  <c r="F829" i="1"/>
  <c r="F822" i="1"/>
  <c r="F821" i="1"/>
  <c r="F820" i="1"/>
  <c r="F819" i="1"/>
  <c r="F818" i="1"/>
  <c r="F814" i="1"/>
  <c r="F813" i="1"/>
  <c r="F810" i="1"/>
  <c r="F806" i="1"/>
  <c r="N806" i="1" s="1"/>
  <c r="F803" i="1"/>
  <c r="F802" i="1"/>
  <c r="F800" i="1"/>
  <c r="F799" i="1"/>
  <c r="F798" i="1"/>
  <c r="F795" i="1"/>
  <c r="N795" i="1" s="1"/>
  <c r="F792" i="1"/>
  <c r="F791" i="1"/>
  <c r="F790" i="1"/>
  <c r="F789" i="1"/>
  <c r="F784" i="1"/>
  <c r="N784" i="1" s="1"/>
  <c r="F781" i="1"/>
  <c r="F779" i="1"/>
  <c r="F780" i="1"/>
  <c r="F778" i="1"/>
  <c r="F777" i="1"/>
  <c r="F773" i="1"/>
  <c r="N773" i="1" s="1"/>
  <c r="F772" i="1"/>
  <c r="N772" i="1" s="1"/>
  <c r="F765" i="1"/>
  <c r="F767" i="1"/>
  <c r="F764" i="1"/>
  <c r="F755" i="1"/>
  <c r="F758" i="1"/>
  <c r="F757" i="1"/>
  <c r="F754" i="1"/>
  <c r="F756" i="1"/>
  <c r="F753" i="1"/>
  <c r="F752" i="1"/>
  <c r="F749" i="1"/>
  <c r="N749" i="1" s="1"/>
  <c r="F746" i="1"/>
  <c r="N746" i="1" s="1"/>
  <c r="F745" i="1"/>
  <c r="F744" i="1"/>
  <c r="F743" i="1"/>
  <c r="F736" i="1"/>
  <c r="F739" i="1"/>
  <c r="F735" i="1"/>
  <c r="F733" i="1"/>
  <c r="F726" i="1"/>
  <c r="F724" i="1"/>
  <c r="F725" i="1"/>
  <c r="F723" i="1"/>
  <c r="F722" i="1"/>
  <c r="F718" i="1"/>
  <c r="N718" i="1" s="1"/>
  <c r="F717" i="1"/>
  <c r="F714" i="1"/>
  <c r="F712" i="1"/>
  <c r="F699" i="1"/>
  <c r="N699" i="1" s="1"/>
  <c r="F704" i="1"/>
  <c r="F705" i="1"/>
  <c r="N705" i="1" s="1"/>
  <c r="F701" i="1"/>
  <c r="F703" i="1"/>
  <c r="F698" i="1"/>
  <c r="F696" i="1"/>
  <c r="F689" i="1"/>
  <c r="N689" i="1" s="1"/>
  <c r="F691" i="1"/>
  <c r="F692" i="1"/>
  <c r="F690" i="1"/>
  <c r="F688" i="1"/>
  <c r="F680" i="1"/>
  <c r="F681" i="1"/>
  <c r="F679" i="1"/>
  <c r="F678" i="1"/>
  <c r="F677" i="1"/>
  <c r="F669" i="1"/>
  <c r="F671" i="1"/>
  <c r="F670" i="1"/>
  <c r="F668" i="1"/>
  <c r="F666" i="1"/>
  <c r="F665" i="1"/>
  <c r="F662" i="1"/>
  <c r="N662" i="1" s="1"/>
  <c r="F659" i="1"/>
  <c r="F661" i="1"/>
  <c r="F658" i="1"/>
  <c r="F655" i="1"/>
  <c r="N655" i="1" s="1"/>
  <c r="F654" i="1"/>
  <c r="N654" i="1" s="1"/>
  <c r="F653" i="1"/>
  <c r="N653" i="1" s="1"/>
  <c r="F652" i="1"/>
  <c r="N652" i="1" s="1"/>
  <c r="F622" i="1"/>
  <c r="N622" i="1" s="1"/>
  <c r="F636" i="1"/>
  <c r="N636" i="1" s="1"/>
  <c r="F640" i="1"/>
  <c r="F650" i="1"/>
  <c r="N650" i="1" s="1"/>
  <c r="F635" i="1"/>
  <c r="N635" i="1" s="1"/>
  <c r="F634" i="1"/>
  <c r="N634" i="1" s="1"/>
  <c r="F633" i="1"/>
  <c r="N633" i="1" s="1"/>
  <c r="F632" i="1"/>
  <c r="N632" i="1" s="1"/>
  <c r="F631" i="1"/>
  <c r="N631" i="1" s="1"/>
  <c r="F630" i="1"/>
  <c r="N630" i="1" s="1"/>
  <c r="F629" i="1"/>
  <c r="N629" i="1" s="1"/>
  <c r="F651" i="1"/>
  <c r="N651" i="1" s="1"/>
  <c r="F626" i="1"/>
  <c r="F639" i="1"/>
  <c r="F624" i="1"/>
  <c r="F623" i="1"/>
  <c r="N623" i="1" s="1"/>
  <c r="F618" i="1"/>
  <c r="N618" i="1" s="1"/>
  <c r="F617" i="1"/>
  <c r="F616" i="1"/>
  <c r="F621" i="1"/>
  <c r="N621" i="1" s="1"/>
  <c r="F620" i="1"/>
  <c r="N620" i="1" s="1"/>
  <c r="F615" i="1"/>
  <c r="N615" i="1" s="1"/>
  <c r="F614" i="1"/>
  <c r="F613" i="1"/>
  <c r="F611" i="1"/>
  <c r="N611" i="1" s="1"/>
  <c r="F610" i="1"/>
  <c r="N610" i="1" s="1"/>
  <c r="F609" i="1"/>
  <c r="F608" i="1"/>
  <c r="F607" i="1"/>
  <c r="N607" i="1" s="1"/>
  <c r="F606" i="1"/>
  <c r="N606" i="1" s="1"/>
  <c r="F605" i="1"/>
  <c r="F601" i="1"/>
  <c r="N601" i="1" s="1"/>
  <c r="F598" i="1"/>
  <c r="F597" i="1"/>
  <c r="F594" i="1"/>
  <c r="N594" i="1" s="1"/>
  <c r="F592" i="1"/>
  <c r="F591" i="1"/>
  <c r="F588" i="1"/>
  <c r="N588" i="1" s="1"/>
  <c r="F586" i="1"/>
  <c r="N586" i="1" s="1"/>
  <c r="F585" i="1"/>
  <c r="F583" i="1"/>
  <c r="F582" i="1"/>
  <c r="N582" i="1" s="1"/>
  <c r="F577" i="1"/>
  <c r="F573" i="1"/>
  <c r="F571" i="1"/>
  <c r="F570" i="1"/>
  <c r="F567" i="1"/>
  <c r="N567" i="1" s="1"/>
  <c r="F565" i="1"/>
  <c r="F564" i="1"/>
  <c r="F558" i="1"/>
  <c r="F552" i="1"/>
  <c r="F551" i="1"/>
  <c r="N551" i="1" s="1"/>
  <c r="F548" i="1"/>
  <c r="N548" i="1" s="1"/>
  <c r="F546" i="1"/>
  <c r="F545" i="1"/>
  <c r="F539" i="1"/>
  <c r="F538" i="1"/>
  <c r="F534" i="1"/>
  <c r="N534" i="1" s="1"/>
  <c r="F533" i="1"/>
  <c r="F531" i="1"/>
  <c r="F530" i="1"/>
  <c r="F527" i="1"/>
  <c r="F526" i="1"/>
  <c r="F522" i="1"/>
  <c r="N522" i="1" s="1"/>
  <c r="F520" i="1"/>
  <c r="F519" i="1"/>
  <c r="F515" i="1"/>
  <c r="N515" i="1" s="1"/>
  <c r="F513" i="1"/>
  <c r="F508" i="1"/>
  <c r="F507" i="1"/>
  <c r="N507" i="1" s="1"/>
  <c r="F504" i="1"/>
  <c r="F500" i="1"/>
  <c r="N500" i="1" s="1"/>
  <c r="F499" i="1"/>
  <c r="F495" i="1"/>
  <c r="N495" i="1" s="1"/>
  <c r="F493" i="1"/>
  <c r="F488" i="1"/>
  <c r="F487" i="1"/>
  <c r="F484" i="1"/>
  <c r="N484" i="1" s="1"/>
  <c r="F483" i="1"/>
  <c r="N483" i="1" s="1"/>
  <c r="F482" i="1"/>
  <c r="N482" i="1" s="1"/>
  <c r="F480" i="1"/>
  <c r="F477" i="1"/>
  <c r="N477" i="1" s="1"/>
  <c r="F475" i="1"/>
  <c r="F472" i="1"/>
  <c r="N472" i="1" s="1"/>
  <c r="F471" i="1"/>
  <c r="F469" i="1"/>
  <c r="F463" i="1"/>
  <c r="F462" i="1"/>
  <c r="F459" i="1"/>
  <c r="N459" i="1" s="1"/>
  <c r="F458" i="1"/>
  <c r="F457" i="1"/>
  <c r="F456" i="1"/>
  <c r="F455" i="1"/>
  <c r="F450" i="1"/>
  <c r="F449" i="1"/>
  <c r="F448" i="1"/>
  <c r="F447" i="1"/>
  <c r="F446" i="1"/>
  <c r="F445" i="1"/>
  <c r="F444" i="1"/>
  <c r="F443" i="1"/>
  <c r="F440" i="1"/>
  <c r="N440" i="1" s="1"/>
  <c r="F438" i="1"/>
  <c r="F437" i="1"/>
  <c r="F436" i="1"/>
  <c r="F435" i="1"/>
  <c r="F434" i="1"/>
  <c r="F433" i="1"/>
  <c r="F432" i="1"/>
  <c r="F431" i="1"/>
  <c r="F430" i="1"/>
  <c r="F426" i="1"/>
  <c r="F425" i="1"/>
  <c r="F424" i="1"/>
  <c r="F422" i="1"/>
  <c r="F423" i="1"/>
  <c r="F421" i="1"/>
  <c r="F420" i="1"/>
  <c r="F417" i="1"/>
  <c r="N417" i="1" s="1"/>
  <c r="F416" i="1"/>
  <c r="N416" i="1" s="1"/>
  <c r="F415" i="1"/>
  <c r="F414" i="1"/>
  <c r="F413" i="1"/>
  <c r="F412" i="1"/>
  <c r="F411" i="1"/>
  <c r="F407" i="1"/>
  <c r="N407" i="1" s="1"/>
  <c r="F394" i="1"/>
  <c r="F393" i="1"/>
  <c r="F403" i="1"/>
  <c r="N403" i="1" s="1"/>
  <c r="F402" i="1"/>
  <c r="N402" i="1" s="1"/>
  <c r="F391" i="1"/>
  <c r="F390" i="1"/>
  <c r="F389" i="1"/>
  <c r="F388" i="1"/>
  <c r="F387" i="1"/>
  <c r="F401" i="1"/>
  <c r="F385" i="1"/>
  <c r="F400" i="1"/>
  <c r="F383" i="1"/>
  <c r="F382" i="1"/>
  <c r="F381" i="1"/>
  <c r="F380" i="1"/>
  <c r="F378" i="1"/>
  <c r="F399" i="1"/>
  <c r="F376" i="1"/>
  <c r="F375" i="1"/>
  <c r="F404" i="1"/>
  <c r="N404" i="1" s="1"/>
  <c r="F374" i="1"/>
  <c r="F371" i="1"/>
  <c r="N371" i="1" s="1"/>
  <c r="F370" i="1"/>
  <c r="F369" i="1"/>
  <c r="F368" i="1"/>
  <c r="F367" i="1"/>
  <c r="F364" i="1"/>
  <c r="N364" i="1" s="1"/>
  <c r="F363" i="1"/>
  <c r="F362" i="1"/>
  <c r="F359" i="1"/>
  <c r="N359" i="1" s="1"/>
  <c r="F358" i="1"/>
  <c r="N358" i="1" s="1"/>
  <c r="F356" i="1"/>
  <c r="N356" i="1" s="1"/>
  <c r="F355" i="1"/>
  <c r="N355" i="1" s="1"/>
  <c r="F350" i="1"/>
  <c r="N350" i="1" s="1"/>
  <c r="F349" i="1"/>
  <c r="N349" i="1" s="1"/>
  <c r="F348" i="1"/>
  <c r="N348" i="1" s="1"/>
  <c r="F347" i="1"/>
  <c r="N347" i="1" s="1"/>
  <c r="F346" i="1"/>
  <c r="N346" i="1" s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0" i="1"/>
  <c r="N330" i="1" s="1"/>
  <c r="F329" i="1"/>
  <c r="N329" i="1" s="1"/>
  <c r="F328" i="1"/>
  <c r="N328" i="1" s="1"/>
  <c r="F325" i="1"/>
  <c r="N325" i="1" s="1"/>
  <c r="F326" i="1"/>
  <c r="F324" i="1"/>
  <c r="N324" i="1" s="1"/>
  <c r="F323" i="1"/>
  <c r="F322" i="1"/>
  <c r="F321" i="1"/>
  <c r="F320" i="1"/>
  <c r="F316" i="1"/>
  <c r="N316" i="1" s="1"/>
  <c r="F315" i="1"/>
  <c r="N315" i="1" s="1"/>
  <c r="F314" i="1"/>
  <c r="F313" i="1"/>
  <c r="F312" i="1"/>
  <c r="F311" i="1"/>
  <c r="F310" i="1"/>
  <c r="F306" i="1"/>
  <c r="F305" i="1"/>
  <c r="F302" i="1"/>
  <c r="N302" i="1" s="1"/>
  <c r="F301" i="1"/>
  <c r="N301" i="1" s="1"/>
  <c r="F300" i="1"/>
  <c r="N300" i="1" s="1"/>
  <c r="F297" i="1"/>
  <c r="N297" i="1" s="1"/>
  <c r="F296" i="1"/>
  <c r="F295" i="1"/>
  <c r="F294" i="1"/>
  <c r="F292" i="1"/>
  <c r="N292" i="1" s="1"/>
  <c r="F290" i="1"/>
  <c r="F289" i="1"/>
  <c r="F288" i="1"/>
  <c r="F284" i="1"/>
  <c r="N284" i="1" s="1"/>
  <c r="F282" i="1"/>
  <c r="N282" i="1" s="1"/>
  <c r="F281" i="1"/>
  <c r="N281" i="1" s="1"/>
  <c r="F279" i="1"/>
  <c r="F278" i="1"/>
  <c r="F277" i="1"/>
  <c r="F276" i="1"/>
  <c r="F274" i="1"/>
  <c r="F273" i="1"/>
  <c r="F272" i="1"/>
  <c r="F283" i="1"/>
  <c r="F271" i="1"/>
  <c r="F266" i="1"/>
  <c r="N266" i="1" s="1"/>
  <c r="F265" i="1"/>
  <c r="F264" i="1"/>
  <c r="F263" i="1"/>
  <c r="F262" i="1"/>
  <c r="F261" i="1"/>
  <c r="F258" i="1"/>
  <c r="N258" i="1" s="1"/>
  <c r="F256" i="1"/>
  <c r="N256" i="1" s="1"/>
  <c r="F255" i="1"/>
  <c r="F254" i="1"/>
  <c r="F253" i="1"/>
  <c r="F252" i="1"/>
  <c r="F248" i="1"/>
  <c r="N248" i="1" s="1"/>
  <c r="F245" i="1"/>
  <c r="N245" i="1" s="1"/>
  <c r="F242" i="1"/>
  <c r="N242" i="1" s="1"/>
  <c r="F241" i="1"/>
  <c r="N241" i="1" s="1"/>
  <c r="F240" i="1"/>
  <c r="N240" i="1" s="1"/>
  <c r="F244" i="1"/>
  <c r="N244" i="1" s="1"/>
  <c r="F239" i="1"/>
  <c r="F238" i="1"/>
  <c r="F237" i="1"/>
  <c r="F236" i="1"/>
  <c r="F235" i="1"/>
  <c r="F234" i="1"/>
  <c r="F233" i="1"/>
  <c r="F232" i="1"/>
  <c r="F231" i="1"/>
  <c r="F227" i="1"/>
  <c r="N227" i="1" s="1"/>
  <c r="F226" i="1"/>
  <c r="N226" i="1" s="1"/>
  <c r="F225" i="1"/>
  <c r="F224" i="1"/>
  <c r="F223" i="1"/>
  <c r="F222" i="1"/>
  <c r="F221" i="1"/>
  <c r="F220" i="1"/>
  <c r="F219" i="1"/>
  <c r="F218" i="1"/>
  <c r="F215" i="1"/>
  <c r="N215" i="1" s="1"/>
  <c r="F214" i="1"/>
  <c r="F213" i="1"/>
  <c r="F212" i="1"/>
  <c r="F211" i="1"/>
  <c r="F207" i="1"/>
  <c r="F206" i="1"/>
  <c r="F205" i="1"/>
  <c r="F204" i="1"/>
  <c r="F203" i="1"/>
  <c r="F199" i="1"/>
  <c r="F198" i="1"/>
  <c r="F197" i="1"/>
  <c r="F196" i="1"/>
  <c r="F195" i="1"/>
  <c r="F192" i="1"/>
  <c r="F191" i="1"/>
  <c r="F183" i="1"/>
  <c r="F182" i="1"/>
  <c r="F180" i="1"/>
  <c r="F179" i="1"/>
  <c r="F178" i="1"/>
  <c r="F171" i="1"/>
  <c r="F170" i="1"/>
  <c r="F169" i="1"/>
  <c r="F172" i="1"/>
  <c r="F168" i="1"/>
  <c r="F167" i="1"/>
  <c r="F161" i="1"/>
  <c r="F160" i="1"/>
  <c r="F163" i="1"/>
  <c r="F159" i="1"/>
  <c r="F158" i="1"/>
  <c r="F157" i="1"/>
  <c r="F156" i="1"/>
  <c r="F152" i="1"/>
  <c r="F149" i="1"/>
  <c r="F150" i="1"/>
  <c r="F148" i="1"/>
  <c r="F147" i="1"/>
  <c r="F146" i="1"/>
  <c r="F145" i="1"/>
  <c r="F141" i="1"/>
  <c r="F139" i="1"/>
  <c r="F138" i="1"/>
  <c r="F137" i="1"/>
  <c r="F133" i="1"/>
  <c r="F132" i="1"/>
  <c r="F130" i="1"/>
  <c r="N130" i="1" s="1"/>
  <c r="F128" i="1"/>
  <c r="N128" i="1" s="1"/>
  <c r="F127" i="1"/>
  <c r="N127" i="1" s="1"/>
  <c r="F129" i="1"/>
  <c r="N129" i="1" s="1"/>
  <c r="F126" i="1"/>
  <c r="N126" i="1" s="1"/>
  <c r="F125" i="1"/>
  <c r="F124" i="1"/>
  <c r="F123" i="1"/>
  <c r="F122" i="1"/>
  <c r="F121" i="1"/>
  <c r="F120" i="1"/>
  <c r="F116" i="1"/>
  <c r="F115" i="1"/>
  <c r="F114" i="1"/>
  <c r="F113" i="1"/>
  <c r="F110" i="1"/>
  <c r="F109" i="1"/>
  <c r="F108" i="1"/>
  <c r="F100" i="1"/>
  <c r="F98" i="1"/>
  <c r="F97" i="1"/>
  <c r="F103" i="1"/>
  <c r="N103" i="1" s="1"/>
  <c r="F96" i="1"/>
  <c r="F95" i="1"/>
  <c r="F94" i="1"/>
  <c r="F93" i="1"/>
  <c r="F92" i="1"/>
  <c r="F91" i="1"/>
  <c r="F90" i="1"/>
  <c r="F87" i="1"/>
  <c r="F86" i="1"/>
  <c r="F85" i="1"/>
  <c r="F84" i="1"/>
  <c r="F81" i="1"/>
  <c r="F79" i="1"/>
  <c r="F78" i="1"/>
  <c r="F77" i="1"/>
  <c r="F76" i="1"/>
  <c r="F75" i="1"/>
  <c r="F74" i="1"/>
  <c r="F73" i="1"/>
  <c r="F72" i="1"/>
  <c r="F57" i="1"/>
  <c r="F56" i="1"/>
  <c r="F55" i="1"/>
  <c r="F61" i="1"/>
  <c r="F54" i="1"/>
  <c r="F53" i="1"/>
  <c r="F52" i="1"/>
  <c r="F49" i="1"/>
  <c r="F47" i="1"/>
  <c r="F46" i="1"/>
  <c r="F45" i="1"/>
  <c r="F44" i="1"/>
  <c r="F43" i="1"/>
  <c r="F40" i="1"/>
  <c r="F39" i="1"/>
  <c r="F38" i="1"/>
  <c r="F37" i="1"/>
  <c r="F36" i="1"/>
  <c r="F34" i="1"/>
  <c r="F33" i="1"/>
  <c r="F32" i="1"/>
  <c r="F29" i="1"/>
  <c r="F28" i="1"/>
  <c r="F27" i="1"/>
  <c r="F24" i="1"/>
  <c r="F23" i="1"/>
  <c r="F22" i="1"/>
  <c r="F19" i="1"/>
  <c r="F17" i="1"/>
  <c r="F16" i="1"/>
  <c r="F15" i="1"/>
  <c r="N39" i="1" l="1"/>
  <c r="N191" i="1"/>
  <c r="N24" i="1"/>
  <c r="N37" i="1"/>
  <c r="N124" i="1"/>
  <c r="N133" i="1"/>
  <c r="N29" i="1"/>
  <c r="N40" i="1"/>
  <c r="N110" i="1"/>
  <c r="N132" i="1"/>
  <c r="N152" i="1"/>
  <c r="N192" i="1"/>
  <c r="N19" i="1"/>
  <c r="N38" i="1"/>
  <c r="N49" i="1"/>
  <c r="N81" i="1"/>
  <c r="N87" i="1"/>
  <c r="N125" i="1"/>
  <c r="F2244" i="1"/>
  <c r="F18" i="1"/>
  <c r="D2058" i="1"/>
  <c r="M2058" i="1" s="1"/>
  <c r="F1839" i="1"/>
  <c r="F1805" i="1"/>
  <c r="F1788" i="1"/>
  <c r="F1085" i="1"/>
  <c r="D809" i="1"/>
  <c r="M809" i="1" s="1"/>
  <c r="D2160" i="1"/>
  <c r="M2160" i="1" s="1"/>
  <c r="F2133" i="1"/>
  <c r="D2111" i="1"/>
  <c r="M2111" i="1" s="1"/>
  <c r="F1886" i="1"/>
  <c r="F1843" i="1"/>
  <c r="F1825" i="1"/>
  <c r="F1811" i="1"/>
  <c r="F1793" i="1"/>
  <c r="F1771" i="1"/>
  <c r="F1586" i="1"/>
  <c r="F1564" i="1"/>
  <c r="F502" i="1"/>
  <c r="D2168" i="1"/>
  <c r="M2168" i="1" s="1"/>
  <c r="D2118" i="1"/>
  <c r="M2118" i="1" s="1"/>
  <c r="D2201" i="1"/>
  <c r="M2201" i="1" s="1"/>
  <c r="D2175" i="1"/>
  <c r="M2175" i="1" s="1"/>
  <c r="D2147" i="1"/>
  <c r="M2147" i="1" s="1"/>
  <c r="D2124" i="1"/>
  <c r="M2124" i="1" s="1"/>
  <c r="F1821" i="1"/>
  <c r="F1708" i="1"/>
  <c r="F962" i="1"/>
  <c r="E2295" i="1"/>
  <c r="E2294" i="1"/>
  <c r="E2272" i="1"/>
  <c r="F2272" i="1" s="1"/>
  <c r="D1959" i="1"/>
  <c r="M1959" i="1" s="1"/>
  <c r="F2038" i="1"/>
  <c r="N2038" i="1" s="1"/>
  <c r="F140" i="1"/>
  <c r="D136" i="1"/>
  <c r="M136" i="1" s="1"/>
  <c r="F1884" i="1"/>
  <c r="N1884" i="1" s="1"/>
  <c r="D731" i="1"/>
  <c r="M731" i="1" s="1"/>
  <c r="D732" i="1"/>
  <c r="M732" i="1" s="1"/>
  <c r="D710" i="1"/>
  <c r="M710" i="1" s="1"/>
  <c r="D711" i="1"/>
  <c r="M711" i="1" s="1"/>
  <c r="F2084" i="1"/>
  <c r="F287" i="1"/>
  <c r="D1054" i="1"/>
  <c r="M1054" i="1" s="1"/>
  <c r="D1055" i="1"/>
  <c r="M1055" i="1" s="1"/>
  <c r="D602" i="1"/>
  <c r="M602" i="1" s="1"/>
  <c r="D603" i="1"/>
  <c r="M603" i="1" s="1"/>
  <c r="D372" i="1"/>
  <c r="M372" i="1" s="1"/>
  <c r="D373" i="1"/>
  <c r="M373" i="1" s="1"/>
  <c r="D2079" i="1"/>
  <c r="M2079" i="1" s="1"/>
  <c r="D2080" i="1"/>
  <c r="M2080" i="1" s="1"/>
  <c r="D176" i="1"/>
  <c r="M176" i="1" s="1"/>
  <c r="D177" i="1"/>
  <c r="M177" i="1" s="1"/>
  <c r="D1742" i="1"/>
  <c r="M1742" i="1" s="1"/>
  <c r="D1743" i="1"/>
  <c r="M1743" i="1" s="1"/>
  <c r="F2093" i="1"/>
  <c r="N2093" i="1" s="1"/>
  <c r="F1102" i="1"/>
  <c r="N1102" i="1" s="1"/>
  <c r="D763" i="1"/>
  <c r="M763" i="1" s="1"/>
  <c r="D762" i="1"/>
  <c r="M762" i="1" s="1"/>
  <c r="D2207" i="1"/>
  <c r="M2207" i="1" s="1"/>
  <c r="D2208" i="1"/>
  <c r="M2208" i="1" s="1"/>
  <c r="D2217" i="1"/>
  <c r="M2217" i="1" s="1"/>
  <c r="D2218" i="1"/>
  <c r="M2218" i="1" s="1"/>
  <c r="D2200" i="1"/>
  <c r="M2200" i="1" s="1"/>
  <c r="D2186" i="1"/>
  <c r="M2186" i="1" s="1"/>
  <c r="D2187" i="1"/>
  <c r="M2187" i="1" s="1"/>
  <c r="D2138" i="1"/>
  <c r="M2138" i="1" s="1"/>
  <c r="D2139" i="1"/>
  <c r="M2139" i="1" s="1"/>
  <c r="D2027" i="1"/>
  <c r="M2027" i="1" s="1"/>
  <c r="F112" i="1"/>
  <c r="F441" i="1"/>
  <c r="N441" i="1" s="1"/>
  <c r="F811" i="1"/>
  <c r="F1733" i="1"/>
  <c r="F1716" i="1"/>
  <c r="F1691" i="1"/>
  <c r="F1676" i="1"/>
  <c r="F1542" i="1"/>
  <c r="F1323" i="1"/>
  <c r="F840" i="1"/>
  <c r="F286" i="1"/>
  <c r="F2072" i="1"/>
  <c r="F2013" i="1"/>
  <c r="F1948" i="1"/>
  <c r="F1599" i="1"/>
  <c r="F929" i="1"/>
  <c r="F1933" i="1"/>
  <c r="F1917" i="1"/>
  <c r="F797" i="1"/>
  <c r="F1800" i="1"/>
  <c r="F1190" i="1"/>
  <c r="F862" i="1"/>
  <c r="F827" i="1"/>
  <c r="F742" i="1"/>
  <c r="F581" i="1"/>
  <c r="N581" i="1" s="1"/>
  <c r="F506" i="1"/>
  <c r="N506" i="1" s="1"/>
  <c r="F2215" i="1"/>
  <c r="D2132" i="1"/>
  <c r="M2132" i="1" s="1"/>
  <c r="D2105" i="1"/>
  <c r="M2105" i="1" s="1"/>
  <c r="D1885" i="1"/>
  <c r="F1881" i="1"/>
  <c r="F1765" i="1"/>
  <c r="F1745" i="1"/>
  <c r="N1745" i="1" s="1"/>
  <c r="F1671" i="1"/>
  <c r="F1628" i="1"/>
  <c r="F1594" i="1"/>
  <c r="F1572" i="1"/>
  <c r="N1572" i="1" s="1"/>
  <c r="F1531" i="1"/>
  <c r="N1531" i="1" s="1"/>
  <c r="F1460" i="1"/>
  <c r="F1394" i="1"/>
  <c r="F1311" i="1"/>
  <c r="N1311" i="1" s="1"/>
  <c r="F1258" i="1"/>
  <c r="F1208" i="1"/>
  <c r="F1157" i="1"/>
  <c r="F1034" i="1"/>
  <c r="F952" i="1"/>
  <c r="F910" i="1"/>
  <c r="F721" i="1"/>
  <c r="F664" i="1"/>
  <c r="F625" i="1"/>
  <c r="F576" i="1"/>
  <c r="N576" i="1" s="1"/>
  <c r="F537" i="1"/>
  <c r="F503" i="1"/>
  <c r="F392" i="1"/>
  <c r="D269" i="1"/>
  <c r="M269" i="1" s="1"/>
  <c r="F201" i="1"/>
  <c r="D135" i="1"/>
  <c r="M135" i="1" s="1"/>
  <c r="F25" i="1"/>
  <c r="F20" i="1"/>
  <c r="D2167" i="1"/>
  <c r="M2167" i="1" s="1"/>
  <c r="D2110" i="1"/>
  <c r="M2110" i="1" s="1"/>
  <c r="D1958" i="1"/>
  <c r="M1958" i="1" s="1"/>
  <c r="F1896" i="1"/>
  <c r="N1896" i="1" s="1"/>
  <c r="F1861" i="1"/>
  <c r="F1717" i="1"/>
  <c r="F1677" i="1"/>
  <c r="F1637" i="1"/>
  <c r="F1600" i="1"/>
  <c r="F1543" i="1"/>
  <c r="F1469" i="1"/>
  <c r="F1406" i="1"/>
  <c r="N1406" i="1" s="1"/>
  <c r="D1363" i="1"/>
  <c r="M1363" i="1" s="1"/>
  <c r="D1001" i="1"/>
  <c r="M1001" i="1" s="1"/>
  <c r="F492" i="1"/>
  <c r="D418" i="1"/>
  <c r="M418" i="1" s="1"/>
  <c r="F386" i="1"/>
  <c r="F185" i="1"/>
  <c r="D13" i="1"/>
  <c r="F13" i="1" s="1"/>
  <c r="F2196" i="1"/>
  <c r="N2196" i="1" s="1"/>
  <c r="F2229" i="1"/>
  <c r="D2174" i="1"/>
  <c r="M2174" i="1" s="1"/>
  <c r="D2146" i="1"/>
  <c r="M2146" i="1" s="1"/>
  <c r="D2131" i="1"/>
  <c r="M2131" i="1" s="1"/>
  <c r="D2117" i="1"/>
  <c r="M2117" i="1" s="1"/>
  <c r="F2083" i="1"/>
  <c r="D2057" i="1"/>
  <c r="M2057" i="1" s="1"/>
  <c r="F2050" i="1"/>
  <c r="F2041" i="1"/>
  <c r="D1985" i="1"/>
  <c r="M1985" i="1" s="1"/>
  <c r="F1898" i="1"/>
  <c r="D1891" i="1"/>
  <c r="F1869" i="1"/>
  <c r="F1847" i="1"/>
  <c r="F1830" i="1"/>
  <c r="N1830" i="1" s="1"/>
  <c r="F1824" i="1"/>
  <c r="F1817" i="1"/>
  <c r="F1804" i="1"/>
  <c r="F1797" i="1"/>
  <c r="F1777" i="1"/>
  <c r="F1725" i="1"/>
  <c r="F1707" i="1"/>
  <c r="F1685" i="1"/>
  <c r="F1644" i="1"/>
  <c r="F1627" i="1"/>
  <c r="F1608" i="1"/>
  <c r="F1579" i="1"/>
  <c r="F1554" i="1"/>
  <c r="F1475" i="1"/>
  <c r="N1475" i="1" s="1"/>
  <c r="F1459" i="1"/>
  <c r="F1428" i="1"/>
  <c r="N1428" i="1" s="1"/>
  <c r="F1373" i="1"/>
  <c r="F1338" i="1"/>
  <c r="F1310" i="1"/>
  <c r="N1310" i="1" s="1"/>
  <c r="F1286" i="1"/>
  <c r="N1286" i="1" s="1"/>
  <c r="F1257" i="1"/>
  <c r="F1235" i="1"/>
  <c r="F1179" i="1"/>
  <c r="F1137" i="1"/>
  <c r="F1104" i="1"/>
  <c r="F1093" i="1"/>
  <c r="F1013" i="1"/>
  <c r="F991" i="1"/>
  <c r="F971" i="1"/>
  <c r="F898" i="1"/>
  <c r="N898" i="1" s="1"/>
  <c r="F828" i="1"/>
  <c r="F720" i="1"/>
  <c r="F697" i="1"/>
  <c r="F676" i="1"/>
  <c r="N676" i="1" s="1"/>
  <c r="F657" i="1"/>
  <c r="F590" i="1"/>
  <c r="F557" i="1"/>
  <c r="N557" i="1" s="1"/>
  <c r="F525" i="1"/>
  <c r="F512" i="1"/>
  <c r="D496" i="1"/>
  <c r="M496" i="1" s="1"/>
  <c r="F491" i="1"/>
  <c r="F474" i="1"/>
  <c r="N474" i="1" s="1"/>
  <c r="F384" i="1"/>
  <c r="F2088" i="1"/>
  <c r="F2219" i="1"/>
  <c r="D2181" i="1"/>
  <c r="M2181" i="1" s="1"/>
  <c r="D2154" i="1"/>
  <c r="M2154" i="1" s="1"/>
  <c r="F2049" i="1"/>
  <c r="F1903" i="1"/>
  <c r="F1876" i="1"/>
  <c r="F1851" i="1"/>
  <c r="F1835" i="1"/>
  <c r="F1816" i="1"/>
  <c r="F1801" i="1"/>
  <c r="F1784" i="1"/>
  <c r="F1701" i="1"/>
  <c r="F1649" i="1"/>
  <c r="N1649" i="1" s="1"/>
  <c r="F1619" i="1"/>
  <c r="F1520" i="1"/>
  <c r="F1509" i="1"/>
  <c r="N1509" i="1" s="1"/>
  <c r="F1442" i="1"/>
  <c r="F1348" i="1"/>
  <c r="N1348" i="1" s="1"/>
  <c r="F1299" i="1"/>
  <c r="F1247" i="1"/>
  <c r="F1191" i="1"/>
  <c r="F1146" i="1"/>
  <c r="F1114" i="1"/>
  <c r="F1068" i="1"/>
  <c r="F982" i="1"/>
  <c r="N982" i="1" s="1"/>
  <c r="F942" i="1"/>
  <c r="F863" i="1"/>
  <c r="F675" i="1"/>
  <c r="N675" i="1" s="1"/>
  <c r="F656" i="1"/>
  <c r="F596" i="1"/>
  <c r="F486" i="1"/>
  <c r="N486" i="1" s="1"/>
  <c r="F473" i="1"/>
  <c r="N473" i="1" s="1"/>
  <c r="F379" i="1"/>
  <c r="F2290" i="1"/>
  <c r="F1897" i="1"/>
  <c r="F1607" i="1"/>
  <c r="F1298" i="1"/>
  <c r="F1246" i="1"/>
  <c r="F1113" i="1"/>
  <c r="F981" i="1"/>
  <c r="N981" i="1" s="1"/>
  <c r="F850" i="1"/>
  <c r="F776" i="1"/>
  <c r="N776" i="1" s="1"/>
  <c r="F751" i="1"/>
  <c r="F569" i="1"/>
  <c r="F544" i="1"/>
  <c r="F1783" i="1"/>
  <c r="F1724" i="1"/>
  <c r="F1663" i="1"/>
  <c r="N1663" i="1" s="1"/>
  <c r="F1643" i="1"/>
  <c r="F1578" i="1"/>
  <c r="F1450" i="1"/>
  <c r="F1427" i="1"/>
  <c r="N1427" i="1" s="1"/>
  <c r="F1414" i="1"/>
  <c r="N1414" i="1" s="1"/>
  <c r="F1372" i="1"/>
  <c r="F556" i="1"/>
  <c r="N556" i="1" s="1"/>
  <c r="F517" i="1"/>
  <c r="F2156" i="1"/>
  <c r="D2214" i="1"/>
  <c r="F1949" i="1"/>
  <c r="F365" i="1"/>
  <c r="F331" i="1"/>
  <c r="N331" i="1" s="1"/>
  <c r="F217" i="1"/>
  <c r="F478" i="1"/>
  <c r="F361" i="1"/>
  <c r="F332" i="1"/>
  <c r="N332" i="1" s="1"/>
  <c r="F304" i="1"/>
  <c r="F259" i="1"/>
  <c r="F229" i="1"/>
  <c r="N229" i="1" s="1"/>
  <c r="F209" i="1"/>
  <c r="F193" i="1"/>
  <c r="F1060" i="1"/>
  <c r="N1060" i="1" s="1"/>
  <c r="F1842" i="1"/>
  <c r="F1810" i="1"/>
  <c r="F1770" i="1"/>
  <c r="F1166" i="1"/>
  <c r="F1084" i="1"/>
  <c r="F467" i="1"/>
  <c r="F442" i="1"/>
  <c r="N442" i="1" s="1"/>
  <c r="F106" i="1"/>
  <c r="F88" i="1"/>
  <c r="N88" i="1" s="1"/>
  <c r="F82" i="1"/>
  <c r="F70" i="1"/>
  <c r="N70" i="1" s="1"/>
  <c r="F50" i="1"/>
  <c r="F41" i="1"/>
  <c r="F1994" i="1"/>
  <c r="D497" i="1"/>
  <c r="M497" i="1" s="1"/>
  <c r="F428" i="1"/>
  <c r="N428" i="1" s="1"/>
  <c r="F1909" i="1"/>
  <c r="F1654" i="1"/>
  <c r="N1654" i="1" s="1"/>
  <c r="F1593" i="1"/>
  <c r="F1571" i="1"/>
  <c r="N1571" i="1" s="1"/>
  <c r="F1530" i="1"/>
  <c r="N1530" i="1" s="1"/>
  <c r="F1519" i="1"/>
  <c r="F1393" i="1"/>
  <c r="F1033" i="1"/>
  <c r="F410" i="1"/>
  <c r="F1989" i="1"/>
  <c r="F2223" i="1"/>
  <c r="N2223" i="1" s="1"/>
  <c r="F2228" i="1"/>
  <c r="D2182" i="1"/>
  <c r="M2182" i="1" s="1"/>
  <c r="D1986" i="1"/>
  <c r="M1986" i="1" s="1"/>
  <c r="D1892" i="1"/>
  <c r="F909" i="1"/>
  <c r="F83" i="1"/>
  <c r="F42" i="1"/>
  <c r="F31" i="1"/>
  <c r="F26" i="1"/>
  <c r="F1964" i="1"/>
  <c r="F2065" i="1"/>
  <c r="F2119" i="1"/>
  <c r="F2176" i="1"/>
  <c r="F2183" i="1"/>
  <c r="F1934" i="1"/>
  <c r="F1902" i="1"/>
  <c r="F992" i="1"/>
  <c r="F154" i="1"/>
  <c r="F143" i="1"/>
  <c r="F1846" i="1"/>
  <c r="F1829" i="1"/>
  <c r="N1829" i="1" s="1"/>
  <c r="F1757" i="1"/>
  <c r="F1337" i="1"/>
  <c r="F1285" i="1"/>
  <c r="N1285" i="1" s="1"/>
  <c r="F1234" i="1"/>
  <c r="F1178" i="1"/>
  <c r="F1092" i="1"/>
  <c r="F885" i="1"/>
  <c r="N885" i="1" s="1"/>
  <c r="F817" i="1"/>
  <c r="D808" i="1"/>
  <c r="M808" i="1" s="1"/>
  <c r="F788" i="1"/>
  <c r="F308" i="1"/>
  <c r="D270" i="1"/>
  <c r="M270" i="1" s="1"/>
  <c r="D1854" i="1"/>
  <c r="F1732" i="1"/>
  <c r="F1690" i="1"/>
  <c r="F1648" i="1"/>
  <c r="N1648" i="1" s="1"/>
  <c r="F1499" i="1"/>
  <c r="F1441" i="1"/>
  <c r="D2155" i="1"/>
  <c r="M2155" i="1" s="1"/>
  <c r="F1043" i="1"/>
  <c r="N1043" i="1" s="1"/>
  <c r="F194" i="1"/>
  <c r="D2104" i="1"/>
  <c r="M2104" i="1" s="1"/>
  <c r="F1856" i="1"/>
  <c r="D2159" i="1"/>
  <c r="M2159" i="1" s="1"/>
  <c r="D2123" i="1"/>
  <c r="M2123" i="1" s="1"/>
  <c r="D2026" i="1"/>
  <c r="M2026" i="1" s="1"/>
  <c r="D1855" i="1"/>
  <c r="M1855" i="1" s="1"/>
  <c r="D1364" i="1"/>
  <c r="M1364" i="1" s="1"/>
  <c r="D1002" i="1"/>
  <c r="M1002" i="1" s="1"/>
  <c r="D419" i="1"/>
  <c r="M419" i="1" s="1"/>
  <c r="D14" i="1"/>
  <c r="M14" i="1" s="1"/>
  <c r="F2140" i="1"/>
  <c r="F184" i="1"/>
  <c r="F734" i="1"/>
  <c r="F111" i="1"/>
  <c r="F165" i="1"/>
  <c r="N165" i="1" s="1"/>
  <c r="F1405" i="1"/>
  <c r="N1405" i="1" s="1"/>
  <c r="F2112" i="1"/>
  <c r="E2283" i="1"/>
  <c r="E2234" i="1" s="1"/>
  <c r="E2243" i="1" s="1"/>
  <c r="F485" i="1"/>
  <c r="N485" i="1" s="1"/>
  <c r="F498" i="1"/>
  <c r="F768" i="1"/>
  <c r="F809" i="1"/>
  <c r="F873" i="1"/>
  <c r="F917" i="1"/>
  <c r="F1449" i="1"/>
  <c r="F1500" i="1"/>
  <c r="F1618" i="1"/>
  <c r="F1750" i="1"/>
  <c r="N1750" i="1" s="1"/>
  <c r="F1860" i="1"/>
  <c r="F2148" i="1"/>
  <c r="D2213" i="1"/>
  <c r="F21" i="1"/>
  <c r="F107" i="1"/>
  <c r="F155" i="1"/>
  <c r="F202" i="1"/>
  <c r="F250" i="1"/>
  <c r="F303" i="1"/>
  <c r="F479" i="1"/>
  <c r="F851" i="1"/>
  <c r="F961" i="1"/>
  <c r="F1670" i="1"/>
  <c r="F1792" i="1"/>
  <c r="F1995" i="1"/>
  <c r="F366" i="1"/>
  <c r="F409" i="1"/>
  <c r="F511" i="1"/>
  <c r="F775" i="1"/>
  <c r="N775" i="1" s="1"/>
  <c r="F1508" i="1"/>
  <c r="N1508" i="1" s="1"/>
  <c r="F1776" i="1"/>
  <c r="F1868" i="1"/>
  <c r="F1918" i="1"/>
  <c r="F360" i="1"/>
  <c r="F429" i="1"/>
  <c r="N429" i="1" s="1"/>
  <c r="F454" i="1"/>
  <c r="F518" i="1"/>
  <c r="F524" i="1"/>
  <c r="F543" i="1"/>
  <c r="F575" i="1"/>
  <c r="N575" i="1" s="1"/>
  <c r="F589" i="1"/>
  <c r="F897" i="1"/>
  <c r="N897" i="1" s="1"/>
  <c r="F930" i="1"/>
  <c r="F941" i="1"/>
  <c r="F951" i="1"/>
  <c r="F1012" i="1"/>
  <c r="F1022" i="1"/>
  <c r="F1067" i="1"/>
  <c r="F1120" i="1"/>
  <c r="F1145" i="1"/>
  <c r="F1156" i="1"/>
  <c r="F1385" i="1"/>
  <c r="F1585" i="1"/>
  <c r="F1655" i="1"/>
  <c r="N1655" i="1" s="1"/>
  <c r="F1764" i="1"/>
  <c r="F1787" i="1"/>
  <c r="F1850" i="1"/>
  <c r="F275" i="1"/>
  <c r="F1890" i="1"/>
  <c r="N1890" i="1" s="1"/>
  <c r="F2029" i="1"/>
  <c r="F2082" i="1"/>
  <c r="N2082" i="1" s="1"/>
  <c r="F604" i="1"/>
  <c r="F2287" i="1"/>
  <c r="F216" i="1"/>
  <c r="F317" i="1"/>
  <c r="F453" i="1"/>
  <c r="F536" i="1"/>
  <c r="F970" i="1"/>
  <c r="F1007" i="1"/>
  <c r="F1103" i="1"/>
  <c r="F1136" i="1"/>
  <c r="F1207" i="1"/>
  <c r="F1369" i="1"/>
  <c r="F1488" i="1"/>
  <c r="F1662" i="1"/>
  <c r="N1662" i="1" s="1"/>
  <c r="F1700" i="1"/>
  <c r="F1880" i="1"/>
  <c r="F2288" i="1"/>
  <c r="F713" i="1"/>
  <c r="F1859" i="1"/>
  <c r="N1859" i="1" s="1"/>
  <c r="E2273" i="1"/>
  <c r="F30" i="1"/>
  <c r="F210" i="1"/>
  <c r="F309" i="1"/>
  <c r="F377" i="1"/>
  <c r="F529" i="1"/>
  <c r="F562" i="1"/>
  <c r="F595" i="1"/>
  <c r="F741" i="1"/>
  <c r="F787" i="1"/>
  <c r="F839" i="1"/>
  <c r="F1042" i="1"/>
  <c r="N1042" i="1" s="1"/>
  <c r="F1073" i="1"/>
  <c r="F1127" i="1"/>
  <c r="F1274" i="1"/>
  <c r="F1468" i="1"/>
  <c r="F1796" i="1"/>
  <c r="F1820" i="1"/>
  <c r="F1838" i="1"/>
  <c r="F2125" i="1"/>
  <c r="F2188" i="1"/>
  <c r="E2280" i="1"/>
  <c r="F1415" i="1"/>
  <c r="N1415" i="1" s="1"/>
  <c r="F1487" i="1"/>
  <c r="F1563" i="1"/>
  <c r="F1636" i="1"/>
  <c r="F1684" i="1"/>
  <c r="F1834" i="1"/>
  <c r="F1875" i="1"/>
  <c r="F1893" i="1"/>
  <c r="F2012" i="1"/>
  <c r="F2106" i="1"/>
  <c r="F2209" i="1"/>
  <c r="F1219" i="1"/>
  <c r="F1347" i="1"/>
  <c r="N1347" i="1" s="1"/>
  <c r="F1474" i="1"/>
  <c r="N1474" i="1" s="1"/>
  <c r="F1553" i="1"/>
  <c r="F1756" i="1"/>
  <c r="F2071" i="1"/>
  <c r="F2161" i="1"/>
  <c r="F2169" i="1"/>
  <c r="F2195" i="1"/>
  <c r="N2195" i="1" s="1"/>
  <c r="F2202" i="1"/>
  <c r="F2224" i="1"/>
  <c r="N2224" i="1" s="1"/>
  <c r="N143" i="1" l="1"/>
  <c r="N20" i="1"/>
  <c r="N21" i="1"/>
  <c r="N50" i="1"/>
  <c r="F2111" i="1"/>
  <c r="N2111" i="1" s="1"/>
  <c r="F2160" i="1"/>
  <c r="N2160" i="1" s="1"/>
  <c r="F2124" i="1"/>
  <c r="N2124" i="1" s="1"/>
  <c r="F2168" i="1"/>
  <c r="N2168" i="1" s="1"/>
  <c r="F497" i="1"/>
  <c r="F2181" i="1"/>
  <c r="N2181" i="1" s="1"/>
  <c r="F2117" i="1"/>
  <c r="N2117" i="1" s="1"/>
  <c r="F1363" i="1"/>
  <c r="F2167" i="1"/>
  <c r="N2167" i="1" s="1"/>
  <c r="F2132" i="1"/>
  <c r="N2132" i="1" s="1"/>
  <c r="F2186" i="1"/>
  <c r="N2186" i="1" s="1"/>
  <c r="F177" i="1"/>
  <c r="N177" i="1" s="1"/>
  <c r="F1891" i="1"/>
  <c r="F2131" i="1"/>
  <c r="N2131" i="1" s="1"/>
  <c r="F418" i="1"/>
  <c r="F269" i="1"/>
  <c r="F2139" i="1"/>
  <c r="N2139" i="1" s="1"/>
  <c r="F1054" i="1"/>
  <c r="F710" i="1"/>
  <c r="F2182" i="1"/>
  <c r="N2182" i="1" s="1"/>
  <c r="F496" i="1"/>
  <c r="F2057" i="1"/>
  <c r="F2146" i="1"/>
  <c r="N2146" i="1" s="1"/>
  <c r="F1958" i="1"/>
  <c r="F1885" i="1"/>
  <c r="F2154" i="1"/>
  <c r="N2154" i="1" s="1"/>
  <c r="F1985" i="1"/>
  <c r="F2174" i="1"/>
  <c r="N2174" i="1" s="1"/>
  <c r="F1001" i="1"/>
  <c r="F2110" i="1"/>
  <c r="N2110" i="1" s="1"/>
  <c r="F135" i="1"/>
  <c r="F2105" i="1"/>
  <c r="N2105" i="1" s="1"/>
  <c r="F763" i="1"/>
  <c r="E2296" i="1"/>
  <c r="E2297" i="1"/>
  <c r="F176" i="1"/>
  <c r="F732" i="1"/>
  <c r="F1959" i="1"/>
  <c r="F2123" i="1"/>
  <c r="N2123" i="1" s="1"/>
  <c r="F2118" i="1"/>
  <c r="N2118" i="1" s="1"/>
  <c r="F603" i="1"/>
  <c r="F2218" i="1"/>
  <c r="N2218" i="1" s="1"/>
  <c r="F1055" i="1"/>
  <c r="F136" i="1"/>
  <c r="F1892" i="1"/>
  <c r="F2214" i="1"/>
  <c r="F2207" i="1"/>
  <c r="N2207" i="1" s="1"/>
  <c r="F2201" i="1"/>
  <c r="N2201" i="1" s="1"/>
  <c r="F2213" i="1"/>
  <c r="F711" i="1"/>
  <c r="F1855" i="1"/>
  <c r="F2175" i="1"/>
  <c r="N2175" i="1" s="1"/>
  <c r="F2138" i="1"/>
  <c r="N2138" i="1" s="1"/>
  <c r="F372" i="1"/>
  <c r="N372" i="1" s="1"/>
  <c r="F2080" i="1"/>
  <c r="N2080" i="1" s="1"/>
  <c r="F373" i="1"/>
  <c r="N373" i="1" s="1"/>
  <c r="F2058" i="1"/>
  <c r="F602" i="1"/>
  <c r="F2200" i="1"/>
  <c r="N2200" i="1" s="1"/>
  <c r="F2208" i="1"/>
  <c r="N2208" i="1" s="1"/>
  <c r="F2187" i="1"/>
  <c r="N2187" i="1" s="1"/>
  <c r="F731" i="1"/>
  <c r="F14" i="1"/>
  <c r="F1002" i="1"/>
  <c r="F2026" i="1"/>
  <c r="F2147" i="1"/>
  <c r="N2147" i="1" s="1"/>
  <c r="F762" i="1"/>
  <c r="F2155" i="1"/>
  <c r="N2155" i="1" s="1"/>
  <c r="F808" i="1"/>
  <c r="F1986" i="1"/>
  <c r="F1743" i="1"/>
  <c r="F419" i="1"/>
  <c r="F1364" i="1"/>
  <c r="F2079" i="1"/>
  <c r="N2079" i="1" s="1"/>
  <c r="F2159" i="1"/>
  <c r="N2159" i="1" s="1"/>
  <c r="F2104" i="1"/>
  <c r="N2104" i="1" s="1"/>
  <c r="F2217" i="1"/>
  <c r="N2217" i="1" s="1"/>
  <c r="F1854" i="1"/>
  <c r="F270" i="1"/>
  <c r="F1742" i="1"/>
  <c r="F2027" i="1"/>
  <c r="D2283" i="1"/>
  <c r="E2274" i="1"/>
  <c r="E2292" i="1"/>
  <c r="D2280" i="1"/>
  <c r="D2281" i="1" s="1"/>
  <c r="N176" i="1" l="1"/>
  <c r="N14" i="1"/>
  <c r="D2284" i="1"/>
  <c r="D2234" i="1"/>
  <c r="E2275" i="1"/>
  <c r="F2283" i="1"/>
  <c r="F2280" i="1"/>
  <c r="D2243" i="1" l="1"/>
  <c r="F2234" i="1"/>
  <c r="F2281" i="1"/>
  <c r="F2284" i="1"/>
  <c r="F2285" i="1"/>
  <c r="F2282" i="1"/>
  <c r="F2243" i="1" l="1"/>
  <c r="F2257" i="1" l="1"/>
  <c r="G1001" i="1"/>
  <c r="O1001" i="1" s="1"/>
  <c r="G1002" i="1"/>
  <c r="O1002" i="1" s="1"/>
  <c r="K1578" i="1" l="1"/>
  <c r="H1578" i="1"/>
  <c r="G1578" i="1"/>
  <c r="O1578" i="1" s="1"/>
  <c r="L1578" i="1" l="1"/>
  <c r="N1578" i="1" s="1"/>
  <c r="I1578" i="1"/>
  <c r="I1579" i="1"/>
  <c r="L1579" i="1"/>
  <c r="N1579" i="1" s="1"/>
  <c r="G1618" i="1"/>
  <c r="O1618" i="1" s="1"/>
  <c r="G1607" i="1"/>
  <c r="O1607" i="1" s="1"/>
  <c r="G1599" i="1"/>
  <c r="O1599" i="1" s="1"/>
  <c r="G1449" i="1"/>
  <c r="O1449" i="1" s="1"/>
  <c r="G1684" i="1"/>
  <c r="O1684" i="1" s="1"/>
  <c r="G1627" i="1"/>
  <c r="O1627" i="1" s="1"/>
  <c r="G1441" i="1"/>
  <c r="O1441" i="1" s="1"/>
  <c r="P1579" i="1" l="1"/>
  <c r="P1578" i="1"/>
  <c r="H1934" i="1"/>
  <c r="K1934" i="1"/>
  <c r="K260" i="1"/>
  <c r="L1934" i="1" l="1"/>
  <c r="N1934" i="1" s="1"/>
  <c r="L100" i="1" l="1"/>
  <c r="N100" i="1" l="1"/>
  <c r="P100" i="1"/>
  <c r="K259" i="1" l="1"/>
  <c r="L259" i="1" l="1"/>
  <c r="N259" i="1" s="1"/>
  <c r="K419" i="1" l="1"/>
  <c r="L55" i="1"/>
  <c r="L56" i="1"/>
  <c r="N56" i="1" s="1"/>
  <c r="L57" i="1"/>
  <c r="N57" i="1" s="1"/>
  <c r="N55" i="1" l="1"/>
  <c r="P55" i="1"/>
  <c r="P57" i="1"/>
  <c r="P56" i="1"/>
  <c r="L1174" i="1"/>
  <c r="P1174" i="1" l="1"/>
  <c r="K2013" i="1"/>
  <c r="K270" i="1" l="1"/>
  <c r="L262" i="1" l="1"/>
  <c r="N262" i="1" s="1"/>
  <c r="L261" i="1"/>
  <c r="N261" i="1" s="1"/>
  <c r="L263" i="1"/>
  <c r="N263" i="1" s="1"/>
  <c r="L264" i="1"/>
  <c r="N264" i="1" s="1"/>
  <c r="L265" i="1"/>
  <c r="N265" i="1" s="1"/>
  <c r="K287" i="1"/>
  <c r="P263" i="1" l="1"/>
  <c r="P265" i="1"/>
  <c r="P264" i="1"/>
  <c r="P261" i="1"/>
  <c r="P262" i="1"/>
  <c r="L287" i="1"/>
  <c r="N287" i="1" s="1"/>
  <c r="K365" i="1"/>
  <c r="K366" i="1"/>
  <c r="L370" i="1"/>
  <c r="N370" i="1" s="1"/>
  <c r="P370" i="1" l="1"/>
  <c r="L42" i="1"/>
  <c r="N42" i="1" s="1"/>
  <c r="L450" i="1"/>
  <c r="N450" i="1" s="1"/>
  <c r="L449" i="1"/>
  <c r="N449" i="1" s="1"/>
  <c r="P450" i="1" l="1"/>
  <c r="P449" i="1"/>
  <c r="L115" i="1" l="1"/>
  <c r="L114" i="1"/>
  <c r="K111" i="1"/>
  <c r="N114" i="1" l="1"/>
  <c r="N115" i="1"/>
  <c r="L587" i="1"/>
  <c r="L2205" i="1" l="1"/>
  <c r="L2193" i="1"/>
  <c r="L1438" i="1"/>
  <c r="L2221" i="1"/>
  <c r="L2177" i="1"/>
  <c r="N2177" i="1" s="1"/>
  <c r="L2179" i="1"/>
  <c r="L2165" i="1"/>
  <c r="L2136" i="1"/>
  <c r="L2128" i="1"/>
  <c r="P2165" i="1" l="1"/>
  <c r="P2193" i="1"/>
  <c r="P1438" i="1"/>
  <c r="L2108" i="1"/>
  <c r="L2090" i="1" l="1"/>
  <c r="N2090" i="1" s="1"/>
  <c r="L2044" i="1"/>
  <c r="N2044" i="1" s="1"/>
  <c r="L1941" i="1"/>
  <c r="N1941" i="1" s="1"/>
  <c r="L1925" i="1"/>
  <c r="N1925" i="1" s="1"/>
  <c r="J1897" i="1"/>
  <c r="J1898" i="1"/>
  <c r="L1900" i="1"/>
  <c r="N1900" i="1" s="1"/>
  <c r="O1898" i="1" l="1"/>
  <c r="M1898" i="1"/>
  <c r="O1897" i="1"/>
  <c r="M1897" i="1"/>
  <c r="P2090" i="1"/>
  <c r="P2044" i="1"/>
  <c r="P1941" i="1"/>
  <c r="P1925" i="1"/>
  <c r="P1900" i="1"/>
  <c r="L1761" i="1" l="1"/>
  <c r="L1722" i="1"/>
  <c r="L1714" i="1"/>
  <c r="L1710" i="1"/>
  <c r="P1710" i="1" s="1"/>
  <c r="L1705" i="1"/>
  <c r="L1652" i="1"/>
  <c r="N1652" i="1" s="1"/>
  <c r="L1641" i="1"/>
  <c r="L1634" i="1"/>
  <c r="L1612" i="1"/>
  <c r="N1612" i="1" s="1"/>
  <c r="P1612" i="1" l="1"/>
  <c r="P1641" i="1"/>
  <c r="L1394" i="1" l="1"/>
  <c r="N1394" i="1" s="1"/>
  <c r="L1550" i="1"/>
  <c r="L1534" i="1"/>
  <c r="N1534" i="1" s="1"/>
  <c r="L1472" i="1"/>
  <c r="L1444" i="1"/>
  <c r="L1425" i="1"/>
  <c r="L1426" i="1"/>
  <c r="L1400" i="1"/>
  <c r="L1375" i="1"/>
  <c r="N1375" i="1" s="1"/>
  <c r="L1350" i="1"/>
  <c r="L1345" i="1"/>
  <c r="L1317" i="1"/>
  <c r="P1534" i="1" l="1"/>
  <c r="P1444" i="1"/>
  <c r="P1472" i="1"/>
  <c r="P1550" i="1"/>
  <c r="P1493" i="1"/>
  <c r="P1466" i="1"/>
  <c r="P1425" i="1"/>
  <c r="P1410" i="1"/>
  <c r="P1400" i="1"/>
  <c r="P1390" i="1"/>
  <c r="P1375" i="1"/>
  <c r="P1350" i="1"/>
  <c r="P1345" i="1"/>
  <c r="P1320" i="1"/>
  <c r="P1317" i="1"/>
  <c r="L1306" i="1"/>
  <c r="L1307" i="1"/>
  <c r="N1307" i="1" s="1"/>
  <c r="L1308" i="1"/>
  <c r="L1253" i="1"/>
  <c r="L1242" i="1"/>
  <c r="L1232" i="1"/>
  <c r="L1229" i="1"/>
  <c r="L1215" i="1"/>
  <c r="L1199" i="1"/>
  <c r="L1186" i="1"/>
  <c r="L1164" i="1"/>
  <c r="P1199" i="1" l="1"/>
  <c r="P1229" i="1"/>
  <c r="P1307" i="1"/>
  <c r="P1242" i="1"/>
  <c r="P1232" i="1"/>
  <c r="P1306" i="1"/>
  <c r="P1153" i="1"/>
  <c r="P1186" i="1"/>
  <c r="P1253" i="1"/>
  <c r="P1215" i="1"/>
  <c r="P1267" i="1"/>
  <c r="P1162" i="1"/>
  <c r="P1164" i="1"/>
  <c r="L1125" i="1"/>
  <c r="L1123" i="1"/>
  <c r="L1118" i="1"/>
  <c r="L1108" i="1"/>
  <c r="L1101" i="1"/>
  <c r="L1089" i="1"/>
  <c r="P1125" i="1" l="1"/>
  <c r="P1123" i="1"/>
  <c r="P1133" i="1"/>
  <c r="P1108" i="1"/>
  <c r="P1101" i="1"/>
  <c r="P1089" i="1"/>
  <c r="L1071" i="1"/>
  <c r="L1038" i="1"/>
  <c r="L979" i="1"/>
  <c r="G909" i="1"/>
  <c r="O909" i="1" s="1"/>
  <c r="G910" i="1"/>
  <c r="O910" i="1" s="1"/>
  <c r="L914" i="1"/>
  <c r="N914" i="1" s="1"/>
  <c r="I914" i="1"/>
  <c r="L912" i="1"/>
  <c r="N912" i="1" s="1"/>
  <c r="I912" i="1"/>
  <c r="L911" i="1"/>
  <c r="N911" i="1" s="1"/>
  <c r="I911" i="1"/>
  <c r="P1071" i="1" l="1"/>
  <c r="P1028" i="1"/>
  <c r="P1079" i="1"/>
  <c r="P1038" i="1"/>
  <c r="P1019" i="1"/>
  <c r="P987" i="1"/>
  <c r="P966" i="1"/>
  <c r="P912" i="1"/>
  <c r="P911" i="1"/>
  <c r="P914" i="1"/>
  <c r="I910" i="1"/>
  <c r="L1013" i="1"/>
  <c r="N1013" i="1" s="1"/>
  <c r="L910" i="1"/>
  <c r="N910" i="1" s="1"/>
  <c r="L883" i="1"/>
  <c r="P883" i="1" l="1"/>
  <c r="P910" i="1"/>
  <c r="L671" i="1"/>
  <c r="N671" i="1" s="1"/>
  <c r="P671" i="1" l="1"/>
  <c r="L534" i="1"/>
  <c r="L585" i="1"/>
  <c r="N585" i="1" s="1"/>
  <c r="L586" i="1"/>
  <c r="P534" i="1" l="1"/>
  <c r="P586" i="1"/>
  <c r="L448" i="1"/>
  <c r="N448" i="1" s="1"/>
  <c r="L451" i="1"/>
  <c r="L439" i="1"/>
  <c r="L393" i="1"/>
  <c r="N393" i="1" s="1"/>
  <c r="L394" i="1"/>
  <c r="N394" i="1" s="1"/>
  <c r="L174" i="1"/>
  <c r="L171" i="1"/>
  <c r="N171" i="1" s="1"/>
  <c r="L150" i="1"/>
  <c r="N150" i="1" l="1"/>
  <c r="P150" i="1"/>
  <c r="P171" i="1"/>
  <c r="P174" i="1"/>
  <c r="P393" i="1"/>
  <c r="P394" i="1"/>
  <c r="P439" i="1"/>
  <c r="G2214" i="1"/>
  <c r="H259" i="1" l="1"/>
  <c r="H260" i="1"/>
  <c r="G259" i="1"/>
  <c r="O259" i="1" s="1"/>
  <c r="G260" i="1"/>
  <c r="O260" i="1" s="1"/>
  <c r="L260" i="1" l="1"/>
  <c r="N260" i="1" s="1"/>
  <c r="I259" i="1"/>
  <c r="I260" i="1"/>
  <c r="P260" i="1" l="1"/>
  <c r="P259" i="1"/>
  <c r="J2214" i="1"/>
  <c r="M2214" i="1" l="1"/>
  <c r="O2214" i="1"/>
  <c r="L2214" i="1"/>
  <c r="N2214" i="1" s="1"/>
  <c r="L2255" i="1"/>
  <c r="L2244" i="1" s="1"/>
  <c r="N2244" i="1" s="1"/>
  <c r="L2242" i="1"/>
  <c r="L2239" i="1"/>
  <c r="L2232" i="1"/>
  <c r="L2230" i="1"/>
  <c r="N2230" i="1" s="1"/>
  <c r="J2229" i="1"/>
  <c r="M2229" i="1" s="1"/>
  <c r="K2228" i="1"/>
  <c r="J2228" i="1"/>
  <c r="M2228" i="1" s="1"/>
  <c r="L2227" i="1"/>
  <c r="L2226" i="1"/>
  <c r="L2225" i="1"/>
  <c r="N2225" i="1" s="1"/>
  <c r="L2222" i="1"/>
  <c r="L2219" i="1"/>
  <c r="N2219" i="1" s="1"/>
  <c r="L2216" i="1"/>
  <c r="L2215" i="1"/>
  <c r="N2215" i="1" s="1"/>
  <c r="K2213" i="1"/>
  <c r="J2213" i="1"/>
  <c r="M2213" i="1" s="1"/>
  <c r="L2212" i="1"/>
  <c r="L2211" i="1"/>
  <c r="L2209" i="1"/>
  <c r="N2209" i="1" s="1"/>
  <c r="L2206" i="1"/>
  <c r="L2203" i="1"/>
  <c r="N2203" i="1" s="1"/>
  <c r="L2202" i="1"/>
  <c r="N2202" i="1" s="1"/>
  <c r="L2199" i="1"/>
  <c r="L2198" i="1"/>
  <c r="N2198" i="1" s="1"/>
  <c r="L2197" i="1"/>
  <c r="N2197" i="1" s="1"/>
  <c r="L2194" i="1"/>
  <c r="L2191" i="1"/>
  <c r="N2191" i="1" s="1"/>
  <c r="L2188" i="1"/>
  <c r="N2188" i="1" s="1"/>
  <c r="L2184" i="1"/>
  <c r="L2183" i="1"/>
  <c r="N2183" i="1" s="1"/>
  <c r="L2176" i="1"/>
  <c r="N2176" i="1" s="1"/>
  <c r="L2172" i="1"/>
  <c r="L2169" i="1"/>
  <c r="N2169" i="1" s="1"/>
  <c r="L2166" i="1"/>
  <c r="L2162" i="1"/>
  <c r="L2161" i="1"/>
  <c r="N2161" i="1" s="1"/>
  <c r="L2157" i="1"/>
  <c r="L2156" i="1"/>
  <c r="N2156" i="1" s="1"/>
  <c r="L2152" i="1"/>
  <c r="L2151" i="1"/>
  <c r="L2149" i="1"/>
  <c r="L2148" i="1"/>
  <c r="N2148" i="1" s="1"/>
  <c r="L2145" i="1"/>
  <c r="L2144" i="1"/>
  <c r="L2143" i="1"/>
  <c r="L2141" i="1"/>
  <c r="N2141" i="1" s="1"/>
  <c r="L2140" i="1"/>
  <c r="N2140" i="1" s="1"/>
  <c r="L2137" i="1"/>
  <c r="L2134" i="1"/>
  <c r="N2134" i="1" s="1"/>
  <c r="L2133" i="1"/>
  <c r="N2133" i="1" s="1"/>
  <c r="L2129" i="1"/>
  <c r="L2126" i="1"/>
  <c r="N2126" i="1" s="1"/>
  <c r="L2125" i="1"/>
  <c r="N2125" i="1" s="1"/>
  <c r="L2121" i="1"/>
  <c r="L2119" i="1"/>
  <c r="N2119" i="1" s="1"/>
  <c r="L2115" i="1"/>
  <c r="L2113" i="1"/>
  <c r="N2113" i="1" s="1"/>
  <c r="L2112" i="1"/>
  <c r="N2112" i="1" s="1"/>
  <c r="L2109" i="1"/>
  <c r="L2107" i="1"/>
  <c r="L2106" i="1"/>
  <c r="N2106" i="1" s="1"/>
  <c r="L2103" i="1"/>
  <c r="L2102" i="1"/>
  <c r="L2092" i="1"/>
  <c r="L2089" i="1"/>
  <c r="N2089" i="1" s="1"/>
  <c r="L2088" i="1"/>
  <c r="N2088" i="1" s="1"/>
  <c r="L2100" i="1"/>
  <c r="N2100" i="1" s="1"/>
  <c r="L2091" i="1"/>
  <c r="N2091" i="1" s="1"/>
  <c r="L2099" i="1"/>
  <c r="N2099" i="1" s="1"/>
  <c r="L2087" i="1"/>
  <c r="N2087" i="1" s="1"/>
  <c r="L2086" i="1"/>
  <c r="N2086" i="1" s="1"/>
  <c r="L2085" i="1"/>
  <c r="N2085" i="1" s="1"/>
  <c r="L2084" i="1"/>
  <c r="N2084" i="1" s="1"/>
  <c r="L2083" i="1"/>
  <c r="N2083" i="1" s="1"/>
  <c r="L2081" i="1"/>
  <c r="N2081" i="1" s="1"/>
  <c r="L2077" i="1"/>
  <c r="L2075" i="1"/>
  <c r="N2075" i="1" s="1"/>
  <c r="L2074" i="1"/>
  <c r="N2074" i="1" s="1"/>
  <c r="L2073" i="1"/>
  <c r="N2073" i="1" s="1"/>
  <c r="K2072" i="1"/>
  <c r="K2071" i="1"/>
  <c r="L2069" i="1"/>
  <c r="L2068" i="1"/>
  <c r="L2066" i="1"/>
  <c r="N2066" i="1" s="1"/>
  <c r="L2065" i="1"/>
  <c r="N2065" i="1" s="1"/>
  <c r="L2064" i="1"/>
  <c r="L2063" i="1"/>
  <c r="N2063" i="1" s="1"/>
  <c r="L2062" i="1"/>
  <c r="N2062" i="1" s="1"/>
  <c r="L2061" i="1"/>
  <c r="N2061" i="1" s="1"/>
  <c r="L2060" i="1"/>
  <c r="N2060" i="1" s="1"/>
  <c r="L2059" i="1"/>
  <c r="N2059" i="1" s="1"/>
  <c r="K2058" i="1"/>
  <c r="K2057" i="1"/>
  <c r="L2056" i="1"/>
  <c r="L2055" i="1"/>
  <c r="L2054" i="1"/>
  <c r="L2053" i="1"/>
  <c r="N2053" i="1" s="1"/>
  <c r="L2052" i="1"/>
  <c r="N2052" i="1" s="1"/>
  <c r="L2051" i="1"/>
  <c r="N2051" i="1" s="1"/>
  <c r="K2050" i="1"/>
  <c r="K2049" i="1"/>
  <c r="L2047" i="1"/>
  <c r="L2037" i="1"/>
  <c r="N2037" i="1" s="1"/>
  <c r="L2043" i="1"/>
  <c r="N2043" i="1" s="1"/>
  <c r="L2036" i="1"/>
  <c r="N2036" i="1" s="1"/>
  <c r="L2035" i="1"/>
  <c r="L2034" i="1"/>
  <c r="N2034" i="1" s="1"/>
  <c r="L2041" i="1"/>
  <c r="N2041" i="1" s="1"/>
  <c r="L2040" i="1"/>
  <c r="N2040" i="1" s="1"/>
  <c r="L2033" i="1"/>
  <c r="N2033" i="1" s="1"/>
  <c r="L2032" i="1"/>
  <c r="N2032" i="1" s="1"/>
  <c r="L2031" i="1"/>
  <c r="N2031" i="1" s="1"/>
  <c r="L2029" i="1"/>
  <c r="N2029" i="1" s="1"/>
  <c r="L2028" i="1"/>
  <c r="N2028" i="1" s="1"/>
  <c r="L2024" i="1"/>
  <c r="L2022" i="1"/>
  <c r="N2022" i="1" s="1"/>
  <c r="L2020" i="1"/>
  <c r="L2018" i="1"/>
  <c r="N2018" i="1" s="1"/>
  <c r="L2021" i="1"/>
  <c r="N2021" i="1" s="1"/>
  <c r="L2017" i="1"/>
  <c r="N2017" i="1" s="1"/>
  <c r="L2015" i="1"/>
  <c r="N2015" i="1" s="1"/>
  <c r="L2014" i="1"/>
  <c r="N2014" i="1" s="1"/>
  <c r="K2012" i="1"/>
  <c r="L2011" i="1"/>
  <c r="L2007" i="1"/>
  <c r="N2007" i="1" s="1"/>
  <c r="L2002" i="1"/>
  <c r="N2002" i="1" s="1"/>
  <c r="L2001" i="1"/>
  <c r="L2000" i="1"/>
  <c r="N2000" i="1" s="1"/>
  <c r="L1999" i="1"/>
  <c r="N1999" i="1" s="1"/>
  <c r="L1998" i="1"/>
  <c r="N1998" i="1" s="1"/>
  <c r="L1997" i="1"/>
  <c r="N1997" i="1" s="1"/>
  <c r="L1996" i="1"/>
  <c r="N1996" i="1" s="1"/>
  <c r="K1995" i="1"/>
  <c r="K1994" i="1"/>
  <c r="L1993" i="1"/>
  <c r="L1992" i="1"/>
  <c r="L1991" i="1"/>
  <c r="N1991" i="1" s="1"/>
  <c r="L1990" i="1"/>
  <c r="N1990" i="1" s="1"/>
  <c r="L1989" i="1"/>
  <c r="N1989" i="1" s="1"/>
  <c r="L1988" i="1"/>
  <c r="L1987" i="1"/>
  <c r="N1987" i="1" s="1"/>
  <c r="K1986" i="1"/>
  <c r="K1985" i="1"/>
  <c r="L1983" i="1"/>
  <c r="L1982" i="1"/>
  <c r="L1976" i="1"/>
  <c r="N1976" i="1" s="1"/>
  <c r="L1978" i="1"/>
  <c r="N1978" i="1" s="1"/>
  <c r="L1975" i="1"/>
  <c r="N1975" i="1" s="1"/>
  <c r="L1977" i="1"/>
  <c r="N1977" i="1" s="1"/>
  <c r="L1979" i="1"/>
  <c r="L1974" i="1"/>
  <c r="N1974" i="1" s="1"/>
  <c r="L1972" i="1"/>
  <c r="N1972" i="1" s="1"/>
  <c r="L1971" i="1"/>
  <c r="N1971" i="1" s="1"/>
  <c r="L1970" i="1"/>
  <c r="N1970" i="1" s="1"/>
  <c r="L1969" i="1"/>
  <c r="N1969" i="1" s="1"/>
  <c r="L1968" i="1"/>
  <c r="N1968" i="1" s="1"/>
  <c r="L1967" i="1"/>
  <c r="N1967" i="1" s="1"/>
  <c r="L1966" i="1"/>
  <c r="N1966" i="1" s="1"/>
  <c r="L1965" i="1"/>
  <c r="N1965" i="1" s="1"/>
  <c r="L1981" i="1"/>
  <c r="N1981" i="1" s="1"/>
  <c r="L1963" i="1"/>
  <c r="N1963" i="1" s="1"/>
  <c r="L1962" i="1"/>
  <c r="N1962" i="1" s="1"/>
  <c r="L1961" i="1"/>
  <c r="N1961" i="1" s="1"/>
  <c r="L1960" i="1"/>
  <c r="N1960" i="1" s="1"/>
  <c r="K1959" i="1"/>
  <c r="K1958" i="1"/>
  <c r="L1957" i="1"/>
  <c r="L1952" i="1"/>
  <c r="N1952" i="1" s="1"/>
  <c r="L1951" i="1"/>
  <c r="N1951" i="1" s="1"/>
  <c r="L1950" i="1"/>
  <c r="N1950" i="1" s="1"/>
  <c r="K1948" i="1"/>
  <c r="L1946" i="1"/>
  <c r="L1945" i="1"/>
  <c r="L1943" i="1"/>
  <c r="L1940" i="1"/>
  <c r="N1940" i="1" s="1"/>
  <c r="L1939" i="1"/>
  <c r="N1939" i="1" s="1"/>
  <c r="L1944" i="1"/>
  <c r="L1938" i="1"/>
  <c r="N1938" i="1" s="1"/>
  <c r="L1937" i="1"/>
  <c r="N1937" i="1" s="1"/>
  <c r="L1936" i="1"/>
  <c r="N1936" i="1" s="1"/>
  <c r="L1935" i="1"/>
  <c r="N1935" i="1" s="1"/>
  <c r="K1933" i="1"/>
  <c r="L1932" i="1"/>
  <c r="L1926" i="1"/>
  <c r="N1926" i="1" s="1"/>
  <c r="L1924" i="1"/>
  <c r="N1924" i="1" s="1"/>
  <c r="L1923" i="1"/>
  <c r="N1923" i="1" s="1"/>
  <c r="L1922" i="1"/>
  <c r="N1922" i="1" s="1"/>
  <c r="L1921" i="1"/>
  <c r="N1921" i="1" s="1"/>
  <c r="L1920" i="1"/>
  <c r="N1920" i="1" s="1"/>
  <c r="L1919" i="1"/>
  <c r="N1919" i="1" s="1"/>
  <c r="K1918" i="1"/>
  <c r="K1917" i="1"/>
  <c r="L1914" i="1"/>
  <c r="N1914" i="1" s="1"/>
  <c r="L1911" i="1"/>
  <c r="N1911" i="1" s="1"/>
  <c r="J1910" i="1"/>
  <c r="K1909" i="1"/>
  <c r="L1908" i="1"/>
  <c r="L1906" i="1"/>
  <c r="N1906" i="1" s="1"/>
  <c r="L1907" i="1"/>
  <c r="N1907" i="1" s="1"/>
  <c r="K1902" i="1"/>
  <c r="L1901" i="1"/>
  <c r="L1899" i="1"/>
  <c r="N1899" i="1" s="1"/>
  <c r="K1897" i="1"/>
  <c r="J1896" i="1"/>
  <c r="L1895" i="1"/>
  <c r="N1895" i="1" s="1"/>
  <c r="L1894" i="1"/>
  <c r="N1894" i="1" s="1"/>
  <c r="L1893" i="1"/>
  <c r="N1893" i="1" s="1"/>
  <c r="J1892" i="1"/>
  <c r="K1891" i="1"/>
  <c r="J1891" i="1"/>
  <c r="M1891" i="1" s="1"/>
  <c r="J1890" i="1"/>
  <c r="L1889" i="1"/>
  <c r="N1889" i="1" s="1"/>
  <c r="L1888" i="1"/>
  <c r="N1888" i="1" s="1"/>
  <c r="K1885" i="1"/>
  <c r="J1884" i="1"/>
  <c r="L1883" i="1"/>
  <c r="N1883" i="1" s="1"/>
  <c r="L1882" i="1"/>
  <c r="N1882" i="1" s="1"/>
  <c r="K1880" i="1"/>
  <c r="L1878" i="1"/>
  <c r="N1878" i="1" s="1"/>
  <c r="L1877" i="1"/>
  <c r="N1877" i="1" s="1"/>
  <c r="K1875" i="1"/>
  <c r="J1875" i="1"/>
  <c r="M1875" i="1" s="1"/>
  <c r="L1874" i="1"/>
  <c r="L1873" i="1"/>
  <c r="L1872" i="1"/>
  <c r="N1872" i="1" s="1"/>
  <c r="K1868" i="1"/>
  <c r="L1867" i="1"/>
  <c r="L1866" i="1"/>
  <c r="N1866" i="1" s="1"/>
  <c r="L1865" i="1"/>
  <c r="N1865" i="1" s="1"/>
  <c r="L1864" i="1"/>
  <c r="N1864" i="1" s="1"/>
  <c r="L1862" i="1"/>
  <c r="N1862" i="1" s="1"/>
  <c r="K1860" i="1"/>
  <c r="J1859" i="1"/>
  <c r="L1858" i="1"/>
  <c r="N1858" i="1" s="1"/>
  <c r="L1856" i="1"/>
  <c r="N1856" i="1" s="1"/>
  <c r="K1854" i="1"/>
  <c r="L1853" i="1"/>
  <c r="L1852" i="1"/>
  <c r="N1852" i="1" s="1"/>
  <c r="J1851" i="1"/>
  <c r="M1851" i="1" s="1"/>
  <c r="K1850" i="1"/>
  <c r="J1850" i="1"/>
  <c r="M1850" i="1" s="1"/>
  <c r="L1849" i="1"/>
  <c r="L1848" i="1"/>
  <c r="N1848" i="1" s="1"/>
  <c r="J1847" i="1"/>
  <c r="M1847" i="1" s="1"/>
  <c r="K1846" i="1"/>
  <c r="J1846" i="1"/>
  <c r="M1846" i="1" s="1"/>
  <c r="L1845" i="1"/>
  <c r="L1844" i="1"/>
  <c r="N1844" i="1" s="1"/>
  <c r="J1843" i="1"/>
  <c r="M1843" i="1" s="1"/>
  <c r="K1842" i="1"/>
  <c r="J1842" i="1"/>
  <c r="M1842" i="1" s="1"/>
  <c r="L1841" i="1"/>
  <c r="L1840" i="1"/>
  <c r="N1840" i="1" s="1"/>
  <c r="J1839" i="1"/>
  <c r="M1839" i="1" s="1"/>
  <c r="K1838" i="1"/>
  <c r="J1838" i="1"/>
  <c r="M1838" i="1" s="1"/>
  <c r="L1837" i="1"/>
  <c r="L1836" i="1"/>
  <c r="N1836" i="1" s="1"/>
  <c r="J1835" i="1"/>
  <c r="M1835" i="1" s="1"/>
  <c r="K1834" i="1"/>
  <c r="J1834" i="1"/>
  <c r="M1834" i="1" s="1"/>
  <c r="L1831" i="1"/>
  <c r="N1831" i="1" s="1"/>
  <c r="L1828" i="1"/>
  <c r="L1826" i="1"/>
  <c r="N1826" i="1" s="1"/>
  <c r="J1825" i="1"/>
  <c r="M1825" i="1" s="1"/>
  <c r="J1824" i="1"/>
  <c r="M1824" i="1" s="1"/>
  <c r="L1823" i="1"/>
  <c r="L1822" i="1"/>
  <c r="N1822" i="1" s="1"/>
  <c r="J1821" i="1"/>
  <c r="M1821" i="1" s="1"/>
  <c r="K1820" i="1"/>
  <c r="J1820" i="1"/>
  <c r="M1820" i="1" s="1"/>
  <c r="L1819" i="1"/>
  <c r="L1818" i="1"/>
  <c r="N1818" i="1" s="1"/>
  <c r="J1817" i="1"/>
  <c r="M1817" i="1" s="1"/>
  <c r="K1816" i="1"/>
  <c r="J1816" i="1"/>
  <c r="M1816" i="1" s="1"/>
  <c r="L1815" i="1"/>
  <c r="L1814" i="1"/>
  <c r="L1812" i="1"/>
  <c r="N1812" i="1" s="1"/>
  <c r="K1810" i="1"/>
  <c r="L1809" i="1"/>
  <c r="L1808" i="1"/>
  <c r="N1808" i="1" s="1"/>
  <c r="L1806" i="1"/>
  <c r="N1806" i="1" s="1"/>
  <c r="K1804" i="1"/>
  <c r="L1803" i="1"/>
  <c r="L1802" i="1"/>
  <c r="N1802" i="1" s="1"/>
  <c r="J1801" i="1"/>
  <c r="M1801" i="1" s="1"/>
  <c r="K1800" i="1"/>
  <c r="J1800" i="1"/>
  <c r="M1800" i="1" s="1"/>
  <c r="L1799" i="1"/>
  <c r="L1798" i="1"/>
  <c r="N1798" i="1" s="1"/>
  <c r="J1797" i="1"/>
  <c r="M1797" i="1" s="1"/>
  <c r="K1796" i="1"/>
  <c r="J1796" i="1"/>
  <c r="M1796" i="1" s="1"/>
  <c r="L1794" i="1"/>
  <c r="N1794" i="1" s="1"/>
  <c r="J1793" i="1"/>
  <c r="M1793" i="1" s="1"/>
  <c r="K1792" i="1"/>
  <c r="J1792" i="1"/>
  <c r="M1792" i="1" s="1"/>
  <c r="L1790" i="1"/>
  <c r="N1790" i="1" s="1"/>
  <c r="L1789" i="1"/>
  <c r="N1789" i="1" s="1"/>
  <c r="K1787" i="1"/>
  <c r="L1786" i="1"/>
  <c r="L1785" i="1"/>
  <c r="N1785" i="1" s="1"/>
  <c r="J1784" i="1"/>
  <c r="M1784" i="1" s="1"/>
  <c r="K1783" i="1"/>
  <c r="J1783" i="1"/>
  <c r="M1783" i="1" s="1"/>
  <c r="L1782" i="1"/>
  <c r="L1781" i="1"/>
  <c r="N1781" i="1" s="1"/>
  <c r="K1776" i="1"/>
  <c r="L1775" i="1"/>
  <c r="L1774" i="1"/>
  <c r="N1774" i="1" s="1"/>
  <c r="L1772" i="1"/>
  <c r="N1772" i="1" s="1"/>
  <c r="K1770" i="1"/>
  <c r="L1768" i="1"/>
  <c r="N1768" i="1" s="1"/>
  <c r="L1767" i="1"/>
  <c r="N1767" i="1" s="1"/>
  <c r="L1766" i="1"/>
  <c r="N1766" i="1" s="1"/>
  <c r="K1764" i="1"/>
  <c r="L1763" i="1"/>
  <c r="L1762" i="1"/>
  <c r="L1760" i="1"/>
  <c r="N1760" i="1" s="1"/>
  <c r="L1759" i="1"/>
  <c r="N1759" i="1" s="1"/>
  <c r="L1758" i="1"/>
  <c r="N1758" i="1" s="1"/>
  <c r="K1757" i="1"/>
  <c r="K1756" i="1"/>
  <c r="L1754" i="1"/>
  <c r="K1742" i="1"/>
  <c r="L1741" i="1"/>
  <c r="L1740" i="1"/>
  <c r="L1739" i="1"/>
  <c r="L1737" i="1"/>
  <c r="N1737" i="1" s="1"/>
  <c r="L1738" i="1"/>
  <c r="L1735" i="1"/>
  <c r="N1735" i="1" s="1"/>
  <c r="L1734" i="1"/>
  <c r="N1734" i="1" s="1"/>
  <c r="K1733" i="1"/>
  <c r="K1732" i="1"/>
  <c r="L1731" i="1"/>
  <c r="L1729" i="1"/>
  <c r="N1729" i="1" s="1"/>
  <c r="L1727" i="1"/>
  <c r="N1727" i="1" s="1"/>
  <c r="L1728" i="1"/>
  <c r="N1728" i="1" s="1"/>
  <c r="L1726" i="1"/>
  <c r="N1726" i="1" s="1"/>
  <c r="K1724" i="1"/>
  <c r="L1721" i="1"/>
  <c r="N1721" i="1" s="1"/>
  <c r="L1720" i="1"/>
  <c r="N1720" i="1" s="1"/>
  <c r="L1718" i="1"/>
  <c r="N1718" i="1" s="1"/>
  <c r="K1716" i="1"/>
  <c r="L1715" i="1"/>
  <c r="L1713" i="1"/>
  <c r="N1713" i="1" s="1"/>
  <c r="L1712" i="1"/>
  <c r="N1712" i="1" s="1"/>
  <c r="L1709" i="1"/>
  <c r="N1709" i="1" s="1"/>
  <c r="K1707" i="1"/>
  <c r="L1706" i="1"/>
  <c r="L1704" i="1"/>
  <c r="N1704" i="1" s="1"/>
  <c r="L1703" i="1"/>
  <c r="N1703" i="1" s="1"/>
  <c r="L1702" i="1"/>
  <c r="N1702" i="1" s="1"/>
  <c r="K1700" i="1"/>
  <c r="L1699" i="1"/>
  <c r="L1698" i="1"/>
  <c r="L1695" i="1"/>
  <c r="N1695" i="1" s="1"/>
  <c r="L1697" i="1"/>
  <c r="N1697" i="1" s="1"/>
  <c r="L1696" i="1"/>
  <c r="N1696" i="1" s="1"/>
  <c r="L1694" i="1"/>
  <c r="N1694" i="1" s="1"/>
  <c r="L1692" i="1"/>
  <c r="N1692" i="1" s="1"/>
  <c r="K1691" i="1"/>
  <c r="K1690" i="1"/>
  <c r="L1689" i="1"/>
  <c r="L1688" i="1"/>
  <c r="N1688" i="1" s="1"/>
  <c r="L1687" i="1"/>
  <c r="N1687" i="1" s="1"/>
  <c r="L1686" i="1"/>
  <c r="N1686" i="1" s="1"/>
  <c r="K1684" i="1"/>
  <c r="L1678" i="1"/>
  <c r="N1678" i="1" s="1"/>
  <c r="K1676" i="1"/>
  <c r="L1672" i="1"/>
  <c r="N1672" i="1" s="1"/>
  <c r="K1670" i="1"/>
  <c r="L1669" i="1"/>
  <c r="L1668" i="1"/>
  <c r="L1665" i="1"/>
  <c r="N1665" i="1" s="1"/>
  <c r="L1664" i="1"/>
  <c r="N1664" i="1" s="1"/>
  <c r="L1660" i="1"/>
  <c r="L1657" i="1"/>
  <c r="N1657" i="1" s="1"/>
  <c r="L1658" i="1"/>
  <c r="N1658" i="1" s="1"/>
  <c r="L1653" i="1"/>
  <c r="L1647" i="1"/>
  <c r="L1646" i="1"/>
  <c r="N1646" i="1" s="1"/>
  <c r="L1645" i="1"/>
  <c r="N1645" i="1" s="1"/>
  <c r="K1643" i="1"/>
  <c r="L1642" i="1"/>
  <c r="L1640" i="1"/>
  <c r="N1640" i="1" s="1"/>
  <c r="L1639" i="1"/>
  <c r="L1638" i="1"/>
  <c r="N1638" i="1" s="1"/>
  <c r="K1636" i="1"/>
  <c r="L1635" i="1"/>
  <c r="L1633" i="1"/>
  <c r="N1633" i="1" s="1"/>
  <c r="L1630" i="1"/>
  <c r="N1630" i="1" s="1"/>
  <c r="L1632" i="1"/>
  <c r="L1629" i="1"/>
  <c r="N1629" i="1" s="1"/>
  <c r="K1627" i="1"/>
  <c r="L1626" i="1"/>
  <c r="L1623" i="1"/>
  <c r="N1623" i="1" s="1"/>
  <c r="L1625" i="1"/>
  <c r="L1622" i="1"/>
  <c r="N1622" i="1" s="1"/>
  <c r="L1621" i="1"/>
  <c r="N1621" i="1" s="1"/>
  <c r="L1620" i="1"/>
  <c r="N1620" i="1" s="1"/>
  <c r="K1618" i="1"/>
  <c r="L1617" i="1"/>
  <c r="L1615" i="1"/>
  <c r="N1615" i="1" s="1"/>
  <c r="L1616" i="1"/>
  <c r="L1611" i="1"/>
  <c r="N1611" i="1" s="1"/>
  <c r="L1610" i="1"/>
  <c r="N1610" i="1" s="1"/>
  <c r="L1609" i="1"/>
  <c r="N1609" i="1" s="1"/>
  <c r="K1607" i="1"/>
  <c r="L1606" i="1"/>
  <c r="L1603" i="1"/>
  <c r="N1603" i="1" s="1"/>
  <c r="L1605" i="1"/>
  <c r="L1602" i="1"/>
  <c r="N1602" i="1" s="1"/>
  <c r="L1601" i="1"/>
  <c r="N1601" i="1" s="1"/>
  <c r="K1599" i="1"/>
  <c r="L1598" i="1"/>
  <c r="L1596" i="1"/>
  <c r="N1596" i="1" s="1"/>
  <c r="L1595" i="1"/>
  <c r="N1595" i="1" s="1"/>
  <c r="K1593" i="1"/>
  <c r="L1591" i="1"/>
  <c r="L1589" i="1"/>
  <c r="N1589" i="1" s="1"/>
  <c r="L1588" i="1"/>
  <c r="L1587" i="1"/>
  <c r="N1587" i="1" s="1"/>
  <c r="K1585" i="1"/>
  <c r="L1577" i="1"/>
  <c r="L1574" i="1"/>
  <c r="N1574" i="1" s="1"/>
  <c r="L1573" i="1"/>
  <c r="N1573" i="1" s="1"/>
  <c r="L1568" i="1"/>
  <c r="N1568" i="1" s="1"/>
  <c r="L1569" i="1"/>
  <c r="L1566" i="1"/>
  <c r="N1566" i="1" s="1"/>
  <c r="L1565" i="1"/>
  <c r="N1565" i="1" s="1"/>
  <c r="K1563" i="1"/>
  <c r="L1561" i="1"/>
  <c r="L1559" i="1"/>
  <c r="L1558" i="1"/>
  <c r="N1558" i="1" s="1"/>
  <c r="L1557" i="1"/>
  <c r="N1557" i="1" s="1"/>
  <c r="L1560" i="1"/>
  <c r="N1560" i="1" s="1"/>
  <c r="L1556" i="1"/>
  <c r="N1556" i="1" s="1"/>
  <c r="L1555" i="1"/>
  <c r="N1555" i="1" s="1"/>
  <c r="K1553" i="1"/>
  <c r="L1545" i="1"/>
  <c r="N1545" i="1" s="1"/>
  <c r="L1546" i="1"/>
  <c r="N1546" i="1" s="1"/>
  <c r="L1544" i="1"/>
  <c r="N1544" i="1" s="1"/>
  <c r="K1542" i="1"/>
  <c r="L1533" i="1"/>
  <c r="N1533" i="1" s="1"/>
  <c r="L1532" i="1"/>
  <c r="N1532" i="1" s="1"/>
  <c r="L1528" i="1"/>
  <c r="L1524" i="1"/>
  <c r="L1523" i="1"/>
  <c r="N1523" i="1" s="1"/>
  <c r="L1522" i="1"/>
  <c r="N1522" i="1" s="1"/>
  <c r="L1521" i="1"/>
  <c r="N1521" i="1" s="1"/>
  <c r="K1520" i="1"/>
  <c r="K1519" i="1"/>
  <c r="L1518" i="1"/>
  <c r="L1513" i="1"/>
  <c r="N1513" i="1" s="1"/>
  <c r="L1512" i="1"/>
  <c r="N1512" i="1" s="1"/>
  <c r="L1510" i="1"/>
  <c r="N1510" i="1" s="1"/>
  <c r="L1507" i="1"/>
  <c r="L1506" i="1"/>
  <c r="L1504" i="1"/>
  <c r="L1505" i="1"/>
  <c r="N1505" i="1" s="1"/>
  <c r="L1503" i="1"/>
  <c r="N1503" i="1" s="1"/>
  <c r="L1502" i="1"/>
  <c r="N1502" i="1" s="1"/>
  <c r="L1501" i="1"/>
  <c r="N1501" i="1" s="1"/>
  <c r="K1500" i="1"/>
  <c r="K1499" i="1"/>
  <c r="L1489" i="1"/>
  <c r="N1489" i="1" s="1"/>
  <c r="K1488" i="1"/>
  <c r="K1487" i="1"/>
  <c r="L1486" i="1"/>
  <c r="L1476" i="1"/>
  <c r="N1476" i="1" s="1"/>
  <c r="L1473" i="1"/>
  <c r="L1471" i="1"/>
  <c r="N1471" i="1" s="1"/>
  <c r="L1470" i="1"/>
  <c r="N1470" i="1" s="1"/>
  <c r="K1468" i="1"/>
  <c r="L1461" i="1"/>
  <c r="N1461" i="1" s="1"/>
  <c r="K1459" i="1"/>
  <c r="L1457" i="1"/>
  <c r="L1454" i="1"/>
  <c r="N1454" i="1" s="1"/>
  <c r="L1455" i="1"/>
  <c r="L1452" i="1"/>
  <c r="N1452" i="1" s="1"/>
  <c r="L1453" i="1"/>
  <c r="N1453" i="1" s="1"/>
  <c r="L1451" i="1"/>
  <c r="N1451" i="1" s="1"/>
  <c r="K1450" i="1"/>
  <c r="K1449" i="1"/>
  <c r="L1448" i="1"/>
  <c r="L1447" i="1"/>
  <c r="N1447" i="1" s="1"/>
  <c r="L1445" i="1"/>
  <c r="L1443" i="1"/>
  <c r="N1443" i="1" s="1"/>
  <c r="K1441" i="1"/>
  <c r="L1440" i="1"/>
  <c r="L1437" i="1"/>
  <c r="N1437" i="1" s="1"/>
  <c r="L1435" i="1"/>
  <c r="N1435" i="1" s="1"/>
  <c r="L1434" i="1"/>
  <c r="N1434" i="1" s="1"/>
  <c r="L1430" i="1"/>
  <c r="N1430" i="1" s="1"/>
  <c r="L1433" i="1"/>
  <c r="N1433" i="1" s="1"/>
  <c r="L1432" i="1"/>
  <c r="N1432" i="1" s="1"/>
  <c r="L1431" i="1"/>
  <c r="N1431" i="1" s="1"/>
  <c r="L1429" i="1"/>
  <c r="N1429" i="1" s="1"/>
  <c r="L1421" i="1"/>
  <c r="L1420" i="1"/>
  <c r="N1420" i="1" s="1"/>
  <c r="L1419" i="1"/>
  <c r="N1419" i="1" s="1"/>
  <c r="L1416" i="1"/>
  <c r="N1416" i="1" s="1"/>
  <c r="L1409" i="1"/>
  <c r="N1409" i="1" s="1"/>
  <c r="L1407" i="1"/>
  <c r="N1407" i="1" s="1"/>
  <c r="L1404" i="1"/>
  <c r="L1399" i="1"/>
  <c r="N1399" i="1" s="1"/>
  <c r="L1401" i="1"/>
  <c r="N1401" i="1" s="1"/>
  <c r="L1397" i="1"/>
  <c r="N1397" i="1" s="1"/>
  <c r="L1396" i="1"/>
  <c r="N1396" i="1" s="1"/>
  <c r="L1395" i="1"/>
  <c r="N1395" i="1" s="1"/>
  <c r="K1393" i="1"/>
  <c r="L1389" i="1"/>
  <c r="N1389" i="1" s="1"/>
  <c r="L1387" i="1"/>
  <c r="N1387" i="1" s="1"/>
  <c r="K1385" i="1"/>
  <c r="L1379" i="1"/>
  <c r="N1379" i="1" s="1"/>
  <c r="L1380" i="1"/>
  <c r="L1381" i="1"/>
  <c r="N1381" i="1" s="1"/>
  <c r="L1377" i="1"/>
  <c r="N1377" i="1" s="1"/>
  <c r="L1376" i="1"/>
  <c r="N1376" i="1" s="1"/>
  <c r="L1374" i="1"/>
  <c r="N1374" i="1" s="1"/>
  <c r="K1372" i="1"/>
  <c r="J1372" i="1"/>
  <c r="M1372" i="1" s="1"/>
  <c r="L1369" i="1"/>
  <c r="N1369" i="1" s="1"/>
  <c r="L1368" i="1"/>
  <c r="N1368" i="1" s="1"/>
  <c r="L1365" i="1"/>
  <c r="N1365" i="1" s="1"/>
  <c r="K1363" i="1"/>
  <c r="L1355" i="1"/>
  <c r="N1355" i="1" s="1"/>
  <c r="L1352" i="1"/>
  <c r="N1352" i="1" s="1"/>
  <c r="L1351" i="1"/>
  <c r="N1351" i="1" s="1"/>
  <c r="L1357" i="1"/>
  <c r="N1357" i="1" s="1"/>
  <c r="L1349" i="1"/>
  <c r="N1349" i="1" s="1"/>
  <c r="L1343" i="1"/>
  <c r="N1343" i="1" s="1"/>
  <c r="L1342" i="1"/>
  <c r="N1342" i="1" s="1"/>
  <c r="L1340" i="1"/>
  <c r="N1340" i="1" s="1"/>
  <c r="L1341" i="1"/>
  <c r="N1341" i="1" s="1"/>
  <c r="L1339" i="1"/>
  <c r="N1339" i="1" s="1"/>
  <c r="K1337" i="1"/>
  <c r="L1336" i="1"/>
  <c r="L1331" i="1"/>
  <c r="L1330" i="1"/>
  <c r="N1330" i="1" s="1"/>
  <c r="L1326" i="1"/>
  <c r="N1326" i="1" s="1"/>
  <c r="L1327" i="1"/>
  <c r="N1327" i="1" s="1"/>
  <c r="L1325" i="1"/>
  <c r="N1325" i="1" s="1"/>
  <c r="K1323" i="1"/>
  <c r="L1322" i="1"/>
  <c r="L1316" i="1"/>
  <c r="N1316" i="1" s="1"/>
  <c r="L1314" i="1"/>
  <c r="N1314" i="1" s="1"/>
  <c r="L1313" i="1"/>
  <c r="N1313" i="1" s="1"/>
  <c r="L1318" i="1"/>
  <c r="N1318" i="1" s="1"/>
  <c r="L1312" i="1"/>
  <c r="N1312" i="1" s="1"/>
  <c r="L1305" i="1"/>
  <c r="N1305" i="1" s="1"/>
  <c r="L1304" i="1"/>
  <c r="N1304" i="1" s="1"/>
  <c r="L1302" i="1"/>
  <c r="N1302" i="1" s="1"/>
  <c r="L1301" i="1"/>
  <c r="N1301" i="1" s="1"/>
  <c r="L1303" i="1"/>
  <c r="N1303" i="1" s="1"/>
  <c r="L1300" i="1"/>
  <c r="N1300" i="1" s="1"/>
  <c r="K1298" i="1"/>
  <c r="L1292" i="1"/>
  <c r="N1292" i="1" s="1"/>
  <c r="L1293" i="1"/>
  <c r="L1289" i="1"/>
  <c r="N1289" i="1" s="1"/>
  <c r="L1290" i="1"/>
  <c r="N1290" i="1" s="1"/>
  <c r="L1291" i="1"/>
  <c r="N1291" i="1" s="1"/>
  <c r="L1287" i="1"/>
  <c r="N1287" i="1" s="1"/>
  <c r="L1284" i="1"/>
  <c r="L1279" i="1"/>
  <c r="N1279" i="1" s="1"/>
  <c r="L1280" i="1"/>
  <c r="L1277" i="1"/>
  <c r="N1277" i="1" s="1"/>
  <c r="L1276" i="1"/>
  <c r="N1276" i="1" s="1"/>
  <c r="K1274" i="1"/>
  <c r="L1273" i="1"/>
  <c r="L1266" i="1"/>
  <c r="N1266" i="1" s="1"/>
  <c r="L1272" i="1"/>
  <c r="L1265" i="1"/>
  <c r="N1265" i="1" s="1"/>
  <c r="L1259" i="1"/>
  <c r="N1259" i="1" s="1"/>
  <c r="K1257" i="1"/>
  <c r="L1256" i="1"/>
  <c r="L1252" i="1"/>
  <c r="N1252" i="1" s="1"/>
  <c r="L1254" i="1"/>
  <c r="N1254" i="1" s="1"/>
  <c r="L1250" i="1"/>
  <c r="N1250" i="1" s="1"/>
  <c r="L1249" i="1"/>
  <c r="N1249" i="1" s="1"/>
  <c r="L1248" i="1"/>
  <c r="N1248" i="1" s="1"/>
  <c r="K1246" i="1"/>
  <c r="L1245" i="1"/>
  <c r="L1241" i="1"/>
  <c r="N1241" i="1" s="1"/>
  <c r="L1243" i="1"/>
  <c r="N1243" i="1" s="1"/>
  <c r="L1238" i="1"/>
  <c r="N1238" i="1" s="1"/>
  <c r="L1240" i="1"/>
  <c r="N1240" i="1" s="1"/>
  <c r="L1237" i="1"/>
  <c r="N1237" i="1" s="1"/>
  <c r="L1236" i="1"/>
  <c r="N1236" i="1" s="1"/>
  <c r="K1234" i="1"/>
  <c r="L1228" i="1"/>
  <c r="N1228" i="1" s="1"/>
  <c r="L1222" i="1"/>
  <c r="N1222" i="1" s="1"/>
  <c r="L1225" i="1"/>
  <c r="L1224" i="1"/>
  <c r="L1227" i="1"/>
  <c r="N1227" i="1" s="1"/>
  <c r="L1221" i="1"/>
  <c r="N1221" i="1" s="1"/>
  <c r="K1219" i="1"/>
  <c r="L1214" i="1"/>
  <c r="N1214" i="1" s="1"/>
  <c r="L1213" i="1"/>
  <c r="N1213" i="1" s="1"/>
  <c r="L1211" i="1"/>
  <c r="N1211" i="1" s="1"/>
  <c r="L1210" i="1"/>
  <c r="N1210" i="1" s="1"/>
  <c r="L1209" i="1"/>
  <c r="N1209" i="1" s="1"/>
  <c r="K1207" i="1"/>
  <c r="L1206" i="1"/>
  <c r="L1193" i="1"/>
  <c r="N1193" i="1" s="1"/>
  <c r="L1204" i="1"/>
  <c r="L1194" i="1"/>
  <c r="N1194" i="1" s="1"/>
  <c r="L1192" i="1"/>
  <c r="N1192" i="1" s="1"/>
  <c r="K1190" i="1"/>
  <c r="L1185" i="1"/>
  <c r="N1185" i="1" s="1"/>
  <c r="L1181" i="1"/>
  <c r="N1181" i="1" s="1"/>
  <c r="L1187" i="1"/>
  <c r="N1187" i="1" s="1"/>
  <c r="L1180" i="1"/>
  <c r="N1180" i="1" s="1"/>
  <c r="K1178" i="1"/>
  <c r="L1177" i="1"/>
  <c r="L1173" i="1"/>
  <c r="N1173" i="1" s="1"/>
  <c r="L1170" i="1"/>
  <c r="N1170" i="1" s="1"/>
  <c r="L1172" i="1"/>
  <c r="N1172" i="1" s="1"/>
  <c r="L1169" i="1"/>
  <c r="N1169" i="1" s="1"/>
  <c r="L1168" i="1"/>
  <c r="N1168" i="1" s="1"/>
  <c r="K1166" i="1"/>
  <c r="L1161" i="1"/>
  <c r="N1161" i="1" s="1"/>
  <c r="L1160" i="1"/>
  <c r="N1160" i="1" s="1"/>
  <c r="L1158" i="1"/>
  <c r="N1158" i="1" s="1"/>
  <c r="K1156" i="1"/>
  <c r="L1152" i="1"/>
  <c r="N1152" i="1" s="1"/>
  <c r="L1151" i="1"/>
  <c r="N1151" i="1" s="1"/>
  <c r="L1147" i="1"/>
  <c r="N1147" i="1" s="1"/>
  <c r="K1145" i="1"/>
  <c r="L1140" i="1"/>
  <c r="N1140" i="1" s="1"/>
  <c r="L1142" i="1"/>
  <c r="N1142" i="1" s="1"/>
  <c r="L1138" i="1"/>
  <c r="N1138" i="1" s="1"/>
  <c r="K1136" i="1"/>
  <c r="L1131" i="1"/>
  <c r="N1131" i="1" s="1"/>
  <c r="L1132" i="1"/>
  <c r="N1132" i="1" s="1"/>
  <c r="L1129" i="1"/>
  <c r="N1129" i="1" s="1"/>
  <c r="K1127" i="1"/>
  <c r="L1124" i="1"/>
  <c r="N1124" i="1" s="1"/>
  <c r="L1122" i="1"/>
  <c r="N1122" i="1" s="1"/>
  <c r="K1120" i="1"/>
  <c r="L1117" i="1"/>
  <c r="L1115" i="1"/>
  <c r="N1115" i="1" s="1"/>
  <c r="K1113" i="1"/>
  <c r="L1112" i="1"/>
  <c r="L1107" i="1"/>
  <c r="N1107" i="1" s="1"/>
  <c r="L1110" i="1"/>
  <c r="N1110" i="1" s="1"/>
  <c r="L1109" i="1"/>
  <c r="N1109" i="1" s="1"/>
  <c r="L1105" i="1"/>
  <c r="N1105" i="1" s="1"/>
  <c r="K1103" i="1"/>
  <c r="J1102" i="1"/>
  <c r="L1099" i="1"/>
  <c r="L1094" i="1"/>
  <c r="N1094" i="1" s="1"/>
  <c r="K1092" i="1"/>
  <c r="L1091" i="1"/>
  <c r="L1088" i="1"/>
  <c r="N1088" i="1" s="1"/>
  <c r="L1086" i="1"/>
  <c r="N1086" i="1" s="1"/>
  <c r="K1084" i="1"/>
  <c r="L1083" i="1"/>
  <c r="L1078" i="1"/>
  <c r="N1078" i="1" s="1"/>
  <c r="L1077" i="1"/>
  <c r="N1077" i="1" s="1"/>
  <c r="L1075" i="1"/>
  <c r="N1075" i="1" s="1"/>
  <c r="K1073" i="1"/>
  <c r="L1070" i="1"/>
  <c r="N1070" i="1" s="1"/>
  <c r="L1069" i="1"/>
  <c r="N1069" i="1" s="1"/>
  <c r="K1067" i="1"/>
  <c r="K1054" i="1"/>
  <c r="L1052" i="1"/>
  <c r="L1047" i="1"/>
  <c r="N1047" i="1" s="1"/>
  <c r="L1046" i="1"/>
  <c r="N1046" i="1" s="1"/>
  <c r="L1049" i="1"/>
  <c r="N1049" i="1" s="1"/>
  <c r="L1044" i="1"/>
  <c r="N1044" i="1" s="1"/>
  <c r="L1041" i="1"/>
  <c r="L1037" i="1"/>
  <c r="N1037" i="1" s="1"/>
  <c r="L1036" i="1"/>
  <c r="L1035" i="1"/>
  <c r="N1035" i="1" s="1"/>
  <c r="K1033" i="1"/>
  <c r="L1027" i="1"/>
  <c r="N1027" i="1" s="1"/>
  <c r="L1031" i="1"/>
  <c r="L1024" i="1"/>
  <c r="N1024" i="1" s="1"/>
  <c r="K1022" i="1"/>
  <c r="L1017" i="1"/>
  <c r="N1017" i="1" s="1"/>
  <c r="L1016" i="1"/>
  <c r="L1014" i="1"/>
  <c r="N1014" i="1" s="1"/>
  <c r="K1012" i="1"/>
  <c r="L1010" i="1"/>
  <c r="L1006" i="1"/>
  <c r="N1006" i="1" s="1"/>
  <c r="L1007" i="1"/>
  <c r="N1007" i="1" s="1"/>
  <c r="L1009" i="1"/>
  <c r="L1003" i="1"/>
  <c r="N1003" i="1" s="1"/>
  <c r="K1001" i="1"/>
  <c r="L1000" i="1"/>
  <c r="L999" i="1"/>
  <c r="L996" i="1"/>
  <c r="N996" i="1" s="1"/>
  <c r="L994" i="1"/>
  <c r="N994" i="1" s="1"/>
  <c r="L997" i="1"/>
  <c r="N997" i="1" s="1"/>
  <c r="L993" i="1"/>
  <c r="N993" i="1" s="1"/>
  <c r="K992" i="1"/>
  <c r="K991" i="1"/>
  <c r="L986" i="1"/>
  <c r="N986" i="1" s="1"/>
  <c r="L985" i="1"/>
  <c r="N985" i="1" s="1"/>
  <c r="L983" i="1"/>
  <c r="N983" i="1" s="1"/>
  <c r="L977" i="1"/>
  <c r="N977" i="1" s="1"/>
  <c r="L976" i="1"/>
  <c r="N976" i="1" s="1"/>
  <c r="L972" i="1"/>
  <c r="N972" i="1" s="1"/>
  <c r="K970" i="1"/>
  <c r="L965" i="1"/>
  <c r="N965" i="1" s="1"/>
  <c r="L963" i="1"/>
  <c r="N963" i="1" s="1"/>
  <c r="K961" i="1"/>
  <c r="L956" i="1"/>
  <c r="N956" i="1" s="1"/>
  <c r="L955" i="1"/>
  <c r="N955" i="1" s="1"/>
  <c r="L953" i="1"/>
  <c r="N953" i="1" s="1"/>
  <c r="K951" i="1"/>
  <c r="L947" i="1"/>
  <c r="N947" i="1" s="1"/>
  <c r="L944" i="1"/>
  <c r="L946" i="1"/>
  <c r="N946" i="1" s="1"/>
  <c r="L943" i="1"/>
  <c r="N943" i="1" s="1"/>
  <c r="K941" i="1"/>
  <c r="L940" i="1"/>
  <c r="L939" i="1"/>
  <c r="L936" i="1"/>
  <c r="N936" i="1" s="1"/>
  <c r="L932" i="1"/>
  <c r="N932" i="1" s="1"/>
  <c r="L931" i="1"/>
  <c r="N931" i="1" s="1"/>
  <c r="K929" i="1"/>
  <c r="L928" i="1"/>
  <c r="L922" i="1"/>
  <c r="L921" i="1"/>
  <c r="N921" i="1" s="1"/>
  <c r="L920" i="1"/>
  <c r="N920" i="1" s="1"/>
  <c r="L923" i="1"/>
  <c r="N923" i="1" s="1"/>
  <c r="L919" i="1"/>
  <c r="N919" i="1" s="1"/>
  <c r="K917" i="1"/>
  <c r="K909" i="1" s="1"/>
  <c r="L909" i="1" s="1"/>
  <c r="N909" i="1" s="1"/>
  <c r="L903" i="1"/>
  <c r="N903" i="1" s="1"/>
  <c r="L901" i="1"/>
  <c r="N901" i="1" s="1"/>
  <c r="L902" i="1"/>
  <c r="N902" i="1" s="1"/>
  <c r="L904" i="1"/>
  <c r="N904" i="1" s="1"/>
  <c r="L900" i="1"/>
  <c r="N900" i="1" s="1"/>
  <c r="L899" i="1"/>
  <c r="N899" i="1" s="1"/>
  <c r="L895" i="1"/>
  <c r="L891" i="1"/>
  <c r="N891" i="1" s="1"/>
  <c r="L890" i="1"/>
  <c r="N890" i="1" s="1"/>
  <c r="L888" i="1"/>
  <c r="N888" i="1" s="1"/>
  <c r="L887" i="1"/>
  <c r="N887" i="1" s="1"/>
  <c r="L878" i="1"/>
  <c r="N878" i="1" s="1"/>
  <c r="L877" i="1"/>
  <c r="N877" i="1" s="1"/>
  <c r="L879" i="1"/>
  <c r="N879" i="1" s="1"/>
  <c r="L876" i="1"/>
  <c r="N876" i="1" s="1"/>
  <c r="L875" i="1"/>
  <c r="N875" i="1" s="1"/>
  <c r="K873" i="1"/>
  <c r="L869" i="1"/>
  <c r="N869" i="1" s="1"/>
  <c r="L867" i="1"/>
  <c r="N867" i="1" s="1"/>
  <c r="L866" i="1"/>
  <c r="N866" i="1" s="1"/>
  <c r="L868" i="1"/>
  <c r="N868" i="1" s="1"/>
  <c r="L865" i="1"/>
  <c r="N865" i="1" s="1"/>
  <c r="L864" i="1"/>
  <c r="N864" i="1" s="1"/>
  <c r="K862" i="1"/>
  <c r="L860" i="1"/>
  <c r="L857" i="1"/>
  <c r="N857" i="1" s="1"/>
  <c r="L854" i="1"/>
  <c r="N854" i="1" s="1"/>
  <c r="L856" i="1"/>
  <c r="N856" i="1" s="1"/>
  <c r="L853" i="1"/>
  <c r="N853" i="1" s="1"/>
  <c r="L852" i="1"/>
  <c r="N852" i="1" s="1"/>
  <c r="K851" i="1"/>
  <c r="K850" i="1"/>
  <c r="L848" i="1"/>
  <c r="L844" i="1"/>
  <c r="N844" i="1" s="1"/>
  <c r="L843" i="1"/>
  <c r="N843" i="1" s="1"/>
  <c r="L842" i="1"/>
  <c r="N842" i="1" s="1"/>
  <c r="L841" i="1"/>
  <c r="N841" i="1" s="1"/>
  <c r="K840" i="1"/>
  <c r="K839" i="1"/>
  <c r="L833" i="1"/>
  <c r="N833" i="1" s="1"/>
  <c r="L830" i="1"/>
  <c r="N830" i="1" s="1"/>
  <c r="L829" i="1"/>
  <c r="N829" i="1" s="1"/>
  <c r="K827" i="1"/>
  <c r="L822" i="1"/>
  <c r="N822" i="1" s="1"/>
  <c r="L821" i="1"/>
  <c r="N821" i="1" s="1"/>
  <c r="L820" i="1"/>
  <c r="N820" i="1" s="1"/>
  <c r="L819" i="1"/>
  <c r="N819" i="1" s="1"/>
  <c r="K817" i="1"/>
  <c r="L814" i="1"/>
  <c r="N814" i="1" s="1"/>
  <c r="L813" i="1"/>
  <c r="N813" i="1" s="1"/>
  <c r="L811" i="1"/>
  <c r="N811" i="1" s="1"/>
  <c r="L810" i="1"/>
  <c r="N810" i="1" s="1"/>
  <c r="K808" i="1"/>
  <c r="L806" i="1"/>
  <c r="L800" i="1"/>
  <c r="N800" i="1" s="1"/>
  <c r="L803" i="1"/>
  <c r="N803" i="1" s="1"/>
  <c r="L802" i="1"/>
  <c r="N802" i="1" s="1"/>
  <c r="L799" i="1"/>
  <c r="N799" i="1" s="1"/>
  <c r="K797" i="1"/>
  <c r="L795" i="1"/>
  <c r="L792" i="1"/>
  <c r="N792" i="1" s="1"/>
  <c r="L791" i="1"/>
  <c r="N791" i="1" s="1"/>
  <c r="L790" i="1"/>
  <c r="N790" i="1" s="1"/>
  <c r="L789" i="1"/>
  <c r="N789" i="1" s="1"/>
  <c r="K788" i="1"/>
  <c r="K787" i="1"/>
  <c r="L784" i="1"/>
  <c r="L781" i="1"/>
  <c r="N781" i="1" s="1"/>
  <c r="L779" i="1"/>
  <c r="N779" i="1" s="1"/>
  <c r="L780" i="1"/>
  <c r="N780" i="1" s="1"/>
  <c r="L778" i="1"/>
  <c r="N778" i="1" s="1"/>
  <c r="L777" i="1"/>
  <c r="N777" i="1" s="1"/>
  <c r="L773" i="1"/>
  <c r="L772" i="1"/>
  <c r="L768" i="1"/>
  <c r="N768" i="1" s="1"/>
  <c r="L765" i="1"/>
  <c r="N765" i="1" s="1"/>
  <c r="L767" i="1"/>
  <c r="N767" i="1" s="1"/>
  <c r="L764" i="1"/>
  <c r="N764" i="1" s="1"/>
  <c r="K763" i="1"/>
  <c r="K762" i="1"/>
  <c r="L755" i="1"/>
  <c r="N755" i="1" s="1"/>
  <c r="L758" i="1"/>
  <c r="N758" i="1" s="1"/>
  <c r="L757" i="1"/>
  <c r="N757" i="1" s="1"/>
  <c r="L754" i="1"/>
  <c r="N754" i="1" s="1"/>
  <c r="L756" i="1"/>
  <c r="N756" i="1" s="1"/>
  <c r="L753" i="1"/>
  <c r="N753" i="1" s="1"/>
  <c r="K751" i="1"/>
  <c r="L749" i="1"/>
  <c r="L745" i="1"/>
  <c r="N745" i="1" s="1"/>
  <c r="L744" i="1"/>
  <c r="N744" i="1" s="1"/>
  <c r="L746" i="1"/>
  <c r="L743" i="1"/>
  <c r="N743" i="1" s="1"/>
  <c r="K742" i="1"/>
  <c r="K741" i="1"/>
  <c r="L734" i="1"/>
  <c r="N734" i="1" s="1"/>
  <c r="L736" i="1"/>
  <c r="N736" i="1" s="1"/>
  <c r="L739" i="1"/>
  <c r="N739" i="1" s="1"/>
  <c r="L735" i="1"/>
  <c r="N735" i="1" s="1"/>
  <c r="L733" i="1"/>
  <c r="N733" i="1" s="1"/>
  <c r="K731" i="1"/>
  <c r="L726" i="1"/>
  <c r="N726" i="1" s="1"/>
  <c r="L724" i="1"/>
  <c r="N724" i="1" s="1"/>
  <c r="L725" i="1"/>
  <c r="N725" i="1" s="1"/>
  <c r="L723" i="1"/>
  <c r="N723" i="1" s="1"/>
  <c r="L722" i="1"/>
  <c r="N722" i="1" s="1"/>
  <c r="K720" i="1"/>
  <c r="L718" i="1"/>
  <c r="L713" i="1"/>
  <c r="N713" i="1" s="1"/>
  <c r="L717" i="1"/>
  <c r="N717" i="1" s="1"/>
  <c r="L714" i="1"/>
  <c r="N714" i="1" s="1"/>
  <c r="L712" i="1"/>
  <c r="N712" i="1" s="1"/>
  <c r="K711" i="1"/>
  <c r="K710" i="1"/>
  <c r="L704" i="1"/>
  <c r="N704" i="1" s="1"/>
  <c r="L701" i="1"/>
  <c r="N701" i="1" s="1"/>
  <c r="L703" i="1"/>
  <c r="N703" i="1" s="1"/>
  <c r="L699" i="1"/>
  <c r="L698" i="1"/>
  <c r="N698" i="1" s="1"/>
  <c r="L691" i="1"/>
  <c r="N691" i="1" s="1"/>
  <c r="L692" i="1"/>
  <c r="N692" i="1" s="1"/>
  <c r="L690" i="1"/>
  <c r="N690" i="1" s="1"/>
  <c r="L689" i="1"/>
  <c r="L688" i="1"/>
  <c r="N688" i="1" s="1"/>
  <c r="L680" i="1"/>
  <c r="N680" i="1" s="1"/>
  <c r="L681" i="1"/>
  <c r="N681" i="1" s="1"/>
  <c r="L679" i="1"/>
  <c r="N679" i="1" s="1"/>
  <c r="L678" i="1"/>
  <c r="N678" i="1" s="1"/>
  <c r="L677" i="1"/>
  <c r="N677" i="1" s="1"/>
  <c r="L669" i="1"/>
  <c r="N669" i="1" s="1"/>
  <c r="L670" i="1"/>
  <c r="N670" i="1" s="1"/>
  <c r="L668" i="1"/>
  <c r="N668" i="1" s="1"/>
  <c r="L666" i="1"/>
  <c r="N666" i="1" s="1"/>
  <c r="L665" i="1"/>
  <c r="N665" i="1" s="1"/>
  <c r="L662" i="1"/>
  <c r="L659" i="1"/>
  <c r="N659" i="1" s="1"/>
  <c r="L661" i="1"/>
  <c r="N661" i="1" s="1"/>
  <c r="L658" i="1"/>
  <c r="N658" i="1" s="1"/>
  <c r="L655" i="1"/>
  <c r="L654" i="1"/>
  <c r="L653" i="1"/>
  <c r="L640" i="1"/>
  <c r="N640" i="1" s="1"/>
  <c r="L626" i="1"/>
  <c r="N626" i="1" s="1"/>
  <c r="L625" i="1"/>
  <c r="N625" i="1" s="1"/>
  <c r="L639" i="1"/>
  <c r="N639" i="1" s="1"/>
  <c r="L624" i="1"/>
  <c r="N624" i="1" s="1"/>
  <c r="L617" i="1"/>
  <c r="N617" i="1" s="1"/>
  <c r="L616" i="1"/>
  <c r="N616" i="1" s="1"/>
  <c r="L614" i="1"/>
  <c r="N614" i="1" s="1"/>
  <c r="L613" i="1"/>
  <c r="N613" i="1" s="1"/>
  <c r="L609" i="1"/>
  <c r="N609" i="1" s="1"/>
  <c r="L608" i="1"/>
  <c r="N608" i="1" s="1"/>
  <c r="L605" i="1"/>
  <c r="N605" i="1" s="1"/>
  <c r="L604" i="1"/>
  <c r="N604" i="1" s="1"/>
  <c r="K602" i="1"/>
  <c r="L601" i="1"/>
  <c r="L598" i="1"/>
  <c r="N598" i="1" s="1"/>
  <c r="L597" i="1"/>
  <c r="N597" i="1" s="1"/>
  <c r="K595" i="1"/>
  <c r="L594" i="1"/>
  <c r="L592" i="1"/>
  <c r="N592" i="1" s="1"/>
  <c r="L591" i="1"/>
  <c r="N591" i="1" s="1"/>
  <c r="K589" i="1"/>
  <c r="L588" i="1"/>
  <c r="L583" i="1"/>
  <c r="N583" i="1" s="1"/>
  <c r="L577" i="1"/>
  <c r="N577" i="1" s="1"/>
  <c r="L573" i="1"/>
  <c r="N573" i="1" s="1"/>
  <c r="L571" i="1"/>
  <c r="N571" i="1" s="1"/>
  <c r="K569" i="1"/>
  <c r="L565" i="1"/>
  <c r="N565" i="1" s="1"/>
  <c r="L564" i="1"/>
  <c r="N564" i="1" s="1"/>
  <c r="K563" i="1"/>
  <c r="K562" i="1"/>
  <c r="L558" i="1"/>
  <c r="N558" i="1" s="1"/>
  <c r="L552" i="1"/>
  <c r="N552" i="1" s="1"/>
  <c r="L548" i="1"/>
  <c r="L546" i="1"/>
  <c r="N546" i="1" s="1"/>
  <c r="L545" i="1"/>
  <c r="N545" i="1" s="1"/>
  <c r="K544" i="1"/>
  <c r="K543" i="1"/>
  <c r="L539" i="1"/>
  <c r="N539" i="1" s="1"/>
  <c r="L538" i="1"/>
  <c r="N538" i="1" s="1"/>
  <c r="K536" i="1"/>
  <c r="L533" i="1"/>
  <c r="N533" i="1" s="1"/>
  <c r="L531" i="1"/>
  <c r="N531" i="1" s="1"/>
  <c r="K529" i="1"/>
  <c r="L527" i="1"/>
  <c r="N527" i="1" s="1"/>
  <c r="L526" i="1"/>
  <c r="N526" i="1" s="1"/>
  <c r="K524" i="1"/>
  <c r="L522" i="1"/>
  <c r="L520" i="1"/>
  <c r="N520" i="1" s="1"/>
  <c r="L519" i="1"/>
  <c r="N519" i="1" s="1"/>
  <c r="K518" i="1"/>
  <c r="K517" i="1"/>
  <c r="L515" i="1"/>
  <c r="L513" i="1"/>
  <c r="N513" i="1" s="1"/>
  <c r="K512" i="1"/>
  <c r="K511" i="1"/>
  <c r="L508" i="1"/>
  <c r="N508" i="1" s="1"/>
  <c r="L504" i="1"/>
  <c r="N504" i="1" s="1"/>
  <c r="L500" i="1"/>
  <c r="L499" i="1"/>
  <c r="N499" i="1" s="1"/>
  <c r="L498" i="1"/>
  <c r="N498" i="1" s="1"/>
  <c r="K497" i="1"/>
  <c r="K496" i="1"/>
  <c r="L495" i="1"/>
  <c r="L493" i="1"/>
  <c r="N493" i="1" s="1"/>
  <c r="L488" i="1"/>
  <c r="N488" i="1" s="1"/>
  <c r="L487" i="1"/>
  <c r="N487" i="1" s="1"/>
  <c r="L484" i="1"/>
  <c r="L483" i="1"/>
  <c r="L482" i="1"/>
  <c r="L480" i="1"/>
  <c r="N480" i="1" s="1"/>
  <c r="K479" i="1"/>
  <c r="K478" i="1"/>
  <c r="L477" i="1"/>
  <c r="L475" i="1"/>
  <c r="N475" i="1" s="1"/>
  <c r="L472" i="1"/>
  <c r="L471" i="1"/>
  <c r="N471" i="1" s="1"/>
  <c r="L469" i="1"/>
  <c r="N469" i="1" s="1"/>
  <c r="K467" i="1"/>
  <c r="L463" i="1"/>
  <c r="N463" i="1" s="1"/>
  <c r="L462" i="1"/>
  <c r="N462" i="1" s="1"/>
  <c r="L461" i="1"/>
  <c r="N461" i="1" s="1"/>
  <c r="L460" i="1"/>
  <c r="N460" i="1" s="1"/>
  <c r="L459" i="1"/>
  <c r="L458" i="1"/>
  <c r="N458" i="1" s="1"/>
  <c r="L457" i="1"/>
  <c r="N457" i="1" s="1"/>
  <c r="L456" i="1"/>
  <c r="N456" i="1" s="1"/>
  <c r="L455" i="1"/>
  <c r="N455" i="1" s="1"/>
  <c r="K454" i="1"/>
  <c r="K453" i="1"/>
  <c r="L447" i="1"/>
  <c r="N447" i="1" s="1"/>
  <c r="L446" i="1"/>
  <c r="N446" i="1" s="1"/>
  <c r="L445" i="1"/>
  <c r="N445" i="1" s="1"/>
  <c r="L444" i="1"/>
  <c r="N444" i="1" s="1"/>
  <c r="L443" i="1"/>
  <c r="N443" i="1" s="1"/>
  <c r="L440" i="1"/>
  <c r="L438" i="1"/>
  <c r="N438" i="1" s="1"/>
  <c r="L437" i="1"/>
  <c r="N437" i="1" s="1"/>
  <c r="L436" i="1"/>
  <c r="N436" i="1" s="1"/>
  <c r="L435" i="1"/>
  <c r="N435" i="1" s="1"/>
  <c r="L434" i="1"/>
  <c r="N434" i="1" s="1"/>
  <c r="L433" i="1"/>
  <c r="N433" i="1" s="1"/>
  <c r="L432" i="1"/>
  <c r="N432" i="1" s="1"/>
  <c r="L431" i="1"/>
  <c r="N431" i="1" s="1"/>
  <c r="L430" i="1"/>
  <c r="N430" i="1" s="1"/>
  <c r="L426" i="1"/>
  <c r="N426" i="1" s="1"/>
  <c r="L425" i="1"/>
  <c r="N425" i="1" s="1"/>
  <c r="L424" i="1"/>
  <c r="N424" i="1" s="1"/>
  <c r="L422" i="1"/>
  <c r="N422" i="1" s="1"/>
  <c r="L423" i="1"/>
  <c r="N423" i="1" s="1"/>
  <c r="L420" i="1"/>
  <c r="N420" i="1" s="1"/>
  <c r="K418" i="1"/>
  <c r="L417" i="1"/>
  <c r="L416" i="1"/>
  <c r="L415" i="1"/>
  <c r="N415" i="1" s="1"/>
  <c r="L414" i="1"/>
  <c r="N414" i="1" s="1"/>
  <c r="L413" i="1"/>
  <c r="N413" i="1" s="1"/>
  <c r="L412" i="1"/>
  <c r="N412" i="1" s="1"/>
  <c r="L411" i="1"/>
  <c r="N411" i="1" s="1"/>
  <c r="K410" i="1"/>
  <c r="K409" i="1"/>
  <c r="L407" i="1"/>
  <c r="L392" i="1"/>
  <c r="N392" i="1" s="1"/>
  <c r="L391" i="1"/>
  <c r="N391" i="1" s="1"/>
  <c r="L390" i="1"/>
  <c r="N390" i="1" s="1"/>
  <c r="L389" i="1"/>
  <c r="N389" i="1" s="1"/>
  <c r="L388" i="1"/>
  <c r="N388" i="1" s="1"/>
  <c r="L387" i="1"/>
  <c r="N387" i="1" s="1"/>
  <c r="L401" i="1"/>
  <c r="N401" i="1" s="1"/>
  <c r="L386" i="1"/>
  <c r="N386" i="1" s="1"/>
  <c r="L385" i="1"/>
  <c r="N385" i="1" s="1"/>
  <c r="L400" i="1"/>
  <c r="N400" i="1" s="1"/>
  <c r="L384" i="1"/>
  <c r="N384" i="1" s="1"/>
  <c r="L383" i="1"/>
  <c r="N383" i="1" s="1"/>
  <c r="L382" i="1"/>
  <c r="N382" i="1" s="1"/>
  <c r="L381" i="1"/>
  <c r="N381" i="1" s="1"/>
  <c r="L380" i="1"/>
  <c r="N380" i="1" s="1"/>
  <c r="L379" i="1"/>
  <c r="N379" i="1" s="1"/>
  <c r="L378" i="1"/>
  <c r="N378" i="1" s="1"/>
  <c r="L377" i="1"/>
  <c r="N377" i="1" s="1"/>
  <c r="L399" i="1"/>
  <c r="N399" i="1" s="1"/>
  <c r="L376" i="1"/>
  <c r="N376" i="1" s="1"/>
  <c r="L398" i="1"/>
  <c r="N398" i="1" s="1"/>
  <c r="L397" i="1"/>
  <c r="N397" i="1" s="1"/>
  <c r="L375" i="1"/>
  <c r="N375" i="1" s="1"/>
  <c r="L374" i="1"/>
  <c r="N374" i="1" s="1"/>
  <c r="L371" i="1"/>
  <c r="L369" i="1"/>
  <c r="N369" i="1" s="1"/>
  <c r="L368" i="1"/>
  <c r="N368" i="1" s="1"/>
  <c r="L367" i="1"/>
  <c r="N367" i="1" s="1"/>
  <c r="L364" i="1"/>
  <c r="L363" i="1"/>
  <c r="N363" i="1" s="1"/>
  <c r="L362" i="1"/>
  <c r="N362" i="1" s="1"/>
  <c r="K361" i="1"/>
  <c r="K360" i="1"/>
  <c r="L359" i="1"/>
  <c r="L358" i="1"/>
  <c r="L356" i="1"/>
  <c r="L355" i="1"/>
  <c r="L345" i="1"/>
  <c r="N345" i="1" s="1"/>
  <c r="L344" i="1"/>
  <c r="N344" i="1" s="1"/>
  <c r="L343" i="1"/>
  <c r="N343" i="1" s="1"/>
  <c r="L342" i="1"/>
  <c r="N342" i="1" s="1"/>
  <c r="L341" i="1"/>
  <c r="N341" i="1" s="1"/>
  <c r="L340" i="1"/>
  <c r="N340" i="1" s="1"/>
  <c r="L339" i="1"/>
  <c r="N339" i="1" s="1"/>
  <c r="L338" i="1"/>
  <c r="N338" i="1" s="1"/>
  <c r="L337" i="1"/>
  <c r="N337" i="1" s="1"/>
  <c r="L336" i="1"/>
  <c r="N336" i="1" s="1"/>
  <c r="L335" i="1"/>
  <c r="N335" i="1" s="1"/>
  <c r="L334" i="1"/>
  <c r="N334" i="1" s="1"/>
  <c r="L333" i="1"/>
  <c r="N333" i="1" s="1"/>
  <c r="L330" i="1"/>
  <c r="L329" i="1"/>
  <c r="L328" i="1"/>
  <c r="L325" i="1"/>
  <c r="L326" i="1"/>
  <c r="N326" i="1" s="1"/>
  <c r="L323" i="1"/>
  <c r="N323" i="1" s="1"/>
  <c r="L322" i="1"/>
  <c r="N322" i="1" s="1"/>
  <c r="L321" i="1"/>
  <c r="N321" i="1" s="1"/>
  <c r="L320" i="1"/>
  <c r="N320" i="1" s="1"/>
  <c r="L319" i="1"/>
  <c r="N319" i="1" s="1"/>
  <c r="L316" i="1"/>
  <c r="L315" i="1"/>
  <c r="L314" i="1"/>
  <c r="N314" i="1" s="1"/>
  <c r="L313" i="1"/>
  <c r="N313" i="1" s="1"/>
  <c r="L312" i="1"/>
  <c r="N312" i="1" s="1"/>
  <c r="L311" i="1"/>
  <c r="N311" i="1" s="1"/>
  <c r="L310" i="1"/>
  <c r="N310" i="1" s="1"/>
  <c r="K309" i="1"/>
  <c r="K308" i="1"/>
  <c r="L306" i="1"/>
  <c r="N306" i="1" s="1"/>
  <c r="L305" i="1"/>
  <c r="N305" i="1" s="1"/>
  <c r="K304" i="1"/>
  <c r="K303" i="1"/>
  <c r="L302" i="1"/>
  <c r="L301" i="1"/>
  <c r="L300" i="1"/>
  <c r="L296" i="1"/>
  <c r="N296" i="1" s="1"/>
  <c r="L295" i="1"/>
  <c r="N295" i="1" s="1"/>
  <c r="L294" i="1"/>
  <c r="N294" i="1" s="1"/>
  <c r="L290" i="1"/>
  <c r="N290" i="1" s="1"/>
  <c r="L289" i="1"/>
  <c r="N289" i="1" s="1"/>
  <c r="L288" i="1"/>
  <c r="N288" i="1" s="1"/>
  <c r="K286" i="1"/>
  <c r="L284" i="1"/>
  <c r="L279" i="1"/>
  <c r="N279" i="1" s="1"/>
  <c r="L278" i="1"/>
  <c r="N278" i="1" s="1"/>
  <c r="L277" i="1"/>
  <c r="N277" i="1" s="1"/>
  <c r="L276" i="1"/>
  <c r="N276" i="1" s="1"/>
  <c r="L275" i="1"/>
  <c r="N275" i="1" s="1"/>
  <c r="L274" i="1"/>
  <c r="N274" i="1" s="1"/>
  <c r="L273" i="1"/>
  <c r="N273" i="1" s="1"/>
  <c r="L272" i="1"/>
  <c r="N272" i="1" s="1"/>
  <c r="L283" i="1"/>
  <c r="N283" i="1" s="1"/>
  <c r="L271" i="1"/>
  <c r="N271" i="1" s="1"/>
  <c r="K269" i="1"/>
  <c r="L258" i="1"/>
  <c r="L255" i="1"/>
  <c r="N255" i="1" s="1"/>
  <c r="L254" i="1"/>
  <c r="N254" i="1" s="1"/>
  <c r="L253" i="1"/>
  <c r="N253" i="1" s="1"/>
  <c r="L252" i="1"/>
  <c r="N252" i="1" s="1"/>
  <c r="K251" i="1"/>
  <c r="K250" i="1"/>
  <c r="L250" i="1" s="1"/>
  <c r="N250" i="1" s="1"/>
  <c r="L239" i="1"/>
  <c r="N239" i="1" s="1"/>
  <c r="L238" i="1"/>
  <c r="N238" i="1" s="1"/>
  <c r="L237" i="1"/>
  <c r="N237" i="1" s="1"/>
  <c r="L236" i="1"/>
  <c r="N236" i="1" s="1"/>
  <c r="L235" i="1"/>
  <c r="N235" i="1" s="1"/>
  <c r="L234" i="1"/>
  <c r="N234" i="1" s="1"/>
  <c r="L233" i="1"/>
  <c r="N233" i="1" s="1"/>
  <c r="L232" i="1"/>
  <c r="N232" i="1" s="1"/>
  <c r="L231" i="1"/>
  <c r="N231" i="1" s="1"/>
  <c r="L227" i="1"/>
  <c r="L225" i="1"/>
  <c r="N225" i="1" s="1"/>
  <c r="L224" i="1"/>
  <c r="N224" i="1" s="1"/>
  <c r="L223" i="1"/>
  <c r="N223" i="1" s="1"/>
  <c r="L222" i="1"/>
  <c r="N222" i="1" s="1"/>
  <c r="L221" i="1"/>
  <c r="N221" i="1" s="1"/>
  <c r="L220" i="1"/>
  <c r="N220" i="1" s="1"/>
  <c r="L219" i="1"/>
  <c r="N219" i="1" s="1"/>
  <c r="L218" i="1"/>
  <c r="N218" i="1" s="1"/>
  <c r="K217" i="1"/>
  <c r="K216" i="1"/>
  <c r="L215" i="1"/>
  <c r="L214" i="1"/>
  <c r="N214" i="1" s="1"/>
  <c r="L213" i="1"/>
  <c r="N213" i="1" s="1"/>
  <c r="L212" i="1"/>
  <c r="N212" i="1" s="1"/>
  <c r="L211" i="1"/>
  <c r="N211" i="1" s="1"/>
  <c r="K210" i="1"/>
  <c r="K209" i="1"/>
  <c r="L207" i="1"/>
  <c r="N207" i="1" s="1"/>
  <c r="L206" i="1"/>
  <c r="N206" i="1" s="1"/>
  <c r="L205" i="1"/>
  <c r="N205" i="1" s="1"/>
  <c r="L204" i="1"/>
  <c r="N204" i="1" s="1"/>
  <c r="L203" i="1"/>
  <c r="N203" i="1" s="1"/>
  <c r="L199" i="1"/>
  <c r="N199" i="1" s="1"/>
  <c r="L198" i="1"/>
  <c r="N198" i="1" s="1"/>
  <c r="L197" i="1"/>
  <c r="N197" i="1" s="1"/>
  <c r="L196" i="1"/>
  <c r="N196" i="1" s="1"/>
  <c r="L195" i="1"/>
  <c r="N195" i="1" s="1"/>
  <c r="K194" i="1"/>
  <c r="K193" i="1"/>
  <c r="L192" i="1"/>
  <c r="L191" i="1"/>
  <c r="L185" i="1"/>
  <c r="L184" i="1"/>
  <c r="L183" i="1"/>
  <c r="L182" i="1"/>
  <c r="L180" i="1"/>
  <c r="L179" i="1"/>
  <c r="L178" i="1"/>
  <c r="L170" i="1"/>
  <c r="N170" i="1" s="1"/>
  <c r="L169" i="1"/>
  <c r="N169" i="1" s="1"/>
  <c r="L172" i="1"/>
  <c r="N172" i="1" s="1"/>
  <c r="L168" i="1"/>
  <c r="N168" i="1" s="1"/>
  <c r="L167" i="1"/>
  <c r="N167" i="1" s="1"/>
  <c r="L161" i="1"/>
  <c r="N161" i="1" s="1"/>
  <c r="L160" i="1"/>
  <c r="N160" i="1" s="1"/>
  <c r="L163" i="1"/>
  <c r="N163" i="1" s="1"/>
  <c r="L159" i="1"/>
  <c r="L158" i="1"/>
  <c r="L157" i="1"/>
  <c r="L156" i="1"/>
  <c r="L152" i="1"/>
  <c r="L149" i="1"/>
  <c r="N149" i="1" s="1"/>
  <c r="L148" i="1"/>
  <c r="L147" i="1"/>
  <c r="L146" i="1"/>
  <c r="L145" i="1"/>
  <c r="L141" i="1"/>
  <c r="L140" i="1"/>
  <c r="L139" i="1"/>
  <c r="L138" i="1"/>
  <c r="L137" i="1"/>
  <c r="K136" i="1"/>
  <c r="K135" i="1"/>
  <c r="L133" i="1"/>
  <c r="L123" i="1"/>
  <c r="L122" i="1"/>
  <c r="L121" i="1"/>
  <c r="L120" i="1"/>
  <c r="L116" i="1"/>
  <c r="L113" i="1"/>
  <c r="K112" i="1"/>
  <c r="L110" i="1"/>
  <c r="L109" i="1"/>
  <c r="L108" i="1"/>
  <c r="K107" i="1"/>
  <c r="K106" i="1"/>
  <c r="L98" i="1"/>
  <c r="L97" i="1"/>
  <c r="L96" i="1"/>
  <c r="L95" i="1"/>
  <c r="L94" i="1"/>
  <c r="L93" i="1"/>
  <c r="L92" i="1"/>
  <c r="L91" i="1"/>
  <c r="L90" i="1"/>
  <c r="L87" i="1"/>
  <c r="L86" i="1"/>
  <c r="L84" i="1"/>
  <c r="N84" i="1" s="1"/>
  <c r="K83" i="1"/>
  <c r="K82" i="1"/>
  <c r="L81" i="1"/>
  <c r="L79" i="1"/>
  <c r="L78" i="1"/>
  <c r="L77" i="1"/>
  <c r="L76" i="1"/>
  <c r="L75" i="1"/>
  <c r="L74" i="1"/>
  <c r="L73" i="1"/>
  <c r="L72" i="1"/>
  <c r="L63" i="1"/>
  <c r="L61" i="1"/>
  <c r="N61" i="1" s="1"/>
  <c r="L54" i="1"/>
  <c r="N54" i="1" s="1"/>
  <c r="L53" i="1"/>
  <c r="L52" i="1"/>
  <c r="L49" i="1"/>
  <c r="L47" i="1"/>
  <c r="L46" i="1"/>
  <c r="L45" i="1"/>
  <c r="L44" i="1"/>
  <c r="L43" i="1"/>
  <c r="K41" i="1"/>
  <c r="L40" i="1"/>
  <c r="L39" i="1"/>
  <c r="L38" i="1"/>
  <c r="L37" i="1"/>
  <c r="L36" i="1"/>
  <c r="L34" i="1"/>
  <c r="L33" i="1"/>
  <c r="L32" i="1"/>
  <c r="L29" i="1"/>
  <c r="L28" i="1"/>
  <c r="L27" i="1"/>
  <c r="K26" i="1"/>
  <c r="K25" i="1"/>
  <c r="J25" i="1"/>
  <c r="L24" i="1"/>
  <c r="L23" i="1"/>
  <c r="L22" i="1"/>
  <c r="L19" i="1"/>
  <c r="L17" i="1"/>
  <c r="L16" i="1"/>
  <c r="L15" i="1"/>
  <c r="O25" i="1" l="1"/>
  <c r="M25" i="1"/>
  <c r="O1892" i="1"/>
  <c r="M1892" i="1"/>
  <c r="O1910" i="1"/>
  <c r="M1910" i="1"/>
  <c r="P1099" i="1"/>
  <c r="N1099" i="1"/>
  <c r="N16" i="1"/>
  <c r="N23" i="1"/>
  <c r="N32" i="1"/>
  <c r="N46" i="1"/>
  <c r="N53" i="1"/>
  <c r="N72" i="1"/>
  <c r="N76" i="1"/>
  <c r="N86" i="1"/>
  <c r="N92" i="1"/>
  <c r="N96" i="1"/>
  <c r="N121" i="1"/>
  <c r="N139" i="1"/>
  <c r="N146" i="1"/>
  <c r="N159" i="1"/>
  <c r="N182" i="1"/>
  <c r="N17" i="1"/>
  <c r="N27" i="1"/>
  <c r="N33" i="1"/>
  <c r="N43" i="1"/>
  <c r="N47" i="1"/>
  <c r="N73" i="1"/>
  <c r="N77" i="1"/>
  <c r="N93" i="1"/>
  <c r="N97" i="1"/>
  <c r="N108" i="1"/>
  <c r="N113" i="1"/>
  <c r="N122" i="1"/>
  <c r="N140" i="1"/>
  <c r="N147" i="1"/>
  <c r="N156" i="1"/>
  <c r="N178" i="1"/>
  <c r="N183" i="1"/>
  <c r="N28" i="1"/>
  <c r="N34" i="1"/>
  <c r="N44" i="1"/>
  <c r="N74" i="1"/>
  <c r="N78" i="1"/>
  <c r="N90" i="1"/>
  <c r="N94" i="1"/>
  <c r="N98" i="1"/>
  <c r="N109" i="1"/>
  <c r="N116" i="1"/>
  <c r="N123" i="1"/>
  <c r="N137" i="1"/>
  <c r="N141" i="1"/>
  <c r="N148" i="1"/>
  <c r="N157" i="1"/>
  <c r="N179" i="1"/>
  <c r="N184" i="1"/>
  <c r="N15" i="1"/>
  <c r="N22" i="1"/>
  <c r="N36" i="1"/>
  <c r="N45" i="1"/>
  <c r="N52" i="1"/>
  <c r="N75" i="1"/>
  <c r="N79" i="1"/>
  <c r="N91" i="1"/>
  <c r="N95" i="1"/>
  <c r="N120" i="1"/>
  <c r="N138" i="1"/>
  <c r="N145" i="1"/>
  <c r="N158" i="1"/>
  <c r="N185" i="1"/>
  <c r="N180" i="1"/>
  <c r="L2235" i="1"/>
  <c r="P279" i="1"/>
  <c r="K2294" i="1"/>
  <c r="K2272" i="1"/>
  <c r="L2272" i="1" s="1"/>
  <c r="P2091" i="1"/>
  <c r="P2043" i="1"/>
  <c r="P2037" i="1"/>
  <c r="P1972" i="1"/>
  <c r="P1969" i="1"/>
  <c r="P1974" i="1"/>
  <c r="P1975" i="1"/>
  <c r="P1970" i="1"/>
  <c r="P1978" i="1"/>
  <c r="P1971" i="1"/>
  <c r="P1977" i="1"/>
  <c r="P1976" i="1"/>
  <c r="P149" i="1"/>
  <c r="P61" i="1"/>
  <c r="P609" i="1"/>
  <c r="P617" i="1"/>
  <c r="P626" i="1"/>
  <c r="P605" i="1"/>
  <c r="P613" i="1"/>
  <c r="P624" i="1"/>
  <c r="P640" i="1"/>
  <c r="P614" i="1"/>
  <c r="P639" i="1"/>
  <c r="P653" i="1"/>
  <c r="P608" i="1"/>
  <c r="P616" i="1"/>
  <c r="P625" i="1"/>
  <c r="P654" i="1"/>
  <c r="P1940" i="1"/>
  <c r="K2295" i="1"/>
  <c r="K2283" i="1"/>
  <c r="K2234" i="1" s="1"/>
  <c r="K2243" i="1" s="1"/>
  <c r="P2242" i="1"/>
  <c r="K2280" i="1"/>
  <c r="K2273" i="1"/>
  <c r="M13" i="1"/>
  <c r="L2287" i="1"/>
  <c r="L2290" i="1"/>
  <c r="L2288" i="1"/>
  <c r="L317" i="1"/>
  <c r="N317" i="1" s="1"/>
  <c r="L111" i="1"/>
  <c r="L112" i="1"/>
  <c r="L286" i="1"/>
  <c r="N286" i="1" s="1"/>
  <c r="L1373" i="1"/>
  <c r="N1373" i="1" s="1"/>
  <c r="L1442" i="1"/>
  <c r="N1442" i="1" s="1"/>
  <c r="L1787" i="1"/>
  <c r="N1787" i="1" s="1"/>
  <c r="L454" i="1"/>
  <c r="N454" i="1" s="1"/>
  <c r="L1103" i="1"/>
  <c r="N1103" i="1" s="1"/>
  <c r="L1219" i="1"/>
  <c r="N1219" i="1" s="1"/>
  <c r="L1868" i="1"/>
  <c r="N1868" i="1" s="1"/>
  <c r="L1986" i="1"/>
  <c r="N1986" i="1" s="1"/>
  <c r="L2027" i="1"/>
  <c r="N2027" i="1" s="1"/>
  <c r="L1884" i="1"/>
  <c r="L308" i="1"/>
  <c r="N308" i="1" s="1"/>
  <c r="L25" i="1"/>
  <c r="L30" i="1"/>
  <c r="L107" i="1"/>
  <c r="L537" i="1"/>
  <c r="N537" i="1" s="1"/>
  <c r="L657" i="1"/>
  <c r="N657" i="1" s="1"/>
  <c r="L687" i="1"/>
  <c r="N687" i="1" s="1"/>
  <c r="L711" i="1"/>
  <c r="N711" i="1" s="1"/>
  <c r="L798" i="1"/>
  <c r="N798" i="1" s="1"/>
  <c r="L863" i="1"/>
  <c r="N863" i="1" s="1"/>
  <c r="L962" i="1"/>
  <c r="N962" i="1" s="1"/>
  <c r="L970" i="1"/>
  <c r="N970" i="1" s="1"/>
  <c r="L1001" i="1"/>
  <c r="N1001" i="1" s="1"/>
  <c r="L1012" i="1"/>
  <c r="N1012" i="1" s="1"/>
  <c r="L1074" i="1"/>
  <c r="N1074" i="1" s="1"/>
  <c r="L1092" i="1"/>
  <c r="N1092" i="1" s="1"/>
  <c r="L1104" i="1"/>
  <c r="N1104" i="1" s="1"/>
  <c r="L1114" i="1"/>
  <c r="N1114" i="1" s="1"/>
  <c r="L1146" i="1"/>
  <c r="N1146" i="1" s="1"/>
  <c r="L1178" i="1"/>
  <c r="N1178" i="1" s="1"/>
  <c r="L1190" i="1"/>
  <c r="N1190" i="1" s="1"/>
  <c r="L1208" i="1"/>
  <c r="N1208" i="1" s="1"/>
  <c r="L1234" i="1"/>
  <c r="N1234" i="1" s="1"/>
  <c r="L1247" i="1"/>
  <c r="N1247" i="1" s="1"/>
  <c r="L1299" i="1"/>
  <c r="N1299" i="1" s="1"/>
  <c r="L1338" i="1"/>
  <c r="N1338" i="1" s="1"/>
  <c r="L1364" i="1"/>
  <c r="N1364" i="1" s="1"/>
  <c r="L1459" i="1"/>
  <c r="N1459" i="1" s="1"/>
  <c r="L1469" i="1"/>
  <c r="N1469" i="1" s="1"/>
  <c r="L1594" i="1"/>
  <c r="N1594" i="1" s="1"/>
  <c r="L1608" i="1"/>
  <c r="N1608" i="1" s="1"/>
  <c r="L1636" i="1"/>
  <c r="N1636" i="1" s="1"/>
  <c r="L1671" i="1"/>
  <c r="N1671" i="1" s="1"/>
  <c r="L1676" i="1"/>
  <c r="N1676" i="1" s="1"/>
  <c r="L1725" i="1"/>
  <c r="N1725" i="1" s="1"/>
  <c r="L1757" i="1"/>
  <c r="N1757" i="1" s="1"/>
  <c r="L1793" i="1"/>
  <c r="N1793" i="1" s="1"/>
  <c r="L1797" i="1"/>
  <c r="N1797" i="1" s="1"/>
  <c r="L1800" i="1"/>
  <c r="N1800" i="1" s="1"/>
  <c r="L1811" i="1"/>
  <c r="N1811" i="1" s="1"/>
  <c r="L1816" i="1"/>
  <c r="N1816" i="1" s="1"/>
  <c r="L1835" i="1"/>
  <c r="N1835" i="1" s="1"/>
  <c r="L1842" i="1"/>
  <c r="N1842" i="1" s="1"/>
  <c r="L1851" i="1"/>
  <c r="N1851" i="1" s="1"/>
  <c r="L1855" i="1"/>
  <c r="N1855" i="1" s="1"/>
  <c r="L1876" i="1"/>
  <c r="N1876" i="1" s="1"/>
  <c r="L1891" i="1"/>
  <c r="N1891" i="1" s="1"/>
  <c r="L1985" i="1"/>
  <c r="N1985" i="1" s="1"/>
  <c r="L2213" i="1"/>
  <c r="N2213" i="1" s="1"/>
  <c r="L216" i="1"/>
  <c r="N216" i="1" s="1"/>
  <c r="L217" i="1"/>
  <c r="N217" i="1" s="1"/>
  <c r="L309" i="1"/>
  <c r="N309" i="1" s="1"/>
  <c r="L360" i="1"/>
  <c r="N360" i="1" s="1"/>
  <c r="L419" i="1"/>
  <c r="N419" i="1" s="1"/>
  <c r="L453" i="1"/>
  <c r="N453" i="1" s="1"/>
  <c r="L479" i="1"/>
  <c r="N479" i="1" s="1"/>
  <c r="L491" i="1"/>
  <c r="N491" i="1" s="1"/>
  <c r="L525" i="1"/>
  <c r="N525" i="1" s="1"/>
  <c r="L544" i="1"/>
  <c r="N544" i="1" s="1"/>
  <c r="L562" i="1"/>
  <c r="N562" i="1" s="1"/>
  <c r="L570" i="1"/>
  <c r="N570" i="1" s="1"/>
  <c r="L596" i="1"/>
  <c r="N596" i="1" s="1"/>
  <c r="L663" i="1"/>
  <c r="N663" i="1" s="1"/>
  <c r="L763" i="1"/>
  <c r="N763" i="1" s="1"/>
  <c r="L787" i="1"/>
  <c r="N787" i="1" s="1"/>
  <c r="L828" i="1"/>
  <c r="N828" i="1" s="1"/>
  <c r="L850" i="1"/>
  <c r="N850" i="1" s="1"/>
  <c r="L874" i="1"/>
  <c r="N874" i="1" s="1"/>
  <c r="L918" i="1"/>
  <c r="N918" i="1" s="1"/>
  <c r="L929" i="1"/>
  <c r="N929" i="1" s="1"/>
  <c r="L941" i="1"/>
  <c r="N941" i="1" s="1"/>
  <c r="L951" i="1"/>
  <c r="N951" i="1" s="1"/>
  <c r="L992" i="1"/>
  <c r="N992" i="1" s="1"/>
  <c r="L1002" i="1"/>
  <c r="N1002" i="1" s="1"/>
  <c r="L1023" i="1"/>
  <c r="N1023" i="1" s="1"/>
  <c r="L1034" i="1"/>
  <c r="N1034" i="1" s="1"/>
  <c r="L1055" i="1"/>
  <c r="N1055" i="1" s="1"/>
  <c r="L1102" i="1"/>
  <c r="L1121" i="1"/>
  <c r="N1121" i="1" s="1"/>
  <c r="L1137" i="1"/>
  <c r="L1167" i="1"/>
  <c r="N1167" i="1" s="1"/>
  <c r="L1235" i="1"/>
  <c r="N1235" i="1" s="1"/>
  <c r="L1258" i="1"/>
  <c r="N1258" i="1" s="1"/>
  <c r="L1275" i="1"/>
  <c r="N1275" i="1" s="1"/>
  <c r="L1324" i="1"/>
  <c r="N1324" i="1" s="1"/>
  <c r="L1386" i="1"/>
  <c r="N1386" i="1" s="1"/>
  <c r="L1393" i="1"/>
  <c r="N1393" i="1" s="1"/>
  <c r="L1449" i="1"/>
  <c r="N1449" i="1" s="1"/>
  <c r="L1460" i="1"/>
  <c r="N1460" i="1" s="1"/>
  <c r="L1488" i="1"/>
  <c r="N1488" i="1" s="1"/>
  <c r="L1520" i="1"/>
  <c r="N1520" i="1" s="1"/>
  <c r="L1553" i="1"/>
  <c r="N1553" i="1" s="1"/>
  <c r="L1586" i="1"/>
  <c r="N1586" i="1" s="1"/>
  <c r="L1599" i="1"/>
  <c r="N1599" i="1" s="1"/>
  <c r="L1619" i="1"/>
  <c r="N1619" i="1" s="1"/>
  <c r="L1644" i="1"/>
  <c r="N1644" i="1" s="1"/>
  <c r="L1690" i="1"/>
  <c r="N1690" i="1" s="1"/>
  <c r="L1765" i="1"/>
  <c r="N1765" i="1" s="1"/>
  <c r="L1770" i="1"/>
  <c r="N1770" i="1" s="1"/>
  <c r="L1784" i="1"/>
  <c r="N1784" i="1" s="1"/>
  <c r="L1801" i="1"/>
  <c r="N1801" i="1" s="1"/>
  <c r="L1839" i="1"/>
  <c r="N1839" i="1" s="1"/>
  <c r="L1909" i="1"/>
  <c r="N1909" i="1" s="1"/>
  <c r="L1933" i="1"/>
  <c r="N1933" i="1" s="1"/>
  <c r="L2229" i="1"/>
  <c r="N2229" i="1" s="1"/>
  <c r="L26" i="1"/>
  <c r="L83" i="1"/>
  <c r="N83" i="1" s="1"/>
  <c r="L106" i="1"/>
  <c r="L366" i="1"/>
  <c r="N366" i="1" s="1"/>
  <c r="L410" i="1"/>
  <c r="N410" i="1" s="1"/>
  <c r="L467" i="1"/>
  <c r="N467" i="1" s="1"/>
  <c r="L492" i="1"/>
  <c r="N492" i="1" s="1"/>
  <c r="L502" i="1"/>
  <c r="N502" i="1" s="1"/>
  <c r="L529" i="1"/>
  <c r="N529" i="1" s="1"/>
  <c r="L536" i="1"/>
  <c r="N536" i="1" s="1"/>
  <c r="L569" i="1"/>
  <c r="N569" i="1" s="1"/>
  <c r="L590" i="1"/>
  <c r="N590" i="1" s="1"/>
  <c r="L664" i="1"/>
  <c r="N664" i="1" s="1"/>
  <c r="L696" i="1"/>
  <c r="N696" i="1" s="1"/>
  <c r="L721" i="1"/>
  <c r="N721" i="1" s="1"/>
  <c r="L732" i="1"/>
  <c r="N732" i="1" s="1"/>
  <c r="L742" i="1"/>
  <c r="N742" i="1" s="1"/>
  <c r="L818" i="1"/>
  <c r="N818" i="1" s="1"/>
  <c r="L971" i="1"/>
  <c r="N971" i="1" s="1"/>
  <c r="L1085" i="1"/>
  <c r="N1085" i="1" s="1"/>
  <c r="L1093" i="1"/>
  <c r="N1093" i="1" s="1"/>
  <c r="L1145" i="1"/>
  <c r="N1145" i="1" s="1"/>
  <c r="L1156" i="1"/>
  <c r="N1156" i="1" s="1"/>
  <c r="L1179" i="1"/>
  <c r="N1179" i="1" s="1"/>
  <c r="L1191" i="1"/>
  <c r="N1191" i="1" s="1"/>
  <c r="L1337" i="1"/>
  <c r="N1337" i="1" s="1"/>
  <c r="L1543" i="1"/>
  <c r="N1543" i="1" s="1"/>
  <c r="L1564" i="1"/>
  <c r="N1564" i="1" s="1"/>
  <c r="L1593" i="1"/>
  <c r="N1593" i="1" s="1"/>
  <c r="L1607" i="1"/>
  <c r="N1607" i="1" s="1"/>
  <c r="L1628" i="1"/>
  <c r="N1628" i="1" s="1"/>
  <c r="L1637" i="1"/>
  <c r="N1637" i="1" s="1"/>
  <c r="L1677" i="1"/>
  <c r="N1677" i="1" s="1"/>
  <c r="L1701" i="1"/>
  <c r="N1701" i="1" s="1"/>
  <c r="L1708" i="1"/>
  <c r="N1708" i="1" s="1"/>
  <c r="L1717" i="1"/>
  <c r="N1717" i="1" s="1"/>
  <c r="L1724" i="1"/>
  <c r="N1724" i="1" s="1"/>
  <c r="L1792" i="1"/>
  <c r="N1792" i="1" s="1"/>
  <c r="L1805" i="1"/>
  <c r="N1805" i="1" s="1"/>
  <c r="L1810" i="1"/>
  <c r="N1810" i="1" s="1"/>
  <c r="L1817" i="1"/>
  <c r="N1817" i="1" s="1"/>
  <c r="L1824" i="1"/>
  <c r="N1824" i="1" s="1"/>
  <c r="L1843" i="1"/>
  <c r="N1843" i="1" s="1"/>
  <c r="L1861" i="1"/>
  <c r="N1861" i="1" s="1"/>
  <c r="L1892" i="1"/>
  <c r="N1892" i="1" s="1"/>
  <c r="L1896" i="1"/>
  <c r="L1898" i="1"/>
  <c r="N1898" i="1" s="1"/>
  <c r="L1917" i="1"/>
  <c r="N1917" i="1" s="1"/>
  <c r="L2012" i="1"/>
  <c r="N2012" i="1" s="1"/>
  <c r="L2072" i="1"/>
  <c r="N2072" i="1" s="1"/>
  <c r="L154" i="1"/>
  <c r="N154" i="1" s="1"/>
  <c r="L361" i="1"/>
  <c r="N361" i="1" s="1"/>
  <c r="L468" i="1"/>
  <c r="N468" i="1" s="1"/>
  <c r="L497" i="1"/>
  <c r="N497" i="1" s="1"/>
  <c r="L503" i="1"/>
  <c r="N503" i="1" s="1"/>
  <c r="L530" i="1"/>
  <c r="N530" i="1" s="1"/>
  <c r="L543" i="1"/>
  <c r="N543" i="1" s="1"/>
  <c r="L563" i="1"/>
  <c r="N563" i="1" s="1"/>
  <c r="L656" i="1"/>
  <c r="N656" i="1" s="1"/>
  <c r="L686" i="1"/>
  <c r="N686" i="1" s="1"/>
  <c r="L697" i="1"/>
  <c r="N697" i="1" s="1"/>
  <c r="L752" i="1"/>
  <c r="N752" i="1" s="1"/>
  <c r="L808" i="1"/>
  <c r="N808" i="1" s="1"/>
  <c r="L827" i="1"/>
  <c r="N827" i="1" s="1"/>
  <c r="L839" i="1"/>
  <c r="N839" i="1" s="1"/>
  <c r="L873" i="1"/>
  <c r="N873" i="1" s="1"/>
  <c r="L917" i="1"/>
  <c r="N917" i="1" s="1"/>
  <c r="L942" i="1"/>
  <c r="N942" i="1" s="1"/>
  <c r="L952" i="1"/>
  <c r="N952" i="1" s="1"/>
  <c r="L991" i="1"/>
  <c r="N991" i="1" s="1"/>
  <c r="L1068" i="1"/>
  <c r="N1068" i="1" s="1"/>
  <c r="L1120" i="1"/>
  <c r="N1120" i="1" s="1"/>
  <c r="L1128" i="1"/>
  <c r="N1128" i="1" s="1"/>
  <c r="L1136" i="1"/>
  <c r="L1157" i="1"/>
  <c r="N1157" i="1" s="1"/>
  <c r="L1166" i="1"/>
  <c r="N1166" i="1" s="1"/>
  <c r="L1220" i="1"/>
  <c r="N1220" i="1" s="1"/>
  <c r="L1274" i="1"/>
  <c r="N1274" i="1" s="1"/>
  <c r="L1385" i="1"/>
  <c r="N1385" i="1" s="1"/>
  <c r="L1519" i="1"/>
  <c r="N1519" i="1" s="1"/>
  <c r="L1554" i="1"/>
  <c r="N1554" i="1" s="1"/>
  <c r="L1600" i="1"/>
  <c r="N1600" i="1" s="1"/>
  <c r="L1685" i="1"/>
  <c r="N1685" i="1" s="1"/>
  <c r="L1764" i="1"/>
  <c r="N1764" i="1" s="1"/>
  <c r="L1771" i="1"/>
  <c r="N1771" i="1" s="1"/>
  <c r="L1776" i="1"/>
  <c r="N1776" i="1" s="1"/>
  <c r="L1783" i="1"/>
  <c r="N1783" i="1" s="1"/>
  <c r="L1788" i="1"/>
  <c r="N1788" i="1" s="1"/>
  <c r="L1821" i="1"/>
  <c r="N1821" i="1" s="1"/>
  <c r="L1825" i="1"/>
  <c r="N1825" i="1" s="1"/>
  <c r="L1838" i="1"/>
  <c r="N1838" i="1" s="1"/>
  <c r="L1847" i="1"/>
  <c r="N1847" i="1" s="1"/>
  <c r="L1890" i="1"/>
  <c r="L1910" i="1"/>
  <c r="N1910" i="1" s="1"/>
  <c r="L1995" i="1"/>
  <c r="N1995" i="1" s="1"/>
  <c r="L2058" i="1"/>
  <c r="N2058" i="1" s="1"/>
  <c r="L1959" i="1"/>
  <c r="N1959" i="1" s="1"/>
  <c r="L1834" i="1"/>
  <c r="N1834" i="1" s="1"/>
  <c r="L1542" i="1"/>
  <c r="N1542" i="1" s="1"/>
  <c r="L1468" i="1"/>
  <c r="N1468" i="1" s="1"/>
  <c r="L862" i="1"/>
  <c r="N862" i="1" s="1"/>
  <c r="L797" i="1"/>
  <c r="N797" i="1" s="1"/>
  <c r="L524" i="1"/>
  <c r="N524" i="1" s="1"/>
  <c r="L511" i="1"/>
  <c r="N511" i="1" s="1"/>
  <c r="L478" i="1"/>
  <c r="N478" i="1" s="1"/>
  <c r="L409" i="1"/>
  <c r="N409" i="1" s="1"/>
  <c r="L304" i="1"/>
  <c r="N304" i="1" s="1"/>
  <c r="L269" i="1"/>
  <c r="N269" i="1" s="1"/>
  <c r="L251" i="1"/>
  <c r="N251" i="1" s="1"/>
  <c r="L210" i="1"/>
  <c r="N210" i="1" s="1"/>
  <c r="L202" i="1"/>
  <c r="N202" i="1" s="1"/>
  <c r="L136" i="1"/>
  <c r="L82" i="1"/>
  <c r="N82" i="1" s="1"/>
  <c r="L41" i="1"/>
  <c r="N41" i="1" s="1"/>
  <c r="L31" i="1"/>
  <c r="L1650" i="1"/>
  <c r="N1650" i="1" s="1"/>
  <c r="L1859" i="1"/>
  <c r="J1854" i="1"/>
  <c r="M1854" i="1" s="1"/>
  <c r="L85" i="1"/>
  <c r="L209" i="1"/>
  <c r="N209" i="1" s="1"/>
  <c r="L1733" i="1"/>
  <c r="N1733" i="1" s="1"/>
  <c r="L1778" i="1"/>
  <c r="N1778" i="1" s="1"/>
  <c r="L1870" i="1"/>
  <c r="N1870" i="1" s="1"/>
  <c r="L1887" i="1"/>
  <c r="N1887" i="1" s="1"/>
  <c r="J1886" i="1"/>
  <c r="J1885" i="1"/>
  <c r="M1885" i="1" s="1"/>
  <c r="L2016" i="1"/>
  <c r="N2016" i="1" s="1"/>
  <c r="L2049" i="1"/>
  <c r="N2049" i="1" s="1"/>
  <c r="L930" i="1"/>
  <c r="N930" i="1" s="1"/>
  <c r="L18" i="1"/>
  <c r="L135" i="1"/>
  <c r="L155" i="1"/>
  <c r="N155" i="1" s="1"/>
  <c r="L193" i="1"/>
  <c r="N193" i="1" s="1"/>
  <c r="L303" i="1"/>
  <c r="N303" i="1" s="1"/>
  <c r="L512" i="1"/>
  <c r="N512" i="1" s="1"/>
  <c r="L518" i="1"/>
  <c r="N518" i="1" s="1"/>
  <c r="L589" i="1"/>
  <c r="N589" i="1" s="1"/>
  <c r="L1643" i="1"/>
  <c r="N1643" i="1" s="1"/>
  <c r="L595" i="1"/>
  <c r="N595" i="1" s="1"/>
  <c r="L720" i="1"/>
  <c r="N720" i="1" s="1"/>
  <c r="L741" i="1"/>
  <c r="N741" i="1" s="1"/>
  <c r="L751" i="1"/>
  <c r="N751" i="1" s="1"/>
  <c r="L817" i="1"/>
  <c r="N817" i="1" s="1"/>
  <c r="L840" i="1"/>
  <c r="N840" i="1" s="1"/>
  <c r="L851" i="1"/>
  <c r="N851" i="1" s="1"/>
  <c r="L961" i="1"/>
  <c r="N961" i="1" s="1"/>
  <c r="L1084" i="1"/>
  <c r="N1084" i="1" s="1"/>
  <c r="L1257" i="1"/>
  <c r="N1257" i="1" s="1"/>
  <c r="L1363" i="1"/>
  <c r="N1363" i="1" s="1"/>
  <c r="L1450" i="1"/>
  <c r="N1450" i="1" s="1"/>
  <c r="L1500" i="1"/>
  <c r="N1500" i="1" s="1"/>
  <c r="L1563" i="1"/>
  <c r="N1563" i="1" s="1"/>
  <c r="L1670" i="1"/>
  <c r="N1670" i="1" s="1"/>
  <c r="L1684" i="1"/>
  <c r="N1684" i="1" s="1"/>
  <c r="L1691" i="1"/>
  <c r="N1691" i="1" s="1"/>
  <c r="L1716" i="1"/>
  <c r="N1716" i="1" s="1"/>
  <c r="L1732" i="1"/>
  <c r="N1732" i="1" s="1"/>
  <c r="L1804" i="1"/>
  <c r="N1804" i="1" s="1"/>
  <c r="L1897" i="1"/>
  <c r="N1897" i="1" s="1"/>
  <c r="L1949" i="1"/>
  <c r="N1949" i="1" s="1"/>
  <c r="L2071" i="1"/>
  <c r="N2071" i="1" s="1"/>
  <c r="L710" i="1"/>
  <c r="N710" i="1" s="1"/>
  <c r="L788" i="1"/>
  <c r="N788" i="1" s="1"/>
  <c r="L1022" i="1"/>
  <c r="N1022" i="1" s="1"/>
  <c r="L1113" i="1"/>
  <c r="N1113" i="1" s="1"/>
  <c r="L1207" i="1"/>
  <c r="N1207" i="1" s="1"/>
  <c r="L1372" i="1"/>
  <c r="N1372" i="1" s="1"/>
  <c r="L1487" i="1"/>
  <c r="N1487" i="1" s="1"/>
  <c r="L1499" i="1"/>
  <c r="N1499" i="1" s="1"/>
  <c r="L1627" i="1"/>
  <c r="N1627" i="1" s="1"/>
  <c r="L1700" i="1"/>
  <c r="N1700" i="1" s="1"/>
  <c r="L1756" i="1"/>
  <c r="N1756" i="1" s="1"/>
  <c r="L1796" i="1"/>
  <c r="N1796" i="1" s="1"/>
  <c r="L1850" i="1"/>
  <c r="N1850" i="1" s="1"/>
  <c r="L201" i="1"/>
  <c r="N201" i="1" s="1"/>
  <c r="L496" i="1"/>
  <c r="N496" i="1" s="1"/>
  <c r="L194" i="1"/>
  <c r="N194" i="1" s="1"/>
  <c r="L270" i="1"/>
  <c r="N270" i="1" s="1"/>
  <c r="L517" i="1"/>
  <c r="N517" i="1" s="1"/>
  <c r="L762" i="1"/>
  <c r="N762" i="1" s="1"/>
  <c r="L1033" i="1"/>
  <c r="N1033" i="1" s="1"/>
  <c r="L1054" i="1"/>
  <c r="N1054" i="1" s="1"/>
  <c r="L365" i="1"/>
  <c r="N365" i="1" s="1"/>
  <c r="L421" i="1"/>
  <c r="N421" i="1" s="1"/>
  <c r="L731" i="1"/>
  <c r="N731" i="1" s="1"/>
  <c r="L1073" i="1"/>
  <c r="N1073" i="1" s="1"/>
  <c r="L1246" i="1"/>
  <c r="N1246" i="1" s="1"/>
  <c r="L1298" i="1"/>
  <c r="N1298" i="1" s="1"/>
  <c r="L1441" i="1"/>
  <c r="N1441" i="1" s="1"/>
  <c r="L1585" i="1"/>
  <c r="N1585" i="1" s="1"/>
  <c r="L1618" i="1"/>
  <c r="N1618" i="1" s="1"/>
  <c r="L1707" i="1"/>
  <c r="N1707" i="1" s="1"/>
  <c r="L1846" i="1"/>
  <c r="N1846" i="1" s="1"/>
  <c r="L1860" i="1"/>
  <c r="N1860" i="1" s="1"/>
  <c r="L1948" i="1"/>
  <c r="N1948" i="1" s="1"/>
  <c r="L2228" i="1"/>
  <c r="N2228" i="1" s="1"/>
  <c r="J1902" i="1"/>
  <c r="M1902" i="1" s="1"/>
  <c r="L1067" i="1"/>
  <c r="N1067" i="1" s="1"/>
  <c r="L1127" i="1"/>
  <c r="N1127" i="1" s="1"/>
  <c r="L1323" i="1"/>
  <c r="N1323" i="1" s="1"/>
  <c r="L1656" i="1"/>
  <c r="N1656" i="1" s="1"/>
  <c r="L1820" i="1"/>
  <c r="N1820" i="1" s="1"/>
  <c r="L1875" i="1"/>
  <c r="N1875" i="1" s="1"/>
  <c r="J1880" i="1"/>
  <c r="M1880" i="1" s="1"/>
  <c r="J1881" i="1"/>
  <c r="L1904" i="1"/>
  <c r="N1904" i="1" s="1"/>
  <c r="L1918" i="1"/>
  <c r="N1918" i="1" s="1"/>
  <c r="L1964" i="1"/>
  <c r="N1964" i="1" s="1"/>
  <c r="L2057" i="1"/>
  <c r="N2057" i="1" s="1"/>
  <c r="O1881" i="1" l="1"/>
  <c r="M1881" i="1"/>
  <c r="O1886" i="1"/>
  <c r="M1886" i="1"/>
  <c r="J2291" i="1"/>
  <c r="N2235" i="1"/>
  <c r="N18" i="1"/>
  <c r="N30" i="1"/>
  <c r="N135" i="1"/>
  <c r="N85" i="1"/>
  <c r="N31" i="1"/>
  <c r="N106" i="1"/>
  <c r="N107" i="1"/>
  <c r="N111" i="1"/>
  <c r="N26" i="1"/>
  <c r="N25" i="1"/>
  <c r="N136" i="1"/>
  <c r="N112" i="1"/>
  <c r="N1136" i="1"/>
  <c r="N1137" i="1"/>
  <c r="L2259" i="1"/>
  <c r="N2259" i="1" s="1"/>
  <c r="J2280" i="1"/>
  <c r="J2281" i="1" s="1"/>
  <c r="K2292" i="1"/>
  <c r="K2296" i="1"/>
  <c r="K2297" i="1"/>
  <c r="P2237" i="1"/>
  <c r="J2283" i="1"/>
  <c r="K2274" i="1"/>
  <c r="N13" i="1"/>
  <c r="L1958" i="1"/>
  <c r="N1958" i="1" s="1"/>
  <c r="L1881" i="1"/>
  <c r="N1881" i="1" s="1"/>
  <c r="L1902" i="1"/>
  <c r="N1902" i="1" s="1"/>
  <c r="L1994" i="1"/>
  <c r="N1994" i="1" s="1"/>
  <c r="L603" i="1"/>
  <c r="N603" i="1" s="1"/>
  <c r="L2013" i="1"/>
  <c r="N2013" i="1" s="1"/>
  <c r="L1854" i="1"/>
  <c r="N1854" i="1" s="1"/>
  <c r="L1886" i="1"/>
  <c r="N1886" i="1" s="1"/>
  <c r="L1777" i="1"/>
  <c r="N1777" i="1" s="1"/>
  <c r="L2026" i="1"/>
  <c r="N2026" i="1" s="1"/>
  <c r="L809" i="1"/>
  <c r="N809" i="1" s="1"/>
  <c r="L1743" i="1"/>
  <c r="N1743" i="1" s="1"/>
  <c r="L2050" i="1"/>
  <c r="N2050" i="1" s="1"/>
  <c r="L1880" i="1"/>
  <c r="N1880" i="1" s="1"/>
  <c r="L1903" i="1"/>
  <c r="N1903" i="1" s="1"/>
  <c r="L418" i="1"/>
  <c r="N418" i="1" s="1"/>
  <c r="L1742" i="1"/>
  <c r="N1742" i="1" s="1"/>
  <c r="L1885" i="1"/>
  <c r="N1885" i="1" s="1"/>
  <c r="L1869" i="1"/>
  <c r="N1869" i="1" s="1"/>
  <c r="L602" i="1"/>
  <c r="N602" i="1" s="1"/>
  <c r="J2284" i="1" l="1"/>
  <c r="J2234" i="1"/>
  <c r="L2280" i="1"/>
  <c r="L2281" i="1" s="1"/>
  <c r="K2275" i="1"/>
  <c r="K2281" i="1"/>
  <c r="K2284" i="1"/>
  <c r="L2291" i="1"/>
  <c r="L2283" i="1"/>
  <c r="L2284" i="1" s="1"/>
  <c r="G2286" i="1"/>
  <c r="G2229" i="1"/>
  <c r="O2229" i="1" s="1"/>
  <c r="G1851" i="1"/>
  <c r="O1851" i="1" s="1"/>
  <c r="G1847" i="1"/>
  <c r="O1847" i="1" s="1"/>
  <c r="G1843" i="1"/>
  <c r="O1843" i="1" s="1"/>
  <c r="G1839" i="1"/>
  <c r="O1839" i="1" s="1"/>
  <c r="G1835" i="1"/>
  <c r="O1835" i="1" s="1"/>
  <c r="G1825" i="1"/>
  <c r="O1825" i="1" s="1"/>
  <c r="G1821" i="1"/>
  <c r="O1821" i="1" s="1"/>
  <c r="L2234" i="1" l="1"/>
  <c r="N2234" i="1" s="1"/>
  <c r="M2234" i="1"/>
  <c r="J2243" i="1"/>
  <c r="L2282" i="1"/>
  <c r="L2285" i="1"/>
  <c r="I1825" i="1"/>
  <c r="I1843" i="1"/>
  <c r="I1876" i="1"/>
  <c r="I2132" i="1"/>
  <c r="I1835" i="1"/>
  <c r="I1851" i="1"/>
  <c r="I2229" i="1"/>
  <c r="I2214" i="1"/>
  <c r="I1821" i="1"/>
  <c r="I1839" i="1"/>
  <c r="I1861" i="1"/>
  <c r="I1671" i="1"/>
  <c r="I1830" i="1"/>
  <c r="I1847" i="1"/>
  <c r="I1898" i="1"/>
  <c r="I2196" i="1"/>
  <c r="G1817" i="1"/>
  <c r="O1817" i="1" s="1"/>
  <c r="G1801" i="1"/>
  <c r="O1801" i="1" s="1"/>
  <c r="G1797" i="1"/>
  <c r="O1797" i="1" s="1"/>
  <c r="G1793" i="1"/>
  <c r="O1793" i="1" s="1"/>
  <c r="G1784" i="1"/>
  <c r="O1784" i="1" s="1"/>
  <c r="G863" i="1"/>
  <c r="O863" i="1" s="1"/>
  <c r="L2243" i="1" l="1"/>
  <c r="L2257" i="1" s="1"/>
  <c r="M2243" i="1"/>
  <c r="L2258" i="1"/>
  <c r="P1861" i="1"/>
  <c r="P1830" i="1"/>
  <c r="P1839" i="1"/>
  <c r="P1851" i="1"/>
  <c r="P1876" i="1"/>
  <c r="P1847" i="1"/>
  <c r="P2132" i="1"/>
  <c r="P2196" i="1"/>
  <c r="P2218" i="1"/>
  <c r="P1821" i="1"/>
  <c r="P1835" i="1"/>
  <c r="P1843" i="1"/>
  <c r="P2229" i="1"/>
  <c r="P1898" i="1"/>
  <c r="P1671" i="1"/>
  <c r="P2214" i="1"/>
  <c r="P1825" i="1"/>
  <c r="I1619" i="1"/>
  <c r="I1167" i="1"/>
  <c r="I1220" i="1"/>
  <c r="I1286" i="1"/>
  <c r="I1338" i="1"/>
  <c r="I1685" i="1"/>
  <c r="I1725" i="1"/>
  <c r="I1788" i="1"/>
  <c r="I1805" i="1"/>
  <c r="I1594" i="1"/>
  <c r="I863" i="1"/>
  <c r="I1179" i="1"/>
  <c r="I1235" i="1"/>
  <c r="I1299" i="1"/>
  <c r="I1394" i="1"/>
  <c r="I1701" i="1"/>
  <c r="I1765" i="1"/>
  <c r="I1793" i="1"/>
  <c r="I1811" i="1"/>
  <c r="I1600" i="1"/>
  <c r="I874" i="1"/>
  <c r="I1258" i="1"/>
  <c r="I1311" i="1"/>
  <c r="I1364" i="1"/>
  <c r="I1406" i="1"/>
  <c r="I1708" i="1"/>
  <c r="I1771" i="1"/>
  <c r="I1797" i="1"/>
  <c r="I1817" i="1"/>
  <c r="I1608" i="1"/>
  <c r="I1208" i="1"/>
  <c r="I1275" i="1"/>
  <c r="I1324" i="1"/>
  <c r="I1373" i="1"/>
  <c r="I1677" i="1"/>
  <c r="I1717" i="1"/>
  <c r="I1784" i="1"/>
  <c r="I1801" i="1"/>
  <c r="I1386" i="1"/>
  <c r="G952" i="1"/>
  <c r="O952" i="1" s="1"/>
  <c r="N2243" i="1" l="1"/>
  <c r="K4" i="1"/>
  <c r="N2257" i="1"/>
  <c r="P1801" i="1"/>
  <c r="P1771" i="1"/>
  <c r="P1394" i="1"/>
  <c r="P1286" i="1"/>
  <c r="P1324" i="1"/>
  <c r="P1258" i="1"/>
  <c r="P1348" i="1"/>
  <c r="P863" i="1"/>
  <c r="P1725" i="1"/>
  <c r="P1220" i="1"/>
  <c r="P1373" i="1"/>
  <c r="P1811" i="1"/>
  <c r="P1788" i="1"/>
  <c r="P1784" i="1"/>
  <c r="P1708" i="1"/>
  <c r="P1717" i="1"/>
  <c r="P1275" i="1"/>
  <c r="P1817" i="1"/>
  <c r="P1406" i="1"/>
  <c r="P874" i="1"/>
  <c r="P1765" i="1"/>
  <c r="P1299" i="1"/>
  <c r="P1594" i="1"/>
  <c r="P1685" i="1"/>
  <c r="P1167" i="1"/>
  <c r="P898" i="1"/>
  <c r="P1311" i="1"/>
  <c r="P1179" i="1"/>
  <c r="P1608" i="1"/>
  <c r="P1793" i="1"/>
  <c r="P1386" i="1"/>
  <c r="P1677" i="1"/>
  <c r="P1208" i="1"/>
  <c r="P1797" i="1"/>
  <c r="P1364" i="1"/>
  <c r="P1600" i="1"/>
  <c r="P1701" i="1"/>
  <c r="P1235" i="1"/>
  <c r="P1805" i="1"/>
  <c r="P1338" i="1"/>
  <c r="P1619" i="1"/>
  <c r="I1644" i="1"/>
  <c r="I1460" i="1"/>
  <c r="I1543" i="1"/>
  <c r="I1428" i="1"/>
  <c r="I918" i="1"/>
  <c r="I1469" i="1"/>
  <c r="I1628" i="1"/>
  <c r="I1442" i="1"/>
  <c r="I1586" i="1"/>
  <c r="I942" i="1"/>
  <c r="I1637" i="1"/>
  <c r="I1564" i="1"/>
  <c r="I952" i="1"/>
  <c r="G962" i="1"/>
  <c r="O962" i="1" s="1"/>
  <c r="G817" i="1"/>
  <c r="O817" i="1" s="1"/>
  <c r="G525" i="1"/>
  <c r="O525" i="1" s="1"/>
  <c r="G503" i="1"/>
  <c r="O503" i="1" s="1"/>
  <c r="G492" i="1"/>
  <c r="O492" i="1" s="1"/>
  <c r="G468" i="1"/>
  <c r="O468" i="1" s="1"/>
  <c r="H461" i="1"/>
  <c r="I461" i="1" s="1"/>
  <c r="G454" i="1"/>
  <c r="O454" i="1" s="1"/>
  <c r="G366" i="1"/>
  <c r="O366" i="1" s="1"/>
  <c r="H107" i="1"/>
  <c r="G107" i="1"/>
  <c r="O107" i="1" s="1"/>
  <c r="P1564" i="1" l="1"/>
  <c r="P1644" i="1"/>
  <c r="P1637" i="1"/>
  <c r="P1442" i="1"/>
  <c r="P1428" i="1"/>
  <c r="P1531" i="1"/>
  <c r="P461" i="1"/>
  <c r="P918" i="1"/>
  <c r="P952" i="1"/>
  <c r="P1509" i="1"/>
  <c r="P1628" i="1"/>
  <c r="P1543" i="1"/>
  <c r="P1586" i="1"/>
  <c r="P1572" i="1"/>
  <c r="P942" i="1"/>
  <c r="P1469" i="1"/>
  <c r="P1460" i="1"/>
  <c r="I468" i="1"/>
  <c r="I676" i="1"/>
  <c r="I828" i="1"/>
  <c r="I1074" i="1"/>
  <c r="I503" i="1"/>
  <c r="I687" i="1"/>
  <c r="I570" i="1"/>
  <c r="I657" i="1"/>
  <c r="I697" i="1"/>
  <c r="I971" i="1"/>
  <c r="I1055" i="1"/>
  <c r="I1093" i="1"/>
  <c r="I1128" i="1"/>
  <c r="I492" i="1"/>
  <c r="I582" i="1"/>
  <c r="I752" i="1"/>
  <c r="I1013" i="1"/>
  <c r="I1114" i="1"/>
  <c r="I1157" i="1"/>
  <c r="I557" i="1"/>
  <c r="I596" i="1"/>
  <c r="I962" i="1"/>
  <c r="I1023" i="1"/>
  <c r="I1085" i="1"/>
  <c r="I1121" i="1"/>
  <c r="I486" i="1"/>
  <c r="I525" i="1"/>
  <c r="I664" i="1"/>
  <c r="I732" i="1"/>
  <c r="I982" i="1"/>
  <c r="I1068" i="1"/>
  <c r="I1104" i="1"/>
  <c r="I1146" i="1"/>
  <c r="I366" i="1"/>
  <c r="I454" i="1"/>
  <c r="I107" i="1"/>
  <c r="P576" i="1" l="1"/>
  <c r="P1114" i="1"/>
  <c r="P828" i="1"/>
  <c r="P1013" i="1"/>
  <c r="P676" i="1"/>
  <c r="P1068" i="1"/>
  <c r="P596" i="1"/>
  <c r="P492" i="1"/>
  <c r="P507" i="1"/>
  <c r="P366" i="1"/>
  <c r="P525" i="1"/>
  <c r="P1128" i="1"/>
  <c r="P687" i="1"/>
  <c r="P1146" i="1"/>
  <c r="P732" i="1"/>
  <c r="P486" i="1"/>
  <c r="P962" i="1"/>
  <c r="P474" i="1"/>
  <c r="P752" i="1"/>
  <c r="P1093" i="1"/>
  <c r="P657" i="1"/>
  <c r="P503" i="1"/>
  <c r="P551" i="1"/>
  <c r="P454" i="1"/>
  <c r="P1085" i="1"/>
  <c r="P971" i="1"/>
  <c r="P982" i="1"/>
  <c r="P1023" i="1"/>
  <c r="P557" i="1"/>
  <c r="P697" i="1"/>
  <c r="P1104" i="1"/>
  <c r="P664" i="1"/>
  <c r="P1121" i="1"/>
  <c r="P1157" i="1"/>
  <c r="P582" i="1"/>
  <c r="P1055" i="1"/>
  <c r="P570" i="1"/>
  <c r="P1074" i="1"/>
  <c r="P468" i="1"/>
  <c r="P107" i="1"/>
  <c r="G2174" i="1"/>
  <c r="O2174" i="1" s="1"/>
  <c r="G2123" i="1"/>
  <c r="O2123" i="1" s="1"/>
  <c r="G2117" i="1"/>
  <c r="O2117" i="1" s="1"/>
  <c r="G2104" i="1"/>
  <c r="O2104" i="1" s="1"/>
  <c r="G2167" i="1"/>
  <c r="O2167" i="1" s="1"/>
  <c r="G2154" i="1"/>
  <c r="O2154" i="1" s="1"/>
  <c r="G2146" i="1"/>
  <c r="O2146" i="1" s="1"/>
  <c r="I1794" i="1" l="1"/>
  <c r="H1792" i="1"/>
  <c r="G1792" i="1"/>
  <c r="O1792" i="1" s="1"/>
  <c r="P1794" i="1" l="1"/>
  <c r="I1792" i="1"/>
  <c r="P1792" i="1" l="1"/>
  <c r="I1649" i="1" l="1"/>
  <c r="P1649" i="1" l="1"/>
  <c r="I1903" i="1" l="1"/>
  <c r="I1869" i="1"/>
  <c r="I1881" i="1"/>
  <c r="I1892" i="1"/>
  <c r="I1855" i="1"/>
  <c r="I1777" i="1"/>
  <c r="I1910" i="1"/>
  <c r="G2181" i="1"/>
  <c r="O2181" i="1" s="1"/>
  <c r="P1881" i="1" l="1"/>
  <c r="P1855" i="1"/>
  <c r="P1903" i="1"/>
  <c r="P1910" i="1"/>
  <c r="P1777" i="1"/>
  <c r="P1869" i="1"/>
  <c r="P1892" i="1"/>
  <c r="I809" i="1"/>
  <c r="G1274" i="1"/>
  <c r="O1274" i="1" s="1"/>
  <c r="G1716" i="1"/>
  <c r="O1716" i="1" s="1"/>
  <c r="I1721" i="1"/>
  <c r="G862" i="1"/>
  <c r="O862" i="1" s="1"/>
  <c r="P809" i="1" l="1"/>
  <c r="P1721" i="1"/>
  <c r="G951" i="1" l="1"/>
  <c r="O951" i="1" s="1"/>
  <c r="G1120" i="1"/>
  <c r="O1120" i="1" s="1"/>
  <c r="I2187" i="1" l="1"/>
  <c r="P2187" i="1" l="1"/>
  <c r="P2201" i="1"/>
  <c r="I2089" i="1"/>
  <c r="P2089" i="1" l="1"/>
  <c r="G419" i="1"/>
  <c r="O419" i="1" s="1"/>
  <c r="H419" i="1"/>
  <c r="I392" i="1" l="1"/>
  <c r="I403" i="1"/>
  <c r="H1918" i="1"/>
  <c r="I1922" i="1"/>
  <c r="P403" i="1" l="1"/>
  <c r="P1922" i="1"/>
  <c r="P392" i="1"/>
  <c r="H83" i="1"/>
  <c r="G590" i="1" l="1"/>
  <c r="O590" i="1" s="1"/>
  <c r="G537" i="1"/>
  <c r="O537" i="1" s="1"/>
  <c r="I533" i="1"/>
  <c r="G529" i="1"/>
  <c r="O529" i="1" s="1"/>
  <c r="G530" i="1"/>
  <c r="O530" i="1" s="1"/>
  <c r="P533" i="1" l="1"/>
  <c r="I530" i="1"/>
  <c r="I537" i="1"/>
  <c r="I590" i="1"/>
  <c r="P590" i="1" l="1"/>
  <c r="P537" i="1"/>
  <c r="P530" i="1"/>
  <c r="I2027" i="1"/>
  <c r="P2027" i="1" l="1"/>
  <c r="I2021" i="1"/>
  <c r="I2018" i="1"/>
  <c r="P2021" i="1" l="1"/>
  <c r="P2018" i="1"/>
  <c r="H2026" i="1"/>
  <c r="I2033" i="1"/>
  <c r="P2033" i="1" l="1"/>
  <c r="I1886" i="1"/>
  <c r="P1886" i="1" l="1"/>
  <c r="P1914" i="1" l="1"/>
  <c r="I161" i="1"/>
  <c r="P161" i="1" l="1"/>
  <c r="H210" i="1"/>
  <c r="G112" i="1"/>
  <c r="O112" i="1" s="1"/>
  <c r="I114" i="1"/>
  <c r="H42" i="1"/>
  <c r="G42" i="1"/>
  <c r="O42" i="1" s="1"/>
  <c r="I44" i="1"/>
  <c r="P114" i="1" l="1"/>
  <c r="P44" i="1"/>
  <c r="G2049" i="1"/>
  <c r="O2049" i="1" s="1"/>
  <c r="I347" i="1" l="1"/>
  <c r="P347" i="1" s="1"/>
  <c r="G216" i="1"/>
  <c r="O216" i="1" s="1"/>
  <c r="I224" i="1"/>
  <c r="I227" i="1"/>
  <c r="I225" i="1"/>
  <c r="I170" i="1"/>
  <c r="I169" i="1"/>
  <c r="G308" i="1"/>
  <c r="O308" i="1" s="1"/>
  <c r="G309" i="1"/>
  <c r="O309" i="1" s="1"/>
  <c r="G365" i="1"/>
  <c r="O365" i="1" s="1"/>
  <c r="I92" i="1"/>
  <c r="I91" i="1"/>
  <c r="G2057" i="1"/>
  <c r="O2057" i="1" s="1"/>
  <c r="P169" i="1" l="1"/>
  <c r="P170" i="1"/>
  <c r="P224" i="1"/>
  <c r="P225" i="1"/>
  <c r="P227" i="1"/>
  <c r="P91" i="1"/>
  <c r="P92" i="1"/>
  <c r="H270" i="1"/>
  <c r="G269" i="1"/>
  <c r="O269" i="1" s="1"/>
  <c r="I806" i="1" l="1"/>
  <c r="I798" i="1"/>
  <c r="P798" i="1" l="1"/>
  <c r="P806" i="1"/>
  <c r="I1422" i="1"/>
  <c r="I1434" i="1"/>
  <c r="I1435" i="1"/>
  <c r="I1430" i="1"/>
  <c r="I1447" i="1"/>
  <c r="I1569" i="1"/>
  <c r="I901" i="1"/>
  <c r="I895" i="1"/>
  <c r="P1434" i="1" l="1"/>
  <c r="P1447" i="1"/>
  <c r="P895" i="1"/>
  <c r="P1421" i="1"/>
  <c r="P901" i="1"/>
  <c r="P1430" i="1"/>
  <c r="P1422" i="1"/>
  <c r="P1569" i="1"/>
  <c r="P1435" i="1"/>
  <c r="I886" i="1"/>
  <c r="I1591" i="1"/>
  <c r="I1533" i="1"/>
  <c r="G827" i="1"/>
  <c r="O827" i="1" s="1"/>
  <c r="I833" i="1"/>
  <c r="I1211" i="1"/>
  <c r="G917" i="1"/>
  <c r="O917" i="1" s="1"/>
  <c r="P1533" i="1" l="1"/>
  <c r="P1381" i="1"/>
  <c r="P833" i="1"/>
  <c r="P1539" i="1"/>
  <c r="P1475" i="1"/>
  <c r="P1591" i="1"/>
  <c r="P1211" i="1"/>
  <c r="P1537" i="1"/>
  <c r="P886" i="1"/>
  <c r="G1323" i="1" l="1"/>
  <c r="O1323" i="1" s="1"/>
  <c r="I1302" i="1"/>
  <c r="I1289" i="1"/>
  <c r="I1243" i="1"/>
  <c r="G1190" i="1"/>
  <c r="O1190" i="1" s="1"/>
  <c r="I1198" i="1"/>
  <c r="I1191" i="1"/>
  <c r="P1202" i="1" l="1"/>
  <c r="P1198" i="1"/>
  <c r="P1191" i="1"/>
  <c r="P1243" i="1"/>
  <c r="P1289" i="1"/>
  <c r="P1302" i="1"/>
  <c r="I1247" i="1"/>
  <c r="I1558" i="1"/>
  <c r="P1558" i="1" l="1"/>
  <c r="P1247" i="1"/>
  <c r="I1137" i="1"/>
  <c r="I818" i="1"/>
  <c r="P818" i="1" l="1"/>
  <c r="P1137" i="1"/>
  <c r="I1002" i="1"/>
  <c r="I724" i="1"/>
  <c r="G1756" i="1"/>
  <c r="O1756" i="1" s="1"/>
  <c r="I1515" i="1"/>
  <c r="P724" i="1" l="1"/>
  <c r="P1515" i="1"/>
  <c r="P1002" i="1"/>
  <c r="I721" i="1"/>
  <c r="G1487" i="1"/>
  <c r="O1487" i="1" s="1"/>
  <c r="I1625" i="1"/>
  <c r="I1616" i="1"/>
  <c r="P1616" i="1" l="1"/>
  <c r="P721" i="1"/>
  <c r="P1625" i="1"/>
  <c r="I1605" i="1"/>
  <c r="G1593" i="1"/>
  <c r="O1593" i="1" s="1"/>
  <c r="G1724" i="1"/>
  <c r="O1724" i="1" s="1"/>
  <c r="G1676" i="1"/>
  <c r="O1676" i="1" s="1"/>
  <c r="P1605" i="1" l="1"/>
  <c r="G961" i="1"/>
  <c r="O961" i="1" s="1"/>
  <c r="I1752" i="1"/>
  <c r="P1752" i="1" l="1"/>
  <c r="I1034" i="1"/>
  <c r="I1743" i="1"/>
  <c r="G1804" i="1"/>
  <c r="O1804" i="1" s="1"/>
  <c r="G1868" i="1"/>
  <c r="O1868" i="1" s="1"/>
  <c r="I1866" i="1"/>
  <c r="G1860" i="1"/>
  <c r="O1860" i="1" s="1"/>
  <c r="G1891" i="1"/>
  <c r="O1891" i="1" s="1"/>
  <c r="G1880" i="1"/>
  <c r="O1880" i="1" s="1"/>
  <c r="P1743" i="1" l="1"/>
  <c r="P1866" i="1"/>
  <c r="P1034" i="1"/>
  <c r="H194" i="1"/>
  <c r="G194" i="1"/>
  <c r="O194" i="1" s="1"/>
  <c r="H1986" i="1" l="1"/>
  <c r="I1956" i="1"/>
  <c r="H1948" i="1"/>
  <c r="H1949" i="1"/>
  <c r="I1950" i="1"/>
  <c r="H2295" i="1" l="1"/>
  <c r="P1954" i="1"/>
  <c r="P1950" i="1"/>
  <c r="P1956" i="1"/>
  <c r="H20" i="1"/>
  <c r="H21" i="1"/>
  <c r="I22" i="1"/>
  <c r="I23" i="1"/>
  <c r="I24" i="1"/>
  <c r="P24" i="1" l="1"/>
  <c r="P23" i="1"/>
  <c r="P22" i="1"/>
  <c r="I20" i="1"/>
  <c r="I21" i="1"/>
  <c r="P21" i="1" l="1"/>
  <c r="P20" i="1"/>
  <c r="I903" i="1"/>
  <c r="I902" i="1"/>
  <c r="I904" i="1"/>
  <c r="I900" i="1"/>
  <c r="I899" i="1"/>
  <c r="I891" i="1"/>
  <c r="I890" i="1"/>
  <c r="I888" i="1"/>
  <c r="I887" i="1"/>
  <c r="H885" i="1"/>
  <c r="I878" i="1"/>
  <c r="I877" i="1"/>
  <c r="I879" i="1"/>
  <c r="I876" i="1"/>
  <c r="I875" i="1"/>
  <c r="H873" i="1"/>
  <c r="P876" i="1" l="1"/>
  <c r="P890" i="1"/>
  <c r="P900" i="1"/>
  <c r="P879" i="1"/>
  <c r="P887" i="1"/>
  <c r="P891" i="1"/>
  <c r="P904" i="1"/>
  <c r="P877" i="1"/>
  <c r="P888" i="1"/>
  <c r="P902" i="1"/>
  <c r="P875" i="1"/>
  <c r="P878" i="1"/>
  <c r="P899" i="1"/>
  <c r="P903" i="1"/>
  <c r="I873" i="1"/>
  <c r="I885" i="1"/>
  <c r="P885" i="1" l="1"/>
  <c r="P873" i="1"/>
  <c r="P897" i="1"/>
  <c r="G13" i="1"/>
  <c r="G14" i="1"/>
  <c r="O14" i="1" s="1"/>
  <c r="I15" i="1"/>
  <c r="I16" i="1"/>
  <c r="I17" i="1"/>
  <c r="I18" i="1"/>
  <c r="I19" i="1"/>
  <c r="G30" i="1"/>
  <c r="O30" i="1" s="1"/>
  <c r="H30" i="1"/>
  <c r="H31" i="1"/>
  <c r="I32" i="1"/>
  <c r="I33" i="1"/>
  <c r="I34" i="1"/>
  <c r="I36" i="1"/>
  <c r="I37" i="1"/>
  <c r="I38" i="1"/>
  <c r="I39" i="1"/>
  <c r="I40" i="1"/>
  <c r="G41" i="1"/>
  <c r="O41" i="1" s="1"/>
  <c r="H41" i="1"/>
  <c r="I43" i="1"/>
  <c r="I45" i="1"/>
  <c r="I46" i="1"/>
  <c r="I47" i="1"/>
  <c r="I49" i="1"/>
  <c r="H25" i="1"/>
  <c r="I27" i="1"/>
  <c r="I28" i="1"/>
  <c r="I29" i="1"/>
  <c r="I72" i="1"/>
  <c r="I73" i="1"/>
  <c r="I74" i="1"/>
  <c r="I75" i="1"/>
  <c r="I76" i="1"/>
  <c r="I77" i="1"/>
  <c r="I78" i="1"/>
  <c r="I79" i="1"/>
  <c r="I81" i="1"/>
  <c r="G82" i="1"/>
  <c r="O82" i="1" s="1"/>
  <c r="H82" i="1"/>
  <c r="G83" i="1"/>
  <c r="O83" i="1" s="1"/>
  <c r="I84" i="1"/>
  <c r="I85" i="1"/>
  <c r="I86" i="1"/>
  <c r="I87" i="1"/>
  <c r="I90" i="1"/>
  <c r="I93" i="1"/>
  <c r="I94" i="1"/>
  <c r="I95" i="1"/>
  <c r="I96" i="1"/>
  <c r="I103" i="1"/>
  <c r="I97" i="1"/>
  <c r="I98" i="1"/>
  <c r="G106" i="1"/>
  <c r="O106" i="1" s="1"/>
  <c r="H106" i="1"/>
  <c r="I108" i="1"/>
  <c r="I109" i="1"/>
  <c r="I110" i="1"/>
  <c r="G111" i="1"/>
  <c r="O111" i="1" s="1"/>
  <c r="H111" i="1"/>
  <c r="H112" i="1"/>
  <c r="I113" i="1"/>
  <c r="I115" i="1"/>
  <c r="I116" i="1"/>
  <c r="I120" i="1"/>
  <c r="I121" i="1"/>
  <c r="I122" i="1"/>
  <c r="I123" i="1"/>
  <c r="I124" i="1"/>
  <c r="I125" i="1"/>
  <c r="I126" i="1"/>
  <c r="I129" i="1"/>
  <c r="I127" i="1"/>
  <c r="I128" i="1"/>
  <c r="I130" i="1"/>
  <c r="I132" i="1"/>
  <c r="I133" i="1"/>
  <c r="G135" i="1"/>
  <c r="O135" i="1" s="1"/>
  <c r="H135" i="1"/>
  <c r="G136" i="1"/>
  <c r="O136" i="1" s="1"/>
  <c r="H136" i="1"/>
  <c r="I137" i="1"/>
  <c r="I138" i="1"/>
  <c r="I139" i="1"/>
  <c r="I140" i="1"/>
  <c r="I141" i="1"/>
  <c r="I178" i="1"/>
  <c r="I179" i="1"/>
  <c r="I180" i="1"/>
  <c r="I182" i="1"/>
  <c r="I183" i="1"/>
  <c r="I184" i="1"/>
  <c r="I185" i="1"/>
  <c r="I191" i="1"/>
  <c r="I192" i="1"/>
  <c r="G193" i="1"/>
  <c r="O193" i="1" s="1"/>
  <c r="H193" i="1"/>
  <c r="I195" i="1"/>
  <c r="I196" i="1"/>
  <c r="I197" i="1"/>
  <c r="I198" i="1"/>
  <c r="I199" i="1"/>
  <c r="G201" i="1"/>
  <c r="O201" i="1" s="1"/>
  <c r="H201" i="1"/>
  <c r="G202" i="1"/>
  <c r="O202" i="1" s="1"/>
  <c r="H202" i="1"/>
  <c r="I203" i="1"/>
  <c r="I204" i="1"/>
  <c r="I205" i="1"/>
  <c r="I206" i="1"/>
  <c r="I207" i="1"/>
  <c r="G209" i="1"/>
  <c r="O209" i="1" s="1"/>
  <c r="H209" i="1"/>
  <c r="G210" i="1"/>
  <c r="O210" i="1" s="1"/>
  <c r="I211" i="1"/>
  <c r="I212" i="1"/>
  <c r="I213" i="1"/>
  <c r="I214" i="1"/>
  <c r="I215" i="1"/>
  <c r="I145" i="1"/>
  <c r="I146" i="1"/>
  <c r="I147" i="1"/>
  <c r="I148" i="1"/>
  <c r="I152" i="1"/>
  <c r="H216" i="1"/>
  <c r="I218" i="1"/>
  <c r="I219" i="1"/>
  <c r="I220" i="1"/>
  <c r="I221" i="1"/>
  <c r="I222" i="1"/>
  <c r="I223" i="1"/>
  <c r="I231" i="1"/>
  <c r="I232" i="1"/>
  <c r="I233" i="1"/>
  <c r="I234" i="1"/>
  <c r="I235" i="1"/>
  <c r="I236" i="1"/>
  <c r="I237" i="1"/>
  <c r="I238" i="1"/>
  <c r="I239" i="1"/>
  <c r="I244" i="1"/>
  <c r="I240" i="1"/>
  <c r="I245" i="1"/>
  <c r="I241" i="1"/>
  <c r="I242" i="1"/>
  <c r="I248" i="1"/>
  <c r="H269" i="1"/>
  <c r="I271" i="1"/>
  <c r="I283" i="1"/>
  <c r="I272" i="1"/>
  <c r="I273" i="1"/>
  <c r="I274" i="1"/>
  <c r="I275" i="1"/>
  <c r="I276" i="1"/>
  <c r="I277" i="1"/>
  <c r="I278" i="1"/>
  <c r="I282" i="1"/>
  <c r="I284" i="1"/>
  <c r="G250" i="1"/>
  <c r="O250" i="1" s="1"/>
  <c r="H250" i="1"/>
  <c r="G251" i="1"/>
  <c r="O251" i="1" s="1"/>
  <c r="H251" i="1"/>
  <c r="I252" i="1"/>
  <c r="I253" i="1"/>
  <c r="I254" i="1"/>
  <c r="I255" i="1"/>
  <c r="I258" i="1"/>
  <c r="I167" i="1"/>
  <c r="I168" i="1"/>
  <c r="I172" i="1"/>
  <c r="I52" i="1"/>
  <c r="I53" i="1"/>
  <c r="I54" i="1"/>
  <c r="I63" i="1"/>
  <c r="H286" i="1"/>
  <c r="I288" i="1"/>
  <c r="I289" i="1"/>
  <c r="I290" i="1"/>
  <c r="I292" i="1"/>
  <c r="P292" i="1" s="1"/>
  <c r="I294" i="1"/>
  <c r="P294" i="1" s="1"/>
  <c r="I295" i="1"/>
  <c r="P295" i="1" s="1"/>
  <c r="I296" i="1"/>
  <c r="P296" i="1" s="1"/>
  <c r="I297" i="1"/>
  <c r="I300" i="1"/>
  <c r="I301" i="1"/>
  <c r="I302" i="1"/>
  <c r="H308" i="1"/>
  <c r="I310" i="1"/>
  <c r="I311" i="1"/>
  <c r="I312" i="1"/>
  <c r="I313" i="1"/>
  <c r="I314" i="1"/>
  <c r="I315" i="1"/>
  <c r="I316" i="1"/>
  <c r="G303" i="1"/>
  <c r="O303" i="1" s="1"/>
  <c r="H303" i="1"/>
  <c r="G304" i="1"/>
  <c r="O304" i="1" s="1"/>
  <c r="H304" i="1"/>
  <c r="I305" i="1"/>
  <c r="I306" i="1"/>
  <c r="I319" i="1"/>
  <c r="I320" i="1"/>
  <c r="I325" i="1"/>
  <c r="I321" i="1"/>
  <c r="I322" i="1"/>
  <c r="I323" i="1"/>
  <c r="I324" i="1"/>
  <c r="I326" i="1"/>
  <c r="I328" i="1"/>
  <c r="I329" i="1"/>
  <c r="I330" i="1"/>
  <c r="H331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55" i="1"/>
  <c r="P355" i="1" s="1"/>
  <c r="I356" i="1"/>
  <c r="P356" i="1" s="1"/>
  <c r="I358" i="1"/>
  <c r="I359" i="1"/>
  <c r="I443" i="1"/>
  <c r="I444" i="1"/>
  <c r="I445" i="1"/>
  <c r="I446" i="1"/>
  <c r="I447" i="1"/>
  <c r="I367" i="1"/>
  <c r="I368" i="1"/>
  <c r="I369" i="1"/>
  <c r="I371" i="1"/>
  <c r="G409" i="1"/>
  <c r="O409" i="1" s="1"/>
  <c r="H409" i="1"/>
  <c r="I411" i="1"/>
  <c r="I412" i="1"/>
  <c r="I413" i="1"/>
  <c r="I414" i="1"/>
  <c r="I415" i="1"/>
  <c r="I416" i="1"/>
  <c r="I417" i="1"/>
  <c r="H428" i="1"/>
  <c r="I430" i="1"/>
  <c r="I431" i="1"/>
  <c r="I432" i="1"/>
  <c r="I433" i="1"/>
  <c r="I434" i="1"/>
  <c r="I435" i="1"/>
  <c r="I436" i="1"/>
  <c r="I440" i="1"/>
  <c r="G360" i="1"/>
  <c r="O360" i="1" s="1"/>
  <c r="H360" i="1"/>
  <c r="G361" i="1"/>
  <c r="O361" i="1" s="1"/>
  <c r="I362" i="1"/>
  <c r="I363" i="1"/>
  <c r="I364" i="1"/>
  <c r="I374" i="1"/>
  <c r="I404" i="1"/>
  <c r="I375" i="1"/>
  <c r="I397" i="1"/>
  <c r="I398" i="1"/>
  <c r="I376" i="1"/>
  <c r="I399" i="1"/>
  <c r="I377" i="1"/>
  <c r="I378" i="1"/>
  <c r="I379" i="1"/>
  <c r="I380" i="1"/>
  <c r="I381" i="1"/>
  <c r="I382" i="1"/>
  <c r="I383" i="1"/>
  <c r="I384" i="1"/>
  <c r="I400" i="1"/>
  <c r="I385" i="1"/>
  <c r="I386" i="1"/>
  <c r="I401" i="1"/>
  <c r="I387" i="1"/>
  <c r="I388" i="1"/>
  <c r="I389" i="1"/>
  <c r="I390" i="1"/>
  <c r="I391" i="1"/>
  <c r="I402" i="1"/>
  <c r="I407" i="1"/>
  <c r="G418" i="1"/>
  <c r="O418" i="1" s="1"/>
  <c r="H418" i="1"/>
  <c r="I420" i="1"/>
  <c r="I421" i="1"/>
  <c r="I423" i="1"/>
  <c r="I422" i="1"/>
  <c r="I424" i="1"/>
  <c r="I425" i="1"/>
  <c r="I426" i="1"/>
  <c r="I156" i="1"/>
  <c r="I157" i="1"/>
  <c r="I158" i="1"/>
  <c r="I159" i="1"/>
  <c r="I163" i="1"/>
  <c r="I160" i="1"/>
  <c r="G453" i="1"/>
  <c r="O453" i="1" s="1"/>
  <c r="H453" i="1"/>
  <c r="I455" i="1"/>
  <c r="I456" i="1"/>
  <c r="I457" i="1"/>
  <c r="I458" i="1"/>
  <c r="I459" i="1"/>
  <c r="H460" i="1"/>
  <c r="I460" i="1" s="1"/>
  <c r="I462" i="1"/>
  <c r="I463" i="1"/>
  <c r="G467" i="1"/>
  <c r="O467" i="1" s="1"/>
  <c r="H467" i="1"/>
  <c r="I469" i="1"/>
  <c r="I471" i="1"/>
  <c r="I472" i="1"/>
  <c r="I475" i="1"/>
  <c r="I477" i="1"/>
  <c r="G478" i="1"/>
  <c r="O478" i="1" s="1"/>
  <c r="H478" i="1"/>
  <c r="H479" i="1"/>
  <c r="I480" i="1"/>
  <c r="I482" i="1"/>
  <c r="I483" i="1"/>
  <c r="I484" i="1"/>
  <c r="H485" i="1"/>
  <c r="I487" i="1"/>
  <c r="I488" i="1"/>
  <c r="G491" i="1"/>
  <c r="O491" i="1" s="1"/>
  <c r="I493" i="1"/>
  <c r="I495" i="1"/>
  <c r="G496" i="1"/>
  <c r="O496" i="1" s="1"/>
  <c r="H496" i="1"/>
  <c r="G497" i="1"/>
  <c r="O497" i="1" s="1"/>
  <c r="H497" i="1"/>
  <c r="I498" i="1"/>
  <c r="I499" i="1"/>
  <c r="I500" i="1"/>
  <c r="G502" i="1"/>
  <c r="O502" i="1" s="1"/>
  <c r="I504" i="1"/>
  <c r="I508" i="1"/>
  <c r="G511" i="1"/>
  <c r="O511" i="1" s="1"/>
  <c r="H511" i="1"/>
  <c r="G512" i="1"/>
  <c r="O512" i="1" s="1"/>
  <c r="H512" i="1"/>
  <c r="I513" i="1"/>
  <c r="I515" i="1"/>
  <c r="G517" i="1"/>
  <c r="O517" i="1" s="1"/>
  <c r="H517" i="1"/>
  <c r="G518" i="1"/>
  <c r="O518" i="1" s="1"/>
  <c r="H518" i="1"/>
  <c r="I519" i="1"/>
  <c r="I520" i="1"/>
  <c r="I522" i="1"/>
  <c r="G524" i="1"/>
  <c r="O524" i="1" s="1"/>
  <c r="H524" i="1"/>
  <c r="I526" i="1"/>
  <c r="I527" i="1"/>
  <c r="H529" i="1"/>
  <c r="I531" i="1"/>
  <c r="H536" i="1"/>
  <c r="I538" i="1"/>
  <c r="I539" i="1"/>
  <c r="G543" i="1"/>
  <c r="O543" i="1" s="1"/>
  <c r="H543" i="1"/>
  <c r="G544" i="1"/>
  <c r="O544" i="1" s="1"/>
  <c r="H544" i="1"/>
  <c r="I545" i="1"/>
  <c r="I546" i="1"/>
  <c r="I548" i="1"/>
  <c r="I552" i="1"/>
  <c r="H556" i="1"/>
  <c r="I558" i="1"/>
  <c r="G562" i="1"/>
  <c r="O562" i="1" s="1"/>
  <c r="H562" i="1"/>
  <c r="H563" i="1"/>
  <c r="I564" i="1"/>
  <c r="I565" i="1"/>
  <c r="I567" i="1"/>
  <c r="H569" i="1"/>
  <c r="I571" i="1"/>
  <c r="I573" i="1"/>
  <c r="I577" i="1"/>
  <c r="H581" i="1"/>
  <c r="I583" i="1"/>
  <c r="I588" i="1"/>
  <c r="G589" i="1"/>
  <c r="O589" i="1" s="1"/>
  <c r="H589" i="1"/>
  <c r="I591" i="1"/>
  <c r="I592" i="1"/>
  <c r="I594" i="1"/>
  <c r="H595" i="1"/>
  <c r="I597" i="1"/>
  <c r="I601" i="1"/>
  <c r="H602" i="1"/>
  <c r="I604" i="1"/>
  <c r="I655" i="1"/>
  <c r="G1553" i="1"/>
  <c r="O1553" i="1" s="1"/>
  <c r="H1553" i="1"/>
  <c r="I1555" i="1"/>
  <c r="I1556" i="1"/>
  <c r="I1560" i="1"/>
  <c r="I1559" i="1"/>
  <c r="I1557" i="1"/>
  <c r="I1561" i="1"/>
  <c r="I658" i="1"/>
  <c r="I661" i="1"/>
  <c r="I659" i="1"/>
  <c r="I662" i="1"/>
  <c r="I665" i="1"/>
  <c r="I666" i="1"/>
  <c r="I668" i="1"/>
  <c r="I670" i="1"/>
  <c r="I669" i="1"/>
  <c r="I677" i="1"/>
  <c r="I678" i="1"/>
  <c r="I679" i="1"/>
  <c r="I681" i="1"/>
  <c r="I680" i="1"/>
  <c r="I688" i="1"/>
  <c r="I689" i="1"/>
  <c r="I690" i="1"/>
  <c r="I692" i="1"/>
  <c r="I691" i="1"/>
  <c r="I698" i="1"/>
  <c r="I699" i="1"/>
  <c r="I703" i="1"/>
  <c r="I701" i="1"/>
  <c r="I705" i="1"/>
  <c r="I704" i="1"/>
  <c r="H710" i="1"/>
  <c r="H711" i="1"/>
  <c r="I712" i="1"/>
  <c r="I714" i="1"/>
  <c r="I717" i="1"/>
  <c r="I713" i="1"/>
  <c r="I718" i="1"/>
  <c r="H720" i="1"/>
  <c r="I722" i="1"/>
  <c r="I723" i="1"/>
  <c r="I725" i="1"/>
  <c r="I726" i="1"/>
  <c r="H731" i="1"/>
  <c r="I733" i="1"/>
  <c r="I735" i="1"/>
  <c r="I739" i="1"/>
  <c r="I736" i="1"/>
  <c r="I734" i="1"/>
  <c r="H741" i="1"/>
  <c r="H742" i="1"/>
  <c r="I743" i="1"/>
  <c r="I746" i="1"/>
  <c r="I744" i="1"/>
  <c r="I745" i="1"/>
  <c r="I749" i="1"/>
  <c r="G751" i="1"/>
  <c r="O751" i="1" s="1"/>
  <c r="H751" i="1"/>
  <c r="I753" i="1"/>
  <c r="I756" i="1"/>
  <c r="I754" i="1"/>
  <c r="I757" i="1"/>
  <c r="I758" i="1"/>
  <c r="I755" i="1"/>
  <c r="G762" i="1"/>
  <c r="O762" i="1" s="1"/>
  <c r="H762" i="1"/>
  <c r="H763" i="1"/>
  <c r="I764" i="1"/>
  <c r="I767" i="1"/>
  <c r="I765" i="1"/>
  <c r="I768" i="1"/>
  <c r="I772" i="1"/>
  <c r="I773" i="1"/>
  <c r="I777" i="1"/>
  <c r="I778" i="1"/>
  <c r="I780" i="1"/>
  <c r="I779" i="1"/>
  <c r="I781" i="1"/>
  <c r="G787" i="1"/>
  <c r="O787" i="1" s="1"/>
  <c r="H787" i="1"/>
  <c r="G788" i="1"/>
  <c r="O788" i="1" s="1"/>
  <c r="H788" i="1"/>
  <c r="I789" i="1"/>
  <c r="I790" i="1"/>
  <c r="I791" i="1"/>
  <c r="I792" i="1"/>
  <c r="I795" i="1"/>
  <c r="H797" i="1"/>
  <c r="I799" i="1"/>
  <c r="I802" i="1"/>
  <c r="I800" i="1"/>
  <c r="I803" i="1"/>
  <c r="G808" i="1"/>
  <c r="O808" i="1" s="1"/>
  <c r="H808" i="1"/>
  <c r="I810" i="1"/>
  <c r="I811" i="1"/>
  <c r="I813" i="1"/>
  <c r="I814" i="1"/>
  <c r="H817" i="1"/>
  <c r="I819" i="1"/>
  <c r="I820" i="1"/>
  <c r="I821" i="1"/>
  <c r="I822" i="1"/>
  <c r="H827" i="1"/>
  <c r="I829" i="1"/>
  <c r="I830" i="1"/>
  <c r="I832" i="1"/>
  <c r="I834" i="1"/>
  <c r="H961" i="1"/>
  <c r="I963" i="1"/>
  <c r="H970" i="1"/>
  <c r="I972" i="1"/>
  <c r="I978" i="1"/>
  <c r="I976" i="1"/>
  <c r="I977" i="1"/>
  <c r="H981" i="1"/>
  <c r="I983" i="1"/>
  <c r="H991" i="1"/>
  <c r="G992" i="1"/>
  <c r="O992" i="1" s="1"/>
  <c r="H992" i="1"/>
  <c r="I993" i="1"/>
  <c r="I997" i="1"/>
  <c r="I994" i="1"/>
  <c r="I996" i="1"/>
  <c r="I999" i="1"/>
  <c r="I1000" i="1"/>
  <c r="H1001" i="1"/>
  <c r="I1003" i="1"/>
  <c r="I1009" i="1"/>
  <c r="I1008" i="1"/>
  <c r="I1006" i="1"/>
  <c r="I1007" i="1"/>
  <c r="I1010" i="1"/>
  <c r="H1012" i="1"/>
  <c r="I1014" i="1"/>
  <c r="I1018" i="1"/>
  <c r="I1017" i="1"/>
  <c r="H1022" i="1"/>
  <c r="I1024" i="1"/>
  <c r="I1029" i="1"/>
  <c r="I1030" i="1"/>
  <c r="I1027" i="1"/>
  <c r="H1033" i="1"/>
  <c r="I1035" i="1"/>
  <c r="I1036" i="1"/>
  <c r="I1037" i="1"/>
  <c r="I1041" i="1"/>
  <c r="I1044" i="1"/>
  <c r="I1049" i="1"/>
  <c r="I1046" i="1"/>
  <c r="I1047" i="1"/>
  <c r="I1052" i="1"/>
  <c r="H1054" i="1"/>
  <c r="I1056" i="1"/>
  <c r="I1060" i="1"/>
  <c r="P1060" i="1" s="1"/>
  <c r="G1067" i="1"/>
  <c r="O1067" i="1" s="1"/>
  <c r="H1067" i="1"/>
  <c r="I1069" i="1"/>
  <c r="I1070" i="1"/>
  <c r="H1073" i="1"/>
  <c r="I1075" i="1"/>
  <c r="I1077" i="1"/>
  <c r="I1078" i="1"/>
  <c r="I1083" i="1"/>
  <c r="G1084" i="1"/>
  <c r="O1084" i="1" s="1"/>
  <c r="H1084" i="1"/>
  <c r="I1086" i="1"/>
  <c r="I1088" i="1"/>
  <c r="I1091" i="1"/>
  <c r="H1092" i="1"/>
  <c r="I1094" i="1"/>
  <c r="G1102" i="1"/>
  <c r="O1102" i="1" s="1"/>
  <c r="H1103" i="1"/>
  <c r="I1105" i="1"/>
  <c r="I1112" i="1"/>
  <c r="G1113" i="1"/>
  <c r="O1113" i="1" s="1"/>
  <c r="H1113" i="1"/>
  <c r="I1115" i="1"/>
  <c r="I1117" i="1"/>
  <c r="H1120" i="1"/>
  <c r="I1122" i="1"/>
  <c r="I1124" i="1"/>
  <c r="G1127" i="1"/>
  <c r="O1127" i="1" s="1"/>
  <c r="H1127" i="1"/>
  <c r="I1129" i="1"/>
  <c r="I1131" i="1"/>
  <c r="I1132" i="1"/>
  <c r="H1136" i="1"/>
  <c r="I1138" i="1"/>
  <c r="I1142" i="1"/>
  <c r="I1140" i="1"/>
  <c r="H1145" i="1"/>
  <c r="I1147" i="1"/>
  <c r="I1151" i="1"/>
  <c r="I1154" i="1"/>
  <c r="H1156" i="1"/>
  <c r="I1158" i="1"/>
  <c r="H917" i="1"/>
  <c r="H909" i="1" s="1"/>
  <c r="I909" i="1" s="1"/>
  <c r="I919" i="1"/>
  <c r="I923" i="1"/>
  <c r="I922" i="1"/>
  <c r="I921" i="1"/>
  <c r="I928" i="1"/>
  <c r="G929" i="1"/>
  <c r="O929" i="1" s="1"/>
  <c r="H929" i="1"/>
  <c r="I931" i="1"/>
  <c r="I932" i="1"/>
  <c r="I935" i="1"/>
  <c r="I936" i="1"/>
  <c r="I939" i="1"/>
  <c r="I940" i="1"/>
  <c r="H941" i="1"/>
  <c r="I943" i="1"/>
  <c r="I946" i="1"/>
  <c r="I944" i="1"/>
  <c r="H951" i="1"/>
  <c r="I953" i="1"/>
  <c r="I955" i="1"/>
  <c r="I957" i="1"/>
  <c r="I956" i="1"/>
  <c r="H1449" i="1"/>
  <c r="H1450" i="1"/>
  <c r="I1451" i="1"/>
  <c r="I1453" i="1"/>
  <c r="I1455" i="1"/>
  <c r="I1454" i="1"/>
  <c r="I1452" i="1"/>
  <c r="I1457" i="1"/>
  <c r="G1459" i="1"/>
  <c r="O1459" i="1" s="1"/>
  <c r="H1459" i="1"/>
  <c r="I1461" i="1"/>
  <c r="I1463" i="1"/>
  <c r="I1465" i="1"/>
  <c r="G1468" i="1"/>
  <c r="O1468" i="1" s="1"/>
  <c r="H1468" i="1"/>
  <c r="I1470" i="1"/>
  <c r="I1471" i="1"/>
  <c r="I1473" i="1"/>
  <c r="I1476" i="1"/>
  <c r="I1477" i="1"/>
  <c r="I1480" i="1"/>
  <c r="I1483" i="1"/>
  <c r="I1478" i="1"/>
  <c r="I1481" i="1"/>
  <c r="I1486" i="1"/>
  <c r="H1487" i="1"/>
  <c r="H1488" i="1"/>
  <c r="I1489" i="1"/>
  <c r="I1492" i="1"/>
  <c r="I1497" i="1"/>
  <c r="G1499" i="1"/>
  <c r="O1499" i="1" s="1"/>
  <c r="H1499" i="1"/>
  <c r="H1500" i="1"/>
  <c r="I1501" i="1"/>
  <c r="I1502" i="1"/>
  <c r="I1505" i="1"/>
  <c r="I1504" i="1"/>
  <c r="I1503" i="1"/>
  <c r="I1506" i="1"/>
  <c r="I1507" i="1"/>
  <c r="I1510" i="1"/>
  <c r="I1514" i="1"/>
  <c r="I1512" i="1"/>
  <c r="I1518" i="1"/>
  <c r="H1519" i="1"/>
  <c r="H1520" i="1"/>
  <c r="I1521" i="1"/>
  <c r="I1522" i="1"/>
  <c r="I1524" i="1"/>
  <c r="I1523" i="1"/>
  <c r="I1528" i="1"/>
  <c r="I1532" i="1"/>
  <c r="G1542" i="1"/>
  <c r="O1542" i="1" s="1"/>
  <c r="H1542" i="1"/>
  <c r="I1544" i="1"/>
  <c r="I1549" i="1"/>
  <c r="H1414" i="1"/>
  <c r="H1415" i="1"/>
  <c r="I1416" i="1"/>
  <c r="I1419" i="1"/>
  <c r="H1627" i="1"/>
  <c r="I1629" i="1"/>
  <c r="I1630" i="1"/>
  <c r="I1632" i="1"/>
  <c r="I1633" i="1"/>
  <c r="I1635" i="1"/>
  <c r="H1636" i="1"/>
  <c r="I1638" i="1"/>
  <c r="I1639" i="1"/>
  <c r="I1640" i="1"/>
  <c r="I1642" i="1"/>
  <c r="G1643" i="1"/>
  <c r="O1643" i="1" s="1"/>
  <c r="H1643" i="1"/>
  <c r="I1645" i="1"/>
  <c r="I1646" i="1"/>
  <c r="I1647" i="1"/>
  <c r="H1648" i="1"/>
  <c r="I1650" i="1"/>
  <c r="I1653" i="1"/>
  <c r="H1427" i="1"/>
  <c r="I1429" i="1"/>
  <c r="I1431" i="1"/>
  <c r="I1432" i="1"/>
  <c r="I1433" i="1"/>
  <c r="I1440" i="1"/>
  <c r="H1441" i="1"/>
  <c r="I1443" i="1"/>
  <c r="I1448" i="1"/>
  <c r="G1563" i="1"/>
  <c r="O1563" i="1" s="1"/>
  <c r="H1563" i="1"/>
  <c r="I1565" i="1"/>
  <c r="I1566" i="1"/>
  <c r="I1568" i="1"/>
  <c r="I1573" i="1"/>
  <c r="I1577" i="1"/>
  <c r="H1585" i="1"/>
  <c r="I1587" i="1"/>
  <c r="I1588" i="1"/>
  <c r="I1589" i="1"/>
  <c r="H1593" i="1"/>
  <c r="I1595" i="1"/>
  <c r="I1596" i="1"/>
  <c r="I1598" i="1"/>
  <c r="H1599" i="1"/>
  <c r="I1601" i="1"/>
  <c r="I1602" i="1"/>
  <c r="I1603" i="1"/>
  <c r="I1606" i="1"/>
  <c r="H1607" i="1"/>
  <c r="I1609" i="1"/>
  <c r="I1610" i="1"/>
  <c r="I1611" i="1"/>
  <c r="I1615" i="1"/>
  <c r="P1615" i="1" s="1"/>
  <c r="I1617" i="1"/>
  <c r="H1618" i="1"/>
  <c r="I1620" i="1"/>
  <c r="I1621" i="1"/>
  <c r="I1622" i="1"/>
  <c r="I1623" i="1"/>
  <c r="I1626" i="1"/>
  <c r="G839" i="1"/>
  <c r="O839" i="1" s="1"/>
  <c r="H839" i="1"/>
  <c r="G840" i="1"/>
  <c r="O840" i="1" s="1"/>
  <c r="H840" i="1"/>
  <c r="I841" i="1"/>
  <c r="I842" i="1"/>
  <c r="I843" i="1"/>
  <c r="I844" i="1"/>
  <c r="I848" i="1"/>
  <c r="G850" i="1"/>
  <c r="O850" i="1" s="1"/>
  <c r="H850" i="1"/>
  <c r="G851" i="1"/>
  <c r="O851" i="1" s="1"/>
  <c r="H851" i="1"/>
  <c r="I852" i="1"/>
  <c r="I853" i="1"/>
  <c r="I856" i="1"/>
  <c r="I854" i="1"/>
  <c r="I857" i="1"/>
  <c r="I860" i="1"/>
  <c r="H862" i="1"/>
  <c r="I864" i="1"/>
  <c r="I865" i="1"/>
  <c r="I868" i="1"/>
  <c r="I866" i="1"/>
  <c r="I869" i="1"/>
  <c r="I867" i="1"/>
  <c r="H1166" i="1"/>
  <c r="I1168" i="1"/>
  <c r="I1169" i="1"/>
  <c r="I1172" i="1"/>
  <c r="I1170" i="1"/>
  <c r="I1173" i="1"/>
  <c r="I1177" i="1"/>
  <c r="H1178" i="1"/>
  <c r="I1180" i="1"/>
  <c r="I1187" i="1"/>
  <c r="I1181" i="1"/>
  <c r="I1188" i="1"/>
  <c r="I1185" i="1"/>
  <c r="H1190" i="1"/>
  <c r="I1192" i="1"/>
  <c r="I1194" i="1"/>
  <c r="I1200" i="1"/>
  <c r="I1201" i="1"/>
  <c r="I1203" i="1"/>
  <c r="I1193" i="1"/>
  <c r="I1206" i="1"/>
  <c r="H1207" i="1"/>
  <c r="I1209" i="1"/>
  <c r="I1210" i="1"/>
  <c r="I1213" i="1"/>
  <c r="I1216" i="1"/>
  <c r="I1217" i="1"/>
  <c r="I1214" i="1"/>
  <c r="H1219" i="1"/>
  <c r="I1221" i="1"/>
  <c r="I1227" i="1"/>
  <c r="I1222" i="1"/>
  <c r="G1234" i="1"/>
  <c r="O1234" i="1" s="1"/>
  <c r="H1234" i="1"/>
  <c r="I1236" i="1"/>
  <c r="I1237" i="1"/>
  <c r="I1240" i="1"/>
  <c r="I1238" i="1"/>
  <c r="I1245" i="1"/>
  <c r="H1246" i="1"/>
  <c r="I1248" i="1"/>
  <c r="I1249" i="1"/>
  <c r="I1250" i="1"/>
  <c r="I1254" i="1"/>
  <c r="I1252" i="1"/>
  <c r="I1256" i="1"/>
  <c r="G1257" i="1"/>
  <c r="O1257" i="1" s="1"/>
  <c r="H1257" i="1"/>
  <c r="I1259" i="1"/>
  <c r="I1273" i="1"/>
  <c r="H1274" i="1"/>
  <c r="I1276" i="1"/>
  <c r="I1277" i="1"/>
  <c r="I1279" i="1"/>
  <c r="I1280" i="1"/>
  <c r="I1284" i="1"/>
  <c r="H1285" i="1"/>
  <c r="I1287" i="1"/>
  <c r="I1294" i="1"/>
  <c r="I1291" i="1"/>
  <c r="I1290" i="1"/>
  <c r="I1292" i="1"/>
  <c r="I1293" i="1"/>
  <c r="H1298" i="1"/>
  <c r="I1300" i="1"/>
  <c r="I1303" i="1"/>
  <c r="I1304" i="1"/>
  <c r="I1301" i="1"/>
  <c r="H1310" i="1"/>
  <c r="I1312" i="1"/>
  <c r="I1316" i="1"/>
  <c r="I1322" i="1"/>
  <c r="H1323" i="1"/>
  <c r="I1325" i="1"/>
  <c r="I1332" i="1"/>
  <c r="I1327" i="1"/>
  <c r="I1334" i="1"/>
  <c r="I1326" i="1"/>
  <c r="I1330" i="1"/>
  <c r="I1331" i="1"/>
  <c r="I1336" i="1"/>
  <c r="G1337" i="1"/>
  <c r="O1337" i="1" s="1"/>
  <c r="H1337" i="1"/>
  <c r="I1339" i="1"/>
  <c r="I1343" i="1"/>
  <c r="I1349" i="1"/>
  <c r="G1363" i="1"/>
  <c r="O1363" i="1" s="1"/>
  <c r="H1363" i="1"/>
  <c r="I1365" i="1"/>
  <c r="I1368" i="1"/>
  <c r="I1369" i="1"/>
  <c r="G1372" i="1"/>
  <c r="O1372" i="1" s="1"/>
  <c r="H1372" i="1"/>
  <c r="I1374" i="1"/>
  <c r="G1385" i="1"/>
  <c r="O1385" i="1" s="1"/>
  <c r="H1385" i="1"/>
  <c r="I1387" i="1"/>
  <c r="H1393" i="1"/>
  <c r="I1395" i="1"/>
  <c r="I1404" i="1"/>
  <c r="H1405" i="1"/>
  <c r="I1407" i="1"/>
  <c r="H1742" i="1"/>
  <c r="I1744" i="1"/>
  <c r="I1749" i="1"/>
  <c r="I1745" i="1"/>
  <c r="P1745" i="1" s="1"/>
  <c r="I1751" i="1"/>
  <c r="I1754" i="1"/>
  <c r="H1676" i="1"/>
  <c r="I1678" i="1"/>
  <c r="I1682" i="1"/>
  <c r="H1684" i="1"/>
  <c r="I1686" i="1"/>
  <c r="I1687" i="1"/>
  <c r="I1688" i="1"/>
  <c r="I1689" i="1"/>
  <c r="G1690" i="1"/>
  <c r="O1690" i="1" s="1"/>
  <c r="H1690" i="1"/>
  <c r="H1691" i="1"/>
  <c r="I1692" i="1"/>
  <c r="I1694" i="1"/>
  <c r="I1696" i="1"/>
  <c r="I1697" i="1"/>
  <c r="I1695" i="1"/>
  <c r="I1698" i="1"/>
  <c r="I1699" i="1"/>
  <c r="G1700" i="1"/>
  <c r="O1700" i="1" s="1"/>
  <c r="H1700" i="1"/>
  <c r="I1702" i="1"/>
  <c r="I1703" i="1"/>
  <c r="I1704" i="1"/>
  <c r="I1706" i="1"/>
  <c r="G1707" i="1"/>
  <c r="O1707" i="1" s="1"/>
  <c r="H1707" i="1"/>
  <c r="I1709" i="1"/>
  <c r="I1712" i="1"/>
  <c r="P1712" i="1" s="1"/>
  <c r="I1713" i="1"/>
  <c r="I1715" i="1"/>
  <c r="H1716" i="1"/>
  <c r="I1718" i="1"/>
  <c r="I1720" i="1"/>
  <c r="H1724" i="1"/>
  <c r="I1726" i="1"/>
  <c r="I1728" i="1"/>
  <c r="I1727" i="1"/>
  <c r="I1729" i="1"/>
  <c r="I1731" i="1"/>
  <c r="G1732" i="1"/>
  <c r="O1732" i="1" s="1"/>
  <c r="H1732" i="1"/>
  <c r="H1733" i="1"/>
  <c r="I1734" i="1"/>
  <c r="I1735" i="1"/>
  <c r="I1738" i="1"/>
  <c r="I1737" i="1"/>
  <c r="I1739" i="1"/>
  <c r="I1740" i="1"/>
  <c r="I1741" i="1"/>
  <c r="H1756" i="1"/>
  <c r="H1757" i="1"/>
  <c r="I1758" i="1"/>
  <c r="I1759" i="1"/>
  <c r="I1760" i="1"/>
  <c r="I1762" i="1"/>
  <c r="I1763" i="1"/>
  <c r="G1764" i="1"/>
  <c r="O1764" i="1" s="1"/>
  <c r="H1764" i="1"/>
  <c r="I1766" i="1"/>
  <c r="I1767" i="1"/>
  <c r="I1768" i="1"/>
  <c r="G1958" i="1"/>
  <c r="O1958" i="1" s="1"/>
  <c r="H1958" i="1"/>
  <c r="I1960" i="1"/>
  <c r="I1961" i="1"/>
  <c r="I1962" i="1"/>
  <c r="I1963" i="1"/>
  <c r="I1964" i="1"/>
  <c r="I1981" i="1"/>
  <c r="I1965" i="1"/>
  <c r="I1966" i="1"/>
  <c r="I1967" i="1"/>
  <c r="I1968" i="1"/>
  <c r="I1982" i="1"/>
  <c r="I1983" i="1"/>
  <c r="G2012" i="1"/>
  <c r="O2012" i="1" s="1"/>
  <c r="I2014" i="1"/>
  <c r="I2015" i="1"/>
  <c r="I2016" i="1"/>
  <c r="I2017" i="1"/>
  <c r="H1917" i="1"/>
  <c r="I1919" i="1"/>
  <c r="I1920" i="1"/>
  <c r="I1921" i="1"/>
  <c r="I1923" i="1"/>
  <c r="I1924" i="1"/>
  <c r="I1931" i="1"/>
  <c r="I1932" i="1"/>
  <c r="G2026" i="1"/>
  <c r="O2026" i="1" s="1"/>
  <c r="I2028" i="1"/>
  <c r="I2029" i="1"/>
  <c r="I2031" i="1"/>
  <c r="I2032" i="1"/>
  <c r="I2040" i="1"/>
  <c r="I2041" i="1"/>
  <c r="I2034" i="1"/>
  <c r="I2035" i="1"/>
  <c r="I2036" i="1"/>
  <c r="I2046" i="1"/>
  <c r="I2047" i="1"/>
  <c r="G1948" i="1"/>
  <c r="O1948" i="1" s="1"/>
  <c r="I1951" i="1"/>
  <c r="I1952" i="1"/>
  <c r="I1957" i="1"/>
  <c r="G1985" i="1"/>
  <c r="O1985" i="1" s="1"/>
  <c r="H1985" i="1"/>
  <c r="I1987" i="1"/>
  <c r="I1988" i="1"/>
  <c r="I1989" i="1"/>
  <c r="I1990" i="1"/>
  <c r="I1991" i="1"/>
  <c r="I1992" i="1"/>
  <c r="I1993" i="1"/>
  <c r="G1770" i="1"/>
  <c r="O1770" i="1" s="1"/>
  <c r="H1770" i="1"/>
  <c r="I1772" i="1"/>
  <c r="I1774" i="1"/>
  <c r="I1775" i="1"/>
  <c r="G1776" i="1"/>
  <c r="O1776" i="1" s="1"/>
  <c r="H1776" i="1"/>
  <c r="I1778" i="1"/>
  <c r="I1781" i="1"/>
  <c r="I1782" i="1"/>
  <c r="G1783" i="1"/>
  <c r="O1783" i="1" s="1"/>
  <c r="H1783" i="1"/>
  <c r="I1785" i="1"/>
  <c r="I1786" i="1"/>
  <c r="G1787" i="1"/>
  <c r="O1787" i="1" s="1"/>
  <c r="H1787" i="1"/>
  <c r="I1789" i="1"/>
  <c r="I1790" i="1"/>
  <c r="G1796" i="1"/>
  <c r="O1796" i="1" s="1"/>
  <c r="H1796" i="1"/>
  <c r="I1798" i="1"/>
  <c r="I1799" i="1"/>
  <c r="G1800" i="1"/>
  <c r="O1800" i="1" s="1"/>
  <c r="H1800" i="1"/>
  <c r="I1802" i="1"/>
  <c r="I1803" i="1"/>
  <c r="H1804" i="1"/>
  <c r="I1806" i="1"/>
  <c r="I1808" i="1"/>
  <c r="I1809" i="1"/>
  <c r="G1810" i="1"/>
  <c r="O1810" i="1" s="1"/>
  <c r="H1810" i="1"/>
  <c r="I1812" i="1"/>
  <c r="I1814" i="1"/>
  <c r="I1815" i="1"/>
  <c r="G1816" i="1"/>
  <c r="O1816" i="1" s="1"/>
  <c r="H1816" i="1"/>
  <c r="I1818" i="1"/>
  <c r="I1819" i="1"/>
  <c r="G1820" i="1"/>
  <c r="O1820" i="1" s="1"/>
  <c r="H1820" i="1"/>
  <c r="I1822" i="1"/>
  <c r="I1823" i="1"/>
  <c r="G1824" i="1"/>
  <c r="O1824" i="1" s="1"/>
  <c r="I1826" i="1"/>
  <c r="I1828" i="1"/>
  <c r="G1829" i="1"/>
  <c r="O1829" i="1" s="1"/>
  <c r="H1829" i="1"/>
  <c r="I1831" i="1"/>
  <c r="G1834" i="1"/>
  <c r="O1834" i="1" s="1"/>
  <c r="H1834" i="1"/>
  <c r="I1836" i="1"/>
  <c r="I1837" i="1"/>
  <c r="G1838" i="1"/>
  <c r="O1838" i="1" s="1"/>
  <c r="H1838" i="1"/>
  <c r="I1840" i="1"/>
  <c r="I1841" i="1"/>
  <c r="G1842" i="1"/>
  <c r="O1842" i="1" s="1"/>
  <c r="H1842" i="1"/>
  <c r="I1844" i="1"/>
  <c r="I1845" i="1"/>
  <c r="G1846" i="1"/>
  <c r="O1846" i="1" s="1"/>
  <c r="H1846" i="1"/>
  <c r="I1848" i="1"/>
  <c r="I1849" i="1"/>
  <c r="G1850" i="1"/>
  <c r="O1850" i="1" s="1"/>
  <c r="H1850" i="1"/>
  <c r="I1852" i="1"/>
  <c r="I1853" i="1"/>
  <c r="H1854" i="1"/>
  <c r="I1856" i="1"/>
  <c r="I1858" i="1"/>
  <c r="G1859" i="1"/>
  <c r="O1859" i="1" s="1"/>
  <c r="H1860" i="1"/>
  <c r="I1862" i="1"/>
  <c r="I1864" i="1"/>
  <c r="I1865" i="1"/>
  <c r="I1867" i="1"/>
  <c r="H1868" i="1"/>
  <c r="I1870" i="1"/>
  <c r="I1872" i="1"/>
  <c r="I1873" i="1"/>
  <c r="I1874" i="1"/>
  <c r="G1875" i="1"/>
  <c r="O1875" i="1" s="1"/>
  <c r="H1875" i="1"/>
  <c r="I1877" i="1"/>
  <c r="I1878" i="1"/>
  <c r="H1880" i="1"/>
  <c r="I1882" i="1"/>
  <c r="I1883" i="1"/>
  <c r="G1884" i="1"/>
  <c r="O1884" i="1" s="1"/>
  <c r="H1885" i="1"/>
  <c r="I1887" i="1"/>
  <c r="I1888" i="1"/>
  <c r="I1889" i="1"/>
  <c r="G1890" i="1"/>
  <c r="O1890" i="1" s="1"/>
  <c r="H1891" i="1"/>
  <c r="I1893" i="1"/>
  <c r="I1894" i="1"/>
  <c r="I1895" i="1"/>
  <c r="G1896" i="1"/>
  <c r="O1896" i="1" s="1"/>
  <c r="H1897" i="1"/>
  <c r="I1899" i="1"/>
  <c r="I1901" i="1"/>
  <c r="G1902" i="1"/>
  <c r="O1902" i="1" s="1"/>
  <c r="H1902" i="1"/>
  <c r="I1904" i="1"/>
  <c r="I1907" i="1"/>
  <c r="I1906" i="1"/>
  <c r="I1908" i="1"/>
  <c r="H1933" i="1"/>
  <c r="I1933" i="1" s="1"/>
  <c r="I1935" i="1"/>
  <c r="I1936" i="1"/>
  <c r="I1937" i="1"/>
  <c r="I1938" i="1"/>
  <c r="I1944" i="1"/>
  <c r="I1939" i="1"/>
  <c r="I1945" i="1"/>
  <c r="I1946" i="1"/>
  <c r="G2223" i="1"/>
  <c r="O2223" i="1" s="1"/>
  <c r="H2223" i="1"/>
  <c r="G2224" i="1"/>
  <c r="O2224" i="1" s="1"/>
  <c r="I2225" i="1"/>
  <c r="I2226" i="1"/>
  <c r="I2227" i="1"/>
  <c r="H2049" i="1"/>
  <c r="H2050" i="1"/>
  <c r="I2051" i="1"/>
  <c r="I2052" i="1"/>
  <c r="I2053" i="1"/>
  <c r="I2054" i="1"/>
  <c r="I2055" i="1"/>
  <c r="I2056" i="1"/>
  <c r="I2059" i="1"/>
  <c r="I2060" i="1"/>
  <c r="I2061" i="1"/>
  <c r="I2062" i="1"/>
  <c r="I2063" i="1"/>
  <c r="I2065" i="1"/>
  <c r="I2066" i="1"/>
  <c r="I2064" i="1"/>
  <c r="I2068" i="1"/>
  <c r="I2069" i="1"/>
  <c r="G2228" i="1"/>
  <c r="O2228" i="1" s="1"/>
  <c r="H2228" i="1"/>
  <c r="I2230" i="1"/>
  <c r="H1654" i="1"/>
  <c r="H1655" i="1"/>
  <c r="I1656" i="1"/>
  <c r="I1658" i="1"/>
  <c r="I1657" i="1"/>
  <c r="I1660" i="1"/>
  <c r="I1664" i="1"/>
  <c r="I1665" i="1"/>
  <c r="I1668" i="1"/>
  <c r="I1669" i="1"/>
  <c r="G1670" i="1"/>
  <c r="O1670" i="1" s="1"/>
  <c r="H1670" i="1"/>
  <c r="I1672" i="1"/>
  <c r="I1674" i="1"/>
  <c r="H1994" i="1"/>
  <c r="I1996" i="1"/>
  <c r="I1997" i="1"/>
  <c r="I1998" i="1"/>
  <c r="I1999" i="1"/>
  <c r="I2000" i="1"/>
  <c r="I2001" i="1"/>
  <c r="I2002" i="1"/>
  <c r="I2006" i="1"/>
  <c r="I2007" i="1"/>
  <c r="I2009" i="1"/>
  <c r="I2010" i="1"/>
  <c r="I2011" i="1"/>
  <c r="G2071" i="1"/>
  <c r="O2071" i="1" s="1"/>
  <c r="H2071" i="1"/>
  <c r="H2072" i="1"/>
  <c r="I2073" i="1"/>
  <c r="I2074" i="1"/>
  <c r="I2075" i="1"/>
  <c r="I2077" i="1"/>
  <c r="P2077" i="1" s="1"/>
  <c r="H2181" i="1"/>
  <c r="H2182" i="1"/>
  <c r="I2183" i="1"/>
  <c r="I2184" i="1"/>
  <c r="H2079" i="1"/>
  <c r="I2081" i="1"/>
  <c r="I2082" i="1"/>
  <c r="I2083" i="1"/>
  <c r="I2084" i="1"/>
  <c r="I2085" i="1"/>
  <c r="I2086" i="1"/>
  <c r="I2095" i="1"/>
  <c r="P2095" i="1" s="1"/>
  <c r="I2101" i="1"/>
  <c r="I2087" i="1"/>
  <c r="I2099" i="1"/>
  <c r="I2100" i="1"/>
  <c r="I2088" i="1"/>
  <c r="I2102" i="1"/>
  <c r="I2103" i="1"/>
  <c r="H2104" i="1"/>
  <c r="H2105" i="1"/>
  <c r="I2106" i="1"/>
  <c r="I2107" i="1"/>
  <c r="I2109" i="1"/>
  <c r="G2110" i="1"/>
  <c r="O2110" i="1" s="1"/>
  <c r="H2110" i="1"/>
  <c r="H2111" i="1"/>
  <c r="I2112" i="1"/>
  <c r="I2113" i="1"/>
  <c r="I2115" i="1"/>
  <c r="H2117" i="1"/>
  <c r="H2118" i="1"/>
  <c r="I2119" i="1"/>
  <c r="I2121" i="1"/>
  <c r="H2123" i="1"/>
  <c r="H2124" i="1"/>
  <c r="I2125" i="1"/>
  <c r="I2126" i="1"/>
  <c r="I2128" i="1"/>
  <c r="I2129" i="1"/>
  <c r="H2131" i="1"/>
  <c r="I2133" i="1"/>
  <c r="I2137" i="1"/>
  <c r="I2140" i="1"/>
  <c r="I2143" i="1"/>
  <c r="I2144" i="1"/>
  <c r="I2145" i="1"/>
  <c r="H2146" i="1"/>
  <c r="H2147" i="1"/>
  <c r="I2148" i="1"/>
  <c r="H2159" i="1"/>
  <c r="H2160" i="1"/>
  <c r="I2161" i="1"/>
  <c r="I2166" i="1"/>
  <c r="H2167" i="1"/>
  <c r="H2168" i="1"/>
  <c r="I2169" i="1"/>
  <c r="H2174" i="1"/>
  <c r="H2175" i="1"/>
  <c r="I2176" i="1"/>
  <c r="I2177" i="1"/>
  <c r="H2154" i="1"/>
  <c r="H2155" i="1"/>
  <c r="I2156" i="1"/>
  <c r="I2157" i="1"/>
  <c r="H2186" i="1"/>
  <c r="I2188" i="1"/>
  <c r="I2194" i="1"/>
  <c r="G2195" i="1"/>
  <c r="O2195" i="1" s="1"/>
  <c r="H2195" i="1"/>
  <c r="I2197" i="1"/>
  <c r="I2198" i="1"/>
  <c r="I2199" i="1"/>
  <c r="I2202" i="1"/>
  <c r="I2203" i="1"/>
  <c r="I2206" i="1"/>
  <c r="G2213" i="1"/>
  <c r="O2213" i="1" s="1"/>
  <c r="H2213" i="1"/>
  <c r="I2215" i="1"/>
  <c r="I2216" i="1"/>
  <c r="I2219" i="1"/>
  <c r="I2222" i="1"/>
  <c r="I2209" i="1"/>
  <c r="I2212" i="1"/>
  <c r="H1909" i="1"/>
  <c r="I1911" i="1"/>
  <c r="I2232" i="1"/>
  <c r="I2246" i="1"/>
  <c r="I2255" i="1"/>
  <c r="P37" i="1" l="1"/>
  <c r="P32" i="1"/>
  <c r="P39" i="1"/>
  <c r="P34" i="1"/>
  <c r="P38" i="1"/>
  <c r="P33" i="1"/>
  <c r="P36" i="1"/>
  <c r="P284" i="1"/>
  <c r="P276" i="1"/>
  <c r="P2240" i="1"/>
  <c r="P2241" i="1"/>
  <c r="P282" i="1"/>
  <c r="P275" i="1"/>
  <c r="P283" i="1"/>
  <c r="P278" i="1"/>
  <c r="P274" i="1"/>
  <c r="P2238" i="1"/>
  <c r="P277" i="1"/>
  <c r="P273" i="1"/>
  <c r="P2085" i="1"/>
  <c r="P2087" i="1"/>
  <c r="P2088" i="1"/>
  <c r="P2084" i="1"/>
  <c r="P2100" i="1"/>
  <c r="P2083" i="1"/>
  <c r="P2102" i="1"/>
  <c r="P2101" i="1"/>
  <c r="P2099" i="1"/>
  <c r="P2086" i="1"/>
  <c r="P2082" i="1"/>
  <c r="H2272" i="1"/>
  <c r="I2272" i="1" s="1"/>
  <c r="P1749" i="1"/>
  <c r="P1754" i="1"/>
  <c r="H2294" i="1"/>
  <c r="P1751" i="1"/>
  <c r="P128" i="1"/>
  <c r="P125" i="1"/>
  <c r="P133" i="1"/>
  <c r="P127" i="1"/>
  <c r="P124" i="1"/>
  <c r="P132" i="1"/>
  <c r="P129" i="1"/>
  <c r="P123" i="1"/>
  <c r="P130" i="1"/>
  <c r="P126" i="1"/>
  <c r="P122" i="1"/>
  <c r="P244" i="1"/>
  <c r="P248" i="1"/>
  <c r="P245" i="1"/>
  <c r="P2047" i="1"/>
  <c r="P2034" i="1"/>
  <c r="P2031" i="1"/>
  <c r="P2046" i="1"/>
  <c r="P2041" i="1"/>
  <c r="P2029" i="1"/>
  <c r="P2036" i="1"/>
  <c r="P2040" i="1"/>
  <c r="P2035" i="1"/>
  <c r="P2032" i="1"/>
  <c r="P2010" i="1"/>
  <c r="P2009" i="1"/>
  <c r="P1982" i="1"/>
  <c r="P1966" i="1"/>
  <c r="P1963" i="1"/>
  <c r="P1965" i="1"/>
  <c r="P1968" i="1"/>
  <c r="P1981" i="1"/>
  <c r="P1962" i="1"/>
  <c r="P1983" i="1"/>
  <c r="P1967" i="1"/>
  <c r="P1964" i="1"/>
  <c r="P1961" i="1"/>
  <c r="P147" i="1"/>
  <c r="P152" i="1"/>
  <c r="P148" i="1"/>
  <c r="P272" i="1"/>
  <c r="P573" i="1"/>
  <c r="P567" i="1"/>
  <c r="P548" i="1"/>
  <c r="P63" i="1"/>
  <c r="P2144" i="1"/>
  <c r="P2143" i="1"/>
  <c r="P160" i="1"/>
  <c r="P157" i="1"/>
  <c r="P163" i="1"/>
  <c r="P159" i="1"/>
  <c r="P158" i="1"/>
  <c r="P325" i="1"/>
  <c r="P103" i="1"/>
  <c r="P1944" i="1"/>
  <c r="P1939" i="1"/>
  <c r="P1946" i="1"/>
  <c r="P1938" i="1"/>
  <c r="P1936" i="1"/>
  <c r="P1945" i="1"/>
  <c r="P1937" i="1"/>
  <c r="P402" i="1"/>
  <c r="P400" i="1"/>
  <c r="P397" i="1"/>
  <c r="P401" i="1"/>
  <c r="P399" i="1"/>
  <c r="P407" i="1"/>
  <c r="P404" i="1"/>
  <c r="H2273" i="1"/>
  <c r="P2246" i="1"/>
  <c r="P2255" i="1"/>
  <c r="O13" i="1"/>
  <c r="G2283" i="1"/>
  <c r="G2234" i="1" s="1"/>
  <c r="O2234" i="1" s="1"/>
  <c r="I2290" i="1"/>
  <c r="I2287" i="1"/>
  <c r="I2288" i="1"/>
  <c r="I317" i="1"/>
  <c r="P2211" i="1"/>
  <c r="P2194" i="1"/>
  <c r="P2169" i="1"/>
  <c r="P2152" i="1"/>
  <c r="P2137" i="1"/>
  <c r="P2119" i="1"/>
  <c r="P2068" i="1"/>
  <c r="P2059" i="1"/>
  <c r="P1907" i="1"/>
  <c r="P1901" i="1"/>
  <c r="P1887" i="1"/>
  <c r="P1865" i="1"/>
  <c r="P1849" i="1"/>
  <c r="P1845" i="1"/>
  <c r="P1831" i="1"/>
  <c r="P1826" i="1"/>
  <c r="P1812" i="1"/>
  <c r="P1802" i="1"/>
  <c r="P1785" i="1"/>
  <c r="P1781" i="1"/>
  <c r="P1990" i="1"/>
  <c r="P2028" i="1"/>
  <c r="P2024" i="1"/>
  <c r="P1768" i="1"/>
  <c r="P1696" i="1"/>
  <c r="P1352" i="1"/>
  <c r="P1341" i="1"/>
  <c r="P1334" i="1"/>
  <c r="P1313" i="1"/>
  <c r="P1303" i="1"/>
  <c r="P1292" i="1"/>
  <c r="P1273" i="1"/>
  <c r="P1259" i="1"/>
  <c r="P1252" i="1"/>
  <c r="P1241" i="1"/>
  <c r="P1228" i="1"/>
  <c r="P1213" i="1"/>
  <c r="P1201" i="1"/>
  <c r="P1187" i="1"/>
  <c r="P1169" i="1"/>
  <c r="P865" i="1"/>
  <c r="P852" i="1"/>
  <c r="P1622" i="1"/>
  <c r="P1577" i="1"/>
  <c r="P1433" i="1"/>
  <c r="P1131" i="1"/>
  <c r="P967" i="1"/>
  <c r="P799" i="1"/>
  <c r="P781" i="1"/>
  <c r="P723" i="1"/>
  <c r="P704" i="1"/>
  <c r="P692" i="1"/>
  <c r="P678" i="1"/>
  <c r="P1559" i="1"/>
  <c r="P598" i="1"/>
  <c r="P564" i="1"/>
  <c r="P495" i="1"/>
  <c r="P480" i="1"/>
  <c r="P458" i="1"/>
  <c r="P388" i="1"/>
  <c r="P381" i="1"/>
  <c r="P440" i="1"/>
  <c r="P431" i="1"/>
  <c r="P446" i="1"/>
  <c r="P346" i="1"/>
  <c r="P330" i="1"/>
  <c r="P297" i="1"/>
  <c r="P54" i="1"/>
  <c r="P95" i="1"/>
  <c r="P1911" i="1"/>
  <c r="P2209" i="1"/>
  <c r="P2197" i="1"/>
  <c r="P2191" i="1"/>
  <c r="P2156" i="1"/>
  <c r="P2161" i="1"/>
  <c r="P2151" i="1"/>
  <c r="P2145" i="1"/>
  <c r="P2140" i="1"/>
  <c r="P2134" i="1"/>
  <c r="P2128" i="1"/>
  <c r="P2113" i="1"/>
  <c r="P2106" i="1"/>
  <c r="P2103" i="1"/>
  <c r="P2073" i="1"/>
  <c r="P2007" i="1"/>
  <c r="P2000" i="1"/>
  <c r="P1996" i="1"/>
  <c r="P1664" i="1"/>
  <c r="P1656" i="1"/>
  <c r="P2064" i="1"/>
  <c r="P2062" i="1"/>
  <c r="P2053" i="1"/>
  <c r="P1904" i="1"/>
  <c r="P1899" i="1"/>
  <c r="P1895" i="1"/>
  <c r="P1870" i="1"/>
  <c r="P1864" i="1"/>
  <c r="P1858" i="1"/>
  <c r="P1852" i="1"/>
  <c r="P1848" i="1"/>
  <c r="P1844" i="1"/>
  <c r="P1840" i="1"/>
  <c r="P1836" i="1"/>
  <c r="P1806" i="1"/>
  <c r="P1778" i="1"/>
  <c r="P1774" i="1"/>
  <c r="P1993" i="1"/>
  <c r="P1989" i="1"/>
  <c r="P1929" i="1"/>
  <c r="P1920" i="1"/>
  <c r="P2022" i="1"/>
  <c r="P2015" i="1"/>
  <c r="P1767" i="1"/>
  <c r="P1763" i="1"/>
  <c r="P1758" i="1"/>
  <c r="P1740" i="1"/>
  <c r="P1735" i="1"/>
  <c r="P1727" i="1"/>
  <c r="P1720" i="1"/>
  <c r="P1713" i="1"/>
  <c r="P1702" i="1"/>
  <c r="P1698" i="1"/>
  <c r="P1694" i="1"/>
  <c r="P1686" i="1"/>
  <c r="P1409" i="1"/>
  <c r="P1404" i="1"/>
  <c r="P1396" i="1"/>
  <c r="P1389" i="1"/>
  <c r="P1351" i="1"/>
  <c r="P1343" i="1"/>
  <c r="P1339" i="1"/>
  <c r="P1331" i="1"/>
  <c r="P1327" i="1"/>
  <c r="P1322" i="1"/>
  <c r="P1318" i="1"/>
  <c r="P1300" i="1"/>
  <c r="P1290" i="1"/>
  <c r="P1277" i="1"/>
  <c r="P1266" i="1"/>
  <c r="P1269" i="1"/>
  <c r="P1254" i="1"/>
  <c r="P1238" i="1"/>
  <c r="P1236" i="1"/>
  <c r="P1222" i="1"/>
  <c r="P1227" i="1"/>
  <c r="P1214" i="1"/>
  <c r="P1210" i="1"/>
  <c r="P1193" i="1"/>
  <c r="P1200" i="1"/>
  <c r="P1185" i="1"/>
  <c r="P1180" i="1"/>
  <c r="P1173" i="1"/>
  <c r="P1168" i="1"/>
  <c r="P869" i="1"/>
  <c r="P864" i="1"/>
  <c r="P854" i="1"/>
  <c r="P848" i="1"/>
  <c r="P841" i="1"/>
  <c r="P1621" i="1"/>
  <c r="P1601" i="1"/>
  <c r="P1596" i="1"/>
  <c r="P1588" i="1"/>
  <c r="P1574" i="1"/>
  <c r="P1568" i="1"/>
  <c r="P1432" i="1"/>
  <c r="P1653" i="1"/>
  <c r="P1647" i="1"/>
  <c r="P1638" i="1"/>
  <c r="P1633" i="1"/>
  <c r="P1416" i="1"/>
  <c r="P1524" i="1"/>
  <c r="P1514" i="1"/>
  <c r="P1506" i="1"/>
  <c r="P1502" i="1"/>
  <c r="P1490" i="1"/>
  <c r="P1478" i="1"/>
  <c r="P1476" i="1"/>
  <c r="P1471" i="1"/>
  <c r="P1464" i="1"/>
  <c r="P1454" i="1"/>
  <c r="P955" i="1"/>
  <c r="P944" i="1"/>
  <c r="P940" i="1"/>
  <c r="P922" i="1"/>
  <c r="P919" i="1"/>
  <c r="P1158" i="1"/>
  <c r="P1154" i="1"/>
  <c r="P1129" i="1"/>
  <c r="P1122" i="1"/>
  <c r="P1110" i="1"/>
  <c r="P1086" i="1"/>
  <c r="P1078" i="1"/>
  <c r="P1075" i="1"/>
  <c r="P1056" i="1"/>
  <c r="P1047" i="1"/>
  <c r="P1041" i="1"/>
  <c r="P1031" i="1"/>
  <c r="P1014" i="1"/>
  <c r="P1006" i="1"/>
  <c r="P993" i="1"/>
  <c r="P983" i="1"/>
  <c r="P976" i="1"/>
  <c r="P965" i="1"/>
  <c r="P963" i="1"/>
  <c r="P830" i="1"/>
  <c r="P821" i="1"/>
  <c r="P811" i="1"/>
  <c r="P803" i="1"/>
  <c r="P790" i="1"/>
  <c r="P779" i="1"/>
  <c r="P772" i="1"/>
  <c r="P767" i="1"/>
  <c r="P754" i="1"/>
  <c r="P746" i="1"/>
  <c r="P739" i="1"/>
  <c r="P722" i="1"/>
  <c r="P717" i="1"/>
  <c r="P705" i="1"/>
  <c r="P698" i="1"/>
  <c r="P690" i="1"/>
  <c r="P680" i="1"/>
  <c r="P677" i="1"/>
  <c r="P668" i="1"/>
  <c r="P662" i="1"/>
  <c r="P1560" i="1"/>
  <c r="P604" i="1"/>
  <c r="P597" i="1"/>
  <c r="P592" i="1"/>
  <c r="P588" i="1"/>
  <c r="P558" i="1"/>
  <c r="P545" i="1"/>
  <c r="P526" i="1"/>
  <c r="P520" i="1"/>
  <c r="P513" i="1"/>
  <c r="P487" i="1"/>
  <c r="P483" i="1"/>
  <c r="P475" i="1"/>
  <c r="P469" i="1"/>
  <c r="P462" i="1"/>
  <c r="P457" i="1"/>
  <c r="P422" i="1"/>
  <c r="P391" i="1"/>
  <c r="P387" i="1"/>
  <c r="P386" i="1"/>
  <c r="P384" i="1"/>
  <c r="P380" i="1"/>
  <c r="P377" i="1"/>
  <c r="P374" i="1"/>
  <c r="P438" i="1"/>
  <c r="P434" i="1"/>
  <c r="P430" i="1"/>
  <c r="P417" i="1"/>
  <c r="P413" i="1"/>
  <c r="P367" i="1"/>
  <c r="P445" i="1"/>
  <c r="P358" i="1"/>
  <c r="P345" i="1"/>
  <c r="P341" i="1"/>
  <c r="P337" i="1"/>
  <c r="P333" i="1"/>
  <c r="P329" i="1"/>
  <c r="P323" i="1"/>
  <c r="P320" i="1"/>
  <c r="P306" i="1"/>
  <c r="P314" i="1"/>
  <c r="P310" i="1"/>
  <c r="P301" i="1"/>
  <c r="P290" i="1"/>
  <c r="P215" i="1"/>
  <c r="P116" i="1"/>
  <c r="P97" i="1"/>
  <c r="P2202" i="1"/>
  <c r="P2179" i="1"/>
  <c r="P2081" i="1"/>
  <c r="P2074" i="1"/>
  <c r="P1997" i="1"/>
  <c r="P1665" i="1"/>
  <c r="P2230" i="1"/>
  <c r="P2054" i="1"/>
  <c r="P1882" i="1"/>
  <c r="P1872" i="1"/>
  <c r="P1853" i="1"/>
  <c r="P1837" i="1"/>
  <c r="P1798" i="1"/>
  <c r="P1951" i="1"/>
  <c r="P1921" i="1"/>
  <c r="P2016" i="1"/>
  <c r="P1759" i="1"/>
  <c r="P1738" i="1"/>
  <c r="P1699" i="1"/>
  <c r="P1678" i="1"/>
  <c r="P1377" i="1"/>
  <c r="P1279" i="1"/>
  <c r="P1609" i="1"/>
  <c r="P1589" i="1"/>
  <c r="P1443" i="1"/>
  <c r="P1635" i="1"/>
  <c r="P1549" i="1"/>
  <c r="P1532" i="1"/>
  <c r="P1512" i="1"/>
  <c r="P1505" i="1"/>
  <c r="P1489" i="1"/>
  <c r="P1477" i="1"/>
  <c r="P1461" i="1"/>
  <c r="P1451" i="1"/>
  <c r="P947" i="1"/>
  <c r="P921" i="1"/>
  <c r="P1160" i="1"/>
  <c r="P1124" i="1"/>
  <c r="P1107" i="1"/>
  <c r="P1094" i="1"/>
  <c r="P1088" i="1"/>
  <c r="P1077" i="1"/>
  <c r="P1052" i="1"/>
  <c r="P1044" i="1"/>
  <c r="P985" i="1"/>
  <c r="P822" i="1"/>
  <c r="P791" i="1"/>
  <c r="P777" i="1"/>
  <c r="P757" i="1"/>
  <c r="P736" i="1"/>
  <c r="P713" i="1"/>
  <c r="P670" i="1"/>
  <c r="P658" i="1"/>
  <c r="P594" i="1"/>
  <c r="P546" i="1"/>
  <c r="P522" i="1"/>
  <c r="P500" i="1"/>
  <c r="P488" i="1"/>
  <c r="P477" i="1"/>
  <c r="P463" i="1"/>
  <c r="P420" i="1"/>
  <c r="P398" i="1"/>
  <c r="P362" i="1"/>
  <c r="P342" i="1"/>
  <c r="P334" i="1"/>
  <c r="P324" i="1"/>
  <c r="P311" i="1"/>
  <c r="P258" i="1"/>
  <c r="P2222" i="1"/>
  <c r="P2216" i="1"/>
  <c r="P2206" i="1"/>
  <c r="P2188" i="1"/>
  <c r="P2177" i="1"/>
  <c r="P2148" i="1"/>
  <c r="P2133" i="1"/>
  <c r="P2126" i="1"/>
  <c r="P2121" i="1"/>
  <c r="P2112" i="1"/>
  <c r="P2109" i="1"/>
  <c r="P2011" i="1"/>
  <c r="P2006" i="1"/>
  <c r="P1999" i="1"/>
  <c r="P1674" i="1"/>
  <c r="P1669" i="1"/>
  <c r="P1660" i="1"/>
  <c r="P2066" i="1"/>
  <c r="P2061" i="1"/>
  <c r="P2056" i="1"/>
  <c r="P2052" i="1"/>
  <c r="P2227" i="1"/>
  <c r="P1908" i="1"/>
  <c r="P1894" i="1"/>
  <c r="P1889" i="1"/>
  <c r="P1878" i="1"/>
  <c r="P1874" i="1"/>
  <c r="P1862" i="1"/>
  <c r="P1856" i="1"/>
  <c r="P1823" i="1"/>
  <c r="P1819" i="1"/>
  <c r="P1815" i="1"/>
  <c r="P1772" i="1"/>
  <c r="P1992" i="1"/>
  <c r="P1988" i="1"/>
  <c r="P1957" i="1"/>
  <c r="P1932" i="1"/>
  <c r="P1924" i="1"/>
  <c r="P1919" i="1"/>
  <c r="P2020" i="1"/>
  <c r="P2014" i="1"/>
  <c r="P1766" i="1"/>
  <c r="P1762" i="1"/>
  <c r="P1739" i="1"/>
  <c r="P1734" i="1"/>
  <c r="P1728" i="1"/>
  <c r="P1718" i="1"/>
  <c r="P1706" i="1"/>
  <c r="P1695" i="1"/>
  <c r="P1692" i="1"/>
  <c r="P1689" i="1"/>
  <c r="P1407" i="1"/>
  <c r="P1399" i="1"/>
  <c r="P1395" i="1"/>
  <c r="P1379" i="1"/>
  <c r="P1376" i="1"/>
  <c r="P1369" i="1"/>
  <c r="P1357" i="1"/>
  <c r="P1342" i="1"/>
  <c r="P1330" i="1"/>
  <c r="P1332" i="1"/>
  <c r="P1316" i="1"/>
  <c r="P1312" i="1"/>
  <c r="P1301" i="1"/>
  <c r="P1291" i="1"/>
  <c r="P1284" i="1"/>
  <c r="P1276" i="1"/>
  <c r="P1262" i="1"/>
  <c r="P1265" i="1"/>
  <c r="P1250" i="1"/>
  <c r="P1221" i="1"/>
  <c r="P1217" i="1"/>
  <c r="P1209" i="1"/>
  <c r="P1203" i="1"/>
  <c r="P1194" i="1"/>
  <c r="P1188" i="1"/>
  <c r="P1170" i="1"/>
  <c r="P866" i="1"/>
  <c r="P856" i="1"/>
  <c r="P844" i="1"/>
  <c r="P1626" i="1"/>
  <c r="P1620" i="1"/>
  <c r="P1611" i="1"/>
  <c r="P1606" i="1"/>
  <c r="P1595" i="1"/>
  <c r="P1587" i="1"/>
  <c r="P1566" i="1"/>
  <c r="P1448" i="1"/>
  <c r="P1440" i="1"/>
  <c r="P1431" i="1"/>
  <c r="P1650" i="1"/>
  <c r="P1646" i="1"/>
  <c r="P1642" i="1"/>
  <c r="P1632" i="1"/>
  <c r="P1420" i="1"/>
  <c r="P1546" i="1"/>
  <c r="P1522" i="1"/>
  <c r="P1518" i="1"/>
  <c r="P1510" i="1"/>
  <c r="P1503" i="1"/>
  <c r="P1501" i="1"/>
  <c r="P1495" i="1"/>
  <c r="P1483" i="1"/>
  <c r="P1470" i="1"/>
  <c r="P1465" i="1"/>
  <c r="P1455" i="1"/>
  <c r="P953" i="1"/>
  <c r="P946" i="1"/>
  <c r="P939" i="1"/>
  <c r="P935" i="1"/>
  <c r="P920" i="1"/>
  <c r="P909" i="1"/>
  <c r="P1151" i="1"/>
  <c r="P1140" i="1"/>
  <c r="P1109" i="1"/>
  <c r="P1081" i="1"/>
  <c r="P1046" i="1"/>
  <c r="P1037" i="1"/>
  <c r="P1029" i="1"/>
  <c r="P1017" i="1"/>
  <c r="P1008" i="1"/>
  <c r="P1000" i="1"/>
  <c r="P994" i="1"/>
  <c r="P986" i="1"/>
  <c r="P978" i="1"/>
  <c r="P829" i="1"/>
  <c r="P820" i="1"/>
  <c r="P810" i="1"/>
  <c r="P800" i="1"/>
  <c r="P795" i="1"/>
  <c r="P789" i="1"/>
  <c r="P780" i="1"/>
  <c r="P768" i="1"/>
  <c r="P764" i="1"/>
  <c r="P755" i="1"/>
  <c r="P756" i="1"/>
  <c r="P749" i="1"/>
  <c r="P743" i="1"/>
  <c r="P735" i="1"/>
  <c r="P726" i="1"/>
  <c r="P714" i="1"/>
  <c r="P701" i="1"/>
  <c r="P689" i="1"/>
  <c r="P681" i="1"/>
  <c r="P666" i="1"/>
  <c r="P659" i="1"/>
  <c r="P1561" i="1"/>
  <c r="P1556" i="1"/>
  <c r="P655" i="1"/>
  <c r="P591" i="1"/>
  <c r="P585" i="1"/>
  <c r="P577" i="1"/>
  <c r="P571" i="1"/>
  <c r="P539" i="1"/>
  <c r="P531" i="1"/>
  <c r="P519" i="1"/>
  <c r="P508" i="1"/>
  <c r="P504" i="1"/>
  <c r="P499" i="1"/>
  <c r="P493" i="1"/>
  <c r="P460" i="1"/>
  <c r="P456" i="1"/>
  <c r="P426" i="1"/>
  <c r="P423" i="1"/>
  <c r="P390" i="1"/>
  <c r="P383" i="1"/>
  <c r="P379" i="1"/>
  <c r="P364" i="1"/>
  <c r="P437" i="1"/>
  <c r="P433" i="1"/>
  <c r="P416" i="1"/>
  <c r="P412" i="1"/>
  <c r="P371" i="1"/>
  <c r="P448" i="1"/>
  <c r="P444" i="1"/>
  <c r="P344" i="1"/>
  <c r="P340" i="1"/>
  <c r="P336" i="1"/>
  <c r="P328" i="1"/>
  <c r="P322" i="1"/>
  <c r="P319" i="1"/>
  <c r="P305" i="1"/>
  <c r="P313" i="1"/>
  <c r="P300" i="1"/>
  <c r="P289" i="1"/>
  <c r="P271" i="1"/>
  <c r="P199" i="1"/>
  <c r="P115" i="1"/>
  <c r="P2232" i="1"/>
  <c r="P2198" i="1"/>
  <c r="P2157" i="1"/>
  <c r="P2129" i="1"/>
  <c r="P2001" i="1"/>
  <c r="P1658" i="1"/>
  <c r="P2063" i="1"/>
  <c r="P2225" i="1"/>
  <c r="P1841" i="1"/>
  <c r="P1808" i="1"/>
  <c r="P1789" i="1"/>
  <c r="P1775" i="1"/>
  <c r="P1926" i="1"/>
  <c r="P1741" i="1"/>
  <c r="P1729" i="1"/>
  <c r="P1715" i="1"/>
  <c r="P1703" i="1"/>
  <c r="P1687" i="1"/>
  <c r="P1397" i="1"/>
  <c r="P1365" i="1"/>
  <c r="P1336" i="1"/>
  <c r="P1305" i="1"/>
  <c r="P1287" i="1"/>
  <c r="P1261" i="1"/>
  <c r="P1248" i="1"/>
  <c r="P1237" i="1"/>
  <c r="P1224" i="1"/>
  <c r="P1206" i="1"/>
  <c r="P1177" i="1"/>
  <c r="P867" i="1"/>
  <c r="P857" i="1"/>
  <c r="P842" i="1"/>
  <c r="P1617" i="1"/>
  <c r="P1602" i="1"/>
  <c r="P1639" i="1"/>
  <c r="P1629" i="1"/>
  <c r="P1544" i="1"/>
  <c r="P1523" i="1"/>
  <c r="P1507" i="1"/>
  <c r="P1492" i="1"/>
  <c r="P1481" i="1"/>
  <c r="P1473" i="1"/>
  <c r="P1452" i="1"/>
  <c r="P957" i="1"/>
  <c r="P931" i="1"/>
  <c r="P1152" i="1"/>
  <c r="P1138" i="1"/>
  <c r="P1115" i="1"/>
  <c r="P1083" i="1"/>
  <c r="P1069" i="1"/>
  <c r="P1035" i="1"/>
  <c r="P1030" i="1"/>
  <c r="P1018" i="1"/>
  <c r="P1007" i="1"/>
  <c r="P1003" i="1"/>
  <c r="P996" i="1"/>
  <c r="P997" i="1"/>
  <c r="P977" i="1"/>
  <c r="P832" i="1"/>
  <c r="P813" i="1"/>
  <c r="P773" i="1"/>
  <c r="P744" i="1"/>
  <c r="P699" i="1"/>
  <c r="P552" i="1"/>
  <c r="P527" i="1"/>
  <c r="P484" i="1"/>
  <c r="P471" i="1"/>
  <c r="P424" i="1"/>
  <c r="P435" i="1"/>
  <c r="P414" i="1"/>
  <c r="P368" i="1"/>
  <c r="P359" i="1"/>
  <c r="P338" i="1"/>
  <c r="P315" i="1"/>
  <c r="P302" i="1"/>
  <c r="P231" i="1"/>
  <c r="P98" i="1"/>
  <c r="P2212" i="1"/>
  <c r="P2219" i="1"/>
  <c r="P2215" i="1"/>
  <c r="P2203" i="1"/>
  <c r="P2199" i="1"/>
  <c r="P2176" i="1"/>
  <c r="P2172" i="1"/>
  <c r="P2166" i="1"/>
  <c r="P2125" i="1"/>
  <c r="P2115" i="1"/>
  <c r="P2107" i="1"/>
  <c r="P2184" i="1"/>
  <c r="P2183" i="1"/>
  <c r="P2075" i="1"/>
  <c r="P2002" i="1"/>
  <c r="P1998" i="1"/>
  <c r="P1672" i="1"/>
  <c r="P1668" i="1"/>
  <c r="P1657" i="1"/>
  <c r="P2069" i="1"/>
  <c r="P2065" i="1"/>
  <c r="P2060" i="1"/>
  <c r="P2055" i="1"/>
  <c r="P2051" i="1"/>
  <c r="P2226" i="1"/>
  <c r="P1935" i="1"/>
  <c r="P1906" i="1"/>
  <c r="P1893" i="1"/>
  <c r="P1888" i="1"/>
  <c r="P1883" i="1"/>
  <c r="P1877" i="1"/>
  <c r="P1873" i="1"/>
  <c r="P1867" i="1"/>
  <c r="P1828" i="1"/>
  <c r="P1822" i="1"/>
  <c r="P1818" i="1"/>
  <c r="P1814" i="1"/>
  <c r="P1809" i="1"/>
  <c r="P1803" i="1"/>
  <c r="P1799" i="1"/>
  <c r="P1790" i="1"/>
  <c r="P1786" i="1"/>
  <c r="P1782" i="1"/>
  <c r="P1991" i="1"/>
  <c r="P1987" i="1"/>
  <c r="P1952" i="1"/>
  <c r="P1931" i="1"/>
  <c r="P1923" i="1"/>
  <c r="P2017" i="1"/>
  <c r="P1960" i="1"/>
  <c r="P1760" i="1"/>
  <c r="P1737" i="1"/>
  <c r="P1731" i="1"/>
  <c r="P1726" i="1"/>
  <c r="P1709" i="1"/>
  <c r="P1704" i="1"/>
  <c r="P1697" i="1"/>
  <c r="P1688" i="1"/>
  <c r="P1682" i="1"/>
  <c r="P1744" i="1"/>
  <c r="P1401" i="1"/>
  <c r="P1387" i="1"/>
  <c r="P1380" i="1"/>
  <c r="P1374" i="1"/>
  <c r="P1368" i="1"/>
  <c r="P1355" i="1"/>
  <c r="P1349" i="1"/>
  <c r="P1340" i="1"/>
  <c r="P1326" i="1"/>
  <c r="P1325" i="1"/>
  <c r="P1314" i="1"/>
  <c r="P1304" i="1"/>
  <c r="P1293" i="1"/>
  <c r="P1294" i="1"/>
  <c r="P1280" i="1"/>
  <c r="P1272" i="1"/>
  <c r="P1268" i="1"/>
  <c r="P1256" i="1"/>
  <c r="P1249" i="1"/>
  <c r="P1245" i="1"/>
  <c r="P1240" i="1"/>
  <c r="P1225" i="1"/>
  <c r="P1216" i="1"/>
  <c r="P1204" i="1"/>
  <c r="P1192" i="1"/>
  <c r="P1181" i="1"/>
  <c r="P1172" i="1"/>
  <c r="P868" i="1"/>
  <c r="P860" i="1"/>
  <c r="P853" i="1"/>
  <c r="P843" i="1"/>
  <c r="P1623" i="1"/>
  <c r="P1610" i="1"/>
  <c r="P1603" i="1"/>
  <c r="P1598" i="1"/>
  <c r="P1573" i="1"/>
  <c r="P1565" i="1"/>
  <c r="P1445" i="1"/>
  <c r="P1437" i="1"/>
  <c r="P1429" i="1"/>
  <c r="P1645" i="1"/>
  <c r="P1640" i="1"/>
  <c r="P1630" i="1"/>
  <c r="P1419" i="1"/>
  <c r="P1545" i="1"/>
  <c r="P1528" i="1"/>
  <c r="P1521" i="1"/>
  <c r="P1513" i="1"/>
  <c r="P1504" i="1"/>
  <c r="P1497" i="1"/>
  <c r="P1494" i="1"/>
  <c r="P1486" i="1"/>
  <c r="P1480" i="1"/>
  <c r="P1463" i="1"/>
  <c r="P1457" i="1"/>
  <c r="P1453" i="1"/>
  <c r="P956" i="1"/>
  <c r="P943" i="1"/>
  <c r="P936" i="1"/>
  <c r="P932" i="1"/>
  <c r="P928" i="1"/>
  <c r="P923" i="1"/>
  <c r="P1161" i="1"/>
  <c r="P1147" i="1"/>
  <c r="P1142" i="1"/>
  <c r="P1132" i="1"/>
  <c r="P1117" i="1"/>
  <c r="P1112" i="1"/>
  <c r="P1105" i="1"/>
  <c r="P1091" i="1"/>
  <c r="P1080" i="1"/>
  <c r="P1070" i="1"/>
  <c r="P1049" i="1"/>
  <c r="P1036" i="1"/>
  <c r="P1027" i="1"/>
  <c r="P1024" i="1"/>
  <c r="P1016" i="1"/>
  <c r="P1010" i="1"/>
  <c r="P1009" i="1"/>
  <c r="P999" i="1"/>
  <c r="P988" i="1"/>
  <c r="P972" i="1"/>
  <c r="P834" i="1"/>
  <c r="P819" i="1"/>
  <c r="P814" i="1"/>
  <c r="P802" i="1"/>
  <c r="P792" i="1"/>
  <c r="P784" i="1"/>
  <c r="P778" i="1"/>
  <c r="P765" i="1"/>
  <c r="P758" i="1"/>
  <c r="P753" i="1"/>
  <c r="P745" i="1"/>
  <c r="P734" i="1"/>
  <c r="P733" i="1"/>
  <c r="P725" i="1"/>
  <c r="P718" i="1"/>
  <c r="P712" i="1"/>
  <c r="P703" i="1"/>
  <c r="P691" i="1"/>
  <c r="P688" i="1"/>
  <c r="P679" i="1"/>
  <c r="P669" i="1"/>
  <c r="P665" i="1"/>
  <c r="P661" i="1"/>
  <c r="P1557" i="1"/>
  <c r="P1555" i="1"/>
  <c r="P601" i="1"/>
  <c r="P583" i="1"/>
  <c r="P565" i="1"/>
  <c r="P538" i="1"/>
  <c r="P515" i="1"/>
  <c r="P498" i="1"/>
  <c r="P482" i="1"/>
  <c r="P472" i="1"/>
  <c r="P459" i="1"/>
  <c r="P455" i="1"/>
  <c r="P425" i="1"/>
  <c r="P421" i="1"/>
  <c r="P389" i="1"/>
  <c r="P385" i="1"/>
  <c r="P382" i="1"/>
  <c r="P378" i="1"/>
  <c r="P376" i="1"/>
  <c r="P375" i="1"/>
  <c r="P363" i="1"/>
  <c r="P436" i="1"/>
  <c r="P432" i="1"/>
  <c r="P415" i="1"/>
  <c r="P411" i="1"/>
  <c r="P369" i="1"/>
  <c r="P447" i="1"/>
  <c r="P443" i="1"/>
  <c r="P343" i="1"/>
  <c r="P339" i="1"/>
  <c r="P335" i="1"/>
  <c r="P326" i="1"/>
  <c r="P321" i="1"/>
  <c r="P316" i="1"/>
  <c r="P312" i="1"/>
  <c r="P288" i="1"/>
  <c r="P113" i="1"/>
  <c r="P96" i="1"/>
  <c r="P84" i="1"/>
  <c r="P254" i="1"/>
  <c r="P253" i="1"/>
  <c r="P252" i="1"/>
  <c r="P255" i="1"/>
  <c r="P241" i="1"/>
  <c r="P237" i="1"/>
  <c r="P233" i="1"/>
  <c r="P222" i="1"/>
  <c r="P218" i="1"/>
  <c r="P214" i="1"/>
  <c r="P206" i="1"/>
  <c r="P195" i="1"/>
  <c r="P191" i="1"/>
  <c r="P239" i="1"/>
  <c r="P236" i="1"/>
  <c r="P232" i="1"/>
  <c r="P221" i="1"/>
  <c r="P213" i="1"/>
  <c r="P205" i="1"/>
  <c r="P198" i="1"/>
  <c r="P240" i="1"/>
  <c r="P235" i="1"/>
  <c r="P220" i="1"/>
  <c r="P212" i="1"/>
  <c r="P204" i="1"/>
  <c r="P197" i="1"/>
  <c r="P242" i="1"/>
  <c r="P238" i="1"/>
  <c r="P234" i="1"/>
  <c r="P223" i="1"/>
  <c r="P219" i="1"/>
  <c r="P211" i="1"/>
  <c r="P207" i="1"/>
  <c r="P203" i="1"/>
  <c r="P196" i="1"/>
  <c r="P192" i="1"/>
  <c r="P184" i="1"/>
  <c r="P179" i="1"/>
  <c r="P183" i="1"/>
  <c r="P178" i="1"/>
  <c r="P182" i="1"/>
  <c r="P185" i="1"/>
  <c r="P180" i="1"/>
  <c r="P172" i="1"/>
  <c r="P168" i="1"/>
  <c r="P156" i="1"/>
  <c r="P167" i="1"/>
  <c r="P146" i="1"/>
  <c r="P141" i="1"/>
  <c r="P137" i="1"/>
  <c r="P145" i="1"/>
  <c r="P140" i="1"/>
  <c r="P144" i="1"/>
  <c r="P139" i="1"/>
  <c r="P138" i="1"/>
  <c r="P120" i="1"/>
  <c r="P110" i="1"/>
  <c r="P109" i="1"/>
  <c r="P121" i="1"/>
  <c r="P108" i="1"/>
  <c r="P86" i="1"/>
  <c r="P78" i="1"/>
  <c r="P74" i="1"/>
  <c r="P94" i="1"/>
  <c r="P85" i="1"/>
  <c r="P77" i="1"/>
  <c r="P73" i="1"/>
  <c r="P49" i="1"/>
  <c r="P93" i="1"/>
  <c r="P81" i="1"/>
  <c r="P76" i="1"/>
  <c r="P72" i="1"/>
  <c r="P90" i="1"/>
  <c r="P87" i="1"/>
  <c r="P79" i="1"/>
  <c r="P75" i="1"/>
  <c r="P45" i="1"/>
  <c r="P15" i="1"/>
  <c r="P53" i="1"/>
  <c r="P43" i="1"/>
  <c r="P18" i="1"/>
  <c r="P27" i="1"/>
  <c r="P40" i="1"/>
  <c r="P52" i="1"/>
  <c r="P29" i="1"/>
  <c r="P47" i="1"/>
  <c r="P17" i="1"/>
  <c r="P19" i="1"/>
  <c r="P28" i="1"/>
  <c r="P46" i="1"/>
  <c r="P16" i="1"/>
  <c r="G1854" i="1"/>
  <c r="O1854" i="1" s="1"/>
  <c r="I1102" i="1"/>
  <c r="G1885" i="1"/>
  <c r="O1885" i="1" s="1"/>
  <c r="H2280" i="1"/>
  <c r="I201" i="1"/>
  <c r="I42" i="1"/>
  <c r="I287" i="1"/>
  <c r="I1459" i="1"/>
  <c r="I410" i="1"/>
  <c r="I696" i="1"/>
  <c r="I603" i="1"/>
  <c r="I1824" i="1"/>
  <c r="I686" i="1"/>
  <c r="I675" i="1"/>
  <c r="I663" i="1"/>
  <c r="I1554" i="1"/>
  <c r="I502" i="1"/>
  <c r="I441" i="1"/>
  <c r="I308" i="1"/>
  <c r="I106" i="1"/>
  <c r="I365" i="1"/>
  <c r="I331" i="1"/>
  <c r="I1022" i="1"/>
  <c r="I1810" i="1"/>
  <c r="I112" i="1"/>
  <c r="I1450" i="1"/>
  <c r="I270" i="1"/>
  <c r="I1145" i="1"/>
  <c r="I303" i="1"/>
  <c r="I840" i="1"/>
  <c r="I1337" i="1"/>
  <c r="I1385" i="1"/>
  <c r="I929" i="1"/>
  <c r="I862" i="1"/>
  <c r="I1427" i="1"/>
  <c r="I1643" i="1"/>
  <c r="I1127" i="1"/>
  <c r="I1113" i="1"/>
  <c r="I1092" i="1"/>
  <c r="I981" i="1"/>
  <c r="I428" i="1"/>
  <c r="I1627" i="1"/>
  <c r="I1414" i="1"/>
  <c r="I1067" i="1"/>
  <c r="I808" i="1"/>
  <c r="I731" i="1"/>
  <c r="I710" i="1"/>
  <c r="I536" i="1"/>
  <c r="I154" i="1"/>
  <c r="I360" i="1"/>
  <c r="I1519" i="1"/>
  <c r="I1520" i="1"/>
  <c r="I1563" i="1"/>
  <c r="I951" i="1"/>
  <c r="I1084" i="1"/>
  <c r="I1207" i="1"/>
  <c r="I2147" i="1"/>
  <c r="I409" i="1"/>
  <c r="I332" i="1"/>
  <c r="I2012" i="1"/>
  <c r="I1372" i="1"/>
  <c r="I787" i="1"/>
  <c r="I209" i="1"/>
  <c r="I83" i="1"/>
  <c r="I26" i="1"/>
  <c r="I1607" i="1"/>
  <c r="I1499" i="1"/>
  <c r="I1488" i="1"/>
  <c r="I991" i="1"/>
  <c r="I602" i="1"/>
  <c r="I1770" i="1"/>
  <c r="I1405" i="1"/>
  <c r="I941" i="1"/>
  <c r="I1834" i="1"/>
  <c r="I1363" i="1"/>
  <c r="I656" i="1"/>
  <c r="I1234" i="1"/>
  <c r="I2167" i="1"/>
  <c r="I930" i="1"/>
  <c r="I2080" i="1"/>
  <c r="I1700" i="1"/>
  <c r="I1393" i="1"/>
  <c r="I1891" i="1"/>
  <c r="I1655" i="1"/>
  <c r="I250" i="1"/>
  <c r="I1995" i="1"/>
  <c r="I1654" i="1"/>
  <c r="I2174" i="1"/>
  <c r="I2168" i="1"/>
  <c r="I2049" i="1"/>
  <c r="I917" i="1"/>
  <c r="I2058" i="1"/>
  <c r="I1670" i="1"/>
  <c r="I2186" i="1"/>
  <c r="I1787" i="1"/>
  <c r="I1783" i="1"/>
  <c r="I496" i="1"/>
  <c r="I1716" i="1"/>
  <c r="I1707" i="1"/>
  <c r="I1690" i="1"/>
  <c r="I970" i="1"/>
  <c r="I589" i="1"/>
  <c r="I1884" i="1"/>
  <c r="I2146" i="1"/>
  <c r="I2117" i="1"/>
  <c r="I1948" i="1"/>
  <c r="I1468" i="1"/>
  <c r="I1800" i="1"/>
  <c r="I1757" i="1"/>
  <c r="I1156" i="1"/>
  <c r="I2079" i="1"/>
  <c r="I2050" i="1"/>
  <c r="I2013" i="1"/>
  <c r="I1959" i="1"/>
  <c r="I1618" i="1"/>
  <c r="I817" i="1"/>
  <c r="I479" i="1"/>
  <c r="I1120" i="1"/>
  <c r="I217" i="1"/>
  <c r="I1190" i="1"/>
  <c r="I31" i="1"/>
  <c r="I2111" i="1"/>
  <c r="I2104" i="1"/>
  <c r="I1909" i="1"/>
  <c r="I2154" i="1"/>
  <c r="I2228" i="1"/>
  <c r="I1897" i="1"/>
  <c r="I1985" i="1"/>
  <c r="I1310" i="1"/>
  <c r="I1285" i="1"/>
  <c r="I1829" i="1"/>
  <c r="I1684" i="1"/>
  <c r="I1542" i="1"/>
  <c r="I1994" i="1"/>
  <c r="I1902" i="1"/>
  <c r="I1896" i="1"/>
  <c r="I1986" i="1"/>
  <c r="I1103" i="1"/>
  <c r="I788" i="1"/>
  <c r="I763" i="1"/>
  <c r="I569" i="1"/>
  <c r="I442" i="1"/>
  <c r="I210" i="1"/>
  <c r="I202" i="1"/>
  <c r="I193" i="1"/>
  <c r="I1012" i="1"/>
  <c r="I992" i="1"/>
  <c r="I827" i="1"/>
  <c r="I543" i="1"/>
  <c r="I517" i="1"/>
  <c r="I511" i="1"/>
  <c r="I467" i="1"/>
  <c r="I194" i="1"/>
  <c r="I2071" i="1"/>
  <c r="I2057" i="1"/>
  <c r="I1890" i="1"/>
  <c r="I2195" i="1"/>
  <c r="I2159" i="1"/>
  <c r="I2131" i="1"/>
  <c r="I2123" i="1"/>
  <c r="I2160" i="1"/>
  <c r="I2124" i="1"/>
  <c r="I2110" i="1"/>
  <c r="I1776" i="1"/>
  <c r="I1918" i="1"/>
  <c r="I839" i="1"/>
  <c r="I2072" i="1"/>
  <c r="I1868" i="1"/>
  <c r="I1796" i="1"/>
  <c r="I1949" i="1"/>
  <c r="I1691" i="1"/>
  <c r="I1274" i="1"/>
  <c r="I1219" i="1"/>
  <c r="I1166" i="1"/>
  <c r="I851" i="1"/>
  <c r="I1599" i="1"/>
  <c r="I1585" i="1"/>
  <c r="I1441" i="1"/>
  <c r="I1636" i="1"/>
  <c r="I1756" i="1"/>
  <c r="I797" i="1"/>
  <c r="I762" i="1"/>
  <c r="I720" i="1"/>
  <c r="I563" i="1"/>
  <c r="I82" i="1"/>
  <c r="I1487" i="1"/>
  <c r="I1001" i="1"/>
  <c r="I961" i="1"/>
  <c r="I751" i="1"/>
  <c r="I711" i="1"/>
  <c r="I1553" i="1"/>
  <c r="I485" i="1"/>
  <c r="I478" i="1"/>
  <c r="I361" i="1"/>
  <c r="I269" i="1"/>
  <c r="I111" i="1"/>
  <c r="I556" i="1"/>
  <c r="I14" i="1"/>
  <c r="I2182" i="1"/>
  <c r="I1875" i="1"/>
  <c r="I1298" i="1"/>
  <c r="I2181" i="1"/>
  <c r="I1860" i="1"/>
  <c r="I2105" i="1"/>
  <c r="I1838" i="1"/>
  <c r="I2244" i="1"/>
  <c r="I2155" i="1"/>
  <c r="I2175" i="1"/>
  <c r="I2118" i="1"/>
  <c r="H2224" i="1"/>
  <c r="I2224" i="1" s="1"/>
  <c r="I1842" i="1"/>
  <c r="I1820" i="1"/>
  <c r="I1804" i="1"/>
  <c r="I1934" i="1"/>
  <c r="I1846" i="1"/>
  <c r="I1816" i="1"/>
  <c r="I1764" i="1"/>
  <c r="I1648" i="1"/>
  <c r="I2026" i="1"/>
  <c r="I1958" i="1"/>
  <c r="I1733" i="1"/>
  <c r="I1742" i="1"/>
  <c r="I1246" i="1"/>
  <c r="I1593" i="1"/>
  <c r="I1449" i="1"/>
  <c r="I1054" i="1"/>
  <c r="I742" i="1"/>
  <c r="I1732" i="1"/>
  <c r="I1323" i="1"/>
  <c r="I1178" i="1"/>
  <c r="I850" i="1"/>
  <c r="I1676" i="1"/>
  <c r="I1257" i="1"/>
  <c r="I1415" i="1"/>
  <c r="I1500" i="1"/>
  <c r="I1073" i="1"/>
  <c r="I1033" i="1"/>
  <c r="I1136" i="1"/>
  <c r="I581" i="1"/>
  <c r="I562" i="1"/>
  <c r="I741" i="1"/>
  <c r="I595" i="1"/>
  <c r="I529" i="1"/>
  <c r="I518" i="1"/>
  <c r="I419" i="1"/>
  <c r="I429" i="1"/>
  <c r="I544" i="1"/>
  <c r="I512" i="1"/>
  <c r="I453" i="1"/>
  <c r="I304" i="1"/>
  <c r="I309" i="1"/>
  <c r="I136" i="1"/>
  <c r="I135" i="1"/>
  <c r="I41" i="1"/>
  <c r="I2223" i="1"/>
  <c r="I1850" i="1"/>
  <c r="I2213" i="1"/>
  <c r="I1859" i="1"/>
  <c r="I1917" i="1"/>
  <c r="I1724" i="1"/>
  <c r="I524" i="1"/>
  <c r="I497" i="1"/>
  <c r="I491" i="1"/>
  <c r="I418" i="1"/>
  <c r="I251" i="1"/>
  <c r="I155" i="1"/>
  <c r="I286" i="1"/>
  <c r="I216" i="1"/>
  <c r="I25" i="1"/>
  <c r="I13" i="1"/>
  <c r="I30" i="1"/>
  <c r="G2243" i="1" l="1"/>
  <c r="O2243" i="1" s="1"/>
  <c r="H2296" i="1"/>
  <c r="H2297" i="1"/>
  <c r="I2283" i="1"/>
  <c r="P2244" i="1"/>
  <c r="G2280" i="1"/>
  <c r="G2281" i="1" s="1"/>
  <c r="I2286" i="1"/>
  <c r="P155" i="1"/>
  <c r="P491" i="1"/>
  <c r="P1724" i="1"/>
  <c r="P2213" i="1"/>
  <c r="P453" i="1"/>
  <c r="P373" i="1"/>
  <c r="P595" i="1"/>
  <c r="P1033" i="1"/>
  <c r="P1257" i="1"/>
  <c r="P1323" i="1"/>
  <c r="P1449" i="1"/>
  <c r="P1742" i="1"/>
  <c r="P1648" i="1"/>
  <c r="P1934" i="1"/>
  <c r="P2224" i="1"/>
  <c r="P2208" i="1"/>
  <c r="P2181" i="1"/>
  <c r="P2182" i="1"/>
  <c r="P485" i="1"/>
  <c r="P961" i="1"/>
  <c r="P82" i="1"/>
  <c r="P797" i="1"/>
  <c r="P1585" i="1"/>
  <c r="P1219" i="1"/>
  <c r="P1796" i="1"/>
  <c r="P839" i="1"/>
  <c r="P2124" i="1"/>
  <c r="P2159" i="1"/>
  <c r="P2071" i="1"/>
  <c r="P517" i="1"/>
  <c r="P1012" i="1"/>
  <c r="P442" i="1"/>
  <c r="P1103" i="1"/>
  <c r="P1994" i="1"/>
  <c r="P1285" i="1"/>
  <c r="P2228" i="1"/>
  <c r="P1909" i="1"/>
  <c r="P1120" i="1"/>
  <c r="P1959" i="1"/>
  <c r="P2217" i="1"/>
  <c r="P1468" i="1"/>
  <c r="P2146" i="1"/>
  <c r="P970" i="1"/>
  <c r="P1707" i="1"/>
  <c r="P1783" i="1"/>
  <c r="P2058" i="1"/>
  <c r="P2174" i="1"/>
  <c r="P372" i="1"/>
  <c r="P2167" i="1"/>
  <c r="P1834" i="1"/>
  <c r="P602" i="1"/>
  <c r="P1607" i="1"/>
  <c r="P787" i="1"/>
  <c r="P332" i="1"/>
  <c r="P1207" i="1"/>
  <c r="P1571" i="1"/>
  <c r="P808" i="1"/>
  <c r="P428" i="1"/>
  <c r="P1113" i="1"/>
  <c r="P862" i="1"/>
  <c r="P840" i="1"/>
  <c r="P1450" i="1"/>
  <c r="P1022" i="1"/>
  <c r="P550" i="1"/>
  <c r="P663" i="1"/>
  <c r="P603" i="1"/>
  <c r="P287" i="1"/>
  <c r="P1102" i="1"/>
  <c r="P497" i="1"/>
  <c r="P1917" i="1"/>
  <c r="P1850" i="1"/>
  <c r="P512" i="1"/>
  <c r="P419" i="1"/>
  <c r="P741" i="1"/>
  <c r="P775" i="1"/>
  <c r="P1073" i="1"/>
  <c r="P1676" i="1"/>
  <c r="P1732" i="1"/>
  <c r="P1733" i="1"/>
  <c r="P1764" i="1"/>
  <c r="P1804" i="1"/>
  <c r="P2118" i="1"/>
  <c r="P1298" i="1"/>
  <c r="P269" i="1"/>
  <c r="P1553" i="1"/>
  <c r="P1001" i="1"/>
  <c r="P563" i="1"/>
  <c r="P1756" i="1"/>
  <c r="P1599" i="1"/>
  <c r="P1274" i="1"/>
  <c r="P1868" i="1"/>
  <c r="P1918" i="1"/>
  <c r="P2160" i="1"/>
  <c r="P2195" i="1"/>
  <c r="P543" i="1"/>
  <c r="P193" i="1"/>
  <c r="P569" i="1"/>
  <c r="P1986" i="1"/>
  <c r="P1542" i="1"/>
  <c r="P1310" i="1"/>
  <c r="P1662" i="1"/>
  <c r="P2104" i="1"/>
  <c r="P1190" i="1"/>
  <c r="P479" i="1"/>
  <c r="P2013" i="1"/>
  <c r="P1156" i="1"/>
  <c r="P1948" i="1"/>
  <c r="P1884" i="1"/>
  <c r="P473" i="1"/>
  <c r="P1716" i="1"/>
  <c r="P1787" i="1"/>
  <c r="P917" i="1"/>
  <c r="P2200" i="1"/>
  <c r="P1655" i="1"/>
  <c r="P1700" i="1"/>
  <c r="P1234" i="1"/>
  <c r="P941" i="1"/>
  <c r="P991" i="1"/>
  <c r="P1530" i="1"/>
  <c r="P409" i="1"/>
  <c r="P1084" i="1"/>
  <c r="P1520" i="1"/>
  <c r="P536" i="1"/>
  <c r="P1067" i="1"/>
  <c r="P981" i="1"/>
  <c r="P1127" i="1"/>
  <c r="P929" i="1"/>
  <c r="P303" i="1"/>
  <c r="P575" i="1"/>
  <c r="P675" i="1"/>
  <c r="P696" i="1"/>
  <c r="P216" i="1"/>
  <c r="P317" i="1"/>
  <c r="P524" i="1"/>
  <c r="P1859" i="1"/>
  <c r="P2223" i="1"/>
  <c r="P309" i="1"/>
  <c r="P544" i="1"/>
  <c r="P518" i="1"/>
  <c r="P562" i="1"/>
  <c r="P776" i="1"/>
  <c r="P1500" i="1"/>
  <c r="P850" i="1"/>
  <c r="P742" i="1"/>
  <c r="P1593" i="1"/>
  <c r="P1958" i="1"/>
  <c r="P1816" i="1"/>
  <c r="P1820" i="1"/>
  <c r="P2175" i="1"/>
  <c r="P1838" i="1"/>
  <c r="P2207" i="1"/>
  <c r="P1875" i="1"/>
  <c r="P361" i="1"/>
  <c r="P711" i="1"/>
  <c r="P1474" i="1"/>
  <c r="P720" i="1"/>
  <c r="P1636" i="1"/>
  <c r="P851" i="1"/>
  <c r="P1691" i="1"/>
  <c r="P1933" i="1"/>
  <c r="P1776" i="1"/>
  <c r="P2123" i="1"/>
  <c r="P1890" i="1"/>
  <c r="P467" i="1"/>
  <c r="P827" i="1"/>
  <c r="P763" i="1"/>
  <c r="P1896" i="1"/>
  <c r="P1684" i="1"/>
  <c r="P1985" i="1"/>
  <c r="P2139" i="1"/>
  <c r="P2111" i="1"/>
  <c r="P1347" i="1"/>
  <c r="P817" i="1"/>
  <c r="P2050" i="1"/>
  <c r="P1757" i="1"/>
  <c r="P2117" i="1"/>
  <c r="P318" i="1"/>
  <c r="P496" i="1"/>
  <c r="P2186" i="1"/>
  <c r="P2049" i="1"/>
  <c r="P1654" i="1"/>
  <c r="P1891" i="1"/>
  <c r="P2080" i="1"/>
  <c r="P656" i="1"/>
  <c r="P1405" i="1"/>
  <c r="P1488" i="1"/>
  <c r="P83" i="1"/>
  <c r="P1372" i="1"/>
  <c r="P506" i="1"/>
  <c r="P951" i="1"/>
  <c r="P1519" i="1"/>
  <c r="P710" i="1"/>
  <c r="P1414" i="1"/>
  <c r="P1043" i="1"/>
  <c r="P1643" i="1"/>
  <c r="P1385" i="1"/>
  <c r="P1145" i="1"/>
  <c r="P1810" i="1"/>
  <c r="P331" i="1"/>
  <c r="P308" i="1"/>
  <c r="P502" i="1"/>
  <c r="P686" i="1"/>
  <c r="P410" i="1"/>
  <c r="P201" i="1"/>
  <c r="P286" i="1"/>
  <c r="P418" i="1"/>
  <c r="P1042" i="1"/>
  <c r="P41" i="1"/>
  <c r="P304" i="1"/>
  <c r="P429" i="1"/>
  <c r="P529" i="1"/>
  <c r="P581" i="1"/>
  <c r="P1136" i="1"/>
  <c r="P1415" i="1"/>
  <c r="P1178" i="1"/>
  <c r="P1054" i="1"/>
  <c r="P1246" i="1"/>
  <c r="P2026" i="1"/>
  <c r="P1846" i="1"/>
  <c r="P1842" i="1"/>
  <c r="P2155" i="1"/>
  <c r="P2105" i="1"/>
  <c r="P1860" i="1"/>
  <c r="P1663" i="1"/>
  <c r="P556" i="1"/>
  <c r="P478" i="1"/>
  <c r="P751" i="1"/>
  <c r="P1487" i="1"/>
  <c r="P762" i="1"/>
  <c r="P1441" i="1"/>
  <c r="P1166" i="1"/>
  <c r="P1949" i="1"/>
  <c r="P2072" i="1"/>
  <c r="P2110" i="1"/>
  <c r="P2131" i="1"/>
  <c r="P2057" i="1"/>
  <c r="P511" i="1"/>
  <c r="P992" i="1"/>
  <c r="P788" i="1"/>
  <c r="P1902" i="1"/>
  <c r="P1829" i="1"/>
  <c r="P1897" i="1"/>
  <c r="P2154" i="1"/>
  <c r="P1618" i="1"/>
  <c r="P2079" i="1"/>
  <c r="P1800" i="1"/>
  <c r="P2138" i="1"/>
  <c r="P589" i="1"/>
  <c r="P1690" i="1"/>
  <c r="P1508" i="1"/>
  <c r="P1670" i="1"/>
  <c r="P2168" i="1"/>
  <c r="P1995" i="1"/>
  <c r="P1393" i="1"/>
  <c r="P930" i="1"/>
  <c r="P1363" i="1"/>
  <c r="P1770" i="1"/>
  <c r="P1499" i="1"/>
  <c r="P2012" i="1"/>
  <c r="P2147" i="1"/>
  <c r="P1563" i="1"/>
  <c r="P360" i="1"/>
  <c r="P731" i="1"/>
  <c r="P1627" i="1"/>
  <c r="P1092" i="1"/>
  <c r="P1427" i="1"/>
  <c r="P1337" i="1"/>
  <c r="P270" i="1"/>
  <c r="P365" i="1"/>
  <c r="P441" i="1"/>
  <c r="P1554" i="1"/>
  <c r="P1824" i="1"/>
  <c r="P1459" i="1"/>
  <c r="P251" i="1"/>
  <c r="P250" i="1"/>
  <c r="P210" i="1"/>
  <c r="P217" i="1"/>
  <c r="P209" i="1"/>
  <c r="P202" i="1"/>
  <c r="P194" i="1"/>
  <c r="P176" i="1"/>
  <c r="P177" i="1"/>
  <c r="P154" i="1"/>
  <c r="P166" i="1"/>
  <c r="P143" i="1"/>
  <c r="P136" i="1"/>
  <c r="P135" i="1"/>
  <c r="P112" i="1"/>
  <c r="P111" i="1"/>
  <c r="P106" i="1"/>
  <c r="P71" i="1"/>
  <c r="P13" i="1"/>
  <c r="P50" i="1"/>
  <c r="P30" i="1"/>
  <c r="P14" i="1"/>
  <c r="P42" i="1"/>
  <c r="P51" i="1"/>
  <c r="P31" i="1"/>
  <c r="P25" i="1"/>
  <c r="P26" i="1"/>
  <c r="H2274" i="1"/>
  <c r="H2283" i="1"/>
  <c r="G2284" i="1" s="1"/>
  <c r="I1880" i="1"/>
  <c r="I1885" i="1"/>
  <c r="I1854" i="1"/>
  <c r="H2284" i="1" l="1"/>
  <c r="H2281" i="1"/>
  <c r="I2284" i="1"/>
  <c r="I2285" i="1"/>
  <c r="H2292" i="1"/>
  <c r="G2292" i="1"/>
  <c r="H2275" i="1"/>
  <c r="I2280" i="1"/>
  <c r="P1854" i="1"/>
  <c r="P1885" i="1"/>
  <c r="P1880" i="1"/>
  <c r="H2234" i="1"/>
  <c r="H2243" i="1" l="1"/>
  <c r="I2234" i="1"/>
  <c r="I2281" i="1"/>
  <c r="I2282" i="1"/>
  <c r="I2292" i="1"/>
  <c r="I2243" i="1" l="1"/>
  <c r="P2234" i="1"/>
  <c r="F2291" i="1" l="1"/>
  <c r="D2291" i="1"/>
  <c r="F2258" i="1" l="1"/>
  <c r="N2258" i="1" s="1"/>
  <c r="E4" i="1"/>
  <c r="G2291" i="1"/>
  <c r="P2259" i="1"/>
  <c r="I2291" i="1"/>
  <c r="P2235" i="1"/>
  <c r="I2257" i="1"/>
  <c r="P2257" i="1" l="1"/>
  <c r="I2258" i="1"/>
  <c r="P2258" i="1" s="1"/>
  <c r="H4" i="1"/>
  <c r="P2243" i="1"/>
</calcChain>
</file>

<file path=xl/sharedStrings.xml><?xml version="1.0" encoding="utf-8"?>
<sst xmlns="http://schemas.openxmlformats.org/spreadsheetml/2006/main" count="5952" uniqueCount="2485">
  <si>
    <t xml:space="preserve">Zakup i obejmowanie akcji oraz wnoszenie wkładów do spółek prawa handlowego </t>
  </si>
  <si>
    <t>Ewidencja mienia</t>
  </si>
  <si>
    <t>EWM</t>
  </si>
  <si>
    <t>DS3</t>
  </si>
  <si>
    <t>KND</t>
  </si>
  <si>
    <t xml:space="preserve">Zadania inwestycyjne </t>
  </si>
  <si>
    <t>ZOD</t>
  </si>
  <si>
    <t>Licea ogólnokształcące - remonty</t>
  </si>
  <si>
    <t>Zadania  inwestycyjne</t>
  </si>
  <si>
    <t>BOD</t>
  </si>
  <si>
    <t>EGM</t>
  </si>
  <si>
    <t>AZS</t>
  </si>
  <si>
    <t>Aktywni zawodowo, aktywni społecznie</t>
  </si>
  <si>
    <t>Elektromobilność w Gminie Miejskiej Kraków</t>
  </si>
  <si>
    <t>Budżet obywatelski dzielnic</t>
  </si>
  <si>
    <t>Zarząd Dróg Miasta Krakowa (ZDMK)</t>
  </si>
  <si>
    <t>Modernizacja torowisk tramwajowych w Krakowie wraz z infrastrukturą towarzyszącą</t>
  </si>
  <si>
    <t>Transport zbiorowy</t>
  </si>
  <si>
    <t>Wydział Miejskiego Inżyniera Ruchu (IR)</t>
  </si>
  <si>
    <t>Handshake</t>
  </si>
  <si>
    <t>HAN</t>
  </si>
  <si>
    <t>PARK4SUMP</t>
  </si>
  <si>
    <t>PAR</t>
  </si>
  <si>
    <t>Zarząd Transportu Publicznego (ZTP)</t>
  </si>
  <si>
    <t>Zarządzanie zasobami gruntowymi</t>
  </si>
  <si>
    <t>ZZG</t>
  </si>
  <si>
    <t>Przygotowanie i realizacja inwestycji mieszkaniowych oraz inwestycji towarzyszących</t>
  </si>
  <si>
    <t>RIM</t>
  </si>
  <si>
    <t>Obsługa  finansowo-księgowa Urzędu Miasta Krakowa</t>
  </si>
  <si>
    <t>Obsługa płac</t>
  </si>
  <si>
    <t>PLC</t>
  </si>
  <si>
    <t>BUN</t>
  </si>
  <si>
    <t>GSP</t>
  </si>
  <si>
    <t>Obsługa Urzędu Miasta Krakowa w zakresie udzielania zamówień publicznych</t>
  </si>
  <si>
    <t>Program Otwarty Kraków</t>
  </si>
  <si>
    <t>Obsługa i wypłata świadczenia Dobry Start</t>
  </si>
  <si>
    <t>Aktywni zawodowo - Aktywni społecznie</t>
  </si>
  <si>
    <t>Krakowski Teatr Scena STU (STU)</t>
  </si>
  <si>
    <t>ODA</t>
  </si>
  <si>
    <t>Muzeum Sztuki Współczesnej (MSW)</t>
  </si>
  <si>
    <t>etaty UMK</t>
  </si>
  <si>
    <t>WPP</t>
  </si>
  <si>
    <t>Specjalistyczna Poradnia Psychologiczno-Pedagogiczna  "Krakowski Ośrodek Terapii" (KOT)</t>
  </si>
  <si>
    <t xml:space="preserve">Licea ogólnokształcące - pozostała działalność </t>
  </si>
  <si>
    <t>Planowanie gospodarki niskoemisyjnej, energetyki i infrastruktury komunalnej</t>
  </si>
  <si>
    <t>Planowanie rozwoju systemu transportu</t>
  </si>
  <si>
    <t>Wsparcie samorządowych szkół i placówek oświatowych</t>
  </si>
  <si>
    <t>Biuro Nadzoru Właścicielskiego (NW)</t>
  </si>
  <si>
    <t>Biuro ds. Dzielnic Miasta Krakowa (BD)</t>
  </si>
  <si>
    <t>Krakowskie Centrum Świadczeń (SO)</t>
  </si>
  <si>
    <t>Wydział Komunikacji Społecznej (KS)</t>
  </si>
  <si>
    <t>Wydział ds. Turystyki (WT)</t>
  </si>
  <si>
    <t>Reprezentowanie interesów Gminy Miejskiej Kraków i Skarbu Państwa  w nieruchomościach z ich udziałem</t>
  </si>
  <si>
    <t>Wydział Planowania Przestrzennego (BP)</t>
  </si>
  <si>
    <t>Wydział Polityki Społecznej i Zdrowia (SZ)</t>
  </si>
  <si>
    <t>Kancelaria Rady Miasta Krakowa (BR)</t>
  </si>
  <si>
    <t>Budżet Miasta Krakowa i Wieloletnia Prognoza Finansowa - opracowanie, aktualizacja, sprawozdawczość</t>
  </si>
  <si>
    <t>Miejska Platforma Internetowa</t>
  </si>
  <si>
    <t>Działania wizerunkowe Miasta</t>
  </si>
  <si>
    <t>Analizy i prognozy finansowe</t>
  </si>
  <si>
    <t>PPF</t>
  </si>
  <si>
    <t>POK</t>
  </si>
  <si>
    <t>Karta niepełnosprawnego dziecka</t>
  </si>
  <si>
    <t>Komunikacja społeczna</t>
  </si>
  <si>
    <t>Realizacja zadań z zakresu działania SZ oraz MOPS wykonywanych przez podmioty niepubliczne</t>
  </si>
  <si>
    <t>Biuro ds. Podatku VAT (BV)</t>
  </si>
  <si>
    <t>Realizacja polityki rowerowej</t>
  </si>
  <si>
    <r>
      <t>Przynależność Gminy Miejskiej Kraków do organizacji krajowych i</t>
    </r>
    <r>
      <rPr>
        <sz val="9"/>
        <rFont val="Times New Roman"/>
        <family val="1"/>
        <charset val="238"/>
      </rPr>
      <t> </t>
    </r>
    <r>
      <rPr>
        <sz val="9"/>
        <rFont val="Arial CE"/>
        <charset val="238"/>
      </rPr>
      <t>międzynarodowych</t>
    </r>
  </si>
  <si>
    <r>
      <t>Obsługa sekretarsko - asystencka i ochrona wartości niematerialnych i</t>
    </r>
    <r>
      <rPr>
        <sz val="9"/>
        <rFont val="Times New Roman"/>
        <family val="1"/>
        <charset val="238"/>
      </rPr>
      <t> </t>
    </r>
    <r>
      <rPr>
        <sz val="9"/>
        <rFont val="Arial CE"/>
        <charset val="238"/>
      </rPr>
      <t>prawnych</t>
    </r>
  </si>
  <si>
    <t>ROW</t>
  </si>
  <si>
    <t>LO/CPO</t>
  </si>
  <si>
    <t>P/DRE</t>
  </si>
  <si>
    <t>SOSW - remonty</t>
  </si>
  <si>
    <t>SP/HUP</t>
  </si>
  <si>
    <t>ZS/DRE</t>
  </si>
  <si>
    <t>Krakowska Karta Rodzinna 3+</t>
  </si>
  <si>
    <t>KR3</t>
  </si>
  <si>
    <t>Kontrola egzekucji administracyjnej należności publicznoprawnych</t>
  </si>
  <si>
    <t>Zadania wyborcze</t>
  </si>
  <si>
    <t>Wydział Strategii, Planowania i Monitorowania Inwestycji (SI)</t>
  </si>
  <si>
    <t>Zintegrowany system zarządzania GMK</t>
  </si>
  <si>
    <t>ZSZ</t>
  </si>
  <si>
    <t>Promocja i obsługa wydarzeń organizowanych/zlecanych przez SZ</t>
  </si>
  <si>
    <t>PIO</t>
  </si>
  <si>
    <t>KMA</t>
  </si>
  <si>
    <t>MMR</t>
  </si>
  <si>
    <t>TZB</t>
  </si>
  <si>
    <t>UTC</t>
  </si>
  <si>
    <t>SPU</t>
  </si>
  <si>
    <t>XIV Liceum Ogólnokształcące (LO XIV)</t>
  </si>
  <si>
    <t>XXV Liceum Ogólnokształcące (LO XXV)</t>
  </si>
  <si>
    <t>HOR</t>
  </si>
  <si>
    <t>CLEARING HOUSE</t>
  </si>
  <si>
    <t>MCH</t>
  </si>
  <si>
    <t>RFB</t>
  </si>
  <si>
    <t>Restauracja wraz z adaptacją obiektu fortecznego na siedzibę podmiotów kultury na bazie nieruchomości zabudowanej Fortem Nr 52 Borek</t>
  </si>
  <si>
    <t>Restauracja Fortu 52a "Łapianka" i adaptacja dla Muzeum i Centrum Ruchu Harcerskiego</t>
  </si>
  <si>
    <t>Centrum Kształcenia Zawodowego Nr 1  (CKZ 1)</t>
  </si>
  <si>
    <t>Centrum Kształcenia Zawodowego i Ustawicznego  (CKZIU)</t>
  </si>
  <si>
    <t>Instytut Kultury Willa Decjusza (DECJUSZA)</t>
  </si>
  <si>
    <t>TFC</t>
  </si>
  <si>
    <t>etaty inne</t>
  </si>
  <si>
    <t>Straż Miejska Miasta Krakowa (SMMK)</t>
  </si>
  <si>
    <t>Tourism Friendly Cities</t>
  </si>
  <si>
    <t>Ośrodek Naukowo Akademicki</t>
  </si>
  <si>
    <t>ONA</t>
  </si>
  <si>
    <t>Krakow Metropolitan Area For Business</t>
  </si>
  <si>
    <t>Bieżące utrzymanie nieruchomości pozostających w zarządzie ZBK oraz w stosunku do których ZBK pełni rolę wynajmującego</t>
  </si>
  <si>
    <t>System Informacji Miejskiej</t>
  </si>
  <si>
    <t>SIM</t>
  </si>
  <si>
    <t>Utrzymanie i remonty fontann, pitników i brodzików</t>
  </si>
  <si>
    <t>Poprawa efektywności energetycznej gminnych budynków użyteczności publicznej</t>
  </si>
  <si>
    <t>PEE</t>
  </si>
  <si>
    <t>Budowa linii tramwajowej KST etap III (os. Krowodrza Górka - Górka Narodowa) wraz z budową dwupoziomowego skrzyżowania w ciągu ul. Opolskiej</t>
  </si>
  <si>
    <t>Obsługa zadań inwestycyjnych dzielnic</t>
  </si>
  <si>
    <t>Audit jakości, działalność doradcza i rozwój narzędzi</t>
  </si>
  <si>
    <t>Program mobilności ponadnarodowej</t>
  </si>
  <si>
    <t>P/HUP</t>
  </si>
  <si>
    <t>MCOO - Program mobilności ponadnarodowej</t>
  </si>
  <si>
    <t>Zarządzanie i monitoring finansami środowiskowymi</t>
  </si>
  <si>
    <t>ZFS</t>
  </si>
  <si>
    <t>Udostępnianie informacji o środowisku</t>
  </si>
  <si>
    <t>INŚ</t>
  </si>
  <si>
    <t>Sami - Dzielni</t>
  </si>
  <si>
    <t>Aktywizacja Społeczeństwa Obywatelskiego</t>
  </si>
  <si>
    <t>ASO</t>
  </si>
  <si>
    <t>Współpraca z Organizacjami Pozarządowymi</t>
  </si>
  <si>
    <t>WZO</t>
  </si>
  <si>
    <t>Atelier</t>
  </si>
  <si>
    <t>ATE</t>
  </si>
  <si>
    <t>ClimateKIC - Zeroemisyjny Kraków</t>
  </si>
  <si>
    <t>CLI</t>
  </si>
  <si>
    <t>Centralizacja podatkowa GMK w zakresie podatku VAT</t>
  </si>
  <si>
    <t>Finansowanie Klubów Radnych</t>
  </si>
  <si>
    <t>Obsługa dzielnic organizacja</t>
  </si>
  <si>
    <t>BRO</t>
  </si>
  <si>
    <t>Baza Referencyjna - Osoby</t>
  </si>
  <si>
    <t>ELA</t>
  </si>
  <si>
    <t>EKO TEAM zapewnienie personelu do realizacji zadań dot. poprawy efektywności energetycznej budynków mieszkalnych i rozwoju OZE w Metropolii Krakowskiej</t>
  </si>
  <si>
    <t>Obsługa finansowo-księgowa oraz sprawozdawczość budżetu Miasta Krakowa</t>
  </si>
  <si>
    <t>Wydział ds. Przedsiębiorczości i Innowacji (PI)</t>
  </si>
  <si>
    <t>etaty wszystkie</t>
  </si>
  <si>
    <t>OZA</t>
  </si>
  <si>
    <t>Klimat - Energia - Gospodarka Wodna (KEGW)</t>
  </si>
  <si>
    <t>MEP</t>
  </si>
  <si>
    <t>Mobilność edukacyjna POWER</t>
  </si>
  <si>
    <t>Capella Cracoviensis (CC)</t>
  </si>
  <si>
    <t>Balet Dworski Cracovia Danza (CD)</t>
  </si>
  <si>
    <t>Realizacja zadań Pełnomocnika PMK ds. Rozwoju Kultury Fizycznej</t>
  </si>
  <si>
    <t>Zwroty dotacji oraz płatności, w tym wykorzystanych niezgodnie z przeznaczeniem lub wykorzystanych z naruszeniem procedur, o których mowa w art.184 ustawy, pobranych nienależnie lub w nadmiernej wysokości, dotyczące wydatków majątkowych</t>
  </si>
  <si>
    <t>DRE</t>
  </si>
  <si>
    <t>ZIN</t>
  </si>
  <si>
    <t>DIR, DIW</t>
  </si>
  <si>
    <t>Staromiejskie Centrum Kultury Młodzieży (SCKM)</t>
  </si>
  <si>
    <t>Wydział Finansowy (FK)</t>
  </si>
  <si>
    <t>Wydział Geodezji (GD)</t>
  </si>
  <si>
    <t>Szkoła Podstawowa Nr 53 (SP 53)</t>
  </si>
  <si>
    <t>Regulacja stanów prawnych nieruchomości</t>
  </si>
  <si>
    <t xml:space="preserve">Wydawanie decyzji w zakresie ewidencji gruntów i budynków </t>
  </si>
  <si>
    <t>Ochrona zieleni</t>
  </si>
  <si>
    <t>Obsługa administracyjno-techniczna zadań</t>
  </si>
  <si>
    <t>Utrzymanie stałej aktualności tablic z nazwami ulic i placów</t>
  </si>
  <si>
    <t>Zarząd Cmentarzy Komunalnych (ZCK)</t>
  </si>
  <si>
    <t>Wydawanie uprawnień do kierowania pojazdami</t>
  </si>
  <si>
    <t>Wydział Kultury i Dziedzictwa Narodowego (KD)</t>
  </si>
  <si>
    <t xml:space="preserve">Prowadzenie instytucji kultury </t>
  </si>
  <si>
    <t>Rozwiązywanie problemów uzależnień</t>
  </si>
  <si>
    <t>Muzeum Armii Krajowej (MAK)</t>
  </si>
  <si>
    <t>Muzeum Historyczne Miasta Krakowa (MHMK)</t>
  </si>
  <si>
    <t>Pozostałe zadania w zakresie kultury fizycznej</t>
  </si>
  <si>
    <t>Muzeum Historii Fotografii (MHF)</t>
  </si>
  <si>
    <t>Monitoring zaopatrzenia w media</t>
  </si>
  <si>
    <t>Działania w zakresie gospodarki odpadami</t>
  </si>
  <si>
    <t>Ochrona dziedzictwa kulturowego</t>
  </si>
  <si>
    <t xml:space="preserve">- Zadania oświatowe </t>
  </si>
  <si>
    <t>Nowohuckie Centrum Kultury (NCK)</t>
  </si>
  <si>
    <t>Wydział Mieszkalnictwa (ML)</t>
  </si>
  <si>
    <t>Obsługa spraw mieszkaniowych</t>
  </si>
  <si>
    <t>Działalność kulturalna instytucji</t>
  </si>
  <si>
    <t>Zarząd Budynków Komunalnych (ZBK)</t>
  </si>
  <si>
    <t>Działalność podstawowa</t>
  </si>
  <si>
    <t>Centrum Administracyjne Nr 2 (CA 2)</t>
  </si>
  <si>
    <t>Realizacja zadań związanych z problematyką osób niepełnosprawnych</t>
  </si>
  <si>
    <t>Biuro Miejskiego Konserwatora Zabytków (KZ)</t>
  </si>
  <si>
    <t>Zadania Miejskiego Konserwatora Zabytków</t>
  </si>
  <si>
    <t>Specjalny Ośrodek Szkolno - Wychowawczy Centrum Autyzmu i Całościowych Zaburzeń Rozwojowych (SOSWCA)</t>
  </si>
  <si>
    <t>Dekoracja Miasta Krakowa</t>
  </si>
  <si>
    <t>Wydział Kształtowania Środowiska (WS)</t>
  </si>
  <si>
    <t>Edukacja ekologiczna</t>
  </si>
  <si>
    <t>Oceny środowiskowe</t>
  </si>
  <si>
    <t>Działania w zakresie geologii i ochrony powierzchni ziemi</t>
  </si>
  <si>
    <t>Informacje medialne oraz relacje publiczne</t>
  </si>
  <si>
    <t>Kwalifikacja wojskowa</t>
  </si>
  <si>
    <t>Wydawanie decyzji na sprowadzanie zwłok i szczątków ludzkich z obcego państwa, biuro rzeczy znalezionych</t>
  </si>
  <si>
    <t>System zarządzania jakością</t>
  </si>
  <si>
    <t>Wydawanie decyzji administracyjnych</t>
  </si>
  <si>
    <t>Prowadzenie jednostki</t>
  </si>
  <si>
    <t>Powiatowy Inspektorat Nadzoru Budowlanego (PINB)</t>
  </si>
  <si>
    <t>Komenda Miejska Państwowej Straży Pożarnej (KMPSP)</t>
  </si>
  <si>
    <t>Grodzki Urząd Pracy (GUP)</t>
  </si>
  <si>
    <t xml:space="preserve">Prowadzenie jednostki </t>
  </si>
  <si>
    <t>Wydział Organizacji i Nadzoru (OR)</t>
  </si>
  <si>
    <t>Wydział Skarbu Miasta (GS)</t>
  </si>
  <si>
    <t>Ośrodek Kultury Biblioteka Polskiej Piosenki  (BPP)</t>
  </si>
  <si>
    <t>Miejski Dzienny Dom Pomocy Społecznej (MDDPS)</t>
  </si>
  <si>
    <t>Generalny Rejestr Umów i Zleceń</t>
  </si>
  <si>
    <t>Reintegracja zawodowa i społeczna osób bezrobotnych</t>
  </si>
  <si>
    <t>Gospodarowanie nieruchomościami Skarbu Państwa</t>
  </si>
  <si>
    <t>Zespół Szkół Ogólnokształcących Nr 13 (ZSO 13)</t>
  </si>
  <si>
    <t>Gospodarowanie nieruchomościami Gminy Miejskiej Kraków</t>
  </si>
  <si>
    <t>Zadania związane z ochroną środowiska i gospodarką wodną</t>
  </si>
  <si>
    <t>Udział Gminy w spółkach handlowych i fundacjach</t>
  </si>
  <si>
    <t>Wydział Spraw Administracyjnych (SA)</t>
  </si>
  <si>
    <t>Orzekanie w sprawach meldunkowych</t>
  </si>
  <si>
    <t>Zespół Szkół Ogólnokształcących Nr 9  (ZSO 9)</t>
  </si>
  <si>
    <t>Zespół Szkół Ogólnokształcących Nr 7 (ZSO 7)</t>
  </si>
  <si>
    <t>Ochrona praw konsumentów</t>
  </si>
  <si>
    <t>Przewóz osób niepełnosprawnych</t>
  </si>
  <si>
    <t>Realizacja programu profilaktyki i promocji zdrowia</t>
  </si>
  <si>
    <t>Opieka nad repatriantami</t>
  </si>
  <si>
    <t xml:space="preserve">Rejestracja pojazdów </t>
  </si>
  <si>
    <t>Miejski Ośrodek Pomocy Społecznej (MOPS)</t>
  </si>
  <si>
    <t>Szkoła Podstawowa Nr 26 (SP 26)</t>
  </si>
  <si>
    <t>Szkoła Podstawowa Nr 55 (SP 55)</t>
  </si>
  <si>
    <t>Szkoła Podstawowa Nr 64  (SP 64)</t>
  </si>
  <si>
    <t>Środowiskowy Dom Samopomocy (ŚDS)</t>
  </si>
  <si>
    <t>Ośrodek Interwencji Kryzysowej (OIK)</t>
  </si>
  <si>
    <t>Utrzymanie infrastruktury komunikacji tramwajowej</t>
  </si>
  <si>
    <t>Zarząd Infrastruktury Sportowej  (ZIS)</t>
  </si>
  <si>
    <t>Zabezpieczenie ruchu</t>
  </si>
  <si>
    <t>Kształtowanie środowiska przyrodniczego, rolnictwo i zwierzęta</t>
  </si>
  <si>
    <t>Zarządzanie obiektami sportowo-rekreacyjnymi</t>
  </si>
  <si>
    <t>Polityka mieszkaniowa Gminy Miejskiej Kraków oraz monitorowanie gospodarki mieszkaniowej Gminy</t>
  </si>
  <si>
    <t>Nadzór nad działalnością regulowaną i transportem drogowym</t>
  </si>
  <si>
    <t>SOSW/DRE</t>
  </si>
  <si>
    <t>SP/DRE</t>
  </si>
  <si>
    <t xml:space="preserve">Postępowania administracyjne </t>
  </si>
  <si>
    <t>Obsługa i wypłata świadczeń rodzinnych oraz z funduszu alimentacyjnego</t>
  </si>
  <si>
    <t>Nadzór i koordynacja zadań obrony cywilnej i powszechnej samoobrony</t>
  </si>
  <si>
    <t xml:space="preserve">Nadzór nad systemami informatycznymi </t>
  </si>
  <si>
    <t>Prowadzenie ewidencji ludności i wydawanie dowodów osobistych</t>
  </si>
  <si>
    <t>Organizacja handlu i usług oraz sprawy rybactwa śródlądowego</t>
  </si>
  <si>
    <t>Zezwolenia na sprzedaż napojów alkoholowych</t>
  </si>
  <si>
    <t>Międzyszkolny Ośrodek Sportowy - Wschód (MOS-W)</t>
  </si>
  <si>
    <t>Międzyszkolny Ośrodek Sportowy - Zachód (MOS-Z)</t>
  </si>
  <si>
    <t>Urząd Stanu Cywilnego (SC)</t>
  </si>
  <si>
    <t>w tym:</t>
  </si>
  <si>
    <t>Udziały w spółkach</t>
  </si>
  <si>
    <t>– ogólna</t>
  </si>
  <si>
    <t>Zespół Szkół Specjalnych Nr 14 (ZSS 14)</t>
  </si>
  <si>
    <t>Wydział Bezpieczeństwa i Zarządzania Kryzysowego (OC)</t>
  </si>
  <si>
    <t>Infrastruktura i obsługa Magistratu</t>
  </si>
  <si>
    <t xml:space="preserve">Obsługa Dzielnic </t>
  </si>
  <si>
    <t>Ochrona przed powodzią</t>
  </si>
  <si>
    <t>– celowe na zadania inwestycyjne</t>
  </si>
  <si>
    <t xml:space="preserve">w zł </t>
  </si>
  <si>
    <t>%</t>
  </si>
  <si>
    <t>Jednostka - nazwa zadania</t>
  </si>
  <si>
    <t>Zespół Placówek Resocjalizacyjno - Socjoterapeutycznych (ZPRS)</t>
  </si>
  <si>
    <t>Wydatki na</t>
  </si>
  <si>
    <t>Wydatki</t>
  </si>
  <si>
    <t>utrzymanie</t>
  </si>
  <si>
    <t>na zadania</t>
  </si>
  <si>
    <t>rzeczowe</t>
  </si>
  <si>
    <t>stanowiska</t>
  </si>
  <si>
    <t>ogółem</t>
  </si>
  <si>
    <t>pracy</t>
  </si>
  <si>
    <t>Wydatki bieżące</t>
  </si>
  <si>
    <t xml:space="preserve"> </t>
  </si>
  <si>
    <t>Planowanie przestrzenne Miasta Krakowa</t>
  </si>
  <si>
    <t>Kancelaria Prezydenta (KP)</t>
  </si>
  <si>
    <t>Kontakty publiczne</t>
  </si>
  <si>
    <t>Obsługa Rady Miasta Krakowa</t>
  </si>
  <si>
    <t>Żłobek nr 20 (Ż 20)</t>
  </si>
  <si>
    <t>Wydział Architektury i Urbanistyki (AU)</t>
  </si>
  <si>
    <t>Przygotowanie i realizacja projektów współfinansowanych ze środków bezzwrotnych</t>
  </si>
  <si>
    <t>Obsługa przepływu poczty w Urzędzie Miasta Krakowa, udzielanie informacji</t>
  </si>
  <si>
    <t>Wydział Budżetu Miasta (BM)</t>
  </si>
  <si>
    <t>Wydział Edukacji (EK)</t>
  </si>
  <si>
    <t>– celowe na zadania bieżące</t>
  </si>
  <si>
    <t>Współpraca zagraniczna</t>
  </si>
  <si>
    <t>Kancelaria Tajna</t>
  </si>
  <si>
    <t>Rozpatrywanie skarg i wniosków</t>
  </si>
  <si>
    <t>Obsługa prawna</t>
  </si>
  <si>
    <t>Obsługa zintegrowanego systemu teleinformatycznego</t>
  </si>
  <si>
    <t>Żłobek nr 33 (Ż 33)</t>
  </si>
  <si>
    <t>Remonty i konserwacje budynków UMK</t>
  </si>
  <si>
    <t>Ubezpieczenie mienia UMK</t>
  </si>
  <si>
    <t>Szkoły podstawowe - zadania realizowane na podstawie umów i porozumień</t>
  </si>
  <si>
    <t>Wydział Podatków i Opłat (PD)</t>
  </si>
  <si>
    <t xml:space="preserve">  </t>
  </si>
  <si>
    <t xml:space="preserve">Pozyskiwanie lokali mieszkalnych oraz nadzór nad stanem technicznym lokali i budynków </t>
  </si>
  <si>
    <t>9:3</t>
  </si>
  <si>
    <t>11:5</t>
  </si>
  <si>
    <t>11:8</t>
  </si>
  <si>
    <t>9:6</t>
  </si>
  <si>
    <t xml:space="preserve">Zarządzanie infrastrukturą Urzędu </t>
  </si>
  <si>
    <t>Żłobek nr 1 (Ż 1)</t>
  </si>
  <si>
    <t>Żłobek nr 2 (Ż 2)</t>
  </si>
  <si>
    <t>Żłobek nr 5 (Ż 5)</t>
  </si>
  <si>
    <t>Żłobek nr 6 (Ż 6)</t>
  </si>
  <si>
    <t>Żłobek nr 7 (Ż 7)</t>
  </si>
  <si>
    <t>Żłobek nr 13 (Ż 13)</t>
  </si>
  <si>
    <t>Żłobek nr 25 (Ż 25)</t>
  </si>
  <si>
    <t xml:space="preserve">Współudział w ochronie bezpieczeństwa i porządku publicznego na terenie Krakowa </t>
  </si>
  <si>
    <t>Obsługa Miejskiego Systemu Informacji Przestrzennej</t>
  </si>
  <si>
    <t>Żłobek nr 28 (Ż 28)</t>
  </si>
  <si>
    <t>Żłobek nr 30 (Ż 30)</t>
  </si>
  <si>
    <t>Żłobek nr 31 (Ż 31)</t>
  </si>
  <si>
    <t>Żłobek nr 32 (Ż 32)</t>
  </si>
  <si>
    <t>Zarządzanie ruchem</t>
  </si>
  <si>
    <t>Wykonywanie zadań audytowych w UMK i koordynacja audytu wewnętrznego w miejskich jednostkach organizacyjnych</t>
  </si>
  <si>
    <t>Działania zmierzające do poprawy bezpieczeństwa imprez masowych</t>
  </si>
  <si>
    <t>Zadania związane z zasobem geodezyjnym i kartograficznym</t>
  </si>
  <si>
    <t>Obsługa realizacji zadań ZBK</t>
  </si>
  <si>
    <t>Odszkodowania za nieruchomości nabyte z mocy prawa na realizację inwestycji drogowych</t>
  </si>
  <si>
    <t>Planowanie strategiczne rozwoju miasta</t>
  </si>
  <si>
    <t>Organizowanie opieki nad dzieckiem do lat 3</t>
  </si>
  <si>
    <t>Miejskie Programy Sportowe</t>
  </si>
  <si>
    <t>Upowszechnianie sportu</t>
  </si>
  <si>
    <t>System zarządzania bezpieczeństwem informacji</t>
  </si>
  <si>
    <t>Obsługa spotkań Prezydenta Miasta z mieszkańcami</t>
  </si>
  <si>
    <t>Działalność gospodarcza</t>
  </si>
  <si>
    <t>Obsługa inwestorów</t>
  </si>
  <si>
    <t>Obsługa Miejskiej Komisji Rozwiązywania Problemów Alkoholowych</t>
  </si>
  <si>
    <t>Wydział Sportu (SP)</t>
  </si>
  <si>
    <t>Realizacja zadań wspierających krakowskie rodziny</t>
  </si>
  <si>
    <t>Realizacja obowiązków Gminy Miejskiej Kraków w zakresie finansowania OSP</t>
  </si>
  <si>
    <t>Utrzymanie i remonty dróg</t>
  </si>
  <si>
    <t>Oświetlenie uliczne</t>
  </si>
  <si>
    <t>Zadania inwestycyjne dzielnic</t>
  </si>
  <si>
    <t>wydatki ze środków zagranicznych niepodlegających zwrotowi</t>
  </si>
  <si>
    <t xml:space="preserve">Szkoły podstawowe - pozostała działalność </t>
  </si>
  <si>
    <t>Specjalistyczna Poradnia Psychologiczno-Pedagogiczna dla Dzieci z Niepowodzeniami Edukacyjnymi (SPPP)</t>
  </si>
  <si>
    <t>Szkoła Podstawowa Nr 27 (SP 27)</t>
  </si>
  <si>
    <t>Szkoła Podstawowa Nr 29 (SP 29)</t>
  </si>
  <si>
    <t>Zespół Szkół Ogólnokształcących Nr 18 (ZSO 18)</t>
  </si>
  <si>
    <t>Zespół Szkół Zawodowych Nr 2 (ZSZ 2)</t>
  </si>
  <si>
    <t>Centrum Administracyjne Nr 1 (CA 1)</t>
  </si>
  <si>
    <t>Realizacja zadań Gminy Miejskiej Kraków w obszarze ochrony zdrowia</t>
  </si>
  <si>
    <t>Szkoła Podstawowa Nr 2 (SP 2)</t>
  </si>
  <si>
    <t>Szkoła Podstawowa Nr 30 (SP 30)</t>
  </si>
  <si>
    <t>Szkoła Podstawowa Nr 144  (SP 144)</t>
  </si>
  <si>
    <t>Zespół Szkolno - Przedszkolny Nr 1 (ZSP 1)</t>
  </si>
  <si>
    <t>Zespół Szkolno - Przedszkolny Nr 8 (ZSP 8)</t>
  </si>
  <si>
    <t>Windykacja należności cywilnoprawnych</t>
  </si>
  <si>
    <t>Egzekucja administracyjna należności publicznoprawnych</t>
  </si>
  <si>
    <t>Szkoła Podstawowa Nr 36 (SP 36)</t>
  </si>
  <si>
    <t>Uzgadnianie i opiniowanie inwestycji drogowych</t>
  </si>
  <si>
    <t>Zintegrowany system gospodarowania odpadami komunalnymi na terenie Gminy Miejskiej Kraków</t>
  </si>
  <si>
    <t>Rewitalizacja miasta</t>
  </si>
  <si>
    <t>Wspieranie przedsiębiorczości</t>
  </si>
  <si>
    <t>Pomoc rodzinom i osobom zagrożonym i dotkniętym problemem ubóstwa</t>
  </si>
  <si>
    <t>Wsparcie rodziny, przeciwdziałanie przemocy i organizacja społeczności lokalnej</t>
  </si>
  <si>
    <t>Wsparcie osób starszych i niepełnosprawnych</t>
  </si>
  <si>
    <t>Wsparcie osób z zaburzeniami psychicznymi i ich rodzin</t>
  </si>
  <si>
    <t xml:space="preserve">Nadzór i realizacja Programów Bezpieczeństwa w mieście </t>
  </si>
  <si>
    <t>Przedszkole Nr 135 (P 135)</t>
  </si>
  <si>
    <t>Zadania realizowane na podstawie umów i porozumień</t>
  </si>
  <si>
    <t>Realizacja dochodów budżetowych w zakresie podatków i opłat oraz należności cywilnoprawnych</t>
  </si>
  <si>
    <t>Wydział Ewidencji Pojazdów i Kierowców (KM)</t>
  </si>
  <si>
    <t>Wydział Obsługi Urzędu (OU)</t>
  </si>
  <si>
    <t>Obsługa i wypłata dodatków mieszkaniowych</t>
  </si>
  <si>
    <t>Utrzymanie, remonty obiektów inżynierskich</t>
  </si>
  <si>
    <t>Systemy i usługi informacyjne</t>
  </si>
  <si>
    <t>Przedszkola -  działalność podstawowa</t>
  </si>
  <si>
    <t>Szkoły podstawowe - działalność podstawowa</t>
  </si>
  <si>
    <t>Zespół Radców Prawnych (PR)</t>
  </si>
  <si>
    <t>Pozostała działalność</t>
  </si>
  <si>
    <t>Żłobek nr 18 (Ż 18)</t>
  </si>
  <si>
    <t>Żłobek nr 24 (Ż 24)</t>
  </si>
  <si>
    <t>Prowadzenie archiwum</t>
  </si>
  <si>
    <t>Funkcjonowanie Magistratu</t>
  </si>
  <si>
    <t xml:space="preserve">Realizacja zadań obronnych </t>
  </si>
  <si>
    <t>Teatr KTO (KTO)</t>
  </si>
  <si>
    <t>Remonty</t>
  </si>
  <si>
    <t>Specjalny Ośrodek Szkolno - Wychowawczy Nr 1 (SOSW 1)</t>
  </si>
  <si>
    <t>Specjalny Ośrodek Szkolno - Wychowawczy Nr 3 (SOSW 3)</t>
  </si>
  <si>
    <t>Specjalny Ośrodek Szkolno - Wychowawczy Nr 4 (SOSW 4)</t>
  </si>
  <si>
    <t>Utrzymanie elementów systemu odwodnienia oraz zaopatrzenie magazynu przeciwpowodziowego</t>
  </si>
  <si>
    <t>Specjalny Ośrodek Szkolno - Wychowawczy Nr 6 (SOSW 6)</t>
  </si>
  <si>
    <t>Organizacja i nadzór nad funkcjonowaniem samorządowej oświaty</t>
  </si>
  <si>
    <t>Jakość i promocja edukacji</t>
  </si>
  <si>
    <t>Programy edukacyjne współfinansowane ze źródeł zewnętrznych</t>
  </si>
  <si>
    <t>Prowadzenie ewidencji i rejestrów, dotowanie szkół i placówek niesamorządowych</t>
  </si>
  <si>
    <t>Zespół Szkół Ekonomicznych Nr 1 (ZSE 1)</t>
  </si>
  <si>
    <t>Zespół Szkół Ekonomicznych Nr 2 (ZSE 2)</t>
  </si>
  <si>
    <t>Zespół Szkół Energetycznych (ZSEN)</t>
  </si>
  <si>
    <t>Zespół Szkół Mechanicznych Nr 2 (ZSM 2)</t>
  </si>
  <si>
    <t>Zespół Szkół Mechanicznych Nr 3 (ZSM 3)</t>
  </si>
  <si>
    <t>Zespół Szkół Chemicznych (ZSCH)</t>
  </si>
  <si>
    <t>Zespół Szkół Łączności (ZSŁ)</t>
  </si>
  <si>
    <t>Organizowanie pieczy zastępczej</t>
  </si>
  <si>
    <t>Nadzór nad placówkami sportowo - rekreacyjnymi</t>
  </si>
  <si>
    <t>Utrzymanie czystości i porządku na terenie Gminy Miejskiej Kraków</t>
  </si>
  <si>
    <t xml:space="preserve">Zintegrowany system gospodarowania odpadami komunalnymi </t>
  </si>
  <si>
    <t>Zespół Szkół Przemysłu Spożywczego (ZSPSP)</t>
  </si>
  <si>
    <t>Utrzymanie, remonty obiektów rekreacyjno-sportowych oraz obsługa inwestycji sportowych</t>
  </si>
  <si>
    <t>Koszty związane z pozyskiwaniem terenów i realizacją roszczeń odszkodowawczych</t>
  </si>
  <si>
    <t>Realizacja Programu Młody Kraków</t>
  </si>
  <si>
    <t>Miejskie Centrum Profilaktyki Uzależnień (MCPU)</t>
  </si>
  <si>
    <t>Obsługa realizacji zadań Straży Miejskiej Miasta Krakowa</t>
  </si>
  <si>
    <t>Orzekanie o niepełnosprawności i stopniu niepełnosprawności</t>
  </si>
  <si>
    <t>Przedszkola - zadania realizowane na podstawie umów i porozumień</t>
  </si>
  <si>
    <t>Krakowski Szkolny Ośrodek Sportowy (KSOS)</t>
  </si>
  <si>
    <t>Szkolne Schronisko Młodzieżowe (SSM)</t>
  </si>
  <si>
    <t>Zespół Audytu Wewnętrznego (ZA)</t>
  </si>
  <si>
    <t>Żłobek nr 12 (Ż 12)</t>
  </si>
  <si>
    <t>Żłobek nr 14 (Ż 14)</t>
  </si>
  <si>
    <t>Żłobek nr 19 (Ż 19)</t>
  </si>
  <si>
    <t>Żłobek nr 21 (Ż 21)</t>
  </si>
  <si>
    <t>Żłobek nr 22 (Ż 22)</t>
  </si>
  <si>
    <t>Żłobek nr 23 (Ż 23)</t>
  </si>
  <si>
    <t>Żłobek nr 27 (Ż 27)</t>
  </si>
  <si>
    <t>Akronim</t>
  </si>
  <si>
    <t>DKI</t>
  </si>
  <si>
    <t>PJB</t>
  </si>
  <si>
    <t>HUP</t>
  </si>
  <si>
    <t>CPO</t>
  </si>
  <si>
    <t>APO</t>
  </si>
  <si>
    <t>ZOS</t>
  </si>
  <si>
    <t>Specjalny Ośrodek Szkolno - Wychowawczy dla Niesłyszących  (SOSWN-G)</t>
  </si>
  <si>
    <t>Poradnia Psychologiczno-Pedagogiczna Nr 1 (PPP 1)</t>
  </si>
  <si>
    <t>Poradnia Psychologiczno-Pedagogiczna Nr 2 (PPP 2)</t>
  </si>
  <si>
    <t>Poradnia Psychologiczno-Pedagogiczna Nr 3 (PPP 3)</t>
  </si>
  <si>
    <t>Poradnia Psychologiczno-Pedagogiczna Nr 4 (PPP 4)</t>
  </si>
  <si>
    <t>Zespół Szkół Elektrycznych Nr 1 (ZSEL 1)</t>
  </si>
  <si>
    <t>Zespół Szkół Elektrycznych Nr 2 (ZSEL 2)</t>
  </si>
  <si>
    <t>Zespół Szkół Mechanicznych Nr 1 (ZSM 1)</t>
  </si>
  <si>
    <t>Zespół Szkół Budowlanych Nr 1 (ZSB 1)</t>
  </si>
  <si>
    <t>Zespół Szkół Odzieżowych Nr 1 (ZSODZ 1)</t>
  </si>
  <si>
    <t>Zespół Szkół Gastronomicznych Nr 1 (ZSG 1)</t>
  </si>
  <si>
    <t>Zespół Szkół Gastronomicznych Nr 2 (ZSG 2)</t>
  </si>
  <si>
    <t>Zespół Szkół Poligraficzno - Medialnych (ZSPM)</t>
  </si>
  <si>
    <t>Młodzieżowy Dom Kultury - Reymonta (MDK-RE)</t>
  </si>
  <si>
    <t>Młodzieżowy Dom Kultury - Na Stoku (MDK-NS)</t>
  </si>
  <si>
    <t>Młodzieżowy Dom Kultury - Tysiąclecia (MDK-1000)</t>
  </si>
  <si>
    <t>Młodzieżowy Dom Kultury - os. Kalinowe (MDK-KA)</t>
  </si>
  <si>
    <t>Młodzieżowy Dom Kultury - Beskidzka (MDK-BE)</t>
  </si>
  <si>
    <t>Młodzieżowy Dom Kultury - Grunwaldzka (MDK-GR)</t>
  </si>
  <si>
    <t>Młodzieżowy Dom Kultury - Lotnicza (MDK-LO)</t>
  </si>
  <si>
    <t>Młodzieżowy Dom Kultury - 29 Listopada (MDK-29)</t>
  </si>
  <si>
    <t>Międzyszkolny Ludowy Zespół Pieśni i Tańca "Krakowiak" (MLZPIT)</t>
  </si>
  <si>
    <t>Ośrodek Kultury im. C.K. Norwida (OKNOR)</t>
  </si>
  <si>
    <t>Ośrodek Kultury Kraków - Nowa Huta (OKNH)</t>
  </si>
  <si>
    <t>CKF</t>
  </si>
  <si>
    <t>MKA</t>
  </si>
  <si>
    <t>Dom Pomocy Społecznej, ul. Rozrywka 1 (DPS-RO)</t>
  </si>
  <si>
    <t>Dom Pomocy Społecznej, ul. Babińskiego 25 (DPS-BA)</t>
  </si>
  <si>
    <t>Dom Pomocy Społecznej, ul. Helclów 2 (DPS-HE)</t>
  </si>
  <si>
    <t>Dom Pomocy Społecznej, ul. Kluzeka 6 (DPS-KL)</t>
  </si>
  <si>
    <t>LO/DRE</t>
  </si>
  <si>
    <t>Dom Pomocy Społecznej, ul. Krakowska 55 (DPS-KR)</t>
  </si>
  <si>
    <t>Dom Pomocy Społecznej, ul. Łanowa 39 (DPS-Ł39)</t>
  </si>
  <si>
    <t>Dom Pomocy Społecznej, ul. Łanowa 41 (DPS-Ł41)</t>
  </si>
  <si>
    <t>Dom Pomocy Społecznej, ul. Łanowa 43 (DPS-Ł43)</t>
  </si>
  <si>
    <t>Dom Pomocy Społecznej, ul. Nowaczyńskiego 1 (DPS-NO)</t>
  </si>
  <si>
    <t>Dom Pomocy Społecznej, ul. Praska 25 (DPS-PR)</t>
  </si>
  <si>
    <t>Dom Pomocy Społecznej, ul. Radziwiłłowska 8 (DPS-RA)</t>
  </si>
  <si>
    <t>PBK</t>
  </si>
  <si>
    <t>Centrum Placówek Opiekuńczo-Wychowawczych "Parkowa" (CPOW-P)</t>
  </si>
  <si>
    <t>SGO</t>
  </si>
  <si>
    <t>OPP</t>
  </si>
  <si>
    <t>PIK</t>
  </si>
  <si>
    <t>WDK</t>
  </si>
  <si>
    <t>RWP</t>
  </si>
  <si>
    <t>ODK</t>
  </si>
  <si>
    <t>PKM</t>
  </si>
  <si>
    <t>EIT</t>
  </si>
  <si>
    <t>OIN</t>
  </si>
  <si>
    <t>RID</t>
  </si>
  <si>
    <t>UEZ</t>
  </si>
  <si>
    <t>JPR</t>
  </si>
  <si>
    <t>P/APO</t>
  </si>
  <si>
    <t>SP/APO</t>
  </si>
  <si>
    <t>DNR</t>
  </si>
  <si>
    <t>SP/CPO</t>
  </si>
  <si>
    <t>PRP</t>
  </si>
  <si>
    <t>ZSI</t>
  </si>
  <si>
    <t>PMI</t>
  </si>
  <si>
    <t>Koordynacja i obsługa administracyjna biura</t>
  </si>
  <si>
    <t>OZK</t>
  </si>
  <si>
    <t>RDB</t>
  </si>
  <si>
    <t>OIS</t>
  </si>
  <si>
    <t>UTR</t>
  </si>
  <si>
    <t>ZOB</t>
  </si>
  <si>
    <t>USC</t>
  </si>
  <si>
    <t>ISN</t>
  </si>
  <si>
    <t>PPM</t>
  </si>
  <si>
    <t>I Liceum Ogólnokształcące (LO I)</t>
  </si>
  <si>
    <t xml:space="preserve">V Liceum Ogólnokształcące (LO V) </t>
  </si>
  <si>
    <t>VI Liceum Ogólnokształcące (LO VI)</t>
  </si>
  <si>
    <t>VII Liceum Ogólnokształcące (LO VII)</t>
  </si>
  <si>
    <t>VIII Liceum Ogólnokształcące (LO VIII)</t>
  </si>
  <si>
    <t>IX Liceum Ogólnokształcące (LO IX)</t>
  </si>
  <si>
    <t>X Liceum Ogólnokształcące (LO X)</t>
  </si>
  <si>
    <t>XIII Liceum Ogólnokształcące (LO XIII)</t>
  </si>
  <si>
    <t>XX Liceum Ogólnokształcące (LO XX)</t>
  </si>
  <si>
    <t>XXI Liceum Ogólnokształcące (LO XXI)</t>
  </si>
  <si>
    <t>XXVIII Liceum Ogólnokształcące (LO XXVIII)</t>
  </si>
  <si>
    <t>UBO</t>
  </si>
  <si>
    <t>PRZ</t>
  </si>
  <si>
    <t>PZA</t>
  </si>
  <si>
    <t>PSN</t>
  </si>
  <si>
    <t>PPS</t>
  </si>
  <si>
    <t>REI</t>
  </si>
  <si>
    <t>OBA</t>
  </si>
  <si>
    <t>EMI</t>
  </si>
  <si>
    <t>BWZ</t>
  </si>
  <si>
    <t>SPM</t>
  </si>
  <si>
    <t>BWK</t>
  </si>
  <si>
    <t>ORG</t>
  </si>
  <si>
    <t>KTU</t>
  </si>
  <si>
    <t>ZDK</t>
  </si>
  <si>
    <t>SKZ</t>
  </si>
  <si>
    <t>WPH</t>
  </si>
  <si>
    <t>EKO</t>
  </si>
  <si>
    <t>OOS</t>
  </si>
  <si>
    <t>ZIE</t>
  </si>
  <si>
    <t>GEO</t>
  </si>
  <si>
    <t>PRL</t>
  </si>
  <si>
    <t>RPJ</t>
  </si>
  <si>
    <t>RRP</t>
  </si>
  <si>
    <t>RTD</t>
  </si>
  <si>
    <t>RPA</t>
  </si>
  <si>
    <t>DMK</t>
  </si>
  <si>
    <t>DGO</t>
  </si>
  <si>
    <t>USZ</t>
  </si>
  <si>
    <t>UKZ</t>
  </si>
  <si>
    <t>UOI</t>
  </si>
  <si>
    <t>URD</t>
  </si>
  <si>
    <t>UTA</t>
  </si>
  <si>
    <t>UOP</t>
  </si>
  <si>
    <t>UFP</t>
  </si>
  <si>
    <t>ZWM</t>
  </si>
  <si>
    <t>UOK</t>
  </si>
  <si>
    <t>OZI</t>
  </si>
  <si>
    <t>OUO</t>
  </si>
  <si>
    <t>OWD</t>
  </si>
  <si>
    <t>UOS</t>
  </si>
  <si>
    <t>UIT</t>
  </si>
  <si>
    <t>UZR</t>
  </si>
  <si>
    <t>ZAR</t>
  </si>
  <si>
    <t>PTK</t>
  </si>
  <si>
    <t>UCP</t>
  </si>
  <si>
    <t>OAZ</t>
  </si>
  <si>
    <t>GNG</t>
  </si>
  <si>
    <t>GNS</t>
  </si>
  <si>
    <t>UGS</t>
  </si>
  <si>
    <t>RRO</t>
  </si>
  <si>
    <t>OID</t>
  </si>
  <si>
    <t>RSP</t>
  </si>
  <si>
    <t>OGK</t>
  </si>
  <si>
    <t>SIP</t>
  </si>
  <si>
    <t>Koordynacja i obsługa administracyjna</t>
  </si>
  <si>
    <t>RPR</t>
  </si>
  <si>
    <t>BMK</t>
  </si>
  <si>
    <t>FKS</t>
  </si>
  <si>
    <t>CYW</t>
  </si>
  <si>
    <t>OBR</t>
  </si>
  <si>
    <t>KRY</t>
  </si>
  <si>
    <t>OSP</t>
  </si>
  <si>
    <t>POW</t>
  </si>
  <si>
    <t>IMP</t>
  </si>
  <si>
    <t>KUM</t>
  </si>
  <si>
    <t>AIP</t>
  </si>
  <si>
    <t>IIP</t>
  </si>
  <si>
    <t>ARZ</t>
  </si>
  <si>
    <t>KPB</t>
  </si>
  <si>
    <t>SZJ</t>
  </si>
  <si>
    <t>OZP</t>
  </si>
  <si>
    <t>FM1</t>
  </si>
  <si>
    <t>SUI</t>
  </si>
  <si>
    <t>PBI</t>
  </si>
  <si>
    <t>SPA</t>
  </si>
  <si>
    <t>OFK</t>
  </si>
  <si>
    <t>ADM</t>
  </si>
  <si>
    <t>REM</t>
  </si>
  <si>
    <t>ODF</t>
  </si>
  <si>
    <t>UBZ</t>
  </si>
  <si>
    <t>OSM</t>
  </si>
  <si>
    <t>PLN</t>
  </si>
  <si>
    <t>PMG</t>
  </si>
  <si>
    <t>WMW</t>
  </si>
  <si>
    <t>RSW</t>
  </si>
  <si>
    <t>ISM</t>
  </si>
  <si>
    <t>Rządowy program dla rodzin wielodzietnych</t>
  </si>
  <si>
    <t>EDO</t>
  </si>
  <si>
    <t>RPM</t>
  </si>
  <si>
    <t>KWO</t>
  </si>
  <si>
    <t>DSZ</t>
  </si>
  <si>
    <t>OHU</t>
  </si>
  <si>
    <t>ZSA</t>
  </si>
  <si>
    <t>DZG</t>
  </si>
  <si>
    <t>OPK</t>
  </si>
  <si>
    <t>AWK</t>
  </si>
  <si>
    <t>ORM</t>
  </si>
  <si>
    <t>ODO</t>
  </si>
  <si>
    <t>FKR</t>
  </si>
  <si>
    <t>GRU</t>
  </si>
  <si>
    <t>KSI</t>
  </si>
  <si>
    <t>WNC</t>
  </si>
  <si>
    <t>EAP</t>
  </si>
  <si>
    <t>WZT</t>
  </si>
  <si>
    <t>PZZ</t>
  </si>
  <si>
    <t>Obsługa zadań dzielnic</t>
  </si>
  <si>
    <t>OZD</t>
  </si>
  <si>
    <t>RPZ</t>
  </si>
  <si>
    <t>ZOZ</t>
  </si>
  <si>
    <t>OND</t>
  </si>
  <si>
    <t>MPI</t>
  </si>
  <si>
    <t>INF</t>
  </si>
  <si>
    <t>MPS</t>
  </si>
  <si>
    <t>UPS</t>
  </si>
  <si>
    <t>NPS</t>
  </si>
  <si>
    <t>ODM</t>
  </si>
  <si>
    <t>ZCM</t>
  </si>
  <si>
    <t>PON</t>
  </si>
  <si>
    <t>TRA</t>
  </si>
  <si>
    <t>REP</t>
  </si>
  <si>
    <t>SWR</t>
  </si>
  <si>
    <t>OON</t>
  </si>
  <si>
    <t>PSD</t>
  </si>
  <si>
    <t>URP</t>
  </si>
  <si>
    <t>PMK</t>
  </si>
  <si>
    <t>KKR</t>
  </si>
  <si>
    <t>KDR</t>
  </si>
  <si>
    <t>STR</t>
  </si>
  <si>
    <t>BIM</t>
  </si>
  <si>
    <t>REW</t>
  </si>
  <si>
    <t>KOS</t>
  </si>
  <si>
    <t>COI</t>
  </si>
  <si>
    <t>MSP</t>
  </si>
  <si>
    <t>OWM</t>
  </si>
  <si>
    <t>Krakowski Teatr Variete (VARIETE)</t>
  </si>
  <si>
    <t>Krakowskie Biuro Festiwalowe (KBF)</t>
  </si>
  <si>
    <t>Zespół Szkół Geodezyjno-Drogowych i Gospodarki Wodnej (ZSGDIGW)</t>
  </si>
  <si>
    <t>Bursa Szkolnictwa Ponadpodstawowego Nr 1 (BURSA 1)</t>
  </si>
  <si>
    <t>Bursa Szkolnictwa Ponadpodstawowego Nr 2 (BURSA 2)</t>
  </si>
  <si>
    <t>Bursa Szkolnictwa Ponadpodstawowego Nr 3 (BURSA 3)</t>
  </si>
  <si>
    <t>Utrzymanie obiektów kubaturowych i ścieżek rowerowych</t>
  </si>
  <si>
    <t>Budżet obywatelski ogólnomiejski</t>
  </si>
  <si>
    <t>BOO</t>
  </si>
  <si>
    <t>- Zadania dzielnic</t>
  </si>
  <si>
    <t>Ogólnokształcąca Szkoła Muzyczna ul. Basztowa 8 (OSM-B)</t>
  </si>
  <si>
    <t xml:space="preserve">- Zadania inwestycyjne wynikające z kompetencji decyzyjnych
  dzielnic </t>
  </si>
  <si>
    <t xml:space="preserve">Koordynacja i obsługa administracyjna </t>
  </si>
  <si>
    <t>WWD</t>
  </si>
  <si>
    <t>RZP</t>
  </si>
  <si>
    <t>- Zadania z zakresu zarządzania kryzysowego</t>
  </si>
  <si>
    <t>DBR</t>
  </si>
  <si>
    <t>Zadania dzielnic (bieżące)</t>
  </si>
  <si>
    <t>Zarząd Zieleni Miejskiej (ZZM)</t>
  </si>
  <si>
    <t>Utrzymanie i konserwacja zieleni</t>
  </si>
  <si>
    <t>Obsługa administracyjno - techniczna zadań</t>
  </si>
  <si>
    <t>DWM</t>
  </si>
  <si>
    <t>Wydział Egzekucji Administracyjnej i Windykacji (EW)</t>
  </si>
  <si>
    <t>APD</t>
  </si>
  <si>
    <t>PPU</t>
  </si>
  <si>
    <t>Pomoc publiczna</t>
  </si>
  <si>
    <t>III Liceum Ogólnokształcące (LO III)</t>
  </si>
  <si>
    <t>XV Liceum Ogólnokształcące (LO XV)</t>
  </si>
  <si>
    <t>Specjalistyczna Poradnia Wczesnej Pomocy Psychologiczno - Pedagogicznej (SPWPPP)</t>
  </si>
  <si>
    <t>SZP</t>
  </si>
  <si>
    <t>System Zarządzania Projektami</t>
  </si>
  <si>
    <t>EU1</t>
  </si>
  <si>
    <t>Rozwój Systemu Elektronicznych Usług Publicznych w UMK i MJO</t>
  </si>
  <si>
    <t>ORZ</t>
  </si>
  <si>
    <t>Zarządzanie i nadzór nad lasami</t>
  </si>
  <si>
    <t>ZNL</t>
  </si>
  <si>
    <t>EMT</t>
  </si>
  <si>
    <t>ETG</t>
  </si>
  <si>
    <t>LFE</t>
  </si>
  <si>
    <t>SOSW - działalność podstawowa</t>
  </si>
  <si>
    <t>SOSW - pozostała działalność</t>
  </si>
  <si>
    <t>SOSW/CPO</t>
  </si>
  <si>
    <t>SOSW/APO</t>
  </si>
  <si>
    <t xml:space="preserve">Program dofinansowania do zwiększonych kosztów grzewczych </t>
  </si>
  <si>
    <t>Wydawanie decyzji o pozwoleniu na budowę i przyjmowanie zgłoszeń</t>
  </si>
  <si>
    <t>OZS</t>
  </si>
  <si>
    <t>Zapewnienie realizacji bieżących zadań Powiatowego Centrum Zarządzania Kryzysowego związanych z zagrożeniami kryzysowymi</t>
  </si>
  <si>
    <t>ADT</t>
  </si>
  <si>
    <t>OBS</t>
  </si>
  <si>
    <t>Teatr Groteska (GROTESKA)</t>
  </si>
  <si>
    <t>Teatr Ludowy (LUDOWY)</t>
  </si>
  <si>
    <t>Teatr Bagatela (BAGATELA)</t>
  </si>
  <si>
    <t>Teatr Łaźnia Nowa (TŁN)</t>
  </si>
  <si>
    <t>Projekt zintegrowany LIFE w zakresie wdrażania Programu ochrony powietrza dla województwa małopolskiego</t>
  </si>
  <si>
    <t>Zarządzanie Domem Krakowskim w Norymberdze</t>
  </si>
  <si>
    <t>PR5</t>
  </si>
  <si>
    <t>Nieodpłatna pomoc prawna</t>
  </si>
  <si>
    <t>NPP</t>
  </si>
  <si>
    <t>Biuro Przejmowania Mienia i Rewindykacji (MR)</t>
  </si>
  <si>
    <t>PMN</t>
  </si>
  <si>
    <t>RED</t>
  </si>
  <si>
    <t>Przejmowanie spadków na rzecz GMK</t>
  </si>
  <si>
    <t>Organizacja imprez sportowo - rekreacyjnych</t>
  </si>
  <si>
    <t>PEK</t>
  </si>
  <si>
    <t>CHM</t>
  </si>
  <si>
    <t>IV Liceum Ogólnokształcące (LO IV)</t>
  </si>
  <si>
    <t>Zespół Szkolno - Przedszkolny Nr 11 (ZSP 11)</t>
  </si>
  <si>
    <t>ERP</t>
  </si>
  <si>
    <t>Obsługa klienta</t>
  </si>
  <si>
    <t>OBK</t>
  </si>
  <si>
    <t>NNS</t>
  </si>
  <si>
    <t>Niekategoryzowane obiekty noclegowe</t>
  </si>
  <si>
    <t>KON</t>
  </si>
  <si>
    <t>Informacja publiczna i prawna</t>
  </si>
  <si>
    <t>IPP</t>
  </si>
  <si>
    <t>KRS</t>
  </si>
  <si>
    <t>Przejmowanie mienia po podmiotach gospodarczych</t>
  </si>
  <si>
    <t>MAP</t>
  </si>
  <si>
    <t>Wspieranie działalności kulturalnej i artystycznej</t>
  </si>
  <si>
    <t>Rowerem do szkoły - Stars</t>
  </si>
  <si>
    <t>STS</t>
  </si>
  <si>
    <t>Bezpieczeństwo powodziowe i odwodnienie na terenie GMK</t>
  </si>
  <si>
    <t>BPO</t>
  </si>
  <si>
    <t>Zespoły szkół - działalność podstawowa</t>
  </si>
  <si>
    <t>Zespoły szkół - pozostała działalność</t>
  </si>
  <si>
    <t>Zespoły szkół - zadania realizowane na podstawie umów i porozumień</t>
  </si>
  <si>
    <t>Zespoły szkół - remonty</t>
  </si>
  <si>
    <t>ZS/APO</t>
  </si>
  <si>
    <t>ZS/CPO</t>
  </si>
  <si>
    <t>ZS/HUP</t>
  </si>
  <si>
    <t>Biblioteka Kraków (BIBLIOTEKA)</t>
  </si>
  <si>
    <t>Akty kierowania</t>
  </si>
  <si>
    <t>Interpelacje i realizacja uchwał</t>
  </si>
  <si>
    <t>Nadzór nad SPZOZ</t>
  </si>
  <si>
    <t>DEG</t>
  </si>
  <si>
    <t>Wypłata świadczenia dla posiadaczy Karty Polaka</t>
  </si>
  <si>
    <t>KPW</t>
  </si>
  <si>
    <t>Rodzicu, nie jesteś sam</t>
  </si>
  <si>
    <t>RNS</t>
  </si>
  <si>
    <t>Przebudowa Pawilonu Nr 4 ZOL w Krakowie oraz wdrożenie programu edukacyjnego w zakresie opieki długoterminowej</t>
  </si>
  <si>
    <t>ZOL</t>
  </si>
  <si>
    <t>KEA</t>
  </si>
  <si>
    <t>Obsługa mieszkańców w zakresie stanu cywilnego, rejestru PESEL oraz zmiany imienia i nazwiska</t>
  </si>
  <si>
    <t>Zadania dzielnicowe bieżące wieloletnie</t>
  </si>
  <si>
    <t>DBW</t>
  </si>
  <si>
    <t>Szkoła Podstawowa Nr 39 (SP 39)</t>
  </si>
  <si>
    <t>Szkoła Podstawowa Nr 5 (SP 5)</t>
  </si>
  <si>
    <t>Szkoła Podstawowa Nr 56 (SP 56)</t>
  </si>
  <si>
    <t>Szkoła Podstawowa Nr 12 (SP 12)</t>
  </si>
  <si>
    <t>Szkoła Podstawowa Nr 10 (SP 10)</t>
  </si>
  <si>
    <t>Zarząd Inwestycji Miejskich (ZIM)</t>
  </si>
  <si>
    <t>Nadzór inwestycyjny</t>
  </si>
  <si>
    <t>NIW</t>
  </si>
  <si>
    <t>OAI</t>
  </si>
  <si>
    <t>Szkoła Podstawowa Nr 158  (SP 158)</t>
  </si>
  <si>
    <t>XI Liceum Ogólnokształcące (LO XI)</t>
  </si>
  <si>
    <t>XII Liceum Ogólnokształcące (LO XII)</t>
  </si>
  <si>
    <t>XLI Liceum Ogólnokształcące (LO XLI)</t>
  </si>
  <si>
    <t>XLII Liceum Ogólnokształcące (LO XLII)</t>
  </si>
  <si>
    <t>XLIV Liceum Ogólnokształcące (LO XLIV)</t>
  </si>
  <si>
    <t>Kształcenie zawodowe uczniów w branży turystyczno - gastronomicznej</t>
  </si>
  <si>
    <t>CKT</t>
  </si>
  <si>
    <t>Kształcenie zawodowe uczniów w branży administracyjno - usługowej</t>
  </si>
  <si>
    <t>CKA</t>
  </si>
  <si>
    <t>Kształcenie zawodowe uczniów w branży budowlanej</t>
  </si>
  <si>
    <t>CKB</t>
  </si>
  <si>
    <t>Kształcenie zawodowe uczniów w branży elektryczno - elektronicznej</t>
  </si>
  <si>
    <t>CKE</t>
  </si>
  <si>
    <t>Kształcenie zawodowe uczniów w branży mechanicznej</t>
  </si>
  <si>
    <t>CKM</t>
  </si>
  <si>
    <t>Kształcenie zawodowe uczniów w branży rolniczo - leśnej z ochroną środowiska</t>
  </si>
  <si>
    <t>CKR</t>
  </si>
  <si>
    <t>KKU</t>
  </si>
  <si>
    <t>LO/APO</t>
  </si>
  <si>
    <t>OAT</t>
  </si>
  <si>
    <t>Program Elektroniczna Komunikacja i Obsługa w UMK</t>
  </si>
  <si>
    <t>EKU</t>
  </si>
  <si>
    <t>PKF</t>
  </si>
  <si>
    <t>Koordynacja kształcenia zawodowego uczniów</t>
  </si>
  <si>
    <t>ELI</t>
  </si>
  <si>
    <t>PZM</t>
  </si>
  <si>
    <t>Planowanie i promowanie zrównoważonej mobilności</t>
  </si>
  <si>
    <t>Rewindykacja nieruchomości</t>
  </si>
  <si>
    <t>Obsługa i wypłata świadczenia wychowawczego</t>
  </si>
  <si>
    <t>Krakowskie Forum Kultury (KFK)</t>
  </si>
  <si>
    <t>Centrum Kultury Podgórza  (CKPODG)</t>
  </si>
  <si>
    <t>Parki Kulturowe</t>
  </si>
  <si>
    <t>Współpraca i wymiana kulturalna, realizacja własnych projektów</t>
  </si>
  <si>
    <t>Opiniowanie przedsięwzięć dla harmonijnego i estetycznego wizerunku Miasta</t>
  </si>
  <si>
    <t>Młodzieżowa Rada Krakowa</t>
  </si>
  <si>
    <t>Przejmowanie mienia i nieruchomości</t>
  </si>
  <si>
    <t>Licea ogólnokształcące - działalność podstawowa</t>
  </si>
  <si>
    <t>- Program "Nowa Huta dziś!"</t>
  </si>
  <si>
    <t>Miejskie Centrum Obsługi Oświaty (MCOO)</t>
  </si>
  <si>
    <t>MCOO - działalność podstawowa</t>
  </si>
  <si>
    <t xml:space="preserve">MCOO - pozostała działalność </t>
  </si>
  <si>
    <t>MCOO - nadzór nad działalnością remontową samorządowych przedszkoli, szkół i placówek oświatowych</t>
  </si>
  <si>
    <t>Zadania inwestycyjne</t>
  </si>
  <si>
    <t>Zadania dzielnic (inwestycyjne)</t>
  </si>
  <si>
    <t>Karta Krakowska</t>
  </si>
  <si>
    <t>PKK</t>
  </si>
  <si>
    <t>Finansowanie zadań oświatowych</t>
  </si>
  <si>
    <t>FZO</t>
  </si>
  <si>
    <t>Przedszkola - remonty</t>
  </si>
  <si>
    <t>Szkoły podstawowe - remonty</t>
  </si>
  <si>
    <t>PMP</t>
  </si>
  <si>
    <t>Wydział ds. Jakości Powietrza (JP)</t>
  </si>
  <si>
    <t>Roczne działania zmierzające do poprawy jakości powietrza</t>
  </si>
  <si>
    <t>ROP</t>
  </si>
  <si>
    <t>Wieloletnie działania zmierzające do poprawy jakości powietrza</t>
  </si>
  <si>
    <t>WOP</t>
  </si>
  <si>
    <t>MAS</t>
  </si>
  <si>
    <t>ECO</t>
  </si>
  <si>
    <t>WYB</t>
  </si>
  <si>
    <t>PWS</t>
  </si>
  <si>
    <t>RWM</t>
  </si>
  <si>
    <t>RSO</t>
  </si>
  <si>
    <t>UPR</t>
  </si>
  <si>
    <t>Sinfonietta Cracovia (SINFO)</t>
  </si>
  <si>
    <t>KKZ</t>
  </si>
  <si>
    <t>Zespół Szkół Inżynierii Środowiska i Melioracji (ZSIŚIM)</t>
  </si>
  <si>
    <t>Zespół Szkolno - Przedszkolny Nr 15 (ZSP 15)</t>
  </si>
  <si>
    <t>Nowe usługi w Elektronicznym Centrum Obsługi (ECO), elektroniczne archiwum i rejestry publiczne</t>
  </si>
  <si>
    <t>Wydawanie warunków na korzystanie ze środowiska w zakresie ochrony: wód, przed hałasem i polami elektromagnetycznymi</t>
  </si>
  <si>
    <t>Wspornik - Punkt Wsparcia Opiekunów</t>
  </si>
  <si>
    <t>W sile wieku 2</t>
  </si>
  <si>
    <t>Dynaxibility4CE - Regulacja Stref Ograniczonego Ruchu</t>
  </si>
  <si>
    <t>Utrzymanie parkingów Park &amp; Ride</t>
  </si>
  <si>
    <t>Rozszerzenie zakresu pomocy psychologicznej dla osób zagrożonych przemocą i doświadczających przemocy</t>
  </si>
  <si>
    <t>Zarządzanie i obsługa zadłużenia Miasta w tym analizowanie sytuacji finansowej Miasta Krakowa</t>
  </si>
  <si>
    <t>MIP</t>
  </si>
  <si>
    <t>Centrum Obsługi Informatycznej  (IT)</t>
  </si>
  <si>
    <t>Tabela Nr 5</t>
  </si>
  <si>
    <t>Zespół Szkolno - Przedszkolny Nr 13 (ZSP 13)</t>
  </si>
  <si>
    <t>Zespół Szkolno - Przedszkolny Nr 17 (ZSP 17)</t>
  </si>
  <si>
    <t xml:space="preserve">Dom Pomocy Społecznej, os. Hutnicze 5 (DPS-NH) </t>
  </si>
  <si>
    <t>Rozbudowa Al. 29 Listopada (odc. ul. Opolska - granica miasta)</t>
  </si>
  <si>
    <t>Prowadzenie cmentarzy</t>
  </si>
  <si>
    <t>ATZ</t>
  </si>
  <si>
    <t>Ośrodek Kultury Zespół Pieśni i Tańca "Krakowiacy" (OKZPIT)</t>
  </si>
  <si>
    <t>Galeria Sztuki Współczesnej Bunkier Sztuki (BUNKIER)</t>
  </si>
  <si>
    <t>Małopolska Chmura Edukacyjna</t>
  </si>
  <si>
    <t>MRK</t>
  </si>
  <si>
    <t>Centrum Kultury "Dworek Białoprądnicki"  (DWOREK)</t>
  </si>
  <si>
    <t>Centrum Młodzieży im. dr. Jordana (CM)</t>
  </si>
  <si>
    <t xml:space="preserve">Małopolska Chmura Edukacyjna </t>
  </si>
  <si>
    <t>MCOO - Małopolska Chmura Edukacyjna</t>
  </si>
  <si>
    <t>Zespół Szkół Zawodowych Polskiego Górnictwa Naftowego 
i Gazownictwa (ZSZ PGNIG)</t>
  </si>
  <si>
    <t>Zespół Szkół i Placówek - Centrum dla Niewidomych i Słabowidzących (ZSIPCNS)</t>
  </si>
  <si>
    <t>Kwalifikacyjne kursy zawodowe</t>
  </si>
  <si>
    <t>Marketing turystyczny</t>
  </si>
  <si>
    <t>MIT</t>
  </si>
  <si>
    <t>Wsparcie rozwoju rynku turystycznego</t>
  </si>
  <si>
    <t>WRT</t>
  </si>
  <si>
    <t>Rozwój i konsolidacja Miejskiego Systemu Informacji Przestrzennej wraz z modułem 3D</t>
  </si>
  <si>
    <t>Gmina Miejska Kraków - zarządzanie bezpieczeństwem informacji zgodnie z wymogami Rozporządzenia o ochronie danych osobowych</t>
  </si>
  <si>
    <t>BIG</t>
  </si>
  <si>
    <t>Pozostała działalność w zakresie kultury fizycznej</t>
  </si>
  <si>
    <t>Punkt Obsługi Przedsiębiorcy</t>
  </si>
  <si>
    <t>POP</t>
  </si>
  <si>
    <t>Koordynacja systemów informatycznych obsługujących działalność finansową Miasta zgodnie z zasadami polityki i rachunkowości Miasta</t>
  </si>
  <si>
    <t>LIFE IP EKOMAŁOPOLSKA - Wdrażanie Regionalnego Planu dla Klimatu i Energii dla województwa małopolskiego</t>
  </si>
  <si>
    <t>LEM</t>
  </si>
  <si>
    <t>Gardeniser Plus - Erasmus+</t>
  </si>
  <si>
    <t>GAP</t>
  </si>
  <si>
    <t>Centrum Edukacji Ekologicznej Symbioza</t>
  </si>
  <si>
    <t>SYM</t>
  </si>
  <si>
    <t>ZIW</t>
  </si>
  <si>
    <t>Zarządzanie infrastrukturą wodną</t>
  </si>
  <si>
    <t>Utrzymanie Strefy Płatnego Parkowania</t>
  </si>
  <si>
    <t>SPP</t>
  </si>
  <si>
    <t>Prowadzenie postępowań przedegzekucyjnych</t>
  </si>
  <si>
    <t>PPE</t>
  </si>
  <si>
    <t>Utrzymanie i remonty szaletów</t>
  </si>
  <si>
    <t>ZRO</t>
  </si>
  <si>
    <t>Program Aktywności Społecznej i Integracji Osób Starszych</t>
  </si>
  <si>
    <t>PAS</t>
  </si>
  <si>
    <t>Zawsze rodzina</t>
  </si>
  <si>
    <t>Muzeum - Miejsce Pamięci KL Plaszow (MKLP)</t>
  </si>
  <si>
    <t>Matura międzynarodowa</t>
  </si>
  <si>
    <t>WYDATKI MAJĄTKOWE</t>
  </si>
  <si>
    <t>Plan wydatków na 01.01.2022 r.</t>
  </si>
  <si>
    <t>Wydział Kontroli Wewnętrznej i Ewidencji Mienia (KE)</t>
  </si>
  <si>
    <t>MCP</t>
  </si>
  <si>
    <t>Małopolska - cel podróży</t>
  </si>
  <si>
    <t>IRO</t>
  </si>
  <si>
    <t>Integracja Romów</t>
  </si>
  <si>
    <t>NFS</t>
  </si>
  <si>
    <t>Nadzór Fundacje Stowarzyszenia</t>
  </si>
  <si>
    <t>Zespół Szkolno - Przedszkolny Nr 19 (ZSP 19)</t>
  </si>
  <si>
    <t>Realizacja Programów Unijnych - Erasmus+</t>
  </si>
  <si>
    <t>Mobilność Edukacyjna POWER</t>
  </si>
  <si>
    <t>WEW</t>
  </si>
  <si>
    <t>Wspieranie Edukacji Włączającej</t>
  </si>
  <si>
    <t>CZP</t>
  </si>
  <si>
    <t>Środowiskowe Centrum Zdrowia Psychicznego dla Dzieci i Młodzieży Kraków-Południe</t>
  </si>
  <si>
    <t>PKL</t>
  </si>
  <si>
    <t>Promocja i edukacja klimatyczna</t>
  </si>
  <si>
    <t>SOO</t>
  </si>
  <si>
    <t>System energii odnawialnej do celów ogrzewania budynków mieszkalnych i wytwarzania energii</t>
  </si>
  <si>
    <t>GAS</t>
  </si>
  <si>
    <t>Gardens - Erasmus +</t>
  </si>
  <si>
    <t>Środowiskowe Centrum Zdrowia Psychicznego dla Dzieci i Młodzieży Kraków Południe</t>
  </si>
  <si>
    <t>Monitorowanie działalności Agencji Rozwoju Miasta Krakowa sp. z o.o. i Kraków Nowa Huta Przyszłości S.A.</t>
  </si>
  <si>
    <t>MDS</t>
  </si>
  <si>
    <t>Stradom 2.0</t>
  </si>
  <si>
    <t>ST2</t>
  </si>
  <si>
    <t>ZCP</t>
  </si>
  <si>
    <t>Wydawanie zaświadczeń "Czyste powietrze"</t>
  </si>
  <si>
    <t>PPL</t>
  </si>
  <si>
    <t>Zintegrowany system informatyczny do obsługi poboru podatków lokalnych</t>
  </si>
  <si>
    <t>ADP</t>
  </si>
  <si>
    <t>Aplikacja do Deklaracji Podatkowych</t>
  </si>
  <si>
    <t>KCK</t>
  </si>
  <si>
    <t>Krakowskie Centrum Kontaktu</t>
  </si>
  <si>
    <t>PWD</t>
  </si>
  <si>
    <t>Platforma do wirtualizacji danych</t>
  </si>
  <si>
    <t>MOB</t>
  </si>
  <si>
    <t>Wdrożenie aplikacji mobilnej do obsługi usług i kart w UMK</t>
  </si>
  <si>
    <t>WSU</t>
  </si>
  <si>
    <t>Wdrożenie Strategii Usług w UMK</t>
  </si>
  <si>
    <t>ZDU</t>
  </si>
  <si>
    <t>Zarządzanie Dokumentacją Urzędu</t>
  </si>
  <si>
    <t>Wdrożenie rozwiązania e-Learningowego</t>
  </si>
  <si>
    <t>WRE</t>
  </si>
  <si>
    <t>Portal Elektronicznych Usług Publicznych</t>
  </si>
  <si>
    <t>PEU</t>
  </si>
  <si>
    <t>Utrzymanie małej architektury oraz ciągów pieszych</t>
  </si>
  <si>
    <t>MAC</t>
  </si>
  <si>
    <t xml:space="preserve">Inwentaryzacja składników majątkowych </t>
  </si>
  <si>
    <t>Kontrola wewnętrzna i zewnętrzna</t>
  </si>
  <si>
    <t>KWZ</t>
  </si>
  <si>
    <t>KIM</t>
  </si>
  <si>
    <t>Kampanie informacyjne Miasta</t>
  </si>
  <si>
    <t>BRN</t>
  </si>
  <si>
    <t>Baza referencyjna nieruchomości</t>
  </si>
  <si>
    <t>Specjalistyczna Poradnia Psychologiczno-Pedagogiczna "Krakowski Ośrodek Kariery" (KOK)</t>
  </si>
  <si>
    <t>Szkoła Muzyczna I i II stopnia ul. Józefińska 10 (SM-J)</t>
  </si>
  <si>
    <t>Szkoła Muzyczna I stopnia ul. Pilotów (SM-P)</t>
  </si>
  <si>
    <t>GDS</t>
  </si>
  <si>
    <t>Dostępna szkoła</t>
  </si>
  <si>
    <t>Realizacja programów unijnych- Erasmus +</t>
  </si>
  <si>
    <t>Planowanie i monitorowanie realizacji inwestycji rocznych i wieloletnich</t>
  </si>
  <si>
    <t>Bank Informacji o Mieście i Metropolii</t>
  </si>
  <si>
    <t>Plan wydatków na 30.09.2022 r.</t>
  </si>
  <si>
    <t>Plan wydatków na 01.01.2023 r.</t>
  </si>
  <si>
    <t/>
  </si>
  <si>
    <t>BD/ODO</t>
  </si>
  <si>
    <t>BD/DBR</t>
  </si>
  <si>
    <t>BD/DBW</t>
  </si>
  <si>
    <t>BV/APD</t>
  </si>
  <si>
    <t>KZ/OZK</t>
  </si>
  <si>
    <t>NW/UGS</t>
  </si>
  <si>
    <t>NW/NNS</t>
  </si>
  <si>
    <t>NW/ZOL</t>
  </si>
  <si>
    <t>NW/MAS</t>
  </si>
  <si>
    <t>NW/DIR, DIW</t>
  </si>
  <si>
    <t>NW/ZIN</t>
  </si>
  <si>
    <t>MR/PMN</t>
  </si>
  <si>
    <t>MR/RED</t>
  </si>
  <si>
    <t>MR/SPA</t>
  </si>
  <si>
    <t>MR/KRS</t>
  </si>
  <si>
    <t>MR/ZIN</t>
  </si>
  <si>
    <t>IT/ZSI</t>
  </si>
  <si>
    <t>IT/DBR</t>
  </si>
  <si>
    <t>IT/BRO</t>
  </si>
  <si>
    <t>IT/KCK</t>
  </si>
  <si>
    <t>IT/MOB</t>
  </si>
  <si>
    <t>IT/WSU</t>
  </si>
  <si>
    <t>IT/PWD</t>
  </si>
  <si>
    <t>IT/ZIN</t>
  </si>
  <si>
    <t>KP/BWZ</t>
  </si>
  <si>
    <t>KP/SPM</t>
  </si>
  <si>
    <t>KP/BWK</t>
  </si>
  <si>
    <t>KP/ORG</t>
  </si>
  <si>
    <t>KP/KTU</t>
  </si>
  <si>
    <t>KP/ZDK</t>
  </si>
  <si>
    <t>KP/SKZ</t>
  </si>
  <si>
    <t>BR/ORM</t>
  </si>
  <si>
    <t>BR/FKR</t>
  </si>
  <si>
    <t>SO/ODM</t>
  </si>
  <si>
    <t>SO/ZCM</t>
  </si>
  <si>
    <t>SO/SWR</t>
  </si>
  <si>
    <t>SO/KPW</t>
  </si>
  <si>
    <t>SO/KDR</t>
  </si>
  <si>
    <t>SO/PR5</t>
  </si>
  <si>
    <t>SO/DS3</t>
  </si>
  <si>
    <t>SO/KR3</t>
  </si>
  <si>
    <t>SO/REP</t>
  </si>
  <si>
    <t>SO/ZCP</t>
  </si>
  <si>
    <t>SC/USC</t>
  </si>
  <si>
    <t>AU/WZT</t>
  </si>
  <si>
    <t>AU/PZZ</t>
  </si>
  <si>
    <t>AU/RIM</t>
  </si>
  <si>
    <t>OC/CYW</t>
  </si>
  <si>
    <t>OC/OBR</t>
  </si>
  <si>
    <t>OC/KRY</t>
  </si>
  <si>
    <t>OC/OSP</t>
  </si>
  <si>
    <t>OC/MAP</t>
  </si>
  <si>
    <t>OC/PBK</t>
  </si>
  <si>
    <t>OC/BOD</t>
  </si>
  <si>
    <t>OC/POW</t>
  </si>
  <si>
    <t>OC/IMP</t>
  </si>
  <si>
    <t>OC/DBR</t>
  </si>
  <si>
    <t>OC/DIR, DIW</t>
  </si>
  <si>
    <t>OC/ZIN</t>
  </si>
  <si>
    <t>BM/BMK</t>
  </si>
  <si>
    <t>BM/FKS</t>
  </si>
  <si>
    <t>BM/ZOD</t>
  </si>
  <si>
    <t>BM/KSI</t>
  </si>
  <si>
    <t>JP/LFE</t>
  </si>
  <si>
    <t>JP/ROP</t>
  </si>
  <si>
    <t>JP/WOP</t>
  </si>
  <si>
    <t>JP/ZOS</t>
  </si>
  <si>
    <t>JP/ELA</t>
  </si>
  <si>
    <t>JP/ZIN</t>
  </si>
  <si>
    <t>PI/REW</t>
  </si>
  <si>
    <t>PI/COI</t>
  </si>
  <si>
    <t>PI/MSP</t>
  </si>
  <si>
    <t>PI/KMA</t>
  </si>
  <si>
    <t>PI/ONA</t>
  </si>
  <si>
    <t>PI/POP</t>
  </si>
  <si>
    <t>WT/KON</t>
  </si>
  <si>
    <t>WT/TFC</t>
  </si>
  <si>
    <t>WT/MIT</t>
  </si>
  <si>
    <t>WT/WRT</t>
  </si>
  <si>
    <t>WT/MCP</t>
  </si>
  <si>
    <t>WT/ZIN</t>
  </si>
  <si>
    <t>EK/OIN</t>
  </si>
  <si>
    <t>EK/JPR</t>
  </si>
  <si>
    <t>EK/UEZ</t>
  </si>
  <si>
    <t>EK/RID</t>
  </si>
  <si>
    <t>EK/EIT</t>
  </si>
  <si>
    <t>EK/FZO</t>
  </si>
  <si>
    <t>EK/ZIN</t>
  </si>
  <si>
    <t>EW/EAP</t>
  </si>
  <si>
    <t>EW/KEA</t>
  </si>
  <si>
    <t>EW/PPU</t>
  </si>
  <si>
    <t>EW/WNC</t>
  </si>
  <si>
    <t>KM/RPJ</t>
  </si>
  <si>
    <t>KM/RRP</t>
  </si>
  <si>
    <t>KM/RTD</t>
  </si>
  <si>
    <t>KM/RPA</t>
  </si>
  <si>
    <t>FK/OFK</t>
  </si>
  <si>
    <t>FK/PLC</t>
  </si>
  <si>
    <t>FK/GRU</t>
  </si>
  <si>
    <t>GD/RSP</t>
  </si>
  <si>
    <t>GD/DEG</t>
  </si>
  <si>
    <t>GD/OBK</t>
  </si>
  <si>
    <t>GD/OGK</t>
  </si>
  <si>
    <t>GD/SIP</t>
  </si>
  <si>
    <t>GD/ECO</t>
  </si>
  <si>
    <t>GD/MIP</t>
  </si>
  <si>
    <t>GD/BRN</t>
  </si>
  <si>
    <t>GD/ZIN</t>
  </si>
  <si>
    <t>GK/PEK</t>
  </si>
  <si>
    <t>GK/BPO</t>
  </si>
  <si>
    <t>GK/PTK</t>
  </si>
  <si>
    <t>GK/PZM</t>
  </si>
  <si>
    <t>GK/STS</t>
  </si>
  <si>
    <t>GK/SGO</t>
  </si>
  <si>
    <t>GK/UCP</t>
  </si>
  <si>
    <t>GK/CLI</t>
  </si>
  <si>
    <t>GK/PAR</t>
  </si>
  <si>
    <t>GK/ATE</t>
  </si>
  <si>
    <t>GK/LFE</t>
  </si>
  <si>
    <t>GK/LEM</t>
  </si>
  <si>
    <t>GK/HAN</t>
  </si>
  <si>
    <t>GK/ZOS</t>
  </si>
  <si>
    <t>GK/ZIN</t>
  </si>
  <si>
    <t>KS/INF</t>
  </si>
  <si>
    <t>KS/MPI</t>
  </si>
  <si>
    <t>KS/DWM</t>
  </si>
  <si>
    <t>KS/KIM</t>
  </si>
  <si>
    <t>KE/EWM</t>
  </si>
  <si>
    <t>KE/RSW</t>
  </si>
  <si>
    <t>KE/ISM</t>
  </si>
  <si>
    <t>KE/ADP</t>
  </si>
  <si>
    <t>KE/KWZ</t>
  </si>
  <si>
    <t>WS/EKO</t>
  </si>
  <si>
    <t>WS/OOS</t>
  </si>
  <si>
    <t>WS/ZIE</t>
  </si>
  <si>
    <t>WS/GEO</t>
  </si>
  <si>
    <t>WS/PRL</t>
  </si>
  <si>
    <t>WS/WPH</t>
  </si>
  <si>
    <t>WS/ZOS</t>
  </si>
  <si>
    <t>WS/ZFS</t>
  </si>
  <si>
    <t>WS/INŚ</t>
  </si>
  <si>
    <t>WS/EGM</t>
  </si>
  <si>
    <t>WS/BOO</t>
  </si>
  <si>
    <t>WS/ZIN</t>
  </si>
  <si>
    <t>KD/PIK</t>
  </si>
  <si>
    <t>KD/WDK</t>
  </si>
  <si>
    <t>KD/RWP</t>
  </si>
  <si>
    <t>KD/ODK</t>
  </si>
  <si>
    <t>KD/OWM</t>
  </si>
  <si>
    <t>KD/PKM</t>
  </si>
  <si>
    <t>KD/EGM</t>
  </si>
  <si>
    <t>KD/DIR, DIW</t>
  </si>
  <si>
    <t>KD/ZIN</t>
  </si>
  <si>
    <t>IR/ZAR</t>
  </si>
  <si>
    <t>ML/OSM</t>
  </si>
  <si>
    <t>ML/PLN</t>
  </si>
  <si>
    <t>ML/PMG</t>
  </si>
  <si>
    <t>ML/WMW</t>
  </si>
  <si>
    <t>ML/ZIN</t>
  </si>
  <si>
    <t>OU/ADM</t>
  </si>
  <si>
    <t>OU/REM</t>
  </si>
  <si>
    <t>OU/ODF</t>
  </si>
  <si>
    <t>OU/UBZ</t>
  </si>
  <si>
    <t>OU/EGM</t>
  </si>
  <si>
    <t>OU/DBR</t>
  </si>
  <si>
    <t>OU/OBS</t>
  </si>
  <si>
    <t>OU/DIR, DIW</t>
  </si>
  <si>
    <t>OU/ZIN</t>
  </si>
  <si>
    <t>OR/IPP</t>
  </si>
  <si>
    <t>OR/KUM</t>
  </si>
  <si>
    <t>OR/AIP</t>
  </si>
  <si>
    <t>OR/IIP</t>
  </si>
  <si>
    <t>OR/ARZ</t>
  </si>
  <si>
    <t>OR/KPB</t>
  </si>
  <si>
    <t>OR/SZJ</t>
  </si>
  <si>
    <t>OR/SZP</t>
  </si>
  <si>
    <t>OR/EKU</t>
  </si>
  <si>
    <t>OR/OZP</t>
  </si>
  <si>
    <t>OR/SUI</t>
  </si>
  <si>
    <t>OR/PBI</t>
  </si>
  <si>
    <t>OR/EU1</t>
  </si>
  <si>
    <t>OR/BIG</t>
  </si>
  <si>
    <t>OR/ZDU</t>
  </si>
  <si>
    <t>OR/WRE</t>
  </si>
  <si>
    <t>OR/PEU</t>
  </si>
  <si>
    <t>OR/FM1</t>
  </si>
  <si>
    <t>OR/WYB</t>
  </si>
  <si>
    <t>OR/ZIN</t>
  </si>
  <si>
    <t>BP/PPM</t>
  </si>
  <si>
    <t>PD/RDB</t>
  </si>
  <si>
    <t>PD/SGO</t>
  </si>
  <si>
    <t>PD/PPL</t>
  </si>
  <si>
    <t>SZ/AZS</t>
  </si>
  <si>
    <t>SZ/ASO</t>
  </si>
  <si>
    <t>SZ/BOD</t>
  </si>
  <si>
    <t>SZ/DBR</t>
  </si>
  <si>
    <t>SZ/KKR</t>
  </si>
  <si>
    <t>SZ/KND</t>
  </si>
  <si>
    <t>SZ/KOS</t>
  </si>
  <si>
    <t>SZ/NPP</t>
  </si>
  <si>
    <t>SZ/OND</t>
  </si>
  <si>
    <t>SZ/OON</t>
  </si>
  <si>
    <t>SZ/PKK</t>
  </si>
  <si>
    <t>SZ/PMK</t>
  </si>
  <si>
    <t>SZ/POK</t>
  </si>
  <si>
    <t>SZ/PON</t>
  </si>
  <si>
    <t>SZ/PSD</t>
  </si>
  <si>
    <t>SZ/RNS</t>
  </si>
  <si>
    <t>SZ/RPZ</t>
  </si>
  <si>
    <t>SZ/TRA</t>
  </si>
  <si>
    <t>SZ/URP</t>
  </si>
  <si>
    <t>SZ/WZO</t>
  </si>
  <si>
    <t>SZ/ZOZ</t>
  </si>
  <si>
    <t>SZ/PIO</t>
  </si>
  <si>
    <t>SZ/PWS</t>
  </si>
  <si>
    <t>SZ/WWD</t>
  </si>
  <si>
    <t>SZ/ZRO</t>
  </si>
  <si>
    <t>SZ/PAS</t>
  </si>
  <si>
    <t>SZ/NFS</t>
  </si>
  <si>
    <t>SZ/IRO</t>
  </si>
  <si>
    <t>SZ/ZIN</t>
  </si>
  <si>
    <t>GS/GNG</t>
  </si>
  <si>
    <t>GS/GNS</t>
  </si>
  <si>
    <t>GS/RRO</t>
  </si>
  <si>
    <t>GS/OID</t>
  </si>
  <si>
    <t>GS/ZIN</t>
  </si>
  <si>
    <t>SP/MPS</t>
  </si>
  <si>
    <t>SP/UPS</t>
  </si>
  <si>
    <t>SP/NPS</t>
  </si>
  <si>
    <t>SP/PKF</t>
  </si>
  <si>
    <t>SP/DBR</t>
  </si>
  <si>
    <t>SP/BOD</t>
  </si>
  <si>
    <t>SA/EDO</t>
  </si>
  <si>
    <t>SA/RPM</t>
  </si>
  <si>
    <t>SA/KWO</t>
  </si>
  <si>
    <t>SA/DSZ</t>
  </si>
  <si>
    <t>SA/OHU</t>
  </si>
  <si>
    <t>SA/ZSA</t>
  </si>
  <si>
    <t>SA/DZG</t>
  </si>
  <si>
    <t>SA/OPK</t>
  </si>
  <si>
    <t>SI/PRP</t>
  </si>
  <si>
    <t>SI/PMI</t>
  </si>
  <si>
    <t>SI/STR</t>
  </si>
  <si>
    <t>SI/BIM</t>
  </si>
  <si>
    <t>SI/ZSZ</t>
  </si>
  <si>
    <t>SI/MDS</t>
  </si>
  <si>
    <t>SI/ST2</t>
  </si>
  <si>
    <t>SI/ZIN</t>
  </si>
  <si>
    <t>ZA/AWK</t>
  </si>
  <si>
    <t>ZA/ISN</t>
  </si>
  <si>
    <t>ZA/PPF</t>
  </si>
  <si>
    <t>PR/RPR</t>
  </si>
  <si>
    <t>Ż 1/PJB</t>
  </si>
  <si>
    <t>Ż 1/DBR</t>
  </si>
  <si>
    <t>Ż 2/PJB</t>
  </si>
  <si>
    <t>Ż 5/PJB</t>
  </si>
  <si>
    <t>Ż 5/DBR</t>
  </si>
  <si>
    <t>Ż 5/ZIN</t>
  </si>
  <si>
    <t>Ż 6/PJB</t>
  </si>
  <si>
    <t>Ż 6/DBR</t>
  </si>
  <si>
    <t>Ż 7/PJB</t>
  </si>
  <si>
    <t>Ż 12/PJB</t>
  </si>
  <si>
    <t>Ż 12/DBR</t>
  </si>
  <si>
    <t>Ż 12/ZIN</t>
  </si>
  <si>
    <t>Ż 13/PJB</t>
  </si>
  <si>
    <t>Ż 14/PJB</t>
  </si>
  <si>
    <t>Ż 18/PJB</t>
  </si>
  <si>
    <t>Ż 18/ZIN</t>
  </si>
  <si>
    <t>Ż 19/PJB</t>
  </si>
  <si>
    <t>Ż 19/DBR</t>
  </si>
  <si>
    <t>Ż 19/ZIN</t>
  </si>
  <si>
    <t>Ż 20/PJB</t>
  </si>
  <si>
    <t>Ż 20/DBR</t>
  </si>
  <si>
    <t>Ż 21/PJB</t>
  </si>
  <si>
    <t>Ż 21/DBR</t>
  </si>
  <si>
    <t>Ż 21/ZIN</t>
  </si>
  <si>
    <t>Ż 22/PJB</t>
  </si>
  <si>
    <t>Ż 22/DBR</t>
  </si>
  <si>
    <t>Ż 22/ZIN</t>
  </si>
  <si>
    <t>Ż 23/PJB</t>
  </si>
  <si>
    <t>Ż 23/DBR</t>
  </si>
  <si>
    <t>Ż 23/ZIN</t>
  </si>
  <si>
    <t>Ż 24/PJB</t>
  </si>
  <si>
    <t>Ż 25/PJB</t>
  </si>
  <si>
    <t>Ż 27/PJB</t>
  </si>
  <si>
    <t>Ż 27/DBR</t>
  </si>
  <si>
    <t>Ż 27/ZIN</t>
  </si>
  <si>
    <t>Ż 28/PJB</t>
  </si>
  <si>
    <t>Ż 28/DBR</t>
  </si>
  <si>
    <t>Ż 30/PJB</t>
  </si>
  <si>
    <t>Ż 31/PJB</t>
  </si>
  <si>
    <t>Ż 31/DBR</t>
  </si>
  <si>
    <t>Ż 31/DIR, DIW</t>
  </si>
  <si>
    <t>Ż 31/ZIN</t>
  </si>
  <si>
    <t>Ż 32/PJB</t>
  </si>
  <si>
    <t>Ż 32/DBR</t>
  </si>
  <si>
    <t>Ż 32/ZIN</t>
  </si>
  <si>
    <t>Ż 33/PJB</t>
  </si>
  <si>
    <t>Ż 33/DBR</t>
  </si>
  <si>
    <t>MCOO-P/APO</t>
  </si>
  <si>
    <t>MCOO-P/HUP</t>
  </si>
  <si>
    <t>MCOO-P/DRE</t>
  </si>
  <si>
    <t>MCOO-SP/APO</t>
  </si>
  <si>
    <t>MCOO-SP/CPO</t>
  </si>
  <si>
    <t>MCOO-SP/HUP</t>
  </si>
  <si>
    <t>MCOO-SP/DRE</t>
  </si>
  <si>
    <t>MCOO-ZS/APO</t>
  </si>
  <si>
    <t>MCOO-ZS/CPO</t>
  </si>
  <si>
    <t>MCOO-ZS/HUP</t>
  </si>
  <si>
    <t>MCOO-ZS/DRE</t>
  </si>
  <si>
    <t>MCOO-SOSW/APO</t>
  </si>
  <si>
    <t>MCOO-SOSW/CPO</t>
  </si>
  <si>
    <t>MCOO-SOSW/DRE</t>
  </si>
  <si>
    <t>MCOO-LO/APO</t>
  </si>
  <si>
    <t>MCOO-LO/CPO</t>
  </si>
  <si>
    <t>MCOO-LO/DRE</t>
  </si>
  <si>
    <t>MCOO/APO</t>
  </si>
  <si>
    <t>MCOO/CPO</t>
  </si>
  <si>
    <t>MCOO/BOD</t>
  </si>
  <si>
    <t>MCOO/DNR</t>
  </si>
  <si>
    <t>MCOO/ERP</t>
  </si>
  <si>
    <t>MCOO/CHM</t>
  </si>
  <si>
    <t>MCOO/CKA</t>
  </si>
  <si>
    <t>MCOO/CKB</t>
  </si>
  <si>
    <t>MCOO/CKE</t>
  </si>
  <si>
    <t>MCOO/CKM</t>
  </si>
  <si>
    <t>MCOO/CKR</t>
  </si>
  <si>
    <t>MCOO/CKT</t>
  </si>
  <si>
    <t>MCOO/KKU</t>
  </si>
  <si>
    <t>MCOO/MEP</t>
  </si>
  <si>
    <t>MCOO/DBR</t>
  </si>
  <si>
    <t>MCOO/EGM</t>
  </si>
  <si>
    <t>MCOO/PMP</t>
  </si>
  <si>
    <t>MCOO/DIR, DIW</t>
  </si>
  <si>
    <t>MCOO/ZIN</t>
  </si>
  <si>
    <t>P 135/APO</t>
  </si>
  <si>
    <t>P 135/DBR</t>
  </si>
  <si>
    <t>P 135/DRE</t>
  </si>
  <si>
    <t>SP 2/APO</t>
  </si>
  <si>
    <t>SP 2/CPO</t>
  </si>
  <si>
    <t>SP 2/DBR</t>
  </si>
  <si>
    <t>SP 2/KKU</t>
  </si>
  <si>
    <t>SP 2/ERP</t>
  </si>
  <si>
    <t>SP 2/DRE</t>
  </si>
  <si>
    <t>SP 5/APO</t>
  </si>
  <si>
    <t>SP 5/CPO</t>
  </si>
  <si>
    <t>SP 5/DBR</t>
  </si>
  <si>
    <t>SP 5/KKU</t>
  </si>
  <si>
    <t>SP 5/DRE</t>
  </si>
  <si>
    <t>SP 10/APO</t>
  </si>
  <si>
    <t>SP 10/DBR</t>
  </si>
  <si>
    <t>SP 10/KKU</t>
  </si>
  <si>
    <t>SP 10/DRE</t>
  </si>
  <si>
    <t>SP 10/CPO</t>
  </si>
  <si>
    <t>SP 12/APO</t>
  </si>
  <si>
    <t>SP 12/DBR</t>
  </si>
  <si>
    <t>SP 12/ERP</t>
  </si>
  <si>
    <t>SP 12/KKU</t>
  </si>
  <si>
    <t>SP 12/DRE</t>
  </si>
  <si>
    <t>SP 12/CPO</t>
  </si>
  <si>
    <t>SP 26/APO</t>
  </si>
  <si>
    <t>SP 26/CPO</t>
  </si>
  <si>
    <t>SP 26/DBR</t>
  </si>
  <si>
    <t>SP 26/DRE</t>
  </si>
  <si>
    <t>SP 26/ZIN</t>
  </si>
  <si>
    <t>SP 27/APO</t>
  </si>
  <si>
    <t>SP 27/CPO</t>
  </si>
  <si>
    <t>SP 27/DBR</t>
  </si>
  <si>
    <t>SP 27/HUP</t>
  </si>
  <si>
    <t>SP 27/DRE</t>
  </si>
  <si>
    <t>SP 27/ZIN</t>
  </si>
  <si>
    <t>SP 29/APO</t>
  </si>
  <si>
    <t>SP 29/CPO</t>
  </si>
  <si>
    <t>SP 29/DBR</t>
  </si>
  <si>
    <t>SP 29/KKU</t>
  </si>
  <si>
    <t>SP 29/DRE</t>
  </si>
  <si>
    <t>SP 30/APO</t>
  </si>
  <si>
    <t>SP 30/DBR</t>
  </si>
  <si>
    <t>SP 30/DRE</t>
  </si>
  <si>
    <t>SP 30/CPO</t>
  </si>
  <si>
    <t>SP 30/ZIN</t>
  </si>
  <si>
    <t>SP 36/APO</t>
  </si>
  <si>
    <t>SP 36/CPO</t>
  </si>
  <si>
    <t>SP 36/DBR</t>
  </si>
  <si>
    <t>SP 36/KKU</t>
  </si>
  <si>
    <t>SP 36/ERP</t>
  </si>
  <si>
    <t>SP 36/DRE</t>
  </si>
  <si>
    <t>SP 39/APO</t>
  </si>
  <si>
    <t>SP 39/DBR</t>
  </si>
  <si>
    <t>SP 39/CPO</t>
  </si>
  <si>
    <t>SP 39/DRE</t>
  </si>
  <si>
    <t>SP 39/DIR, DIW</t>
  </si>
  <si>
    <t>SP 39/ZIN</t>
  </si>
  <si>
    <t>SP 53/APO</t>
  </si>
  <si>
    <t>SP 53/CPO</t>
  </si>
  <si>
    <t>SP 53/DBR</t>
  </si>
  <si>
    <t>SP 53/HUP</t>
  </si>
  <si>
    <t>SP 53/DRE</t>
  </si>
  <si>
    <t>SP 53/DIR, DIW</t>
  </si>
  <si>
    <t>SP 53/ZIN</t>
  </si>
  <si>
    <t>SP 55/APO</t>
  </si>
  <si>
    <t>SP 55/CPO</t>
  </si>
  <si>
    <t>SP 55/DBR</t>
  </si>
  <si>
    <t>SP 55/DRE</t>
  </si>
  <si>
    <t>SP 55/ZIN</t>
  </si>
  <si>
    <t>SP 56/APO</t>
  </si>
  <si>
    <t>SP 56/CPO</t>
  </si>
  <si>
    <t>SP 56/DBR</t>
  </si>
  <si>
    <t>SP 56/DRE</t>
  </si>
  <si>
    <t>SP 56/ZIN</t>
  </si>
  <si>
    <t>SP 64/APO</t>
  </si>
  <si>
    <t>SP 64/CPO</t>
  </si>
  <si>
    <t>SP 64/DBR</t>
  </si>
  <si>
    <t>SP 64/DRE</t>
  </si>
  <si>
    <t>SP 144/APO</t>
  </si>
  <si>
    <t>SP 144/CPO</t>
  </si>
  <si>
    <t>SP 144/DBR</t>
  </si>
  <si>
    <t>SP 144/DRE</t>
  </si>
  <si>
    <t>SP 144/DIR, DIW</t>
  </si>
  <si>
    <t>SP 158/APO</t>
  </si>
  <si>
    <t>SP 158/CPO</t>
  </si>
  <si>
    <t>SP 158/DBR</t>
  </si>
  <si>
    <t>SP 158/KKU</t>
  </si>
  <si>
    <t>SP 158/GDS</t>
  </si>
  <si>
    <t>SP 158/DRE</t>
  </si>
  <si>
    <t>ZSP 1/APO</t>
  </si>
  <si>
    <t>ZSP 1/CPO</t>
  </si>
  <si>
    <t>ZSP 1/DBR</t>
  </si>
  <si>
    <t>ZSP 1/DRE</t>
  </si>
  <si>
    <t>ZSP 1/ZIN</t>
  </si>
  <si>
    <t>ZSP 8/APO</t>
  </si>
  <si>
    <t>ZSP 8/CPO</t>
  </si>
  <si>
    <t>ZSP 8/DBR</t>
  </si>
  <si>
    <t>ZSP 8/HUP</t>
  </si>
  <si>
    <t>ZSP 8/DRE</t>
  </si>
  <si>
    <t>ZSP 8/ZIN</t>
  </si>
  <si>
    <t>ZSP 11/APO</t>
  </si>
  <si>
    <t>ZSP 11/CPO</t>
  </si>
  <si>
    <t>ZSP 11/DBR</t>
  </si>
  <si>
    <t>ZSP 11/KKU</t>
  </si>
  <si>
    <t>ZSP 11/MEP</t>
  </si>
  <si>
    <t>ZSP 11/DRE</t>
  </si>
  <si>
    <t>ZSP 13/APO</t>
  </si>
  <si>
    <t>ZSP 13/CPO</t>
  </si>
  <si>
    <t>ZSP 13/DBR</t>
  </si>
  <si>
    <t>ZSP 13/KKU</t>
  </si>
  <si>
    <t>ZSP 13/DRE</t>
  </si>
  <si>
    <t>ZSP 13/ZIN</t>
  </si>
  <si>
    <t>ZSP 15/APO</t>
  </si>
  <si>
    <t>ZSP 15/CPO</t>
  </si>
  <si>
    <t>ZSP 15/DBR</t>
  </si>
  <si>
    <t>ZSP 15/DRE</t>
  </si>
  <si>
    <t>ZSP 15/ZIN</t>
  </si>
  <si>
    <t>ZSP 17/APO</t>
  </si>
  <si>
    <t>ZSP 17/CPO</t>
  </si>
  <si>
    <t>ZSP 17/DBR</t>
  </si>
  <si>
    <t>ZSP 17/KKU</t>
  </si>
  <si>
    <t>ZSP 17/HUP</t>
  </si>
  <si>
    <t>ZSP 17/DRE</t>
  </si>
  <si>
    <t>ZSP 19/APO</t>
  </si>
  <si>
    <t>ZSP 19/CPO</t>
  </si>
  <si>
    <t>ZSP 19/DBR</t>
  </si>
  <si>
    <t>ZSP 19/DRE</t>
  </si>
  <si>
    <t>ZSO 7/APO</t>
  </si>
  <si>
    <t>ZSO 7/DBR</t>
  </si>
  <si>
    <t>ZSO 7/KKU</t>
  </si>
  <si>
    <t>ZSO 7/DRE</t>
  </si>
  <si>
    <t>ZSO 7/CPO</t>
  </si>
  <si>
    <t>ZSO 9/APO</t>
  </si>
  <si>
    <t>ZSO 9/CPO</t>
  </si>
  <si>
    <t>ZSO 9/DBR</t>
  </si>
  <si>
    <t>ZSO 9/DRE</t>
  </si>
  <si>
    <t>ZSO 9/ZIN</t>
  </si>
  <si>
    <t>ZSO 13/APO</t>
  </si>
  <si>
    <t>ZSO 13/DBR</t>
  </si>
  <si>
    <t>ZSO 13/DRE</t>
  </si>
  <si>
    <t>ZSO 13/CPO</t>
  </si>
  <si>
    <t>ZSO 18/APO</t>
  </si>
  <si>
    <t>ZSO 18/DBR</t>
  </si>
  <si>
    <t>ZSO 18/DRE</t>
  </si>
  <si>
    <t>ZSO 18/CPO</t>
  </si>
  <si>
    <t>LO I/APO</t>
  </si>
  <si>
    <t>LO I/CHM</t>
  </si>
  <si>
    <t>LO I/DRE</t>
  </si>
  <si>
    <t>LO I/CPO</t>
  </si>
  <si>
    <t>LO III/APO</t>
  </si>
  <si>
    <t>LO III/CHM</t>
  </si>
  <si>
    <t>LO III/DBR</t>
  </si>
  <si>
    <t>LO III/DRE</t>
  </si>
  <si>
    <t>LO III/CPO</t>
  </si>
  <si>
    <t>LO IV/APO</t>
  </si>
  <si>
    <t>LO IV/DBR</t>
  </si>
  <si>
    <t>LO IV/CHM</t>
  </si>
  <si>
    <t>LO IV/DRE</t>
  </si>
  <si>
    <t>LO IV/CPO</t>
  </si>
  <si>
    <t>LO V/APO</t>
  </si>
  <si>
    <t>LO V/CHM</t>
  </si>
  <si>
    <t>LO V/HUP</t>
  </si>
  <si>
    <t>LO V/DRE</t>
  </si>
  <si>
    <t>LO V/ZIN</t>
  </si>
  <si>
    <t>LO VI/APO</t>
  </si>
  <si>
    <t>LO VI/CHM</t>
  </si>
  <si>
    <t>LO VI/MMR</t>
  </si>
  <si>
    <t>LO VI/DRE</t>
  </si>
  <si>
    <t>LO VI/DBR</t>
  </si>
  <si>
    <t>LO VI/ZIN</t>
  </si>
  <si>
    <t>LO VII/APO</t>
  </si>
  <si>
    <t>LO VII/CHM</t>
  </si>
  <si>
    <t>LO VII/DRE</t>
  </si>
  <si>
    <t>LO VII/CPO</t>
  </si>
  <si>
    <t>LO VII/DBR</t>
  </si>
  <si>
    <t>LO VIII/APO</t>
  </si>
  <si>
    <t>LO VIII/CHM</t>
  </si>
  <si>
    <t>LO VIII/ERP</t>
  </si>
  <si>
    <t>LO VIII/DRE</t>
  </si>
  <si>
    <t>LO VIII/CPO</t>
  </si>
  <si>
    <t>LO VIII/DBR</t>
  </si>
  <si>
    <t>LO IX/APO</t>
  </si>
  <si>
    <t>LO IX/DRE</t>
  </si>
  <si>
    <t>LO IX/CPO</t>
  </si>
  <si>
    <t>LO IX/DBR</t>
  </si>
  <si>
    <t>LO IX/ZIN</t>
  </si>
  <si>
    <t>LO X/APO</t>
  </si>
  <si>
    <t>LO X/CHM</t>
  </si>
  <si>
    <t>LO X/ERP</t>
  </si>
  <si>
    <t>LO X/DRE</t>
  </si>
  <si>
    <t>LO X/ZIN</t>
  </si>
  <si>
    <t>LO XI/APO</t>
  </si>
  <si>
    <t>LO XI/CHM</t>
  </si>
  <si>
    <t>LO XI/ERP</t>
  </si>
  <si>
    <t>LO XI/DRE</t>
  </si>
  <si>
    <t>LO XI/CPO</t>
  </si>
  <si>
    <t>LO XI/DBR</t>
  </si>
  <si>
    <t>LO XII/APO</t>
  </si>
  <si>
    <t>LO XII/DRE</t>
  </si>
  <si>
    <t>LO XII/CPO</t>
  </si>
  <si>
    <t>LO XIII/APO</t>
  </si>
  <si>
    <t>LO XIII/DBR</t>
  </si>
  <si>
    <t>LO XIII/DRE</t>
  </si>
  <si>
    <t>LO XIII/CPO</t>
  </si>
  <si>
    <t>LO XIII/HUP</t>
  </si>
  <si>
    <t>LO XIII/MEP</t>
  </si>
  <si>
    <t>LO XIV/APO</t>
  </si>
  <si>
    <t>LO XIV/DRE</t>
  </si>
  <si>
    <t>LO XIV/CPO</t>
  </si>
  <si>
    <t>LO XV/APO</t>
  </si>
  <si>
    <t>LO XV/DRE</t>
  </si>
  <si>
    <t>LO XV/CPO</t>
  </si>
  <si>
    <t>LO XV/DIR, DIW</t>
  </si>
  <si>
    <t>LO XX/APO</t>
  </si>
  <si>
    <t>LO XX/CHM</t>
  </si>
  <si>
    <t>LO XX/ERP</t>
  </si>
  <si>
    <t>LO XX/DRE</t>
  </si>
  <si>
    <t>LO XX/CPO</t>
  </si>
  <si>
    <t>LO XXI/APO</t>
  </si>
  <si>
    <t>LO XXI/CPO</t>
  </si>
  <si>
    <t>LO XXI/DRE</t>
  </si>
  <si>
    <t>LO XXV/APO</t>
  </si>
  <si>
    <t>LO XXV/DRE</t>
  </si>
  <si>
    <t>LO XXV/CPO</t>
  </si>
  <si>
    <t>LO XXV/DBR</t>
  </si>
  <si>
    <t>LO XXVIII/APO</t>
  </si>
  <si>
    <t>LO XXVIII/DBR</t>
  </si>
  <si>
    <t>LO XXVIII/DRE</t>
  </si>
  <si>
    <t>LO XXVIII/CPO</t>
  </si>
  <si>
    <t>LO XLI/APO</t>
  </si>
  <si>
    <t>LO XLI/DBR</t>
  </si>
  <si>
    <t>LO XLI/DRE</t>
  </si>
  <si>
    <t>LO XLI/ZIN</t>
  </si>
  <si>
    <t>LO XLII/APO</t>
  </si>
  <si>
    <t>LO XLII/DBR</t>
  </si>
  <si>
    <t>LO XLII/ERP</t>
  </si>
  <si>
    <t>LO XLII/DRE</t>
  </si>
  <si>
    <t>LO XLII/CPO</t>
  </si>
  <si>
    <t>LO XLIV/APO</t>
  </si>
  <si>
    <t>LO XLIV/DBR</t>
  </si>
  <si>
    <t>LO XLIV/DRE</t>
  </si>
  <si>
    <t>LO XLIV/CPO</t>
  </si>
  <si>
    <t>LO XLIV/ZIN</t>
  </si>
  <si>
    <t>ZSB 1/APO</t>
  </si>
  <si>
    <t>ZSB 1/CKB</t>
  </si>
  <si>
    <t>ZSB 1/DBR</t>
  </si>
  <si>
    <t>ZSB 1/KKU</t>
  </si>
  <si>
    <t>ZSB 1/DRE</t>
  </si>
  <si>
    <t>ZSB 1/CPO</t>
  </si>
  <si>
    <t>ZSCH/APO</t>
  </si>
  <si>
    <t>ZSCH/CHM</t>
  </si>
  <si>
    <t>ZSCH/CKA</t>
  </si>
  <si>
    <t>ZSCH/ERP</t>
  </si>
  <si>
    <t>ZSCH/DRE</t>
  </si>
  <si>
    <t>ZSCH/CPO</t>
  </si>
  <si>
    <t>ZSE 1/APO</t>
  </si>
  <si>
    <t>ZSE 1/CKA</t>
  </si>
  <si>
    <t>ZSE 1/CKT</t>
  </si>
  <si>
    <t>ZSE 1/KKU</t>
  </si>
  <si>
    <t>ZSE 1/ERP</t>
  </si>
  <si>
    <t>ZSE 1/MEP</t>
  </si>
  <si>
    <t>ZSE 1/DRE</t>
  </si>
  <si>
    <t>ZSE 1/CPO</t>
  </si>
  <si>
    <t>ZSE 1/PMP</t>
  </si>
  <si>
    <t>ZSE 1/HUP</t>
  </si>
  <si>
    <t>ZSE 1/ZIN</t>
  </si>
  <si>
    <t>ZSE 2/APO</t>
  </si>
  <si>
    <t>ZSE 2/CKA</t>
  </si>
  <si>
    <t>ZSE 2/CKT</t>
  </si>
  <si>
    <t>ZSE 2/DBR</t>
  </si>
  <si>
    <t>ZSE 2/ERP</t>
  </si>
  <si>
    <t>ZSE 2/KKU</t>
  </si>
  <si>
    <t>ZSE 2/DRE</t>
  </si>
  <si>
    <t>ZSE 2/CPO</t>
  </si>
  <si>
    <t>ZSEL 1/APO</t>
  </si>
  <si>
    <t>ZSEL 1/DBR</t>
  </si>
  <si>
    <t>ZSEL 1/CKE</t>
  </si>
  <si>
    <t>ZSEL 1/ERP</t>
  </si>
  <si>
    <t>ZSEL 1/DRE</t>
  </si>
  <si>
    <t>ZSEL 1/CPO</t>
  </si>
  <si>
    <t>ZSEL 1/HUP</t>
  </si>
  <si>
    <t>ZSEL 1/KKU</t>
  </si>
  <si>
    <t>ZSEL 1/ZIN</t>
  </si>
  <si>
    <t>ZSEL 2/APO</t>
  </si>
  <si>
    <t>ZSEL 2/CKE</t>
  </si>
  <si>
    <t>ZSEL 2/DBR</t>
  </si>
  <si>
    <t>ZSEL 2/KKU</t>
  </si>
  <si>
    <t>ZSEL 2/CHM</t>
  </si>
  <si>
    <t>ZSEL 2/DRE</t>
  </si>
  <si>
    <t>ZSEL 2/CPO</t>
  </si>
  <si>
    <t>ZSEN/APO</t>
  </si>
  <si>
    <t>ZSEN/CKE</t>
  </si>
  <si>
    <t>ZSEN/KKU</t>
  </si>
  <si>
    <t>ZSEN/ERP</t>
  </si>
  <si>
    <t>ZSEN/DRE</t>
  </si>
  <si>
    <t>ZSEN/CPO</t>
  </si>
  <si>
    <t>ZSEN/ZIN</t>
  </si>
  <si>
    <t>ZSG 1/APO</t>
  </si>
  <si>
    <t>ZSG 1/CHM</t>
  </si>
  <si>
    <t>ZSG 1/DBR</t>
  </si>
  <si>
    <t>ZSG 1/ERP</t>
  </si>
  <si>
    <t>ZSG 1/KKU</t>
  </si>
  <si>
    <t>ZSG 1/CKT</t>
  </si>
  <si>
    <t>ZSG 1/DRE</t>
  </si>
  <si>
    <t>ZSG 1/PMP</t>
  </si>
  <si>
    <t>ZSG 1/CPO</t>
  </si>
  <si>
    <t>ZSG 2/APO</t>
  </si>
  <si>
    <t>ZSG 2/CKT</t>
  </si>
  <si>
    <t>ZSG 2/DRE</t>
  </si>
  <si>
    <t>ZSG 2/CPO</t>
  </si>
  <si>
    <t>ZSGDIGW/APO</t>
  </si>
  <si>
    <t>ZSGDIGW/CHM</t>
  </si>
  <si>
    <t>ZSGDIGW/DBR</t>
  </si>
  <si>
    <t>ZSGDIGW/CKA</t>
  </si>
  <si>
    <t>ZSGDIGW/CKB</t>
  </si>
  <si>
    <t>ZSGDIGW/DRE</t>
  </si>
  <si>
    <t>ZSGDIGW/CPO</t>
  </si>
  <si>
    <t>ZSIŚIM/APO</t>
  </si>
  <si>
    <t>ZSIŚIM/CKA</t>
  </si>
  <si>
    <t>ZSIŚIM/CKB</t>
  </si>
  <si>
    <t>ZSIŚIM/CKR</t>
  </si>
  <si>
    <t>ZSIŚIM/KKU</t>
  </si>
  <si>
    <t>ZSIŚIM/MEP</t>
  </si>
  <si>
    <t>ZSIŚIM/DRE</t>
  </si>
  <si>
    <t>ZSIŚIM/CPO</t>
  </si>
  <si>
    <t>ZSIŚIM/ZIN</t>
  </si>
  <si>
    <t>ZSŁ/APO</t>
  </si>
  <si>
    <t>ZSŁ/CHM</t>
  </si>
  <si>
    <t>ZSŁ/CKE</t>
  </si>
  <si>
    <t>ZSŁ/KKU</t>
  </si>
  <si>
    <t>ZSŁ/DRE</t>
  </si>
  <si>
    <t>ZSŁ/CPO</t>
  </si>
  <si>
    <t>ZSŁ/DBR</t>
  </si>
  <si>
    <t>ZSM 1/APO</t>
  </si>
  <si>
    <t>ZSM 1/CHM</t>
  </si>
  <si>
    <t>ZSM 1/CKM</t>
  </si>
  <si>
    <t>ZSM 1/KKU</t>
  </si>
  <si>
    <t>ZSM 1/ERP</t>
  </si>
  <si>
    <t>ZSM 1/DRE</t>
  </si>
  <si>
    <t>ZSM 1/CPO</t>
  </si>
  <si>
    <t>ZSM 2/APO</t>
  </si>
  <si>
    <t>ZSM 2/CKA</t>
  </si>
  <si>
    <t>ZSM 2/CKM</t>
  </si>
  <si>
    <t>ZSM 2/ERP</t>
  </si>
  <si>
    <t>ZSM 2/DRE</t>
  </si>
  <si>
    <t>ZSM 2/CPO</t>
  </si>
  <si>
    <t>ZSM 3/APO</t>
  </si>
  <si>
    <t>ZSM 3/CHM</t>
  </si>
  <si>
    <t>ZSM 3/ERP</t>
  </si>
  <si>
    <t>ZSM 3/KKU</t>
  </si>
  <si>
    <t>ZSM 3/CKM</t>
  </si>
  <si>
    <t>ZSM 3/EGM</t>
  </si>
  <si>
    <t>ZSM 3/DRE</t>
  </si>
  <si>
    <t>ZSM 3/CPO</t>
  </si>
  <si>
    <t>ZSODZ 1/APO</t>
  </si>
  <si>
    <t>ZSODZ 1/DBR</t>
  </si>
  <si>
    <t>ZSODZ 1/DRE</t>
  </si>
  <si>
    <t>ZSPM/APO</t>
  </si>
  <si>
    <t>ZSPM/CPO</t>
  </si>
  <si>
    <t>ZSPM/CKA</t>
  </si>
  <si>
    <t>ZSPM/KKU</t>
  </si>
  <si>
    <t>ZSPM/CHM</t>
  </si>
  <si>
    <t>ZSPM/DRE</t>
  </si>
  <si>
    <t>ZSPM/KKZ</t>
  </si>
  <si>
    <t>ZSPSP/APO</t>
  </si>
  <si>
    <t>ZSPSP/DRE</t>
  </si>
  <si>
    <t>ZSPSP/CPO</t>
  </si>
  <si>
    <t>ZSZ PGNIG/APO</t>
  </si>
  <si>
    <t>ZSZ PGNIG/CKM</t>
  </si>
  <si>
    <t>ZSZ PGNIG/CKR</t>
  </si>
  <si>
    <t>ZSZ PGNIG/CHM</t>
  </si>
  <si>
    <t>ZSZ PGNIG/DRE</t>
  </si>
  <si>
    <t>ZSZ PGNIG/CPO</t>
  </si>
  <si>
    <t>ZSZ 2/APO</t>
  </si>
  <si>
    <t>ZSZ 2/DRE</t>
  </si>
  <si>
    <t>ZSZ 2/CPO</t>
  </si>
  <si>
    <t>ZSIPCNS/APO</t>
  </si>
  <si>
    <t>ZSIPCNS/DBR</t>
  </si>
  <si>
    <t>ZSIPCNS/KKZ</t>
  </si>
  <si>
    <t>ZSIPCNS/EGM</t>
  </si>
  <si>
    <t>ZSIPCNS/DRE</t>
  </si>
  <si>
    <t>ZSIPCNS/CPO</t>
  </si>
  <si>
    <t>ZSIPCNS/ZIN</t>
  </si>
  <si>
    <t>CKZ 1/APO</t>
  </si>
  <si>
    <t>CKZ 1/CKA</t>
  </si>
  <si>
    <t>CKZ 1/CKB</t>
  </si>
  <si>
    <t>CKZ 1/CKE</t>
  </si>
  <si>
    <t>CKZ 1/CKM</t>
  </si>
  <si>
    <t>CKZ 1/CKR</t>
  </si>
  <si>
    <t>CKZ 1/CKT</t>
  </si>
  <si>
    <t>CKZ 1/EGM</t>
  </si>
  <si>
    <t>CKZ 1/DRE</t>
  </si>
  <si>
    <t>CKZ 1/CPO</t>
  </si>
  <si>
    <t>CKZIU/APO</t>
  </si>
  <si>
    <t>CKZIU/DRE</t>
  </si>
  <si>
    <t>CKZIU/CPO</t>
  </si>
  <si>
    <t>CKZIU/HUP</t>
  </si>
  <si>
    <t>OSM-B/APO</t>
  </si>
  <si>
    <t>OSM-B/DBR</t>
  </si>
  <si>
    <t>OSM-B/HUP</t>
  </si>
  <si>
    <t>OSM-B/DRE</t>
  </si>
  <si>
    <t>OSM-B/CPO</t>
  </si>
  <si>
    <t>OSM-B/ZIN</t>
  </si>
  <si>
    <t>SM-J/APO</t>
  </si>
  <si>
    <t>SM-J/DBR</t>
  </si>
  <si>
    <t>SM-J/ERP</t>
  </si>
  <si>
    <t>SM-J/DRE</t>
  </si>
  <si>
    <t>SM-J/HUP</t>
  </si>
  <si>
    <t>SM-P/APO</t>
  </si>
  <si>
    <t>SM-P/DRE</t>
  </si>
  <si>
    <t>SM-P/CPO</t>
  </si>
  <si>
    <t>ZSS 14/APO</t>
  </si>
  <si>
    <t>ZSS 14/CPO</t>
  </si>
  <si>
    <t>ZSS 14/DBR</t>
  </si>
  <si>
    <t>ZSS 14/KKU</t>
  </si>
  <si>
    <t>ZSS 14/CKT</t>
  </si>
  <si>
    <t>ZSS 14/DRE</t>
  </si>
  <si>
    <t>ZSS 14/ZIN</t>
  </si>
  <si>
    <t>SOSW 1/APO</t>
  </si>
  <si>
    <t>SOSW 1/CPO</t>
  </si>
  <si>
    <t>SOSW 1/ERP</t>
  </si>
  <si>
    <t>SOSW 1/CKT</t>
  </si>
  <si>
    <t>SOSW 1/EGM</t>
  </si>
  <si>
    <t>SOSW 1/DRE</t>
  </si>
  <si>
    <t>SOSW 1/PMP</t>
  </si>
  <si>
    <t>SOSW 1/ZIN</t>
  </si>
  <si>
    <t>SOSW 3/APO</t>
  </si>
  <si>
    <t>SOSW 3/EGM</t>
  </si>
  <si>
    <t>SOSW 3/DBR</t>
  </si>
  <si>
    <t>SOSW 3/DRE</t>
  </si>
  <si>
    <t>SOSW 3/CPO</t>
  </si>
  <si>
    <t>SOSW 3/ZIN</t>
  </si>
  <si>
    <t>SOSW 4/APO</t>
  </si>
  <si>
    <t>SOSW 4/CPO</t>
  </si>
  <si>
    <t>SOSW 4/DBR</t>
  </si>
  <si>
    <t>SOSW 4/ERP</t>
  </si>
  <si>
    <t>SOSW 4/EGM</t>
  </si>
  <si>
    <t>SOSW 4/DRE</t>
  </si>
  <si>
    <t>SOSW 6/APO</t>
  </si>
  <si>
    <t>SOSW 6/DBR</t>
  </si>
  <si>
    <t>SOSW 6/DRE</t>
  </si>
  <si>
    <t>SOSW 6/CPO</t>
  </si>
  <si>
    <t>SOSW 6/ZIN</t>
  </si>
  <si>
    <t>SOSWCA/APO</t>
  </si>
  <si>
    <t>SOSWCA/DBR</t>
  </si>
  <si>
    <t>SOSWCA/WEW</t>
  </si>
  <si>
    <t>SOSWCA/EGM</t>
  </si>
  <si>
    <t>SOSWCA/DRE</t>
  </si>
  <si>
    <t>SOSWCA/CPO</t>
  </si>
  <si>
    <t>SOSWN-G/APO</t>
  </si>
  <si>
    <t>SOSWN-G/DBR</t>
  </si>
  <si>
    <t>SOSWN-G/ERP</t>
  </si>
  <si>
    <t>SOSWN-G/DRE</t>
  </si>
  <si>
    <t>SOSWN-G/CPO</t>
  </si>
  <si>
    <t>ZPRS/APO</t>
  </si>
  <si>
    <t>ZPRS/EGM</t>
  </si>
  <si>
    <t>ZPRS/KKU</t>
  </si>
  <si>
    <t>ZPRS/HUP</t>
  </si>
  <si>
    <t>ZPRS/DRE</t>
  </si>
  <si>
    <t>ZPRS/CPO</t>
  </si>
  <si>
    <t>ZPRS/ZIN</t>
  </si>
  <si>
    <t>KOT/APO</t>
  </si>
  <si>
    <t>KOT/WPP</t>
  </si>
  <si>
    <t>KOT/DRE</t>
  </si>
  <si>
    <t>KOT/CPO</t>
  </si>
  <si>
    <t>SPPP/APO</t>
  </si>
  <si>
    <t>SPPP/WPP</t>
  </si>
  <si>
    <t>KOK/APO</t>
  </si>
  <si>
    <t>KOK/DBR</t>
  </si>
  <si>
    <t>KOK/WPP</t>
  </si>
  <si>
    <t>SPWPPP/APO</t>
  </si>
  <si>
    <t>SPWPPP/WPP</t>
  </si>
  <si>
    <t>SPWPPP/HUP</t>
  </si>
  <si>
    <t>SPWPPP/CPO</t>
  </si>
  <si>
    <t>PPP 1/APO</t>
  </si>
  <si>
    <t>PPP 1/WPP</t>
  </si>
  <si>
    <t>PPP 2/APO</t>
  </si>
  <si>
    <t>PPP 2/WPP</t>
  </si>
  <si>
    <t>PPP 2/DRE</t>
  </si>
  <si>
    <t>PPP 2/CPO</t>
  </si>
  <si>
    <t>PPP 3/APO</t>
  </si>
  <si>
    <t>PPP 3/DBR</t>
  </si>
  <si>
    <t>PPP 3/WPP</t>
  </si>
  <si>
    <t>PPP 3/CZP</t>
  </si>
  <si>
    <t>PPP 3/DRE</t>
  </si>
  <si>
    <t>PPP 3/CPO</t>
  </si>
  <si>
    <t>PPP 4/APO</t>
  </si>
  <si>
    <t>PPP 4/DBR</t>
  </si>
  <si>
    <t>PPP 4/WPP</t>
  </si>
  <si>
    <t>PPP 4/DRE</t>
  </si>
  <si>
    <t>PPP 4/CPO</t>
  </si>
  <si>
    <t>BURSA 1/APO</t>
  </si>
  <si>
    <t>BURSA 1/DBR</t>
  </si>
  <si>
    <t>BURSA 1/DRE</t>
  </si>
  <si>
    <t>BURSA 1/HUP</t>
  </si>
  <si>
    <t>BURSA 1/ZIN</t>
  </si>
  <si>
    <t>BURSA 2/APO</t>
  </si>
  <si>
    <t>BURSA 2/DRE</t>
  </si>
  <si>
    <t>BURSA 2/HUP</t>
  </si>
  <si>
    <t>BURSA 2/ZIN</t>
  </si>
  <si>
    <t>BURSA 3/APO</t>
  </si>
  <si>
    <t>BURSA 3/DRE</t>
  </si>
  <si>
    <t>SSM/APO</t>
  </si>
  <si>
    <t>SSM/DRE</t>
  </si>
  <si>
    <t>KSOS/APO</t>
  </si>
  <si>
    <t>KSOS/CKF</t>
  </si>
  <si>
    <t>KSOS/DBR</t>
  </si>
  <si>
    <t>KSOS/ZIN</t>
  </si>
  <si>
    <t>MOS-W/APO</t>
  </si>
  <si>
    <t>MOS-W/CKF</t>
  </si>
  <si>
    <t>MOS-W/ZIN</t>
  </si>
  <si>
    <t>MOS-Z/APO</t>
  </si>
  <si>
    <t>MOS-Z/CKF</t>
  </si>
  <si>
    <t>MDK-1000/APO</t>
  </si>
  <si>
    <t>MDK-1000/DBR</t>
  </si>
  <si>
    <t>MDK-29/APO</t>
  </si>
  <si>
    <t>MDK-29/DBR</t>
  </si>
  <si>
    <t>MDK-29/DRE</t>
  </si>
  <si>
    <t>MDK-BE/APO</t>
  </si>
  <si>
    <t>MDK-BE/DBR</t>
  </si>
  <si>
    <t>MDK-BE/MRK</t>
  </si>
  <si>
    <t>MDK-BE/BOD</t>
  </si>
  <si>
    <t>MDK-BE/DRE</t>
  </si>
  <si>
    <t>MDK-BE/ZIN</t>
  </si>
  <si>
    <t>MDK-GR/APO</t>
  </si>
  <si>
    <t>MDK-GR/DBR</t>
  </si>
  <si>
    <t>MDK-GR/DRE</t>
  </si>
  <si>
    <t>MDK-GR/CPO</t>
  </si>
  <si>
    <t>MDK-KA/APO</t>
  </si>
  <si>
    <t>MDK-KA/DBR</t>
  </si>
  <si>
    <t>MDK-KA/DRE</t>
  </si>
  <si>
    <t>MDK-KA/CPO</t>
  </si>
  <si>
    <t>MDK-KA/DIR, DIW</t>
  </si>
  <si>
    <t>MDK-LO/APO</t>
  </si>
  <si>
    <t>MDK-LO/DBR</t>
  </si>
  <si>
    <t>MDK-LO/BOD</t>
  </si>
  <si>
    <t>MDK-LO/CPO</t>
  </si>
  <si>
    <t>MDK-NS/APO</t>
  </si>
  <si>
    <t>MDK-NS/DBR</t>
  </si>
  <si>
    <t>MDK-NS/CPO</t>
  </si>
  <si>
    <t>MDK-NS/DRE</t>
  </si>
  <si>
    <t>MDK-RE/APO</t>
  </si>
  <si>
    <t>MDK-RE/DBR</t>
  </si>
  <si>
    <t>MDK-RE/EGM</t>
  </si>
  <si>
    <t>MDK-RE/DRE</t>
  </si>
  <si>
    <t>MDK-RE/CPO</t>
  </si>
  <si>
    <t>MDK-RE/HUP</t>
  </si>
  <si>
    <t>MDK-RE/ZIN</t>
  </si>
  <si>
    <t>CM/APO</t>
  </si>
  <si>
    <t>CM/DBR</t>
  </si>
  <si>
    <t>CM/CPO</t>
  </si>
  <si>
    <t>CM/ERP</t>
  </si>
  <si>
    <t>CM/BOD</t>
  </si>
  <si>
    <t>CM/EGM</t>
  </si>
  <si>
    <t>CM/DRE</t>
  </si>
  <si>
    <t>CM/ZIN</t>
  </si>
  <si>
    <t>SCKM/APO</t>
  </si>
  <si>
    <t>SCKM/DBR</t>
  </si>
  <si>
    <t>SCKM/DRE</t>
  </si>
  <si>
    <t>SCKM/CPO</t>
  </si>
  <si>
    <t>SCKM/ZIN</t>
  </si>
  <si>
    <t>MLZPIT/APO</t>
  </si>
  <si>
    <t>MLZPIT/DBR</t>
  </si>
  <si>
    <t>MLZPIT/BOD</t>
  </si>
  <si>
    <t>MAK/DKI</t>
  </si>
  <si>
    <t>MAK/DBR</t>
  </si>
  <si>
    <t>MHMK/DKI</t>
  </si>
  <si>
    <t>MHMK/DBR</t>
  </si>
  <si>
    <t>MIM/DKI</t>
  </si>
  <si>
    <t>MHF/DKI</t>
  </si>
  <si>
    <t>MHF/DBR</t>
  </si>
  <si>
    <t>MKLP/DKI</t>
  </si>
  <si>
    <t>MSW/DKI</t>
  </si>
  <si>
    <t>BUNKIER/DKI</t>
  </si>
  <si>
    <t>DECJUSZA/DKI</t>
  </si>
  <si>
    <t>DECJUSZA/DBR</t>
  </si>
  <si>
    <t>LUDOWY/DKI</t>
  </si>
  <si>
    <t>LUDOWY/DBR</t>
  </si>
  <si>
    <t>GROTESKA/DKI</t>
  </si>
  <si>
    <t>BAGATELA/DKI</t>
  </si>
  <si>
    <t>TŁN/DKI</t>
  </si>
  <si>
    <t>KTO/DKI</t>
  </si>
  <si>
    <t>KTO/DBR</t>
  </si>
  <si>
    <t>VARIETE/DKI</t>
  </si>
  <si>
    <t>STU/DKI</t>
  </si>
  <si>
    <t>CD/DKI</t>
  </si>
  <si>
    <t>SINFO/DKI</t>
  </si>
  <si>
    <t>CC/DKI</t>
  </si>
  <si>
    <t>KFK/DKI</t>
  </si>
  <si>
    <t>KFK/DBR</t>
  </si>
  <si>
    <t>OKNH/DKI</t>
  </si>
  <si>
    <t>OKNH/DBR</t>
  </si>
  <si>
    <t>OKNH/BOD</t>
  </si>
  <si>
    <t>OKNH/BOO</t>
  </si>
  <si>
    <t>OKNOR/DKI</t>
  </si>
  <si>
    <t>OKNOR/DBR</t>
  </si>
  <si>
    <t>OKNOR/BOD</t>
  </si>
  <si>
    <t>OKZPIT/DKI</t>
  </si>
  <si>
    <t>OKZPIT/DBR</t>
  </si>
  <si>
    <t>NCK/DKI</t>
  </si>
  <si>
    <t>NCK/DBR</t>
  </si>
  <si>
    <t>DWOREK/DKI</t>
  </si>
  <si>
    <t>DWOREK/DBR</t>
  </si>
  <si>
    <t>DWOREK/BOD</t>
  </si>
  <si>
    <t>CKPODG/DKI</t>
  </si>
  <si>
    <t>CKPODG/DBR</t>
  </si>
  <si>
    <t>CKPODG/BOD</t>
  </si>
  <si>
    <t>BPP/DKI</t>
  </si>
  <si>
    <t>BPP/DBR</t>
  </si>
  <si>
    <t>BIBLIOTEKA/DKI</t>
  </si>
  <si>
    <t>BIBLIOTEKA/DBR</t>
  </si>
  <si>
    <t>BIBLIOTEKA/BOD</t>
  </si>
  <si>
    <t>KBF/DKI</t>
  </si>
  <si>
    <t>KBF/BOD</t>
  </si>
  <si>
    <t>KEGW/UOP</t>
  </si>
  <si>
    <t>KEGW/UFP</t>
  </si>
  <si>
    <t>KEGW/USZ</t>
  </si>
  <si>
    <t>KEGW/ZWM</t>
  </si>
  <si>
    <t>KEGW/PEE</t>
  </si>
  <si>
    <t>KEGW/PKL</t>
  </si>
  <si>
    <t>KEGW/DBR</t>
  </si>
  <si>
    <t>KEGW/OZA</t>
  </si>
  <si>
    <t>KEGW/ZIN</t>
  </si>
  <si>
    <t>ZBK/BUN</t>
  </si>
  <si>
    <t>ZBK/GSP</t>
  </si>
  <si>
    <t>ZBK/EGM</t>
  </si>
  <si>
    <t>ZBK/MCH</t>
  </si>
  <si>
    <t>ZBK/RFB</t>
  </si>
  <si>
    <t>ZBK/SOO</t>
  </si>
  <si>
    <t>ZBK/ORZ</t>
  </si>
  <si>
    <t>ZBK/DBR</t>
  </si>
  <si>
    <t>ZBK/DIR, DIW</t>
  </si>
  <si>
    <t>ZBK/ZIN</t>
  </si>
  <si>
    <t>ZCK/UTC</t>
  </si>
  <si>
    <t>ZCK/DBR</t>
  </si>
  <si>
    <t>ZCK/EGM</t>
  </si>
  <si>
    <t>ZCK/BOD</t>
  </si>
  <si>
    <t>ZCK/ATZ</t>
  </si>
  <si>
    <t>ZCK/ZIN</t>
  </si>
  <si>
    <t>ZDMK/DMK</t>
  </si>
  <si>
    <t>ZDMK/DGO</t>
  </si>
  <si>
    <t>ZDMK/UOI</t>
  </si>
  <si>
    <t>ZDMK/URD</t>
  </si>
  <si>
    <t>ZDMK/UTA</t>
  </si>
  <si>
    <t>ZDMK/UOS</t>
  </si>
  <si>
    <t>ZDMK/UZR</t>
  </si>
  <si>
    <t>ZDMK/UIT</t>
  </si>
  <si>
    <t>ZDMK/UOK</t>
  </si>
  <si>
    <t>ZDMK/OZI</t>
  </si>
  <si>
    <t>ZDMK/OUO</t>
  </si>
  <si>
    <t>ZDMK/OWD</t>
  </si>
  <si>
    <t>ZDMK/EGM</t>
  </si>
  <si>
    <t>ZDMK/BOD</t>
  </si>
  <si>
    <t>ZDMK/BOO</t>
  </si>
  <si>
    <t>ZDMK/SPP</t>
  </si>
  <si>
    <t>ZDMK/EMT</t>
  </si>
  <si>
    <t>ZDMK/DBR</t>
  </si>
  <si>
    <t>ZDMK/PPE</t>
  </si>
  <si>
    <t>ZDMK/OAZ</t>
  </si>
  <si>
    <t>ZDMK/DIR, DIW</t>
  </si>
  <si>
    <t>ZDMK/ZIN</t>
  </si>
  <si>
    <t>ZIM/OAI</t>
  </si>
  <si>
    <t>ZIM/NIW</t>
  </si>
  <si>
    <t>ZIM/ETG</t>
  </si>
  <si>
    <t>ZIM/ELI</t>
  </si>
  <si>
    <t>ZIM/ZIN</t>
  </si>
  <si>
    <t>ZIS/ZOB</t>
  </si>
  <si>
    <t>ZIS/UTR</t>
  </si>
  <si>
    <t>ZIS/OIS</t>
  </si>
  <si>
    <t>ZIS/OZD</t>
  </si>
  <si>
    <t>ZIS/ADT</t>
  </si>
  <si>
    <t>ZIS/EGM</t>
  </si>
  <si>
    <t>ZIS/DBR</t>
  </si>
  <si>
    <t>ZIS/BOD</t>
  </si>
  <si>
    <t>ZIS/DIR, DIW</t>
  </si>
  <si>
    <t>ZIS/ZIN</t>
  </si>
  <si>
    <t>ZTP/TZB</t>
  </si>
  <si>
    <t>ZTP/ROW</t>
  </si>
  <si>
    <t>ZTP/SIM</t>
  </si>
  <si>
    <t>ZTP/RSO</t>
  </si>
  <si>
    <t>ZTP/UPR</t>
  </si>
  <si>
    <t>ZTP/EGM</t>
  </si>
  <si>
    <t>ZTP/BOD</t>
  </si>
  <si>
    <t>ZTP/ODA</t>
  </si>
  <si>
    <t>ZTP/ZIN</t>
  </si>
  <si>
    <t>ZZM/UKZ</t>
  </si>
  <si>
    <t>ZZM/ZNL</t>
  </si>
  <si>
    <t>ZZM/ZZG</t>
  </si>
  <si>
    <t>ZZM/ZIW</t>
  </si>
  <si>
    <t>ZZM/BOO</t>
  </si>
  <si>
    <t>ZZM/BOD</t>
  </si>
  <si>
    <t>ZZM/EGM</t>
  </si>
  <si>
    <t>ZZM/OAT</t>
  </si>
  <si>
    <t>ZZM/HOR</t>
  </si>
  <si>
    <t>ZZM/GAP</t>
  </si>
  <si>
    <t>ZZM/GAS</t>
  </si>
  <si>
    <t>ZZM/SYM</t>
  </si>
  <si>
    <t>ZZM/DBR</t>
  </si>
  <si>
    <t>ZZM/MAC</t>
  </si>
  <si>
    <t>ZZM/ZOS</t>
  </si>
  <si>
    <t>ZZM/DIR, DIW</t>
  </si>
  <si>
    <t>ZZM/ZIN</t>
  </si>
  <si>
    <t>KMPSP/PJB</t>
  </si>
  <si>
    <t>KMPSP/DBR</t>
  </si>
  <si>
    <t>KMPSP/BOD</t>
  </si>
  <si>
    <t>KMPSP/DIR, DIW</t>
  </si>
  <si>
    <t>KMPSP/ZIN</t>
  </si>
  <si>
    <t>SMMK/OPP</t>
  </si>
  <si>
    <t>SMMK/SGO</t>
  </si>
  <si>
    <t>SMMK/EGM</t>
  </si>
  <si>
    <t>SMMK/DBR</t>
  </si>
  <si>
    <t>SMMK/OZS</t>
  </si>
  <si>
    <t>SMMK/BOD</t>
  </si>
  <si>
    <t>SMMK/BOO</t>
  </si>
  <si>
    <t>SMMK/DIR, DIW</t>
  </si>
  <si>
    <t>SMMK/ZIN</t>
  </si>
  <si>
    <t>MCPU/PJB</t>
  </si>
  <si>
    <t>MCPU/MKA</t>
  </si>
  <si>
    <t>MCPU/EGM</t>
  </si>
  <si>
    <t>MCPU/ZIN</t>
  </si>
  <si>
    <t>MOPS/PRZ</t>
  </si>
  <si>
    <t>MOPS/PZA</t>
  </si>
  <si>
    <t>MOPS/PSN</t>
  </si>
  <si>
    <t>MOPS/PPS</t>
  </si>
  <si>
    <t>MOPS/REI</t>
  </si>
  <si>
    <t>MOPS/EMI</t>
  </si>
  <si>
    <t>MOPS/AZS</t>
  </si>
  <si>
    <t>MOPS/EGM</t>
  </si>
  <si>
    <t>MOPS/BOD</t>
  </si>
  <si>
    <t>MOPS/DBR</t>
  </si>
  <si>
    <t>MOPS/UBO</t>
  </si>
  <si>
    <t>MOPS/ZRO</t>
  </si>
  <si>
    <t>MOPS/CZP</t>
  </si>
  <si>
    <t>MOPS/SPU</t>
  </si>
  <si>
    <t>MOPS/OBA</t>
  </si>
  <si>
    <t>MOPS/WWD</t>
  </si>
  <si>
    <t>MOPS/ZIN</t>
  </si>
  <si>
    <t>DPS-BA/PJB</t>
  </si>
  <si>
    <t>DPS-BA/DIR, DIW</t>
  </si>
  <si>
    <t>DPS-BA/ZIN</t>
  </si>
  <si>
    <t>DPS-HE/PJB</t>
  </si>
  <si>
    <t>DPS-HE/DBR</t>
  </si>
  <si>
    <t>DPS-HE/ZIN</t>
  </si>
  <si>
    <t>DPS-KL/PJB</t>
  </si>
  <si>
    <t>DPS-KL/ZIN</t>
  </si>
  <si>
    <t>DPS-KR/PJB</t>
  </si>
  <si>
    <t>DPS-KR/DBR</t>
  </si>
  <si>
    <t>DPS-KR/DIR, DIW</t>
  </si>
  <si>
    <t>DPS-KR/ZIN</t>
  </si>
  <si>
    <t>DPS-Ł39/PJB</t>
  </si>
  <si>
    <t>DPS-Ł39/DBR</t>
  </si>
  <si>
    <t>DPS-Ł39/ZIN</t>
  </si>
  <si>
    <t>DPS-Ł41/PJB</t>
  </si>
  <si>
    <t>DPS-Ł41/DBR</t>
  </si>
  <si>
    <t>DPS-Ł41/DIR, DIW</t>
  </si>
  <si>
    <t>DPS-Ł41/ZIN</t>
  </si>
  <si>
    <t>DPS-Ł43/PJB</t>
  </si>
  <si>
    <t>DPS-Ł43/BDK</t>
  </si>
  <si>
    <t>DPS-Ł43/DIR, DIW</t>
  </si>
  <si>
    <t>DPS-Ł43/ZIN</t>
  </si>
  <si>
    <t>DPS-NH/PJB</t>
  </si>
  <si>
    <t>DPS-NH/ZIN</t>
  </si>
  <si>
    <t>DPS-NO/PJB</t>
  </si>
  <si>
    <t>DPS-NO/BOD</t>
  </si>
  <si>
    <t>DPS-NO/BDK</t>
  </si>
  <si>
    <t>DPS-NO/ZIN</t>
  </si>
  <si>
    <t>DPS-PR/PJB</t>
  </si>
  <si>
    <t>DPS-PR/ZIN</t>
  </si>
  <si>
    <t>DPS-RA/PJB</t>
  </si>
  <si>
    <t>DPS-RA/DBR</t>
  </si>
  <si>
    <t>DPS-RA/ZIN</t>
  </si>
  <si>
    <t>DPS-RO/PJB</t>
  </si>
  <si>
    <t>DPS-RO/ZIN</t>
  </si>
  <si>
    <t>MDDPS/PJB</t>
  </si>
  <si>
    <t>MDDPS/DBR</t>
  </si>
  <si>
    <t>MDDPS/EGM</t>
  </si>
  <si>
    <t>MDDPS/WWD</t>
  </si>
  <si>
    <t>MDDPS/ZIN</t>
  </si>
  <si>
    <t>ŚDS/PJB</t>
  </si>
  <si>
    <t>ŚDS/DBR</t>
  </si>
  <si>
    <t>OIK/PJB</t>
  </si>
  <si>
    <t>OIK/RZP</t>
  </si>
  <si>
    <t>OIK/ZIN</t>
  </si>
  <si>
    <t>CPOW-P/PJB</t>
  </si>
  <si>
    <t>CPOW-P/ZIN</t>
  </si>
  <si>
    <t>CA 1/PJB</t>
  </si>
  <si>
    <t>CA 2/PJB</t>
  </si>
  <si>
    <t>CA 2/ZIN</t>
  </si>
  <si>
    <t>PINB/PJB</t>
  </si>
  <si>
    <t>PINB/ZIN</t>
  </si>
  <si>
    <t>GUP/PJB</t>
  </si>
  <si>
    <t>Wydział Gospodarki Komunalnej i Klimatu (GK)</t>
  </si>
  <si>
    <t>Pomoc dla uchodźców z Ukrainy</t>
  </si>
  <si>
    <t>UKR</t>
  </si>
  <si>
    <t>Realizacja programów unijnych - Erasmus+ 2021-2027</t>
  </si>
  <si>
    <t>ER2</t>
  </si>
  <si>
    <t>Realizacja programu Młody Kraków</t>
  </si>
  <si>
    <t>Laboratoria Przyszłości</t>
  </si>
  <si>
    <t>LAP</t>
  </si>
  <si>
    <t>Asystent ucznia ze specjalnymi potrzebami edukacyjnymi - pilotaż</t>
  </si>
  <si>
    <t>ASP</t>
  </si>
  <si>
    <t>Realizacja programu unijnego Erasmus+ edycja 2021-2027</t>
  </si>
  <si>
    <t>Licea ogólnokształcące - zadania realizowane na podstawie umów i porozumień</t>
  </si>
  <si>
    <t>LO/HUP</t>
  </si>
  <si>
    <t>LO/PMK</t>
  </si>
  <si>
    <t>SOSW - Laboratoria Przyszłości</t>
  </si>
  <si>
    <t>SOSW/LAP</t>
  </si>
  <si>
    <t>Szkoły Podstawowe - pomoc dla uchodźców z Ukrainy</t>
  </si>
  <si>
    <t>SP/UKR</t>
  </si>
  <si>
    <t>Szkoły podstawowe - Laboratoria Przyszłości</t>
  </si>
  <si>
    <t>SP/LAP</t>
  </si>
  <si>
    <t>Zespoły szkół - Laboratoria Przyszłości</t>
  </si>
  <si>
    <t>ZS/LAP</t>
  </si>
  <si>
    <t>Edukacja ekologiczna i klimatyczna</t>
  </si>
  <si>
    <t>Obsługa Dzielnic</t>
  </si>
  <si>
    <t>Rozliczenia wydatków majątkowych</t>
  </si>
  <si>
    <t>Smart EPC</t>
  </si>
  <si>
    <t>EPC</t>
  </si>
  <si>
    <t>IT/ODF</t>
  </si>
  <si>
    <t>IT/UKR</t>
  </si>
  <si>
    <t>KP/UKR</t>
  </si>
  <si>
    <t>SO/UKR</t>
  </si>
  <si>
    <t>OC/UKR</t>
  </si>
  <si>
    <t>JP/UKR</t>
  </si>
  <si>
    <t>WT/UKR</t>
  </si>
  <si>
    <t>EK/PKF</t>
  </si>
  <si>
    <t>EK/UPS</t>
  </si>
  <si>
    <t>EK/UKR</t>
  </si>
  <si>
    <t>EK/DBR</t>
  </si>
  <si>
    <t>GK/EKO</t>
  </si>
  <si>
    <t>GK/UKR</t>
  </si>
  <si>
    <t>KS/UKR</t>
  </si>
  <si>
    <t>OU/UKR</t>
  </si>
  <si>
    <t>SZ/UKR</t>
  </si>
  <si>
    <t>SZ/RWM</t>
  </si>
  <si>
    <t>Ż 1/UKR</t>
  </si>
  <si>
    <t>Ż 2/UKR</t>
  </si>
  <si>
    <t>Ż 5/UKR</t>
  </si>
  <si>
    <t>Ż 7/UKR</t>
  </si>
  <si>
    <t>Ż 14/UKR</t>
  </si>
  <si>
    <t>Ż 18/UKR</t>
  </si>
  <si>
    <t>Ż 19/UKR</t>
  </si>
  <si>
    <t>Ż 21/UKR</t>
  </si>
  <si>
    <t>Ż 22/UKR</t>
  </si>
  <si>
    <t>Ż 23/UKR</t>
  </si>
  <si>
    <t>Ż 24/UKR</t>
  </si>
  <si>
    <t>Ż 27/UKR</t>
  </si>
  <si>
    <t>Ż 28/UKR</t>
  </si>
  <si>
    <t>Ż 30/UKR</t>
  </si>
  <si>
    <t>Ż 31/UKR</t>
  </si>
  <si>
    <t>Ż 33/UKR</t>
  </si>
  <si>
    <t>MCOO-SP/LAP</t>
  </si>
  <si>
    <t>MCOO-ZS/LAP</t>
  </si>
  <si>
    <t>MCOO-SOSW/LAP</t>
  </si>
  <si>
    <t>MCOO-SP/UKR</t>
  </si>
  <si>
    <t>MCOO-LO/HUP</t>
  </si>
  <si>
    <t>MCOO-LO/PMK</t>
  </si>
  <si>
    <t>MCOO/ER2</t>
  </si>
  <si>
    <t>MCOO/ASP</t>
  </si>
  <si>
    <t>SP 2/LAP</t>
  </si>
  <si>
    <t>SP 5/LAP</t>
  </si>
  <si>
    <t>SP 10/LAP</t>
  </si>
  <si>
    <t>SP 12/ASP</t>
  </si>
  <si>
    <t>SP 12/LAP</t>
  </si>
  <si>
    <t>SP 12/UKR</t>
  </si>
  <si>
    <t>SP 26/LAP</t>
  </si>
  <si>
    <t>SP 27/LAP</t>
  </si>
  <si>
    <t>SP 29/LAP</t>
  </si>
  <si>
    <t>SP 30/HUP</t>
  </si>
  <si>
    <t>SP 36/LAP</t>
  </si>
  <si>
    <t>SP 39/HUP</t>
  </si>
  <si>
    <t>SP 39/LAP</t>
  </si>
  <si>
    <t>SP 53/LAP</t>
  </si>
  <si>
    <t>SP 55/LAP</t>
  </si>
  <si>
    <t>SP 56/LAP</t>
  </si>
  <si>
    <t>SP 144/LAP</t>
  </si>
  <si>
    <t>SP 158/LAP</t>
  </si>
  <si>
    <t>ZSP 1/HUP</t>
  </si>
  <si>
    <t>ZSP 1/LAP</t>
  </si>
  <si>
    <t>ZSP 8/LAP</t>
  </si>
  <si>
    <t>ZSP 11/LAP</t>
  </si>
  <si>
    <t>ZSP 13/LAP</t>
  </si>
  <si>
    <t>ZSP 15/LAP</t>
  </si>
  <si>
    <t>ZSP 17/LAP</t>
  </si>
  <si>
    <t>ZSO 7/LAP</t>
  </si>
  <si>
    <t>ZSO 7/PMK</t>
  </si>
  <si>
    <t>ZSO 9/PMK</t>
  </si>
  <si>
    <t>ZSO 13/HUP</t>
  </si>
  <si>
    <t>ZSO 13/PMK</t>
  </si>
  <si>
    <t>LO III/PMK</t>
  </si>
  <si>
    <t>LO VIII/PMK</t>
  </si>
  <si>
    <t>LO X/PMK</t>
  </si>
  <si>
    <t>LO XV/ER2</t>
  </si>
  <si>
    <t>LO XV/PMK</t>
  </si>
  <si>
    <t>LO XXVIII/PMK</t>
  </si>
  <si>
    <t>LO XLII/PMK</t>
  </si>
  <si>
    <t>ZSB 1/PMK</t>
  </si>
  <si>
    <t>ZSCH/PMK</t>
  </si>
  <si>
    <t>ZSE 1/PMK</t>
  </si>
  <si>
    <t>ZSEL 1/ER2</t>
  </si>
  <si>
    <t>ZSEL 2/HUP</t>
  </si>
  <si>
    <t>ZSG 1/ER2</t>
  </si>
  <si>
    <t>ZSG 1/PMK</t>
  </si>
  <si>
    <t>ZSG 1/UKR</t>
  </si>
  <si>
    <t>ZSG 2/PMK</t>
  </si>
  <si>
    <t>ZSG 2/UKR</t>
  </si>
  <si>
    <t>ZSG 2/DBR</t>
  </si>
  <si>
    <t>ZSŁ/PMK</t>
  </si>
  <si>
    <t>ZSM 1/PMK</t>
  </si>
  <si>
    <t>ZSM 3/ER2</t>
  </si>
  <si>
    <t>ZSM 3/HUP</t>
  </si>
  <si>
    <t>ZSPM/UKR</t>
  </si>
  <si>
    <t>ZSPSP/PMK</t>
  </si>
  <si>
    <t>ZSZ 2/PMK</t>
  </si>
  <si>
    <t>ZSIPCNS/UKR</t>
  </si>
  <si>
    <t>OSM-B/LAP</t>
  </si>
  <si>
    <t>SM-J/ER2</t>
  </si>
  <si>
    <t>ZSS 14/ER2</t>
  </si>
  <si>
    <t>ZSS 14/LAP</t>
  </si>
  <si>
    <t>SOSW 4/ER2</t>
  </si>
  <si>
    <t>SOSW 6/LAP</t>
  </si>
  <si>
    <t>SOSWCA/LAP</t>
  </si>
  <si>
    <t>SOSWCA/ZIN</t>
  </si>
  <si>
    <t>SOSWCA/PMK</t>
  </si>
  <si>
    <t>SOSWN-G/ER2</t>
  </si>
  <si>
    <t>SOSWN-G/PMK</t>
  </si>
  <si>
    <t>SPPP/UKR</t>
  </si>
  <si>
    <t>BURSA 1/PMK</t>
  </si>
  <si>
    <t>SSM/UKR</t>
  </si>
  <si>
    <t>KSOS/UKR</t>
  </si>
  <si>
    <t>MOS-W/UKR</t>
  </si>
  <si>
    <t>MDK-NS/HUP</t>
  </si>
  <si>
    <t>CM/DIR, DIW</t>
  </si>
  <si>
    <t>KEGW/EGM</t>
  </si>
  <si>
    <t>KEGW/UKR</t>
  </si>
  <si>
    <t>ZDMK/EPC</t>
  </si>
  <si>
    <t>ZTP/UKR</t>
  </si>
  <si>
    <t>ZZM/UKR</t>
  </si>
  <si>
    <t>SMMK/UKR</t>
  </si>
  <si>
    <t>MOPS/UKR</t>
  </si>
  <si>
    <t>DPS-HE/UKR</t>
  </si>
  <si>
    <t>DPS-KL/UKR</t>
  </si>
  <si>
    <t>DPS-KR/UKR</t>
  </si>
  <si>
    <t>DPS-Ł39/UKR</t>
  </si>
  <si>
    <t>DPS-Ł41/UKR</t>
  </si>
  <si>
    <t>DPS-Ł43/UKR</t>
  </si>
  <si>
    <t>DPS-NO/UKR</t>
  </si>
  <si>
    <t>DPS-PR/UKR</t>
  </si>
  <si>
    <t>DPS-RA/UKR</t>
  </si>
  <si>
    <t>MDDPS/UKR</t>
  </si>
  <si>
    <t>OIK/UKR</t>
  </si>
  <si>
    <t>CPOW-P/UKR</t>
  </si>
  <si>
    <t>CA 2/UKR</t>
  </si>
  <si>
    <t>SA/UKR</t>
  </si>
  <si>
    <t>Ż 6/ZIN</t>
  </si>
  <si>
    <t>Ż 33/DIR, DIW</t>
  </si>
  <si>
    <t>Ż 30/DBR</t>
  </si>
  <si>
    <t>Ż 25/ZIN</t>
  </si>
  <si>
    <t>ZSZ PGNIG/ZIN</t>
  </si>
  <si>
    <t>ZSZ PGNIG/HUP</t>
  </si>
  <si>
    <t>ZSZ 2/UNI</t>
  </si>
  <si>
    <t>ZSZ 2/HUP</t>
  </si>
  <si>
    <t>ZSS 14/HUP</t>
  </si>
  <si>
    <t>ZSPSP/UNI</t>
  </si>
  <si>
    <t>ZSPM/UNI</t>
  </si>
  <si>
    <t>ZSP 8/UNI</t>
  </si>
  <si>
    <t>ZSP 19/UNI</t>
  </si>
  <si>
    <t>ZSP 17/UNI</t>
  </si>
  <si>
    <t>ZSP 17/ZIN</t>
  </si>
  <si>
    <t>ZSP 15/UNI</t>
  </si>
  <si>
    <t>ZSP 15/DIR, DIW</t>
  </si>
  <si>
    <t>ZSP 13/UNI</t>
  </si>
  <si>
    <t>ZSP 13/HUP</t>
  </si>
  <si>
    <t>ZSP 11/UNI</t>
  </si>
  <si>
    <t>ZSP 1/UNI</t>
  </si>
  <si>
    <t>ZSODZ 1/UNI</t>
  </si>
  <si>
    <t>ZSO 9/UNI</t>
  </si>
  <si>
    <t>ZSO 9/HUP</t>
  </si>
  <si>
    <t>ZSO 7/UNI</t>
  </si>
  <si>
    <t>ZSO 7/HUP</t>
  </si>
  <si>
    <t>ZSO 18/UNI</t>
  </si>
  <si>
    <t>ZSO 18/HUP</t>
  </si>
  <si>
    <t>ZSO 13/UNI</t>
  </si>
  <si>
    <t>ZSM 3/UNI</t>
  </si>
  <si>
    <t>ZSM 3/ZIN</t>
  </si>
  <si>
    <t>ZSM 2/UNI</t>
  </si>
  <si>
    <t>ZSM 1/UNI</t>
  </si>
  <si>
    <t>ZSM 1/HUP</t>
  </si>
  <si>
    <t>ZSŁ/ZIN</t>
  </si>
  <si>
    <t>ZSŁ/UNI</t>
  </si>
  <si>
    <t>ZSIPCNS/UNI</t>
  </si>
  <si>
    <t>ZSIPCNS/ER2</t>
  </si>
  <si>
    <t>ZSGDIGW/ZIN</t>
  </si>
  <si>
    <t>ZSGDIGW/DIR, DIW</t>
  </si>
  <si>
    <t>ZSG 2/UNI</t>
  </si>
  <si>
    <t>ZSG 1/UNI</t>
  </si>
  <si>
    <t>ZSEL 1/UNI</t>
  </si>
  <si>
    <t>ZSE 2/ER2</t>
  </si>
  <si>
    <t>ZSB 1/UNI</t>
  </si>
  <si>
    <t>ZSB 1/HUP</t>
  </si>
  <si>
    <t>ZIS/MPS</t>
  </si>
  <si>
    <t>ZIS/BOO</t>
  </si>
  <si>
    <t>SZ/UNI</t>
  </si>
  <si>
    <t>SO/DOS</t>
  </si>
  <si>
    <t>OR/UKR</t>
  </si>
  <si>
    <t>KD/UNI</t>
  </si>
  <si>
    <t>KBF/ZOS</t>
  </si>
  <si>
    <t>KBF/DBR</t>
  </si>
  <si>
    <t>EK/UNI</t>
  </si>
  <si>
    <t>SPWPPP/UNI</t>
  </si>
  <si>
    <t>SPPP/UNI</t>
  </si>
  <si>
    <t>SP 64/UNI</t>
  </si>
  <si>
    <t>SP 56/UNI</t>
  </si>
  <si>
    <t>SP 55/UNI</t>
  </si>
  <si>
    <t>SP 53/UNI</t>
  </si>
  <si>
    <t>SP 5/UNI</t>
  </si>
  <si>
    <t>SP 5/DIR, DIW</t>
  </si>
  <si>
    <t>SP 39/UNI</t>
  </si>
  <si>
    <t>SP 36/UNI</t>
  </si>
  <si>
    <t>SP 30/UNI</t>
  </si>
  <si>
    <t>SP 29/UNI</t>
  </si>
  <si>
    <t>SP 27/UNI</t>
  </si>
  <si>
    <t>SP 26/UNI</t>
  </si>
  <si>
    <t>SP 2/UNI</t>
  </si>
  <si>
    <t>SP 158/UNI</t>
  </si>
  <si>
    <t>SP 158/HUP</t>
  </si>
  <si>
    <t>SP 144/UNI</t>
  </si>
  <si>
    <t>SP 12/UNI</t>
  </si>
  <si>
    <t>SP 12/ER2</t>
  </si>
  <si>
    <t>SP 10/UNI</t>
  </si>
  <si>
    <t>SOSWN-G/UNI</t>
  </si>
  <si>
    <t>SOSW 6/UNI</t>
  </si>
  <si>
    <t>SOSW 6/HUP</t>
  </si>
  <si>
    <t>SOSW 4/ZIN</t>
  </si>
  <si>
    <t>SOSW 1/HUP</t>
  </si>
  <si>
    <t>PPP 4/UNI</t>
  </si>
  <si>
    <t>PPP 3/UNI</t>
  </si>
  <si>
    <t>PPP 2/UNI</t>
  </si>
  <si>
    <t>PPP 1/UNI</t>
  </si>
  <si>
    <t>P 135/UNI</t>
  </si>
  <si>
    <t>MOS-W/DBR</t>
  </si>
  <si>
    <t>MOPS/UNI</t>
  </si>
  <si>
    <t>MDK-1000/CPO</t>
  </si>
  <si>
    <t>MCOO-ZS/UNI</t>
  </si>
  <si>
    <t>MCOO-SP/UNI</t>
  </si>
  <si>
    <t>MCOO-P/UNI</t>
  </si>
  <si>
    <t>MCOO-LO/UNI</t>
  </si>
  <si>
    <t>LO XXVIII/HUP</t>
  </si>
  <si>
    <t>LO XX/ZIN</t>
  </si>
  <si>
    <t>LO XV/DBR</t>
  </si>
  <si>
    <t>LO XLIV/UNI</t>
  </si>
  <si>
    <t>LO XLI/UNI</t>
  </si>
  <si>
    <t>LO XIV/UNI</t>
  </si>
  <si>
    <t>LO XIII/UNI</t>
  </si>
  <si>
    <t>LO XI/HUP</t>
  </si>
  <si>
    <t>LO X/UNI</t>
  </si>
  <si>
    <t>LO X/CPO</t>
  </si>
  <si>
    <t>LO VII/UNI</t>
  </si>
  <si>
    <t>LO V/UNI</t>
  </si>
  <si>
    <t>LO IX/UNI</t>
  </si>
  <si>
    <t>LO IV/ZIN</t>
  </si>
  <si>
    <t>LO I/UNI</t>
  </si>
  <si>
    <t>KOT/UNI</t>
  </si>
  <si>
    <t>KOK/UNI</t>
  </si>
  <si>
    <t>KEGW/AMP</t>
  </si>
  <si>
    <t>CM/MRK</t>
  </si>
  <si>
    <t>CKZ 1/ZIN</t>
  </si>
  <si>
    <t>DOS</t>
  </si>
  <si>
    <t>Dodatek osłonowy</t>
  </si>
  <si>
    <t>UNI</t>
  </si>
  <si>
    <t>Pomoc UNICEF dla dzieci i rodzin z Ukrainy</t>
  </si>
  <si>
    <t>ZS/UNI</t>
  </si>
  <si>
    <t>SP/UNI</t>
  </si>
  <si>
    <t>LO/UNI</t>
  </si>
  <si>
    <t>P/UNI</t>
  </si>
  <si>
    <t>AMP</t>
  </si>
  <si>
    <t>Life Pact - Czynnik ludzki: Adaptacja miasta na potrzeby jutra</t>
  </si>
  <si>
    <t>Budżet Obywatelski Ogólnomiejski</t>
  </si>
  <si>
    <t>PKS</t>
  </si>
  <si>
    <t>Polityka Kształtowania Środowiska</t>
  </si>
  <si>
    <t>Inwestycje:</t>
  </si>
  <si>
    <t>Inwestycje ogólnomiejskie</t>
  </si>
  <si>
    <r>
      <t>Wydatki bieżące</t>
    </r>
    <r>
      <rPr>
        <sz val="12"/>
        <rFont val="Arial CE"/>
        <charset val="238"/>
      </rPr>
      <t xml:space="preserve"> (bez rezerw)</t>
    </r>
  </si>
  <si>
    <t>Wydatki majątkowe</t>
  </si>
  <si>
    <r>
      <t xml:space="preserve">Wydatki ogółem </t>
    </r>
    <r>
      <rPr>
        <sz val="12"/>
        <rFont val="Arial CE"/>
        <family val="2"/>
        <charset val="238"/>
      </rPr>
      <t>(bez rezerw)</t>
    </r>
  </si>
  <si>
    <t xml:space="preserve">Rezerwy ogółem: </t>
  </si>
  <si>
    <t xml:space="preserve">Wydatki ogółem </t>
  </si>
  <si>
    <t>Wydatki bieżące (z rezerwami)</t>
  </si>
  <si>
    <t>WS/PKS</t>
  </si>
  <si>
    <t>Mapy przestrzenne analizy</t>
  </si>
  <si>
    <t>MPA</t>
  </si>
  <si>
    <t>PI/MPA</t>
  </si>
  <si>
    <t>CH7</t>
  </si>
  <si>
    <t xml:space="preserve">Wypłata rekompensat z tytułu ćwiczeń wojskowych </t>
  </si>
  <si>
    <t>DEL</t>
  </si>
  <si>
    <t>Dodatek elektryczny</t>
  </si>
  <si>
    <t>Mapa zagrożeń Miasta Krakowa i rozbudowa monitoringu wizyjnego</t>
  </si>
  <si>
    <t>EZN</t>
  </si>
  <si>
    <t>Projekt dotyczący ewidencji zasobu nieruchomości Gminy Miejskiej Kraków, Miasta Kraków - miasta na prawach powiatu oraz Skarbu Państwa</t>
  </si>
  <si>
    <t>Obsługa kadrowo-pracownicza i BHP</t>
  </si>
  <si>
    <t>EZD</t>
  </si>
  <si>
    <t>Wdrożenie w UMK EZD jako podstawowego systemu wykonywania czynności kancelaryjnych</t>
  </si>
  <si>
    <t>P30</t>
  </si>
  <si>
    <t>System Zarządzania Projektami, Programami i Portfelami SZPPP</t>
  </si>
  <si>
    <t>APM</t>
  </si>
  <si>
    <t>Akademia Project Managera</t>
  </si>
  <si>
    <t>AOF</t>
  </si>
  <si>
    <t>Analityczna Obsługa Finansowa Zintegrowanych Świadczeń</t>
  </si>
  <si>
    <t>SO/PKK</t>
  </si>
  <si>
    <t>SO/DEL</t>
  </si>
  <si>
    <t>KE/EZN</t>
  </si>
  <si>
    <t>OR/EZD</t>
  </si>
  <si>
    <t>OR/P30</t>
  </si>
  <si>
    <t>OR/APM</t>
  </si>
  <si>
    <t>OR/AOF</t>
  </si>
  <si>
    <t>SGD</t>
  </si>
  <si>
    <t>Wdrożenie Systemu Gromadzenia i Przetwarzania Danych Miejskich</t>
  </si>
  <si>
    <t>Licea ogólnokształcące - Realizacja programu Młody Kraków</t>
  </si>
  <si>
    <t>Realizacja programu unijnego Erasmus+</t>
  </si>
  <si>
    <t>Krakowskie Centrum Kontaktu (CK)</t>
  </si>
  <si>
    <t>IZA</t>
  </si>
  <si>
    <t>Obsługa i realizacja zadań związanych z kontaktem z GMK</t>
  </si>
  <si>
    <t>KRW</t>
  </si>
  <si>
    <t>Kreatywność, rozwój i współpraca</t>
  </si>
  <si>
    <r>
      <t>Muzeum Inżynierii i Techniki (MIT)</t>
    </r>
    <r>
      <rPr>
        <sz val="10"/>
        <rFont val="Arial CE"/>
        <charset val="238"/>
      </rPr>
      <t xml:space="preserve"> </t>
    </r>
    <r>
      <rPr>
        <sz val="9"/>
        <rFont val="Arial CE"/>
        <charset val="238"/>
      </rPr>
      <t>wcześniej Muzeum Inżynierii Miejskiej (MIM)</t>
    </r>
  </si>
  <si>
    <t>Wydawanie decyzji o warunkach zabudowy i zagospodarowania terenu oraz nakładanie kar za reklamy niezgodne z uchwałą</t>
  </si>
  <si>
    <t>Tabela porównawcza wydatków budżetu finansujących bezpośrednie i pośrednie koszty realizacji zadań budżetowych w latach 2022-2023</t>
  </si>
  <si>
    <t>bież</t>
  </si>
  <si>
    <t>ZIS/UPS</t>
  </si>
  <si>
    <t>IT/SGD</t>
  </si>
  <si>
    <t>KD/KRW</t>
  </si>
  <si>
    <t>SZ/BOO</t>
  </si>
  <si>
    <t>Ż 24/DBR</t>
  </si>
  <si>
    <t>Ż 25/DBR</t>
  </si>
  <si>
    <t>MCOO/CH7</t>
  </si>
  <si>
    <t>SP 64/BOD</t>
  </si>
  <si>
    <t>ZSO 9/ER2</t>
  </si>
  <si>
    <t>ZSO 18/PMK</t>
  </si>
  <si>
    <t>LO I/CH7</t>
  </si>
  <si>
    <t>LO III/CH7</t>
  </si>
  <si>
    <t>LO IV/CH7</t>
  </si>
  <si>
    <t>LO V/CH7</t>
  </si>
  <si>
    <t>LO VI/CH7</t>
  </si>
  <si>
    <t>LO VI/ER2</t>
  </si>
  <si>
    <t>LO VII/CH7</t>
  </si>
  <si>
    <t>LO VIII/CH7</t>
  </si>
  <si>
    <t>LO X/CH7</t>
  </si>
  <si>
    <t>LO XI/CH7</t>
  </si>
  <si>
    <t>LO XIII/PMK</t>
  </si>
  <si>
    <t>LO XX/CH7</t>
  </si>
  <si>
    <t>LO XLIV/PMK</t>
  </si>
  <si>
    <t>ZSCH/CH7</t>
  </si>
  <si>
    <t>ZSCH/ER2</t>
  </si>
  <si>
    <t>ZSE 1/CH7</t>
  </si>
  <si>
    <t>ZSE 1/ER2</t>
  </si>
  <si>
    <t>ZSEL 1/PMK</t>
  </si>
  <si>
    <t>ZSEL 2/CH7</t>
  </si>
  <si>
    <t>ZSEN/ER2</t>
  </si>
  <si>
    <t>ZSG 1/CH7</t>
  </si>
  <si>
    <t>ZSGDIGW/CH7</t>
  </si>
  <si>
    <t>ZSM 1/CH7</t>
  </si>
  <si>
    <t>ZSM 3/CH7</t>
  </si>
  <si>
    <t>ZSODZ 1/HUP</t>
  </si>
  <si>
    <t>ZSODZ 1/ER2</t>
  </si>
  <si>
    <t>ZSPM/CH7</t>
  </si>
  <si>
    <t>ZSZ PGNIG/CH7</t>
  </si>
  <si>
    <t>MOS-Z/DBR</t>
  </si>
  <si>
    <t>MDK-1000/HUP</t>
  </si>
  <si>
    <t>MDK-BE/HUP</t>
  </si>
  <si>
    <t>KFK/BOD</t>
  </si>
  <si>
    <t>BIBLIOTEKA/BOO</t>
  </si>
  <si>
    <t>ZBK/BOD</t>
  </si>
  <si>
    <t>MHMK/BOD</t>
  </si>
  <si>
    <t>MDK-LO/HUP</t>
  </si>
  <si>
    <t>MTA</t>
  </si>
  <si>
    <t>DPP</t>
  </si>
  <si>
    <t xml:space="preserve">w tym: Gaudium et spes - przegląd artystyczny </t>
  </si>
  <si>
    <t xml:space="preserve">w tym: Festiwal Boska Komedia </t>
  </si>
  <si>
    <t>w tym: wydawnictwa</t>
  </si>
  <si>
    <t xml:space="preserve">w tym: wydawnictwa - „Rok Szkła” </t>
  </si>
  <si>
    <t xml:space="preserve">w tym: 	Mistrzejowickie Spotkania Muzyczne </t>
  </si>
  <si>
    <t>OIE</t>
  </si>
  <si>
    <t>Organizacja III Igrzysk Europejskich 2023</t>
  </si>
  <si>
    <t>PPD</t>
  </si>
  <si>
    <t>MOC RELACJI  - wdrożenie zintegrowanego modelu profilaktyki przemocy domowej</t>
  </si>
  <si>
    <t>Praska bez barier</t>
  </si>
  <si>
    <t>PBB</t>
  </si>
  <si>
    <t>Wzmocnienie systemu przeciwdziałania przemocy w rodzinie wobec seniorów i osób niepełnosprawnych w Krakowie</t>
  </si>
  <si>
    <t>PPR</t>
  </si>
  <si>
    <t>Małopolska Tarcza Antykryzysowa - Cyfryzacja szkół i placówek oświatowych</t>
  </si>
  <si>
    <t xml:space="preserve">w tym: organizacja Festiwalu Romskiego wraz z konferencją naukową oraz konferencja w ramach Międzynarodowych Dni Kultury Romskiej Kraków </t>
  </si>
  <si>
    <t>w tym: Senioralia w Nowej Hucie oraz Pożegnanie Lata Dz. XVI</t>
  </si>
  <si>
    <t>w tym: warsztaty przyrodnicze Ośrodek Kultury im. Norwida – Klub Kultury Kuźnia</t>
  </si>
  <si>
    <t>w tym: Muzeum Witrażu, al. Krasińskiego 23 - warsztaty witrażowe dla dzieci, młodzieży i seniorów</t>
  </si>
  <si>
    <t>w tym: stworzenie przestrzeni do prowadzenia zajęć z zakresu pomocy psychologiczno-pedagogicznej - Zespołu Szkolno-Przedszkolnego Nr 12 w Krakowie ul Meiera 16D</t>
  </si>
  <si>
    <t>Szkolenia i doradztwo dla kadr poradnictwa psychologiczno - pedagogicznego</t>
  </si>
  <si>
    <t xml:space="preserve">w tym: ,,Jan Bukowski - artysta Młodej Polski” -  wystawa plenerowa na plantach z okazji 150 rocznicy urodzin artysty </t>
  </si>
  <si>
    <t xml:space="preserve">w tym: "Teraz Nowa Huta" - konkurs fotograficzny i "Nowohucka Akademia Fotografii" - warsztaty; Konkurs filmowy na temat Nowej Huty wraz z warsztatami i montażem </t>
  </si>
  <si>
    <t>w tym: organizacja Jubileuszu 70-lecia XI LO</t>
  </si>
  <si>
    <t>w tym: organizacja Jubileuszu 130-lecia XLII LO</t>
  </si>
  <si>
    <t>w tym: wyjazdy integracyjne (kulturalno-edukacyjne) dla seniorów oraz młodzieży; Zdrowy i aktywny senior (zajęcia sportowe dla seniorów) zdrowy kręgosłup oraz basen; aktywizacja seniorów z Nowej Huty; Szkolna Liga Szachowa; Dziecięca Liga Tenisa Stołowego im. Jolanty Szatko-Nowak; Muzyczna przystań przy ul. Krupniczej 38 – kontynuacja projektu; Miejski Program Integracji Międzypokoleniowej - kontynuacja programu; Złap oddech w górach – Pocovidowe zielone szkoły dla młodych krakowian - kontynuacja programu; Interaktywne spacery z przewodnikami</t>
  </si>
  <si>
    <t xml:space="preserve">w tym: nasadzenia nowych roślin w Dzielnicy IV i Dzielnicy V </t>
  </si>
  <si>
    <t>w tym: organizacja Jubileuszu 100-lecia KS Nadwiślan Kraków</t>
  </si>
  <si>
    <t>w tym: spotkanie romskie Stowarzyszenie Kałe Jakha</t>
  </si>
  <si>
    <t>w tym: promocja Szkolnego Budżetu Obywatelskiego</t>
  </si>
  <si>
    <t>Małopolska Chmura Edukacyjna w Gminie Miejskiej Kraków - 7 edycja</t>
  </si>
  <si>
    <r>
      <t>WYDATKI OGÓŁEM</t>
    </r>
    <r>
      <rPr>
        <sz val="9"/>
        <color theme="0" tint="-0.34998626667073579"/>
        <rFont val="Arial CE"/>
        <charset val="238"/>
      </rPr>
      <t xml:space="preserve"> (bez rez.)</t>
    </r>
  </si>
  <si>
    <r>
      <t xml:space="preserve">WYDATKI BIEŻĄCE </t>
    </r>
    <r>
      <rPr>
        <sz val="9"/>
        <color theme="0" tint="-0.34998626667073579"/>
        <rFont val="Arial CE"/>
        <charset val="238"/>
      </rPr>
      <t>(bez rez.)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</si>
</sst>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"/>
    <numFmt numFmtId="165" formatCode="###,###,###"/>
    <numFmt numFmtId="166" formatCode="0.00;\-0.00;;@"/>
  </numFmts>
  <fonts count="93">
    <font>
      <sz val="10"/>
      <name val="Arial CE"/>
      <charset val="238"/>
    </font>
    <font>
      <sz val="11"/>
      <color theme="1"/>
      <name val="Calibri"/>
      <family val="2"/>
      <charset val="238"/>
      <scheme val="minor"/>
    </font>
    <font>
      <b/>
      <sz val="10"/>
      <name val="Arial CE"/>
      <charset val="238"/>
    </font>
    <font>
      <b/>
      <sz val="12"/>
      <name val="Arial CE"/>
      <family val="2"/>
      <charset val="238"/>
    </font>
    <font>
      <sz val="9"/>
      <name val="Arial CE"/>
      <charset val="238"/>
    </font>
    <font>
      <b/>
      <sz val="9"/>
      <name val="Arial CE"/>
      <family val="2"/>
      <charset val="238"/>
    </font>
    <font>
      <b/>
      <sz val="14"/>
      <name val="Arial CE"/>
      <charset val="238"/>
    </font>
    <font>
      <b/>
      <sz val="16"/>
      <name val="Arial CE"/>
      <family val="2"/>
      <charset val="238"/>
    </font>
    <font>
      <sz val="12"/>
      <name val="Arial CE"/>
      <family val="2"/>
      <charset val="238"/>
    </font>
    <font>
      <sz val="9"/>
      <name val="Arial CE"/>
      <family val="2"/>
      <charset val="238"/>
    </font>
    <font>
      <sz val="10"/>
      <name val="Arial CE"/>
      <family val="2"/>
      <charset val="238"/>
    </font>
    <font>
      <i/>
      <sz val="6"/>
      <name val="Arial CE"/>
      <family val="2"/>
      <charset val="238"/>
    </font>
    <font>
      <i/>
      <sz val="8"/>
      <name val="Arial CE"/>
      <charset val="238"/>
    </font>
    <font>
      <i/>
      <sz val="9"/>
      <name val="Arial CE"/>
      <family val="2"/>
      <charset val="238"/>
    </font>
    <font>
      <b/>
      <sz val="10"/>
      <name val="Arial CE"/>
      <family val="2"/>
      <charset val="238"/>
    </font>
    <font>
      <i/>
      <sz val="9"/>
      <name val="Arial CE"/>
      <charset val="238"/>
    </font>
    <font>
      <u/>
      <sz val="9"/>
      <name val="Arial CE"/>
      <family val="2"/>
      <charset val="238"/>
    </font>
    <font>
      <i/>
      <sz val="8"/>
      <name val="Arial CE"/>
      <family val="2"/>
      <charset val="238"/>
    </font>
    <font>
      <b/>
      <sz val="9"/>
      <name val="Arial CE"/>
      <charset val="238"/>
    </font>
    <font>
      <u/>
      <sz val="9"/>
      <name val="Arial CE"/>
      <charset val="238"/>
    </font>
    <font>
      <b/>
      <u/>
      <sz val="9"/>
      <name val="Arial CE"/>
      <family val="2"/>
      <charset val="238"/>
    </font>
    <font>
      <b/>
      <sz val="12"/>
      <name val="Arial Narrow"/>
      <family val="2"/>
      <charset val="238"/>
    </font>
    <font>
      <sz val="10"/>
      <name val="Arial Narrow"/>
      <family val="2"/>
      <charset val="238"/>
    </font>
    <font>
      <b/>
      <i/>
      <sz val="9"/>
      <name val="Arial CE"/>
      <charset val="238"/>
    </font>
    <font>
      <i/>
      <sz val="8"/>
      <name val="Arial Narrow"/>
      <family val="2"/>
      <charset val="238"/>
    </font>
    <font>
      <sz val="9"/>
      <color indexed="10"/>
      <name val="Arial CE"/>
      <family val="2"/>
      <charset val="238"/>
    </font>
    <font>
      <sz val="8"/>
      <name val="Arial CE"/>
      <charset val="238"/>
    </font>
    <font>
      <b/>
      <u/>
      <sz val="9"/>
      <name val="Arial CE"/>
      <charset val="238"/>
    </font>
    <font>
      <sz val="6"/>
      <name val="Arial CE"/>
      <family val="2"/>
      <charset val="238"/>
    </font>
    <font>
      <b/>
      <i/>
      <sz val="7"/>
      <name val="Arial CE"/>
      <charset val="238"/>
    </font>
    <font>
      <sz val="7"/>
      <name val="Arial Narrow"/>
      <family val="2"/>
      <charset val="238"/>
    </font>
    <font>
      <sz val="7"/>
      <name val="Arial CE"/>
      <charset val="238"/>
    </font>
    <font>
      <b/>
      <sz val="15"/>
      <name val="Arial CE"/>
      <family val="2"/>
      <charset val="238"/>
    </font>
    <font>
      <b/>
      <sz val="11.5"/>
      <name val="Arial CE"/>
      <family val="2"/>
      <charset val="238"/>
    </font>
    <font>
      <b/>
      <sz val="12"/>
      <name val="Arial CE"/>
      <charset val="238"/>
    </font>
    <font>
      <sz val="9"/>
      <name val="Times New Roman"/>
      <family val="1"/>
      <charset val="238"/>
    </font>
    <font>
      <sz val="10"/>
      <name val="Arial"/>
      <family val="2"/>
      <charset val="238"/>
    </font>
    <font>
      <b/>
      <sz val="12"/>
      <color indexed="60"/>
      <name val="Arial CE"/>
      <charset val="238"/>
    </font>
    <font>
      <sz val="11"/>
      <color theme="1"/>
      <name val="Czcionka tekstu podstawowego"/>
      <family val="2"/>
      <charset val="238"/>
    </font>
    <font>
      <sz val="9"/>
      <color rgb="FFFF0000"/>
      <name val="Arial CE"/>
      <charset val="238"/>
    </font>
    <font>
      <sz val="9"/>
      <color theme="0"/>
      <name val="Arial CE"/>
      <charset val="238"/>
    </font>
    <font>
      <sz val="9"/>
      <color theme="0"/>
      <name val="Arial CE"/>
      <family val="2"/>
      <charset val="238"/>
    </font>
    <font>
      <sz val="9"/>
      <name val="Arial Narrow"/>
      <family val="2"/>
      <charset val="238"/>
    </font>
    <font>
      <i/>
      <sz val="9"/>
      <name val="Arial Narrow"/>
      <family val="2"/>
      <charset val="238"/>
    </font>
    <font>
      <sz val="10"/>
      <name val="Arial"/>
      <family val="2"/>
      <charset val="238"/>
    </font>
    <font>
      <b/>
      <sz val="9"/>
      <color rgb="FFFF0000"/>
      <name val="Arial CE"/>
      <charset val="238"/>
    </font>
    <font>
      <sz val="12"/>
      <color rgb="FFFF0000"/>
      <name val="Arial CE"/>
      <charset val="238"/>
    </font>
    <font>
      <sz val="10"/>
      <name val="Arial"/>
      <family val="2"/>
      <charset val="238"/>
    </font>
    <font>
      <sz val="12"/>
      <name val="Arial CE"/>
      <charset val="238"/>
    </font>
    <font>
      <sz val="7"/>
      <name val="Arial CE"/>
      <family val="2"/>
      <charset val="238"/>
    </font>
    <font>
      <i/>
      <sz val="7"/>
      <name val="Arial Narrow"/>
      <family val="2"/>
      <charset val="238"/>
    </font>
    <font>
      <i/>
      <sz val="7"/>
      <name val="Arial CE"/>
      <family val="2"/>
      <charset val="238"/>
    </font>
    <font>
      <b/>
      <sz val="11"/>
      <name val="Arial CE"/>
      <family val="2"/>
      <charset val="238"/>
    </font>
    <font>
      <b/>
      <sz val="10"/>
      <color theme="0"/>
      <name val="Arial CE"/>
      <family val="2"/>
      <charset val="238"/>
    </font>
    <font>
      <sz val="10"/>
      <color theme="0"/>
      <name val="Arial CE"/>
      <charset val="238"/>
    </font>
    <font>
      <b/>
      <sz val="9"/>
      <color theme="0"/>
      <name val="Arial CE"/>
      <family val="2"/>
      <charset val="238"/>
    </font>
    <font>
      <b/>
      <sz val="9"/>
      <color theme="0"/>
      <name val="Arial CE"/>
      <charset val="238"/>
    </font>
    <font>
      <b/>
      <sz val="10"/>
      <color theme="0"/>
      <name val="Arial CE"/>
      <charset val="238"/>
    </font>
    <font>
      <b/>
      <u/>
      <sz val="9"/>
      <color theme="0"/>
      <name val="Arial CE"/>
      <charset val="238"/>
    </font>
    <font>
      <b/>
      <sz val="12"/>
      <color theme="0"/>
      <name val="Arial CE"/>
      <family val="2"/>
      <charset val="238"/>
    </font>
    <font>
      <b/>
      <sz val="15"/>
      <color theme="0"/>
      <name val="Arial CE"/>
      <family val="2"/>
      <charset val="238"/>
    </font>
    <font>
      <b/>
      <sz val="16"/>
      <color theme="0"/>
      <name val="Arial CE"/>
      <family val="2"/>
      <charset val="238"/>
    </font>
    <font>
      <b/>
      <sz val="14"/>
      <color theme="0"/>
      <name val="Arial CE"/>
      <charset val="238"/>
    </font>
    <font>
      <sz val="6"/>
      <color theme="0"/>
      <name val="Arial CE"/>
      <family val="2"/>
      <charset val="238"/>
    </font>
    <font>
      <i/>
      <sz val="6"/>
      <color theme="0"/>
      <name val="Arial CE"/>
      <family val="2"/>
      <charset val="238"/>
    </font>
    <font>
      <u/>
      <sz val="9"/>
      <color theme="0"/>
      <name val="Arial CE"/>
      <charset val="238"/>
    </font>
    <font>
      <u/>
      <sz val="9"/>
      <color theme="0"/>
      <name val="Arial CE"/>
      <family val="2"/>
      <charset val="238"/>
    </font>
    <font>
      <i/>
      <sz val="8"/>
      <color theme="0"/>
      <name val="Arial CE"/>
      <family val="2"/>
      <charset val="238"/>
    </font>
    <font>
      <sz val="10"/>
      <color theme="0"/>
      <name val="Arial CE"/>
      <family val="2"/>
      <charset val="238"/>
    </font>
    <font>
      <b/>
      <u/>
      <sz val="9"/>
      <color theme="0"/>
      <name val="Arial CE"/>
      <family val="2"/>
      <charset val="238"/>
    </font>
    <font>
      <sz val="8"/>
      <color theme="0"/>
      <name val="Arial CE"/>
      <charset val="238"/>
    </font>
    <font>
      <b/>
      <sz val="12"/>
      <color theme="0"/>
      <name val="Arial Narrow"/>
      <family val="2"/>
      <charset val="238"/>
    </font>
    <font>
      <sz val="10"/>
      <color theme="0"/>
      <name val="Arial Narrow"/>
      <family val="2"/>
      <charset val="238"/>
    </font>
    <font>
      <sz val="7"/>
      <color theme="0"/>
      <name val="Arial Narrow"/>
      <family val="2"/>
      <charset val="238"/>
    </font>
    <font>
      <sz val="9"/>
      <color theme="0"/>
      <name val="Arial Narrow"/>
      <family val="2"/>
      <charset val="238"/>
    </font>
    <font>
      <i/>
      <sz val="9"/>
      <color theme="0"/>
      <name val="Arial Narrow"/>
      <family val="2"/>
      <charset val="238"/>
    </font>
    <font>
      <i/>
      <sz val="7"/>
      <color theme="0"/>
      <name val="Arial Narrow"/>
      <family val="2"/>
      <charset val="238"/>
    </font>
    <font>
      <i/>
      <sz val="9"/>
      <color theme="0"/>
      <name val="Arial CE"/>
      <charset val="238"/>
    </font>
    <font>
      <b/>
      <sz val="12"/>
      <color theme="0"/>
      <name val="Arial CE"/>
      <charset val="238"/>
    </font>
    <font>
      <sz val="16"/>
      <color theme="0"/>
      <name val="Arial CE"/>
      <charset val="238"/>
    </font>
    <font>
      <b/>
      <sz val="8"/>
      <color theme="0"/>
      <name val="Arial CE"/>
      <charset val="238"/>
    </font>
    <font>
      <sz val="9"/>
      <color theme="0" tint="-0.34998626667073579"/>
      <name val="Arial CE"/>
      <charset val="238"/>
    </font>
    <font>
      <b/>
      <sz val="9"/>
      <color theme="0" tint="-0.34998626667073579"/>
      <name val="Arial Narrow"/>
      <family val="2"/>
      <charset val="238"/>
    </font>
    <font>
      <sz val="9"/>
      <color theme="0" tint="-0.34998626667073579"/>
      <name val="Arial Narrow"/>
      <family val="2"/>
      <charset val="238"/>
    </font>
    <font>
      <i/>
      <sz val="9"/>
      <color theme="0" tint="-0.34998626667073579"/>
      <name val="Arial Narrow"/>
      <family val="2"/>
      <charset val="238"/>
    </font>
    <font>
      <b/>
      <i/>
      <sz val="9"/>
      <color theme="0" tint="-0.34998626667073579"/>
      <name val="Arial Narrow"/>
      <family val="2"/>
      <charset val="238"/>
    </font>
    <font>
      <i/>
      <sz val="8"/>
      <color theme="0" tint="-0.34998626667073579"/>
      <name val="Arial Narrow"/>
      <family val="2"/>
      <charset val="238"/>
    </font>
    <font>
      <b/>
      <sz val="9"/>
      <color theme="0" tint="-0.34998626667073579"/>
      <name val="Arial CE"/>
      <family val="2"/>
      <charset val="238"/>
    </font>
    <font>
      <sz val="16"/>
      <color theme="0" tint="-0.34998626667073579"/>
      <name val="Arial CE"/>
      <charset val="238"/>
    </font>
    <font>
      <b/>
      <sz val="9"/>
      <color theme="0" tint="-0.34998626667073579"/>
      <name val="Arial CE"/>
      <charset val="238"/>
    </font>
    <font>
      <b/>
      <sz val="10"/>
      <color theme="0" tint="-0.34998626667073579"/>
      <name val="Arial CE"/>
      <charset val="238"/>
    </font>
    <font>
      <sz val="8"/>
      <color theme="0" tint="-0.34998626667073579"/>
      <name val="Arial CE"/>
      <charset val="238"/>
    </font>
    <font>
      <b/>
      <sz val="11"/>
      <color theme="0" tint="-0.34998626667073579"/>
      <name val="Arial CE"/>
      <charset val="238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auto="1"/>
      </right>
      <top/>
      <bottom/>
      <diagonal/>
    </border>
  </borders>
  <cellStyleXfs count="7">
    <xf numFmtId="0" fontId="0" fillId="0" borderId="0"/>
    <xf numFmtId="0" fontId="38" fillId="0" borderId="0"/>
    <xf numFmtId="0" fontId="36" fillId="0" borderId="0"/>
    <xf numFmtId="0" fontId="38" fillId="0" borderId="0"/>
    <xf numFmtId="0" fontId="44" fillId="0" borderId="0">
      <alignment vertical="top"/>
    </xf>
    <xf numFmtId="0" fontId="47" fillId="0" borderId="0">
      <alignment vertical="top"/>
    </xf>
    <xf numFmtId="0" fontId="1" fillId="0" borderId="0"/>
  </cellStyleXfs>
  <cellXfs count="460">
    <xf numFmtId="0" fontId="0" fillId="0" borderId="0" xfId="0"/>
    <xf numFmtId="0" fontId="4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4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vertical="center"/>
    </xf>
    <xf numFmtId="165" fontId="4" fillId="0" borderId="0" xfId="0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3" fontId="4" fillId="0" borderId="0" xfId="0" applyNumberFormat="1" applyFont="1" applyFill="1" applyBorder="1" applyAlignment="1">
      <alignment vertical="center"/>
    </xf>
    <xf numFmtId="165" fontId="4" fillId="0" borderId="0" xfId="0" applyNumberFormat="1" applyFont="1" applyFill="1" applyAlignment="1">
      <alignment vertical="center"/>
    </xf>
    <xf numFmtId="165" fontId="25" fillId="0" borderId="0" xfId="0" applyNumberFormat="1" applyFont="1" applyFill="1" applyAlignment="1">
      <alignment vertical="center"/>
    </xf>
    <xf numFmtId="0" fontId="18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165" fontId="18" fillId="0" borderId="0" xfId="0" applyNumberFormat="1" applyFont="1" applyFill="1" applyBorder="1" applyAlignment="1">
      <alignment vertical="center"/>
    </xf>
    <xf numFmtId="164" fontId="4" fillId="0" borderId="0" xfId="0" applyNumberFormat="1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164" fontId="4" fillId="0" borderId="0" xfId="0" applyNumberFormat="1" applyFont="1" applyFill="1" applyAlignment="1">
      <alignment vertical="center"/>
    </xf>
    <xf numFmtId="3" fontId="37" fillId="0" borderId="0" xfId="0" applyNumberFormat="1" applyFont="1" applyFill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164" fontId="11" fillId="0" borderId="3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center" vertical="center"/>
    </xf>
    <xf numFmtId="165" fontId="4" fillId="0" borderId="4" xfId="0" applyNumberFormat="1" applyFont="1" applyFill="1" applyBorder="1" applyAlignment="1">
      <alignment horizontal="right" vertical="center"/>
    </xf>
    <xf numFmtId="0" fontId="16" fillId="0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left" vertical="center" wrapText="1"/>
    </xf>
    <xf numFmtId="165" fontId="5" fillId="0" borderId="6" xfId="0" applyNumberFormat="1" applyFont="1" applyFill="1" applyBorder="1" applyAlignment="1">
      <alignment horizontal="right" vertical="center"/>
    </xf>
    <xf numFmtId="0" fontId="9" fillId="0" borderId="7" xfId="0" applyFont="1" applyFill="1" applyBorder="1" applyAlignment="1">
      <alignment vertical="center" wrapText="1"/>
    </xf>
    <xf numFmtId="0" fontId="9" fillId="0" borderId="7" xfId="0" applyFont="1" applyFill="1" applyBorder="1" applyAlignment="1">
      <alignment horizontal="center" vertical="center"/>
    </xf>
    <xf numFmtId="165" fontId="9" fillId="0" borderId="7" xfId="0" applyNumberFormat="1" applyFont="1" applyFill="1" applyBorder="1" applyAlignment="1">
      <alignment horizontal="right" vertical="center"/>
    </xf>
    <xf numFmtId="0" fontId="9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center" vertical="center"/>
    </xf>
    <xf numFmtId="165" fontId="9" fillId="0" borderId="1" xfId="0" applyNumberFormat="1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165" fontId="12" fillId="0" borderId="4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center" vertical="center"/>
    </xf>
    <xf numFmtId="165" fontId="18" fillId="0" borderId="6" xfId="0" applyNumberFormat="1" applyFont="1" applyFill="1" applyBorder="1" applyAlignment="1">
      <alignment horizontal="right" vertical="center"/>
    </xf>
    <xf numFmtId="0" fontId="4" fillId="0" borderId="9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horizontal="center" vertical="center"/>
    </xf>
    <xf numFmtId="165" fontId="18" fillId="0" borderId="5" xfId="0" applyNumberFormat="1" applyFont="1" applyFill="1" applyBorder="1" applyAlignment="1">
      <alignment horizontal="right" vertical="center"/>
    </xf>
    <xf numFmtId="165" fontId="4" fillId="0" borderId="6" xfId="0" applyNumberFormat="1" applyFont="1" applyFill="1" applyBorder="1" applyAlignment="1">
      <alignment horizontal="right" vertical="center"/>
    </xf>
    <xf numFmtId="0" fontId="14" fillId="0" borderId="2" xfId="0" applyFont="1" applyFill="1" applyBorder="1" applyAlignment="1">
      <alignment vertical="center" wrapText="1"/>
    </xf>
    <xf numFmtId="165" fontId="9" fillId="0" borderId="4" xfId="0" applyNumberFormat="1" applyFont="1" applyFill="1" applyBorder="1" applyAlignment="1">
      <alignment horizontal="right" vertical="center"/>
    </xf>
    <xf numFmtId="165" fontId="16" fillId="0" borderId="4" xfId="0" applyNumberFormat="1" applyFont="1" applyFill="1" applyBorder="1" applyAlignment="1">
      <alignment horizontal="right" vertical="center"/>
    </xf>
    <xf numFmtId="0" fontId="5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65" fontId="9" fillId="0" borderId="6" xfId="0" applyNumberFormat="1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center" vertical="center"/>
    </xf>
    <xf numFmtId="165" fontId="5" fillId="0" borderId="6" xfId="0" applyNumberFormat="1" applyFont="1" applyFill="1" applyBorder="1" applyAlignment="1">
      <alignment vertical="center"/>
    </xf>
    <xf numFmtId="165" fontId="9" fillId="0" borderId="4" xfId="0" applyNumberFormat="1" applyFont="1" applyFill="1" applyBorder="1" applyAlignment="1">
      <alignment vertical="center"/>
    </xf>
    <xf numFmtId="165" fontId="12" fillId="0" borderId="4" xfId="0" applyNumberFormat="1" applyFont="1" applyFill="1" applyBorder="1" applyAlignment="1">
      <alignment horizontal="right" vertical="center"/>
    </xf>
    <xf numFmtId="0" fontId="2" fillId="0" borderId="5" xfId="0" applyFont="1" applyFill="1" applyBorder="1" applyAlignment="1">
      <alignment vertical="center" wrapText="1"/>
    </xf>
    <xf numFmtId="165" fontId="9" fillId="0" borderId="7" xfId="0" applyNumberFormat="1" applyFont="1" applyFill="1" applyBorder="1" applyAlignment="1">
      <alignment vertical="center"/>
    </xf>
    <xf numFmtId="165" fontId="9" fillId="0" borderId="1" xfId="0" applyNumberFormat="1" applyFont="1" applyFill="1" applyBorder="1" applyAlignment="1">
      <alignment vertical="center"/>
    </xf>
    <xf numFmtId="0" fontId="18" fillId="0" borderId="5" xfId="0" applyFont="1" applyFill="1" applyBorder="1" applyAlignment="1">
      <alignment horizontal="center" vertical="center"/>
    </xf>
    <xf numFmtId="165" fontId="9" fillId="0" borderId="10" xfId="0" applyNumberFormat="1" applyFont="1" applyFill="1" applyBorder="1" applyAlignment="1">
      <alignment horizontal="right" vertical="center"/>
    </xf>
    <xf numFmtId="165" fontId="5" fillId="0" borderId="4" xfId="0" applyNumberFormat="1" applyFont="1" applyFill="1" applyBorder="1" applyAlignment="1">
      <alignment horizontal="right" vertical="center"/>
    </xf>
    <xf numFmtId="0" fontId="14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horizontal="center" vertical="center"/>
    </xf>
    <xf numFmtId="165" fontId="5" fillId="0" borderId="5" xfId="0" applyNumberFormat="1" applyFont="1" applyFill="1" applyBorder="1" applyAlignment="1">
      <alignment vertical="center"/>
    </xf>
    <xf numFmtId="165" fontId="4" fillId="0" borderId="4" xfId="0" applyNumberFormat="1" applyFont="1" applyFill="1" applyBorder="1" applyAlignment="1">
      <alignment vertical="center"/>
    </xf>
    <xf numFmtId="165" fontId="4" fillId="0" borderId="1" xfId="0" applyNumberFormat="1" applyFont="1" applyFill="1" applyBorder="1" applyAlignment="1">
      <alignment horizontal="right" vertical="center"/>
    </xf>
    <xf numFmtId="165" fontId="5" fillId="0" borderId="6" xfId="0" applyNumberFormat="1" applyFont="1" applyFill="1" applyBorder="1" applyAlignment="1" applyProtection="1">
      <alignment vertical="center"/>
      <protection locked="0"/>
    </xf>
    <xf numFmtId="165" fontId="4" fillId="0" borderId="4" xfId="0" applyNumberFormat="1" applyFont="1" applyFill="1" applyBorder="1" applyAlignment="1" applyProtection="1">
      <alignment vertical="center"/>
      <protection locked="0"/>
    </xf>
    <xf numFmtId="165" fontId="4" fillId="0" borderId="7" xfId="0" applyNumberFormat="1" applyFont="1" applyFill="1" applyBorder="1" applyAlignment="1">
      <alignment horizontal="right" vertical="center"/>
    </xf>
    <xf numFmtId="165" fontId="5" fillId="0" borderId="1" xfId="0" applyNumberFormat="1" applyFont="1" applyFill="1" applyBorder="1" applyAlignment="1">
      <alignment horizontal="right" vertical="center"/>
    </xf>
    <xf numFmtId="165" fontId="5" fillId="0" borderId="5" xfId="0" applyNumberFormat="1" applyFont="1" applyFill="1" applyBorder="1" applyAlignment="1">
      <alignment horizontal="right" vertical="center"/>
    </xf>
    <xf numFmtId="0" fontId="1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165" fontId="5" fillId="0" borderId="6" xfId="0" applyNumberFormat="1" applyFont="1" applyFill="1" applyBorder="1" applyAlignment="1">
      <alignment horizontal="right"/>
    </xf>
    <xf numFmtId="165" fontId="5" fillId="0" borderId="4" xfId="0" applyNumberFormat="1" applyFont="1" applyFill="1" applyBorder="1" applyAlignment="1" applyProtection="1">
      <alignment vertical="center"/>
      <protection locked="0"/>
    </xf>
    <xf numFmtId="0" fontId="27" fillId="0" borderId="5" xfId="0" applyFont="1" applyFill="1" applyBorder="1" applyAlignment="1">
      <alignment horizontal="center" vertical="center"/>
    </xf>
    <xf numFmtId="165" fontId="25" fillId="0" borderId="1" xfId="0" applyNumberFormat="1" applyFont="1" applyFill="1" applyBorder="1" applyAlignment="1">
      <alignment horizontal="right" vertical="center"/>
    </xf>
    <xf numFmtId="0" fontId="2" fillId="0" borderId="8" xfId="0" applyFont="1" applyFill="1" applyBorder="1" applyAlignment="1">
      <alignment vertical="center" wrapText="1"/>
    </xf>
    <xf numFmtId="0" fontId="9" fillId="0" borderId="9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wrapText="1"/>
    </xf>
    <xf numFmtId="0" fontId="20" fillId="0" borderId="1" xfId="0" applyFont="1" applyFill="1" applyBorder="1" applyAlignment="1">
      <alignment horizontal="center" vertical="center"/>
    </xf>
    <xf numFmtId="165" fontId="9" fillId="0" borderId="4" xfId="0" applyNumberFormat="1" applyFont="1" applyFill="1" applyBorder="1" applyAlignment="1" applyProtection="1">
      <alignment vertical="center"/>
      <protection locked="0"/>
    </xf>
    <xf numFmtId="0" fontId="18" fillId="0" borderId="1" xfId="0" applyFont="1" applyFill="1" applyBorder="1" applyAlignment="1">
      <alignment vertical="center" wrapText="1"/>
    </xf>
    <xf numFmtId="165" fontId="4" fillId="0" borderId="1" xfId="0" applyNumberFormat="1" applyFont="1" applyFill="1" applyBorder="1" applyAlignment="1" applyProtection="1">
      <alignment vertical="center"/>
      <protection locked="0"/>
    </xf>
    <xf numFmtId="0" fontId="13" fillId="0" borderId="1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10" fontId="4" fillId="0" borderId="0" xfId="0" applyNumberFormat="1" applyFont="1" applyFill="1" applyBorder="1" applyAlignment="1">
      <alignment vertical="center"/>
    </xf>
    <xf numFmtId="0" fontId="2" fillId="0" borderId="5" xfId="0" applyFont="1" applyFill="1" applyBorder="1" applyAlignment="1">
      <alignment horizontal="center" vertical="center"/>
    </xf>
    <xf numFmtId="165" fontId="18" fillId="0" borderId="4" xfId="0" applyNumberFormat="1" applyFont="1" applyFill="1" applyBorder="1" applyAlignment="1">
      <alignment horizontal="right" vertical="center"/>
    </xf>
    <xf numFmtId="165" fontId="5" fillId="0" borderId="4" xfId="0" applyNumberFormat="1" applyFont="1" applyFill="1" applyBorder="1" applyAlignment="1">
      <alignment vertical="center"/>
    </xf>
    <xf numFmtId="165" fontId="5" fillId="0" borderId="10" xfId="0" applyNumberFormat="1" applyFont="1" applyFill="1" applyBorder="1" applyAlignment="1">
      <alignment horizontal="right" vertical="center"/>
    </xf>
    <xf numFmtId="165" fontId="4" fillId="0" borderId="1" xfId="0" applyNumberFormat="1" applyFont="1" applyFill="1" applyBorder="1" applyAlignment="1">
      <alignment vertical="center"/>
    </xf>
    <xf numFmtId="165" fontId="9" fillId="0" borderId="10" xfId="0" applyNumberFormat="1" applyFont="1" applyFill="1" applyBorder="1" applyAlignment="1">
      <alignment vertical="center"/>
    </xf>
    <xf numFmtId="165" fontId="5" fillId="0" borderId="5" xfId="0" applyNumberFormat="1" applyFont="1" applyFill="1" applyBorder="1" applyAlignment="1" applyProtection="1">
      <alignment vertical="center"/>
      <protection locked="0"/>
    </xf>
    <xf numFmtId="165" fontId="18" fillId="0" borderId="6" xfId="0" applyNumberFormat="1" applyFont="1" applyFill="1" applyBorder="1" applyAlignment="1">
      <alignment vertical="center"/>
    </xf>
    <xf numFmtId="165" fontId="4" fillId="0" borderId="10" xfId="0" applyNumberFormat="1" applyFont="1" applyFill="1" applyBorder="1" applyAlignment="1">
      <alignment horizontal="right" vertical="center"/>
    </xf>
    <xf numFmtId="165" fontId="4" fillId="0" borderId="4" xfId="0" applyNumberFormat="1" applyFont="1" applyFill="1" applyBorder="1" applyAlignment="1">
      <alignment horizontal="right"/>
    </xf>
    <xf numFmtId="165" fontId="4" fillId="0" borderId="0" xfId="0" applyNumberFormat="1" applyFont="1" applyFill="1" applyBorder="1" applyAlignment="1">
      <alignment vertical="center" wrapText="1"/>
    </xf>
    <xf numFmtId="165" fontId="9" fillId="0" borderId="4" xfId="0" applyNumberFormat="1" applyFont="1" applyFill="1" applyBorder="1" applyAlignment="1">
      <alignment horizontal="right"/>
    </xf>
    <xf numFmtId="165" fontId="9" fillId="0" borderId="1" xfId="0" applyNumberFormat="1" applyFont="1" applyFill="1" applyBorder="1" applyAlignment="1">
      <alignment horizontal="right"/>
    </xf>
    <xf numFmtId="165" fontId="18" fillId="0" borderId="5" xfId="0" applyNumberFormat="1" applyFont="1" applyFill="1" applyBorder="1" applyAlignment="1">
      <alignment vertical="center"/>
    </xf>
    <xf numFmtId="0" fontId="4" fillId="0" borderId="11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horizontal="center" vertical="center"/>
    </xf>
    <xf numFmtId="165" fontId="9" fillId="0" borderId="12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right" vertical="center" wrapText="1"/>
    </xf>
    <xf numFmtId="0" fontId="3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right" vertical="center"/>
    </xf>
    <xf numFmtId="0" fontId="8" fillId="0" borderId="13" xfId="0" applyFont="1" applyFill="1" applyBorder="1" applyAlignment="1">
      <alignment horizontal="right" vertical="center"/>
    </xf>
    <xf numFmtId="0" fontId="18" fillId="0" borderId="13" xfId="0" applyFont="1" applyFill="1" applyBorder="1" applyAlignment="1">
      <alignment horizontal="right" vertical="center"/>
    </xf>
    <xf numFmtId="2" fontId="10" fillId="0" borderId="13" xfId="0" applyNumberFormat="1" applyFont="1" applyFill="1" applyBorder="1" applyAlignment="1">
      <alignment horizontal="left" vertical="center" wrapText="1"/>
    </xf>
    <xf numFmtId="2" fontId="6" fillId="0" borderId="6" xfId="0" applyNumberFormat="1" applyFont="1" applyFill="1" applyBorder="1" applyAlignment="1">
      <alignment vertical="center"/>
    </xf>
    <xf numFmtId="0" fontId="4" fillId="0" borderId="7" xfId="0" applyFont="1" applyFill="1" applyBorder="1" applyAlignment="1">
      <alignment horizontal="center" vertical="center" wrapText="1"/>
    </xf>
    <xf numFmtId="0" fontId="28" fillId="0" borderId="7" xfId="0" applyFont="1" applyFill="1" applyBorder="1" applyAlignment="1">
      <alignment horizontal="center" vertical="center"/>
    </xf>
    <xf numFmtId="164" fontId="10" fillId="0" borderId="4" xfId="0" applyNumberFormat="1" applyFont="1" applyFill="1" applyBorder="1" applyAlignment="1">
      <alignment horizontal="center" vertical="center"/>
    </xf>
    <xf numFmtId="3" fontId="4" fillId="0" borderId="10" xfId="0" applyNumberFormat="1" applyFont="1" applyFill="1" applyBorder="1" applyAlignment="1">
      <alignment horizontal="center" vertical="center"/>
    </xf>
    <xf numFmtId="164" fontId="10" fillId="0" borderId="10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164" fontId="9" fillId="0" borderId="4" xfId="0" applyNumberFormat="1" applyFont="1" applyFill="1" applyBorder="1" applyAlignment="1">
      <alignment horizontal="right" vertical="center"/>
    </xf>
    <xf numFmtId="0" fontId="3" fillId="0" borderId="2" xfId="0" applyFont="1" applyFill="1" applyBorder="1" applyAlignment="1">
      <alignment vertical="center" wrapText="1"/>
    </xf>
    <xf numFmtId="164" fontId="14" fillId="0" borderId="3" xfId="0" applyNumberFormat="1" applyFont="1" applyFill="1" applyBorder="1" applyAlignment="1">
      <alignment vertical="center"/>
    </xf>
    <xf numFmtId="0" fontId="34" fillId="0" borderId="5" xfId="0" applyFont="1" applyFill="1" applyBorder="1" applyAlignment="1">
      <alignment vertical="center" wrapText="1"/>
    </xf>
    <xf numFmtId="164" fontId="14" fillId="0" borderId="6" xfId="0" applyNumberFormat="1" applyFont="1" applyFill="1" applyBorder="1" applyAlignment="1">
      <alignment vertical="center"/>
    </xf>
    <xf numFmtId="164" fontId="9" fillId="0" borderId="6" xfId="0" applyNumberFormat="1" applyFont="1" applyFill="1" applyBorder="1" applyAlignment="1">
      <alignment vertical="center"/>
    </xf>
    <xf numFmtId="164" fontId="9" fillId="0" borderId="10" xfId="0" applyNumberFormat="1" applyFont="1" applyFill="1" applyBorder="1" applyAlignment="1">
      <alignment horizontal="right" vertical="center"/>
    </xf>
    <xf numFmtId="164" fontId="9" fillId="0" borderId="10" xfId="0" applyNumberFormat="1" applyFont="1" applyFill="1" applyBorder="1" applyAlignment="1">
      <alignment vertical="center"/>
    </xf>
    <xf numFmtId="164" fontId="9" fillId="0" borderId="4" xfId="0" applyNumberFormat="1" applyFont="1" applyFill="1" applyBorder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164" fontId="18" fillId="0" borderId="3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 wrapText="1"/>
    </xf>
    <xf numFmtId="164" fontId="5" fillId="0" borderId="4" xfId="0" applyNumberFormat="1" applyFont="1" applyFill="1" applyBorder="1" applyAlignment="1">
      <alignment vertical="center"/>
    </xf>
    <xf numFmtId="0" fontId="9" fillId="0" borderId="1" xfId="0" quotePrefix="1" applyFont="1" applyFill="1" applyBorder="1" applyAlignment="1">
      <alignment horizontal="left" vertical="center" wrapText="1" indent="3"/>
    </xf>
    <xf numFmtId="0" fontId="9" fillId="0" borderId="1" xfId="0" quotePrefix="1" applyFont="1" applyFill="1" applyBorder="1" applyAlignment="1">
      <alignment horizontal="left" vertical="center" indent="3"/>
    </xf>
    <xf numFmtId="164" fontId="4" fillId="0" borderId="4" xfId="0" applyNumberFormat="1" applyFont="1" applyFill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164" fontId="14" fillId="0" borderId="4" xfId="0" applyNumberFormat="1" applyFont="1" applyFill="1" applyBorder="1" applyAlignment="1">
      <alignment vertical="center"/>
    </xf>
    <xf numFmtId="0" fontId="32" fillId="0" borderId="0" xfId="0" applyFont="1" applyFill="1" applyBorder="1" applyAlignment="1">
      <alignment vertical="center"/>
    </xf>
    <xf numFmtId="0" fontId="20" fillId="0" borderId="7" xfId="0" applyFont="1" applyFill="1" applyBorder="1" applyAlignment="1">
      <alignment horizontal="center" vertical="center"/>
    </xf>
    <xf numFmtId="165" fontId="9" fillId="0" borderId="10" xfId="0" applyNumberFormat="1" applyFont="1" applyFill="1" applyBorder="1" applyAlignment="1" applyProtection="1">
      <alignment vertical="center"/>
      <protection locked="0"/>
    </xf>
    <xf numFmtId="0" fontId="4" fillId="0" borderId="1" xfId="0" applyFont="1" applyFill="1" applyBorder="1" applyAlignment="1">
      <alignment horizontal="left" vertical="center"/>
    </xf>
    <xf numFmtId="0" fontId="14" fillId="0" borderId="7" xfId="0" applyFont="1" applyFill="1" applyBorder="1" applyAlignment="1">
      <alignment horizontal="center" vertical="center"/>
    </xf>
    <xf numFmtId="165" fontId="9" fillId="0" borderId="0" xfId="0" applyNumberFormat="1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165" fontId="9" fillId="0" borderId="1" xfId="0" applyNumberFormat="1" applyFont="1" applyFill="1" applyBorder="1" applyAlignment="1" applyProtection="1">
      <alignment vertical="center"/>
      <protection locked="0"/>
    </xf>
    <xf numFmtId="3" fontId="4" fillId="0" borderId="4" xfId="0" applyNumberFormat="1" applyFont="1" applyFill="1" applyBorder="1" applyAlignment="1">
      <alignment vertical="center"/>
    </xf>
    <xf numFmtId="3" fontId="9" fillId="0" borderId="4" xfId="0" applyNumberFormat="1" applyFont="1" applyFill="1" applyBorder="1" applyAlignment="1">
      <alignment horizontal="right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 wrapText="1"/>
    </xf>
    <xf numFmtId="165" fontId="41" fillId="0" borderId="4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 applyProtection="1">
      <alignment horizontal="center" vertical="center"/>
      <protection locked="0"/>
    </xf>
    <xf numFmtId="0" fontId="4" fillId="0" borderId="10" xfId="0" applyFont="1" applyFill="1" applyBorder="1" applyAlignment="1" applyProtection="1">
      <alignment horizontal="center" vertical="center"/>
      <protection locked="0"/>
    </xf>
    <xf numFmtId="164" fontId="4" fillId="0" borderId="1" xfId="0" applyNumberFormat="1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center" vertical="center"/>
    </xf>
    <xf numFmtId="0" fontId="3" fillId="0" borderId="15" xfId="0" applyFont="1" applyFill="1" applyBorder="1" applyAlignment="1" applyProtection="1">
      <alignment horizontal="center" vertical="center"/>
      <protection locked="0"/>
    </xf>
    <xf numFmtId="0" fontId="3" fillId="0" borderId="15" xfId="0" applyFont="1" applyFill="1" applyBorder="1" applyAlignment="1" applyProtection="1">
      <alignment vertical="center"/>
      <protection locked="0"/>
    </xf>
    <xf numFmtId="0" fontId="3" fillId="0" borderId="3" xfId="0" applyFont="1" applyFill="1" applyBorder="1" applyAlignment="1" applyProtection="1">
      <alignment vertical="center"/>
      <protection locked="0"/>
    </xf>
    <xf numFmtId="0" fontId="14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64" fontId="9" fillId="0" borderId="4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165" fontId="18" fillId="0" borderId="10" xfId="0" applyNumberFormat="1" applyFont="1" applyFill="1" applyBorder="1" applyAlignment="1">
      <alignment vertical="center"/>
    </xf>
    <xf numFmtId="165" fontId="4" fillId="0" borderId="10" xfId="0" applyNumberFormat="1" applyFont="1" applyFill="1" applyBorder="1" applyAlignment="1">
      <alignment vertical="center"/>
    </xf>
    <xf numFmtId="165" fontId="5" fillId="0" borderId="4" xfId="0" applyNumberFormat="1" applyFont="1" applyFill="1" applyBorder="1" applyAlignment="1">
      <alignment horizontal="right"/>
    </xf>
    <xf numFmtId="165" fontId="5" fillId="0" borderId="0" xfId="0" applyNumberFormat="1" applyFont="1" applyFill="1" applyBorder="1" applyAlignment="1">
      <alignment horizontal="right" vertical="center"/>
    </xf>
    <xf numFmtId="165" fontId="5" fillId="0" borderId="7" xfId="0" applyNumberFormat="1" applyFont="1" applyFill="1" applyBorder="1" applyAlignment="1">
      <alignment horizontal="right" vertical="center"/>
    </xf>
    <xf numFmtId="165" fontId="5" fillId="0" borderId="7" xfId="0" applyNumberFormat="1" applyFont="1" applyFill="1" applyBorder="1" applyAlignment="1">
      <alignment vertical="center"/>
    </xf>
    <xf numFmtId="165" fontId="5" fillId="0" borderId="10" xfId="0" applyNumberFormat="1" applyFont="1" applyFill="1" applyBorder="1" applyAlignment="1">
      <alignment vertical="center"/>
    </xf>
    <xf numFmtId="165" fontId="18" fillId="0" borderId="10" xfId="0" applyNumberFormat="1" applyFont="1" applyFill="1" applyBorder="1" applyAlignment="1">
      <alignment horizontal="right" vertical="center"/>
    </xf>
    <xf numFmtId="165" fontId="4" fillId="0" borderId="7" xfId="0" applyNumberFormat="1" applyFont="1" applyFill="1" applyBorder="1" applyAlignment="1">
      <alignment vertical="center"/>
    </xf>
    <xf numFmtId="165" fontId="39" fillId="0" borderId="4" xfId="0" applyNumberFormat="1" applyFont="1" applyFill="1" applyBorder="1" applyAlignment="1">
      <alignment horizontal="right" vertical="center"/>
    </xf>
    <xf numFmtId="165" fontId="45" fillId="0" borderId="4" xfId="0" applyNumberFormat="1" applyFont="1" applyFill="1" applyBorder="1" applyAlignment="1">
      <alignment horizontal="right" vertical="center"/>
    </xf>
    <xf numFmtId="0" fontId="32" fillId="0" borderId="19" xfId="0" applyFont="1" applyFill="1" applyBorder="1" applyAlignment="1">
      <alignment horizontal="left" vertical="center" wrapText="1"/>
    </xf>
    <xf numFmtId="0" fontId="21" fillId="0" borderId="19" xfId="0" applyFont="1" applyFill="1" applyBorder="1" applyAlignment="1">
      <alignment horizontal="center" vertical="center"/>
    </xf>
    <xf numFmtId="164" fontId="14" fillId="0" borderId="20" xfId="0" applyNumberFormat="1" applyFont="1" applyFill="1" applyBorder="1" applyAlignment="1">
      <alignment vertical="center"/>
    </xf>
    <xf numFmtId="164" fontId="33" fillId="0" borderId="20" xfId="0" applyNumberFormat="1" applyFont="1" applyFill="1" applyBorder="1" applyAlignment="1">
      <alignment vertical="center"/>
    </xf>
    <xf numFmtId="0" fontId="46" fillId="0" borderId="0" xfId="0" applyFont="1" applyFill="1" applyBorder="1" applyAlignment="1">
      <alignment horizontal="right" vertical="center"/>
    </xf>
    <xf numFmtId="4" fontId="46" fillId="0" borderId="0" xfId="0" applyNumberFormat="1" applyFont="1" applyFill="1" applyBorder="1" applyAlignment="1">
      <alignment horizontal="right" vertical="center"/>
    </xf>
    <xf numFmtId="4" fontId="48" fillId="0" borderId="0" xfId="0" applyNumberFormat="1" applyFont="1" applyFill="1" applyBorder="1" applyAlignment="1">
      <alignment horizontal="right" vertical="center"/>
    </xf>
    <xf numFmtId="165" fontId="9" fillId="0" borderId="0" xfId="0" applyNumberFormat="1" applyFont="1" applyFill="1" applyAlignment="1">
      <alignment vertical="center"/>
    </xf>
    <xf numFmtId="0" fontId="9" fillId="0" borderId="5" xfId="0" applyFont="1" applyFill="1" applyBorder="1" applyAlignment="1">
      <alignment horizontal="left" vertical="center" wrapText="1" indent="2"/>
    </xf>
    <xf numFmtId="0" fontId="9" fillId="0" borderId="1" xfId="0" applyFont="1" applyFill="1" applyBorder="1" applyAlignment="1">
      <alignment horizontal="left" vertical="center" wrapText="1" indent="2"/>
    </xf>
    <xf numFmtId="0" fontId="17" fillId="0" borderId="1" xfId="0" applyFont="1" applyFill="1" applyBorder="1" applyAlignment="1">
      <alignment horizontal="left" vertical="center" wrapText="1" indent="6"/>
    </xf>
    <xf numFmtId="0" fontId="9" fillId="0" borderId="7" xfId="0" applyFont="1" applyFill="1" applyBorder="1" applyAlignment="1">
      <alignment horizontal="left" vertical="center" wrapText="1" indent="4"/>
    </xf>
    <xf numFmtId="0" fontId="9" fillId="0" borderId="5" xfId="0" applyFont="1" applyFill="1" applyBorder="1" applyAlignment="1">
      <alignment horizontal="left" vertical="center" wrapText="1" indent="4"/>
    </xf>
    <xf numFmtId="0" fontId="52" fillId="0" borderId="1" xfId="0" applyFont="1" applyFill="1" applyBorder="1" applyAlignment="1">
      <alignment horizontal="left" vertical="center" wrapText="1" indent="2"/>
    </xf>
    <xf numFmtId="0" fontId="40" fillId="0" borderId="1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64" fontId="12" fillId="0" borderId="4" xfId="0" applyNumberFormat="1" applyFont="1" applyFill="1" applyBorder="1" applyAlignment="1">
      <alignment horizontal="right" vertical="center"/>
    </xf>
    <xf numFmtId="164" fontId="12" fillId="0" borderId="4" xfId="0" applyNumberFormat="1" applyFont="1" applyFill="1" applyBorder="1" applyAlignment="1">
      <alignment vertical="center"/>
    </xf>
    <xf numFmtId="0" fontId="12" fillId="0" borderId="1" xfId="0" applyFont="1" applyFill="1" applyBorder="1" applyAlignment="1">
      <alignment horizontal="left" vertical="center" wrapText="1" indent="6"/>
    </xf>
    <xf numFmtId="166" fontId="5" fillId="0" borderId="6" xfId="0" applyNumberFormat="1" applyFont="1" applyFill="1" applyBorder="1" applyAlignment="1">
      <alignment vertical="center"/>
    </xf>
    <xf numFmtId="166" fontId="9" fillId="0" borderId="4" xfId="0" applyNumberFormat="1" applyFont="1" applyFill="1" applyBorder="1" applyAlignment="1">
      <alignment horizontal="right" vertical="center"/>
    </xf>
    <xf numFmtId="166" fontId="9" fillId="0" borderId="1" xfId="0" applyNumberFormat="1" applyFont="1" applyFill="1" applyBorder="1" applyAlignment="1">
      <alignment horizontal="right" vertical="center"/>
    </xf>
    <xf numFmtId="166" fontId="9" fillId="0" borderId="10" xfId="0" applyNumberFormat="1" applyFont="1" applyFill="1" applyBorder="1" applyAlignment="1">
      <alignment vertical="center"/>
    </xf>
    <xf numFmtId="166" fontId="18" fillId="0" borderId="6" xfId="0" applyNumberFormat="1" applyFont="1" applyFill="1" applyBorder="1" applyAlignment="1">
      <alignment horizontal="right" vertical="center"/>
    </xf>
    <xf numFmtId="166" fontId="9" fillId="0" borderId="7" xfId="0" applyNumberFormat="1" applyFont="1" applyFill="1" applyBorder="1" applyAlignment="1">
      <alignment vertical="center"/>
    </xf>
    <xf numFmtId="166" fontId="9" fillId="0" borderId="1" xfId="0" applyNumberFormat="1" applyFont="1" applyFill="1" applyBorder="1" applyAlignment="1">
      <alignment vertical="center"/>
    </xf>
    <xf numFmtId="166" fontId="9" fillId="0" borderId="4" xfId="0" applyNumberFormat="1" applyFont="1" applyFill="1" applyBorder="1" applyAlignment="1">
      <alignment vertical="center"/>
    </xf>
    <xf numFmtId="166" fontId="5" fillId="0" borderId="6" xfId="0" applyNumberFormat="1" applyFont="1" applyFill="1" applyBorder="1" applyAlignment="1">
      <alignment horizontal="right" vertical="center"/>
    </xf>
    <xf numFmtId="166" fontId="9" fillId="0" borderId="10" xfId="0" applyNumberFormat="1" applyFont="1" applyFill="1" applyBorder="1" applyAlignment="1">
      <alignment horizontal="right" vertical="center"/>
    </xf>
    <xf numFmtId="166" fontId="5" fillId="0" borderId="5" xfId="0" applyNumberFormat="1" applyFont="1" applyFill="1" applyBorder="1" applyAlignment="1">
      <alignment horizontal="right" vertical="center"/>
    </xf>
    <xf numFmtId="166" fontId="4" fillId="0" borderId="4" xfId="0" applyNumberFormat="1" applyFont="1" applyFill="1" applyBorder="1" applyAlignment="1">
      <alignment horizontal="right" vertical="center"/>
    </xf>
    <xf numFmtId="166" fontId="9" fillId="0" borderId="7" xfId="0" applyNumberFormat="1" applyFont="1" applyFill="1" applyBorder="1" applyAlignment="1">
      <alignment horizontal="right" vertical="center"/>
    </xf>
    <xf numFmtId="166" fontId="12" fillId="0" borderId="4" xfId="0" applyNumberFormat="1" applyFont="1" applyFill="1" applyBorder="1" applyAlignment="1">
      <alignment horizontal="center" vertical="center"/>
    </xf>
    <xf numFmtId="166" fontId="18" fillId="0" borderId="5" xfId="0" applyNumberFormat="1" applyFont="1" applyFill="1" applyBorder="1" applyAlignment="1">
      <alignment horizontal="right" vertical="center"/>
    </xf>
    <xf numFmtId="166" fontId="18" fillId="0" borderId="1" xfId="0" applyNumberFormat="1" applyFont="1" applyFill="1" applyBorder="1" applyAlignment="1">
      <alignment horizontal="right" vertical="center"/>
    </xf>
    <xf numFmtId="166" fontId="9" fillId="0" borderId="12" xfId="0" applyNumberFormat="1" applyFont="1" applyFill="1" applyBorder="1" applyAlignment="1">
      <alignment horizontal="right" vertical="center"/>
    </xf>
    <xf numFmtId="166" fontId="4" fillId="0" borderId="10" xfId="0" applyNumberFormat="1" applyFont="1" applyFill="1" applyBorder="1" applyAlignment="1">
      <alignment horizontal="right" vertical="center"/>
    </xf>
    <xf numFmtId="166" fontId="12" fillId="0" borderId="4" xfId="0" applyNumberFormat="1" applyFont="1" applyFill="1" applyBorder="1" applyAlignment="1">
      <alignment horizontal="right" vertical="center"/>
    </xf>
    <xf numFmtId="166" fontId="5" fillId="0" borderId="6" xfId="0" applyNumberFormat="1" applyFont="1" applyFill="1" applyBorder="1" applyAlignment="1" applyProtection="1">
      <alignment vertical="center"/>
      <protection locked="0"/>
    </xf>
    <xf numFmtId="166" fontId="5" fillId="0" borderId="5" xfId="0" applyNumberFormat="1" applyFont="1" applyFill="1" applyBorder="1" applyAlignment="1">
      <alignment vertical="center"/>
    </xf>
    <xf numFmtId="166" fontId="4" fillId="0" borderId="1" xfId="0" applyNumberFormat="1" applyFont="1" applyFill="1" applyBorder="1" applyAlignment="1">
      <alignment horizontal="right" vertical="center"/>
    </xf>
    <xf numFmtId="166" fontId="5" fillId="0" borderId="1" xfId="0" applyNumberFormat="1" applyFont="1" applyFill="1" applyBorder="1" applyAlignment="1">
      <alignment horizontal="right" vertical="center"/>
    </xf>
    <xf numFmtId="166" fontId="5" fillId="0" borderId="4" xfId="0" applyNumberFormat="1" applyFont="1" applyFill="1" applyBorder="1" applyAlignment="1">
      <alignment horizontal="right" vertical="center"/>
    </xf>
    <xf numFmtId="166" fontId="5" fillId="0" borderId="6" xfId="0" applyNumberFormat="1" applyFont="1" applyFill="1" applyBorder="1" applyAlignment="1">
      <alignment horizontal="right"/>
    </xf>
    <xf numFmtId="166" fontId="4" fillId="0" borderId="4" xfId="0" applyNumberFormat="1" applyFont="1" applyFill="1" applyBorder="1" applyAlignment="1" applyProtection="1">
      <alignment vertical="center"/>
      <protection locked="0"/>
    </xf>
    <xf numFmtId="166" fontId="5" fillId="0" borderId="4" xfId="0" applyNumberFormat="1" applyFont="1" applyFill="1" applyBorder="1" applyAlignment="1" applyProtection="1">
      <alignment vertical="center"/>
      <protection locked="0"/>
    </xf>
    <xf numFmtId="166" fontId="5" fillId="0" borderId="5" xfId="0" applyNumberFormat="1" applyFont="1" applyFill="1" applyBorder="1" applyAlignment="1" applyProtection="1">
      <alignment vertical="center"/>
      <protection locked="0"/>
    </xf>
    <xf numFmtId="166" fontId="9" fillId="0" borderId="1" xfId="0" applyNumberFormat="1" applyFont="1" applyFill="1" applyBorder="1" applyAlignment="1" applyProtection="1">
      <alignment vertical="center"/>
      <protection locked="0"/>
    </xf>
    <xf numFmtId="166" fontId="9" fillId="0" borderId="4" xfId="0" applyNumberFormat="1" applyFont="1" applyFill="1" applyBorder="1" applyAlignment="1" applyProtection="1">
      <alignment vertical="center"/>
      <protection locked="0"/>
    </xf>
    <xf numFmtId="166" fontId="4" fillId="0" borderId="1" xfId="0" applyNumberFormat="1" applyFont="1" applyFill="1" applyBorder="1" applyAlignment="1" applyProtection="1">
      <alignment vertical="center"/>
      <protection locked="0"/>
    </xf>
    <xf numFmtId="166" fontId="16" fillId="0" borderId="4" xfId="0" applyNumberFormat="1" applyFont="1" applyFill="1" applyBorder="1" applyAlignment="1">
      <alignment horizontal="right" vertical="center"/>
    </xf>
    <xf numFmtId="166" fontId="9" fillId="0" borderId="10" xfId="0" applyNumberFormat="1" applyFont="1" applyFill="1" applyBorder="1" applyAlignment="1" applyProtection="1">
      <alignment vertical="center"/>
      <protection locked="0"/>
    </xf>
    <xf numFmtId="166" fontId="14" fillId="0" borderId="3" xfId="0" applyNumberFormat="1" applyFont="1" applyFill="1" applyBorder="1" applyAlignment="1">
      <alignment vertical="center"/>
    </xf>
    <xf numFmtId="166" fontId="14" fillId="0" borderId="6" xfId="0" applyNumberFormat="1" applyFont="1" applyFill="1" applyBorder="1" applyAlignment="1">
      <alignment vertical="center"/>
    </xf>
    <xf numFmtId="166" fontId="9" fillId="0" borderId="6" xfId="0" applyNumberFormat="1" applyFont="1" applyFill="1" applyBorder="1" applyAlignment="1">
      <alignment vertical="center"/>
    </xf>
    <xf numFmtId="166" fontId="18" fillId="0" borderId="3" xfId="0" applyNumberFormat="1" applyFont="1" applyFill="1" applyBorder="1" applyAlignment="1">
      <alignment vertical="center"/>
    </xf>
    <xf numFmtId="166" fontId="5" fillId="0" borderId="4" xfId="0" applyNumberFormat="1" applyFont="1" applyFill="1" applyBorder="1" applyAlignment="1">
      <alignment vertical="center"/>
    </xf>
    <xf numFmtId="166" fontId="4" fillId="0" borderId="4" xfId="0" applyNumberFormat="1" applyFont="1" applyFill="1" applyBorder="1" applyAlignment="1">
      <alignment vertical="center"/>
    </xf>
    <xf numFmtId="166" fontId="33" fillId="0" borderId="20" xfId="0" applyNumberFormat="1" applyFont="1" applyFill="1" applyBorder="1" applyAlignment="1">
      <alignment vertical="center"/>
    </xf>
    <xf numFmtId="166" fontId="14" fillId="0" borderId="4" xfId="0" applyNumberFormat="1" applyFont="1" applyFill="1" applyBorder="1" applyAlignment="1">
      <alignment vertical="center"/>
    </xf>
    <xf numFmtId="165" fontId="4" fillId="0" borderId="12" xfId="0" applyNumberFormat="1" applyFont="1" applyFill="1" applyBorder="1" applyAlignment="1">
      <alignment horizontal="right" vertical="center"/>
    </xf>
    <xf numFmtId="165" fontId="18" fillId="0" borderId="4" xfId="0" applyNumberFormat="1" applyFont="1" applyFill="1" applyBorder="1" applyAlignment="1">
      <alignment vertical="center"/>
    </xf>
    <xf numFmtId="165" fontId="18" fillId="0" borderId="5" xfId="0" applyNumberFormat="1" applyFont="1" applyFill="1" applyBorder="1" applyAlignment="1" applyProtection="1">
      <alignment vertical="center"/>
      <protection locked="0"/>
    </xf>
    <xf numFmtId="165" fontId="18" fillId="0" borderId="4" xfId="0" applyNumberFormat="1" applyFont="1" applyFill="1" applyBorder="1" applyAlignment="1" applyProtection="1">
      <alignment vertical="center"/>
      <protection locked="0"/>
    </xf>
    <xf numFmtId="165" fontId="18" fillId="0" borderId="6" xfId="0" applyNumberFormat="1" applyFont="1" applyFill="1" applyBorder="1" applyAlignment="1" applyProtection="1">
      <alignment vertical="center"/>
      <protection locked="0"/>
    </xf>
    <xf numFmtId="165" fontId="18" fillId="0" borderId="6" xfId="0" applyNumberFormat="1" applyFont="1" applyFill="1" applyBorder="1" applyAlignment="1">
      <alignment horizontal="right"/>
    </xf>
    <xf numFmtId="165" fontId="18" fillId="0" borderId="4" xfId="0" applyNumberFormat="1" applyFont="1" applyFill="1" applyBorder="1" applyAlignment="1">
      <alignment horizontal="right"/>
    </xf>
    <xf numFmtId="165" fontId="18" fillId="0" borderId="7" xfId="0" applyNumberFormat="1" applyFont="1" applyFill="1" applyBorder="1" applyAlignment="1">
      <alignment horizontal="right" vertical="center"/>
    </xf>
    <xf numFmtId="165" fontId="18" fillId="0" borderId="1" xfId="0" applyNumberFormat="1" applyFont="1" applyFill="1" applyBorder="1" applyAlignment="1">
      <alignment horizontal="right" vertical="center"/>
    </xf>
    <xf numFmtId="165" fontId="18" fillId="0" borderId="0" xfId="0" applyNumberFormat="1" applyFont="1" applyFill="1" applyBorder="1" applyAlignment="1">
      <alignment horizontal="right" vertical="center"/>
    </xf>
    <xf numFmtId="165" fontId="4" fillId="0" borderId="10" xfId="0" applyNumberFormat="1" applyFont="1" applyFill="1" applyBorder="1" applyAlignment="1" applyProtection="1">
      <alignment vertical="center"/>
      <protection locked="0"/>
    </xf>
    <xf numFmtId="3" fontId="4" fillId="0" borderId="4" xfId="0" applyNumberFormat="1" applyFont="1" applyFill="1" applyBorder="1" applyAlignment="1">
      <alignment horizontal="right" vertical="center"/>
    </xf>
    <xf numFmtId="4" fontId="4" fillId="0" borderId="4" xfId="0" applyNumberFormat="1" applyFont="1" applyFill="1" applyBorder="1" applyAlignment="1">
      <alignment horizontal="right" vertical="center"/>
    </xf>
    <xf numFmtId="165" fontId="18" fillId="0" borderId="7" xfId="0" applyNumberFormat="1" applyFont="1" applyFill="1" applyBorder="1" applyAlignment="1">
      <alignment vertical="center"/>
    </xf>
    <xf numFmtId="165" fontId="19" fillId="0" borderId="4" xfId="0" applyNumberFormat="1" applyFont="1" applyFill="1" applyBorder="1" applyAlignment="1">
      <alignment horizontal="right" vertical="center"/>
    </xf>
    <xf numFmtId="166" fontId="9" fillId="0" borderId="6" xfId="0" applyNumberFormat="1" applyFont="1" applyFill="1" applyBorder="1" applyAlignment="1">
      <alignment horizontal="right" vertical="center"/>
    </xf>
    <xf numFmtId="0" fontId="52" fillId="0" borderId="5" xfId="0" applyFont="1" applyFill="1" applyBorder="1" applyAlignment="1">
      <alignment horizontal="left" vertical="center" wrapText="1" indent="2"/>
    </xf>
    <xf numFmtId="0" fontId="22" fillId="0" borderId="5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left" vertical="center" wrapText="1" indent="4"/>
    </xf>
    <xf numFmtId="0" fontId="30" fillId="0" borderId="14" xfId="0" applyFont="1" applyFill="1" applyBorder="1" applyAlignment="1">
      <alignment horizontal="center" vertical="center"/>
    </xf>
    <xf numFmtId="164" fontId="49" fillId="0" borderId="14" xfId="0" applyNumberFormat="1" applyFont="1" applyFill="1" applyBorder="1" applyAlignment="1">
      <alignment vertical="center"/>
    </xf>
    <xf numFmtId="166" fontId="49" fillId="0" borderId="14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 wrapText="1" indent="4"/>
    </xf>
    <xf numFmtId="0" fontId="42" fillId="0" borderId="0" xfId="0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>
      <alignment vertical="center"/>
    </xf>
    <xf numFmtId="166" fontId="9" fillId="0" borderId="0" xfId="0" applyNumberFormat="1" applyFont="1" applyFill="1" applyBorder="1" applyAlignment="1">
      <alignment vertical="center"/>
    </xf>
    <xf numFmtId="0" fontId="4" fillId="0" borderId="0" xfId="0" quotePrefix="1" applyFont="1" applyFill="1" applyBorder="1" applyAlignment="1">
      <alignment horizontal="left" vertical="center" wrapText="1" indent="6"/>
    </xf>
    <xf numFmtId="0" fontId="4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left" vertical="center" wrapText="1" indent="6"/>
    </xf>
    <xf numFmtId="0" fontId="50" fillId="0" borderId="0" xfId="0" applyFont="1" applyFill="1" applyBorder="1" applyAlignment="1">
      <alignment horizontal="center" vertical="center"/>
    </xf>
    <xf numFmtId="164" fontId="51" fillId="0" borderId="0" xfId="0" applyNumberFormat="1" applyFont="1" applyFill="1" applyBorder="1" applyAlignment="1">
      <alignment vertical="center"/>
    </xf>
    <xf numFmtId="166" fontId="49" fillId="0" borderId="0" xfId="0" applyNumberFormat="1" applyFont="1" applyFill="1" applyBorder="1" applyAlignment="1">
      <alignment vertical="center"/>
    </xf>
    <xf numFmtId="0" fontId="12" fillId="0" borderId="0" xfId="0" quotePrefix="1" applyFont="1" applyFill="1" applyBorder="1" applyAlignment="1">
      <alignment horizontal="left" vertical="center" wrapText="1" indent="6"/>
    </xf>
    <xf numFmtId="164" fontId="17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 wrapText="1" indent="3"/>
    </xf>
    <xf numFmtId="3" fontId="4" fillId="0" borderId="1" xfId="0" applyNumberFormat="1" applyFont="1" applyFill="1" applyBorder="1" applyAlignment="1">
      <alignment vertical="center"/>
    </xf>
    <xf numFmtId="0" fontId="40" fillId="0" borderId="0" xfId="0" applyFont="1" applyFill="1" applyAlignment="1">
      <alignment horizontal="center" vertical="center"/>
    </xf>
    <xf numFmtId="0" fontId="59" fillId="0" borderId="0" xfId="0" applyFont="1" applyFill="1" applyAlignment="1">
      <alignment horizontal="right" vertical="center" wrapText="1"/>
    </xf>
    <xf numFmtId="0" fontId="60" fillId="0" borderId="0" xfId="0" applyFont="1" applyFill="1" applyBorder="1" applyAlignment="1">
      <alignment vertical="center"/>
    </xf>
    <xf numFmtId="0" fontId="61" fillId="0" borderId="0" xfId="0" applyFont="1" applyFill="1" applyAlignment="1">
      <alignment horizontal="center" vertical="center"/>
    </xf>
    <xf numFmtId="2" fontId="62" fillId="0" borderId="6" xfId="0" applyNumberFormat="1" applyFont="1" applyFill="1" applyBorder="1" applyAlignment="1">
      <alignment vertical="center"/>
    </xf>
    <xf numFmtId="0" fontId="63" fillId="0" borderId="7" xfId="0" applyFont="1" applyFill="1" applyBorder="1" applyAlignment="1">
      <alignment horizontal="center" vertical="center"/>
    </xf>
    <xf numFmtId="0" fontId="64" fillId="0" borderId="2" xfId="0" applyFont="1" applyFill="1" applyBorder="1" applyAlignment="1">
      <alignment horizontal="center" vertical="center"/>
    </xf>
    <xf numFmtId="0" fontId="53" fillId="0" borderId="5" xfId="0" applyFont="1" applyFill="1" applyBorder="1" applyAlignment="1">
      <alignment horizontal="center" vertical="center"/>
    </xf>
    <xf numFmtId="0" fontId="40" fillId="0" borderId="7" xfId="0" applyFont="1" applyFill="1" applyBorder="1" applyAlignment="1">
      <alignment horizontal="center" vertical="center"/>
    </xf>
    <xf numFmtId="0" fontId="65" fillId="0" borderId="1" xfId="0" applyFont="1" applyFill="1" applyBorder="1" applyAlignment="1">
      <alignment horizontal="center" vertical="center"/>
    </xf>
    <xf numFmtId="0" fontId="41" fillId="0" borderId="7" xfId="0" applyFont="1" applyFill="1" applyBorder="1" applyAlignment="1">
      <alignment horizontal="center" vertical="center"/>
    </xf>
    <xf numFmtId="0" fontId="58" fillId="0" borderId="5" xfId="0" applyFont="1" applyFill="1" applyBorder="1" applyAlignment="1">
      <alignment horizontal="center" vertical="center"/>
    </xf>
    <xf numFmtId="0" fontId="66" fillId="0" borderId="1" xfId="0" applyFont="1" applyFill="1" applyBorder="1" applyAlignment="1">
      <alignment horizontal="center" vertical="center"/>
    </xf>
    <xf numFmtId="0" fontId="56" fillId="0" borderId="5" xfId="0" applyFont="1" applyFill="1" applyBorder="1" applyAlignment="1">
      <alignment horizontal="center" vertical="center"/>
    </xf>
    <xf numFmtId="0" fontId="55" fillId="0" borderId="5" xfId="0" applyFont="1" applyFill="1" applyBorder="1" applyAlignment="1">
      <alignment horizontal="center" vertical="center"/>
    </xf>
    <xf numFmtId="0" fontId="53" fillId="0" borderId="1" xfId="0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center" vertical="center"/>
    </xf>
    <xf numFmtId="0" fontId="55" fillId="0" borderId="1" xfId="0" applyFont="1" applyFill="1" applyBorder="1" applyAlignment="1">
      <alignment horizontal="center" vertical="center"/>
    </xf>
    <xf numFmtId="0" fontId="67" fillId="0" borderId="1" xfId="0" applyFont="1" applyFill="1" applyBorder="1" applyAlignment="1">
      <alignment horizontal="center" vertical="center"/>
    </xf>
    <xf numFmtId="0" fontId="57" fillId="0" borderId="5" xfId="0" applyFont="1" applyFill="1" applyBorder="1" applyAlignment="1">
      <alignment horizontal="center" vertical="center"/>
    </xf>
    <xf numFmtId="0" fontId="57" fillId="0" borderId="8" xfId="0" applyFont="1" applyFill="1" applyBorder="1" applyAlignment="1">
      <alignment horizontal="center" vertical="center"/>
    </xf>
    <xf numFmtId="0" fontId="56" fillId="0" borderId="1" xfId="0" applyFont="1" applyFill="1" applyBorder="1" applyAlignment="1">
      <alignment horizontal="center" vertical="center"/>
    </xf>
    <xf numFmtId="0" fontId="53" fillId="0" borderId="7" xfId="0" applyFont="1" applyFill="1" applyBorder="1" applyAlignment="1">
      <alignment horizontal="center" vertical="center"/>
    </xf>
    <xf numFmtId="0" fontId="54" fillId="0" borderId="5" xfId="0" applyFont="1" applyFill="1" applyBorder="1" applyAlignment="1">
      <alignment horizontal="center" vertical="center"/>
    </xf>
    <xf numFmtId="0" fontId="40" fillId="0" borderId="11" xfId="0" applyFont="1" applyFill="1" applyBorder="1" applyAlignment="1">
      <alignment horizontal="center" vertical="center"/>
    </xf>
    <xf numFmtId="0" fontId="55" fillId="0" borderId="7" xfId="0" applyFont="1" applyFill="1" applyBorder="1" applyAlignment="1">
      <alignment horizontal="center" vertical="center"/>
    </xf>
    <xf numFmtId="0" fontId="56" fillId="0" borderId="7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vertical="center"/>
    </xf>
    <xf numFmtId="164" fontId="41" fillId="0" borderId="4" xfId="0" applyNumberFormat="1" applyFont="1" applyFill="1" applyBorder="1" applyAlignment="1">
      <alignment horizontal="center" vertical="center"/>
    </xf>
    <xf numFmtId="0" fontId="68" fillId="0" borderId="7" xfId="0" applyFont="1" applyFill="1" applyBorder="1" applyAlignment="1">
      <alignment horizontal="center" vertical="center"/>
    </xf>
    <xf numFmtId="0" fontId="69" fillId="0" borderId="7" xfId="0" applyFont="1" applyFill="1" applyBorder="1" applyAlignment="1">
      <alignment horizontal="center" vertical="center"/>
    </xf>
    <xf numFmtId="0" fontId="69" fillId="0" borderId="1" xfId="0" applyFont="1" applyFill="1" applyBorder="1" applyAlignment="1">
      <alignment horizontal="center" vertical="center"/>
    </xf>
    <xf numFmtId="0" fontId="55" fillId="0" borderId="2" xfId="0" applyFont="1" applyFill="1" applyBorder="1" applyAlignment="1">
      <alignment horizontal="center" vertical="center"/>
    </xf>
    <xf numFmtId="0" fontId="70" fillId="0" borderId="1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71" fillId="0" borderId="19" xfId="0" applyFont="1" applyFill="1" applyBorder="1" applyAlignment="1">
      <alignment horizontal="center" vertical="center"/>
    </xf>
    <xf numFmtId="0" fontId="72" fillId="0" borderId="1" xfId="0" applyFont="1" applyFill="1" applyBorder="1" applyAlignment="1">
      <alignment horizontal="center" vertical="center"/>
    </xf>
    <xf numFmtId="0" fontId="72" fillId="0" borderId="5" xfId="0" applyFont="1" applyFill="1" applyBorder="1" applyAlignment="1">
      <alignment horizontal="center" vertical="center"/>
    </xf>
    <xf numFmtId="0" fontId="73" fillId="0" borderId="14" xfId="0" applyFont="1" applyFill="1" applyBorder="1" applyAlignment="1">
      <alignment horizontal="center" vertical="center"/>
    </xf>
    <xf numFmtId="0" fontId="74" fillId="0" borderId="0" xfId="0" applyFont="1" applyFill="1" applyBorder="1" applyAlignment="1">
      <alignment horizontal="center" vertical="center"/>
    </xf>
    <xf numFmtId="0" fontId="75" fillId="0" borderId="0" xfId="0" applyFont="1" applyFill="1" applyBorder="1" applyAlignment="1">
      <alignment horizontal="center" vertical="center"/>
    </xf>
    <xf numFmtId="0" fontId="76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0" xfId="0" applyFont="1" applyFill="1" applyAlignment="1">
      <alignment vertical="center"/>
    </xf>
    <xf numFmtId="0" fontId="40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 vertical="center" wrapText="1" indent="1"/>
    </xf>
    <xf numFmtId="0" fontId="15" fillId="0" borderId="1" xfId="0" applyFont="1" applyFill="1" applyBorder="1" applyAlignment="1">
      <alignment horizontal="center" vertical="center"/>
    </xf>
    <xf numFmtId="0" fontId="77" fillId="0" borderId="1" xfId="0" applyFont="1" applyFill="1" applyBorder="1" applyAlignment="1">
      <alignment horizontal="center" vertical="center"/>
    </xf>
    <xf numFmtId="165" fontId="15" fillId="0" borderId="4" xfId="0" applyNumberFormat="1" applyFont="1" applyFill="1" applyBorder="1" applyAlignment="1">
      <alignment horizontal="right" vertical="center"/>
    </xf>
    <xf numFmtId="166" fontId="15" fillId="0" borderId="4" xfId="0" applyNumberFormat="1" applyFont="1" applyFill="1" applyBorder="1" applyAlignment="1">
      <alignment horizontal="right" vertical="center"/>
    </xf>
    <xf numFmtId="0" fontId="5" fillId="0" borderId="1" xfId="0" applyFont="1" applyFill="1" applyBorder="1" applyAlignment="1">
      <alignment vertical="center" wrapText="1"/>
    </xf>
    <xf numFmtId="0" fontId="9" fillId="0" borderId="1" xfId="0" quotePrefix="1" applyNumberFormat="1" applyFont="1" applyFill="1" applyBorder="1" applyAlignment="1">
      <alignment horizontal="left" vertical="center" wrapText="1" indent="3"/>
    </xf>
    <xf numFmtId="0" fontId="78" fillId="0" borderId="0" xfId="0" applyFont="1" applyFill="1" applyBorder="1" applyAlignment="1">
      <alignment horizontal="center" vertical="center"/>
    </xf>
    <xf numFmtId="4" fontId="40" fillId="0" borderId="0" xfId="0" applyNumberFormat="1" applyFont="1" applyFill="1" applyBorder="1" applyAlignment="1">
      <alignment vertical="center"/>
    </xf>
    <xf numFmtId="4" fontId="56" fillId="0" borderId="0" xfId="0" applyNumberFormat="1" applyFont="1" applyFill="1" applyBorder="1" applyAlignment="1">
      <alignment vertical="center"/>
    </xf>
    <xf numFmtId="165" fontId="79" fillId="0" borderId="0" xfId="0" applyNumberFormat="1" applyFont="1" applyFill="1" applyBorder="1" applyAlignment="1">
      <alignment vertical="center"/>
    </xf>
    <xf numFmtId="4" fontId="79" fillId="0" borderId="0" xfId="0" applyNumberFormat="1" applyFont="1" applyFill="1" applyBorder="1" applyAlignment="1">
      <alignment vertical="center"/>
    </xf>
    <xf numFmtId="4" fontId="80" fillId="0" borderId="0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165" fontId="9" fillId="0" borderId="5" xfId="0" applyNumberFormat="1" applyFont="1" applyFill="1" applyBorder="1" applyAlignment="1">
      <alignment vertical="center"/>
    </xf>
    <xf numFmtId="165" fontId="4" fillId="0" borderId="6" xfId="0" applyNumberFormat="1" applyFont="1" applyFill="1" applyBorder="1" applyAlignment="1">
      <alignment vertical="center"/>
    </xf>
    <xf numFmtId="165" fontId="4" fillId="0" borderId="5" xfId="0" applyNumberFormat="1" applyFont="1" applyFill="1" applyBorder="1" applyAlignment="1">
      <alignment vertical="center"/>
    </xf>
    <xf numFmtId="166" fontId="9" fillId="0" borderId="5" xfId="0" applyNumberFormat="1" applyFont="1" applyFill="1" applyBorder="1" applyAlignment="1">
      <alignment vertical="center"/>
    </xf>
    <xf numFmtId="0" fontId="9" fillId="0" borderId="5" xfId="0" applyFont="1" applyFill="1" applyBorder="1" applyAlignment="1">
      <alignment vertical="center" wrapText="1"/>
    </xf>
    <xf numFmtId="165" fontId="9" fillId="0" borderId="6" xfId="0" applyNumberFormat="1" applyFont="1" applyFill="1" applyBorder="1" applyAlignment="1">
      <alignment vertical="center"/>
    </xf>
    <xf numFmtId="0" fontId="9" fillId="0" borderId="5" xfId="0" applyFont="1" applyFill="1" applyBorder="1" applyAlignment="1">
      <alignment horizontal="left" vertical="center" wrapText="1"/>
    </xf>
    <xf numFmtId="0" fontId="9" fillId="0" borderId="7" xfId="0" applyFont="1" applyFill="1" applyBorder="1" applyAlignment="1">
      <alignment horizontal="left" vertical="center" wrapText="1"/>
    </xf>
    <xf numFmtId="166" fontId="4" fillId="0" borderId="6" xfId="0" applyNumberFormat="1" applyFont="1" applyFill="1" applyBorder="1" applyAlignment="1">
      <alignment horizontal="right" vertical="center"/>
    </xf>
    <xf numFmtId="165" fontId="9" fillId="0" borderId="5" xfId="0" applyNumberFormat="1" applyFont="1" applyFill="1" applyBorder="1" applyAlignment="1">
      <alignment horizontal="right" vertical="center"/>
    </xf>
    <xf numFmtId="165" fontId="4" fillId="0" borderId="5" xfId="0" applyNumberFormat="1" applyFont="1" applyFill="1" applyBorder="1" applyAlignment="1">
      <alignment horizontal="right" vertical="center"/>
    </xf>
    <xf numFmtId="166" fontId="9" fillId="0" borderId="5" xfId="0" applyNumberFormat="1" applyFont="1" applyFill="1" applyBorder="1" applyAlignment="1">
      <alignment horizontal="right" vertical="center"/>
    </xf>
    <xf numFmtId="0" fontId="4" fillId="0" borderId="2" xfId="0" applyFont="1" applyFill="1" applyBorder="1" applyAlignment="1">
      <alignment vertical="center" wrapText="1"/>
    </xf>
    <xf numFmtId="165" fontId="9" fillId="0" borderId="3" xfId="0" applyNumberFormat="1" applyFont="1" applyFill="1" applyBorder="1" applyAlignment="1">
      <alignment horizontal="right" vertical="center"/>
    </xf>
    <xf numFmtId="165" fontId="9" fillId="0" borderId="2" xfId="0" applyNumberFormat="1" applyFont="1" applyFill="1" applyBorder="1" applyAlignment="1">
      <alignment horizontal="right" vertical="center"/>
    </xf>
    <xf numFmtId="165" fontId="4" fillId="0" borderId="3" xfId="0" applyNumberFormat="1" applyFont="1" applyFill="1" applyBorder="1" applyAlignment="1">
      <alignment horizontal="right" vertical="center"/>
    </xf>
    <xf numFmtId="165" fontId="4" fillId="0" borderId="2" xfId="0" applyNumberFormat="1" applyFont="1" applyFill="1" applyBorder="1" applyAlignment="1">
      <alignment horizontal="right" vertical="center"/>
    </xf>
    <xf numFmtId="166" fontId="9" fillId="0" borderId="2" xfId="0" applyNumberFormat="1" applyFont="1" applyFill="1" applyBorder="1" applyAlignment="1">
      <alignment horizontal="right" vertical="center"/>
    </xf>
    <xf numFmtId="166" fontId="4" fillId="0" borderId="5" xfId="0" applyNumberFormat="1" applyFont="1" applyFill="1" applyBorder="1" applyAlignment="1">
      <alignment horizontal="right" vertical="center"/>
    </xf>
    <xf numFmtId="166" fontId="4" fillId="0" borderId="7" xfId="0" applyNumberFormat="1" applyFont="1" applyFill="1" applyBorder="1" applyAlignment="1">
      <alignment horizontal="right" vertical="center"/>
    </xf>
    <xf numFmtId="165" fontId="5" fillId="0" borderId="3" xfId="0" applyNumberFormat="1" applyFont="1" applyFill="1" applyBorder="1" applyAlignment="1">
      <alignment horizontal="right" vertical="center"/>
    </xf>
    <xf numFmtId="165" fontId="18" fillId="0" borderId="3" xfId="0" applyNumberFormat="1" applyFont="1" applyFill="1" applyBorder="1" applyAlignment="1">
      <alignment horizontal="right" vertical="center"/>
    </xf>
    <xf numFmtId="166" fontId="9" fillId="0" borderId="3" xfId="0" applyNumberFormat="1" applyFont="1" applyFill="1" applyBorder="1" applyAlignment="1">
      <alignment horizontal="right" vertical="center"/>
    </xf>
    <xf numFmtId="0" fontId="9" fillId="0" borderId="2" xfId="0" applyFont="1" applyFill="1" applyBorder="1" applyAlignment="1">
      <alignment vertical="center" wrapText="1"/>
    </xf>
    <xf numFmtId="0" fontId="16" fillId="0" borderId="7" xfId="0" applyFont="1" applyFill="1" applyBorder="1" applyAlignment="1">
      <alignment vertical="center" wrapText="1"/>
    </xf>
    <xf numFmtId="166" fontId="5" fillId="0" borderId="7" xfId="0" applyNumberFormat="1" applyFont="1" applyFill="1" applyBorder="1" applyAlignment="1">
      <alignment horizontal="right" vertical="center"/>
    </xf>
    <xf numFmtId="165" fontId="9" fillId="0" borderId="5" xfId="0" applyNumberFormat="1" applyFont="1" applyFill="1" applyBorder="1" applyAlignment="1" applyProtection="1">
      <alignment vertical="center"/>
      <protection locked="0"/>
    </xf>
    <xf numFmtId="165" fontId="4" fillId="0" borderId="5" xfId="0" applyNumberFormat="1" applyFont="1" applyFill="1" applyBorder="1" applyAlignment="1" applyProtection="1">
      <alignment vertical="center"/>
      <protection locked="0"/>
    </xf>
    <xf numFmtId="166" fontId="9" fillId="0" borderId="5" xfId="0" applyNumberFormat="1" applyFont="1" applyFill="1" applyBorder="1" applyAlignment="1" applyProtection="1">
      <alignment vertical="center"/>
      <protection locked="0"/>
    </xf>
    <xf numFmtId="165" fontId="9" fillId="0" borderId="7" xfId="0" applyNumberFormat="1" applyFont="1" applyFill="1" applyBorder="1" applyAlignment="1" applyProtection="1">
      <alignment vertical="center"/>
      <protection locked="0"/>
    </xf>
    <xf numFmtId="165" fontId="4" fillId="0" borderId="7" xfId="0" applyNumberFormat="1" applyFont="1" applyFill="1" applyBorder="1" applyAlignment="1" applyProtection="1">
      <alignment vertical="center"/>
      <protection locked="0"/>
    </xf>
    <xf numFmtId="166" fontId="9" fillId="0" borderId="7" xfId="0" applyNumberFormat="1" applyFont="1" applyFill="1" applyBorder="1" applyAlignment="1" applyProtection="1">
      <alignment vertical="center"/>
      <protection locked="0"/>
    </xf>
    <xf numFmtId="0" fontId="81" fillId="0" borderId="0" xfId="0" applyFont="1" applyFill="1" applyBorder="1" applyAlignment="1">
      <alignment vertical="center" wrapText="1"/>
    </xf>
    <xf numFmtId="0" fontId="81" fillId="0" borderId="0" xfId="0" applyFont="1" applyFill="1" applyBorder="1" applyAlignment="1">
      <alignment horizontal="center" vertical="center"/>
    </xf>
    <xf numFmtId="3" fontId="82" fillId="0" borderId="16" xfId="0" applyNumberFormat="1" applyFont="1" applyFill="1" applyBorder="1" applyAlignment="1">
      <alignment vertical="center"/>
    </xf>
    <xf numFmtId="3" fontId="83" fillId="0" borderId="0" xfId="0" applyNumberFormat="1" applyFont="1" applyFill="1" applyBorder="1" applyAlignment="1">
      <alignment vertical="center"/>
    </xf>
    <xf numFmtId="3" fontId="84" fillId="0" borderId="17" xfId="0" applyNumberFormat="1" applyFont="1" applyFill="1" applyBorder="1" applyAlignment="1">
      <alignment horizontal="center" vertical="center"/>
    </xf>
    <xf numFmtId="3" fontId="84" fillId="0" borderId="0" xfId="0" applyNumberFormat="1" applyFont="1" applyFill="1" applyBorder="1" applyAlignment="1">
      <alignment horizontal="center" vertical="center"/>
    </xf>
    <xf numFmtId="3" fontId="82" fillId="0" borderId="18" xfId="0" applyNumberFormat="1" applyFont="1" applyFill="1" applyBorder="1" applyAlignment="1">
      <alignment horizontal="center" vertical="center"/>
    </xf>
    <xf numFmtId="3" fontId="85" fillId="0" borderId="0" xfId="0" applyNumberFormat="1" applyFont="1" applyFill="1" applyBorder="1" applyAlignment="1">
      <alignment horizontal="center" vertical="center"/>
    </xf>
    <xf numFmtId="0" fontId="86" fillId="0" borderId="0" xfId="0" applyFont="1" applyFill="1" applyBorder="1" applyAlignment="1">
      <alignment vertical="center"/>
    </xf>
    <xf numFmtId="0" fontId="86" fillId="0" borderId="16" xfId="0" applyFont="1" applyFill="1" applyBorder="1" applyAlignment="1">
      <alignment vertical="center"/>
    </xf>
    <xf numFmtId="164" fontId="83" fillId="0" borderId="0" xfId="0" applyNumberFormat="1" applyFont="1" applyFill="1" applyBorder="1" applyAlignment="1">
      <alignment vertical="center"/>
    </xf>
    <xf numFmtId="0" fontId="86" fillId="0" borderId="17" xfId="0" applyFont="1" applyFill="1" applyBorder="1" applyAlignment="1">
      <alignment vertical="center"/>
    </xf>
    <xf numFmtId="0" fontId="86" fillId="0" borderId="18" xfId="0" applyFont="1" applyFill="1" applyBorder="1" applyAlignment="1">
      <alignment vertical="center"/>
    </xf>
    <xf numFmtId="0" fontId="81" fillId="0" borderId="0" xfId="0" quotePrefix="1" applyFont="1" applyFill="1" applyBorder="1" applyAlignment="1">
      <alignment horizontal="center" vertical="center"/>
    </xf>
    <xf numFmtId="3" fontId="81" fillId="0" borderId="16" xfId="0" applyNumberFormat="1" applyFont="1" applyFill="1" applyBorder="1" applyAlignment="1">
      <alignment vertical="center"/>
    </xf>
    <xf numFmtId="3" fontId="81" fillId="0" borderId="0" xfId="0" applyNumberFormat="1" applyFont="1" applyFill="1" applyBorder="1" applyAlignment="1">
      <alignment vertical="center"/>
    </xf>
    <xf numFmtId="3" fontId="81" fillId="0" borderId="17" xfId="0" applyNumberFormat="1" applyFont="1" applyFill="1" applyBorder="1" applyAlignment="1">
      <alignment vertical="center"/>
    </xf>
    <xf numFmtId="3" fontId="81" fillId="0" borderId="18" xfId="0" applyNumberFormat="1" applyFont="1" applyFill="1" applyBorder="1" applyAlignment="1">
      <alignment vertical="center"/>
    </xf>
    <xf numFmtId="0" fontId="87" fillId="0" borderId="0" xfId="0" applyFont="1" applyFill="1" applyBorder="1" applyAlignment="1">
      <alignment vertical="center" wrapText="1"/>
    </xf>
    <xf numFmtId="0" fontId="87" fillId="0" borderId="0" xfId="0" applyFont="1" applyFill="1" applyBorder="1" applyAlignment="1">
      <alignment horizontal="center" vertical="center"/>
    </xf>
    <xf numFmtId="3" fontId="88" fillId="0" borderId="17" xfId="0" applyNumberFormat="1" applyFont="1" applyFill="1" applyBorder="1" applyAlignment="1">
      <alignment vertical="center"/>
    </xf>
    <xf numFmtId="3" fontId="88" fillId="0" borderId="0" xfId="0" applyNumberFormat="1" applyFont="1" applyFill="1" applyBorder="1" applyAlignment="1">
      <alignment vertical="center"/>
    </xf>
    <xf numFmtId="3" fontId="88" fillId="0" borderId="18" xfId="0" applyNumberFormat="1" applyFont="1" applyFill="1" applyBorder="1" applyAlignment="1">
      <alignment vertical="center"/>
    </xf>
    <xf numFmtId="0" fontId="81" fillId="0" borderId="0" xfId="0" applyFont="1" applyFill="1" applyAlignment="1">
      <alignment vertical="center"/>
    </xf>
    <xf numFmtId="0" fontId="89" fillId="0" borderId="0" xfId="0" applyFont="1" applyFill="1" applyAlignment="1">
      <alignment horizontal="right" vertical="center"/>
    </xf>
    <xf numFmtId="3" fontId="89" fillId="0" borderId="18" xfId="0" applyNumberFormat="1" applyFont="1" applyFill="1" applyBorder="1" applyAlignment="1">
      <alignment vertical="center"/>
    </xf>
    <xf numFmtId="3" fontId="89" fillId="0" borderId="0" xfId="0" applyNumberFormat="1" applyFont="1" applyFill="1" applyBorder="1" applyAlignment="1">
      <alignment vertical="center"/>
    </xf>
    <xf numFmtId="3" fontId="89" fillId="0" borderId="17" xfId="0" applyNumberFormat="1" applyFont="1" applyFill="1" applyBorder="1" applyAlignment="1">
      <alignment vertical="center"/>
    </xf>
    <xf numFmtId="3" fontId="90" fillId="0" borderId="0" xfId="0" applyNumberFormat="1" applyFont="1" applyFill="1" applyBorder="1" applyAlignment="1">
      <alignment vertical="center"/>
    </xf>
    <xf numFmtId="3" fontId="89" fillId="0" borderId="18" xfId="0" applyNumberFormat="1" applyFont="1" applyFill="1" applyBorder="1" applyAlignment="1">
      <alignment vertical="center" wrapText="1"/>
    </xf>
    <xf numFmtId="3" fontId="89" fillId="0" borderId="0" xfId="0" applyNumberFormat="1" applyFont="1" applyFill="1" applyBorder="1" applyAlignment="1">
      <alignment vertical="center" wrapText="1"/>
    </xf>
    <xf numFmtId="3" fontId="89" fillId="0" borderId="17" xfId="0" applyNumberFormat="1" applyFont="1" applyFill="1" applyBorder="1" applyAlignment="1">
      <alignment vertical="center" wrapText="1"/>
    </xf>
    <xf numFmtId="3" fontId="89" fillId="0" borderId="0" xfId="0" applyNumberFormat="1" applyFont="1" applyFill="1" applyAlignment="1">
      <alignment vertical="center" wrapText="1"/>
    </xf>
    <xf numFmtId="3" fontId="89" fillId="0" borderId="16" xfId="0" applyNumberFormat="1" applyFont="1" applyFill="1" applyBorder="1" applyAlignment="1">
      <alignment vertical="center" wrapText="1"/>
    </xf>
    <xf numFmtId="3" fontId="81" fillId="0" borderId="0" xfId="0" applyNumberFormat="1" applyFont="1" applyFill="1" applyAlignment="1">
      <alignment vertical="center" wrapText="1"/>
    </xf>
    <xf numFmtId="3" fontId="89" fillId="0" borderId="0" xfId="0" applyNumberFormat="1" applyFont="1" applyFill="1" applyAlignment="1">
      <alignment vertical="center"/>
    </xf>
    <xf numFmtId="3" fontId="81" fillId="0" borderId="0" xfId="0" applyNumberFormat="1" applyFont="1" applyFill="1" applyAlignment="1">
      <alignment vertical="center"/>
    </xf>
    <xf numFmtId="3" fontId="89" fillId="0" borderId="16" xfId="0" applyNumberFormat="1" applyFont="1" applyFill="1" applyBorder="1" applyAlignment="1">
      <alignment vertical="center"/>
    </xf>
    <xf numFmtId="164" fontId="89" fillId="0" borderId="18" xfId="0" applyNumberFormat="1" applyFont="1" applyFill="1" applyBorder="1" applyAlignment="1">
      <alignment vertical="center"/>
    </xf>
    <xf numFmtId="164" fontId="89" fillId="0" borderId="0" xfId="0" applyNumberFormat="1" applyFont="1" applyFill="1" applyBorder="1" applyAlignment="1">
      <alignment vertical="center"/>
    </xf>
    <xf numFmtId="164" fontId="89" fillId="0" borderId="17" xfId="0" applyNumberFormat="1" applyFont="1" applyFill="1" applyBorder="1" applyAlignment="1">
      <alignment vertical="center"/>
    </xf>
    <xf numFmtId="164" fontId="89" fillId="0" borderId="0" xfId="0" applyNumberFormat="1" applyFont="1" applyFill="1" applyAlignment="1">
      <alignment vertical="center"/>
    </xf>
    <xf numFmtId="164" fontId="90" fillId="0" borderId="0" xfId="0" applyNumberFormat="1" applyFont="1" applyFill="1" applyAlignment="1">
      <alignment vertical="center"/>
    </xf>
    <xf numFmtId="164" fontId="89" fillId="0" borderId="16" xfId="0" applyNumberFormat="1" applyFont="1" applyFill="1" applyBorder="1" applyAlignment="1">
      <alignment vertical="center"/>
    </xf>
    <xf numFmtId="3" fontId="81" fillId="0" borderId="21" xfId="0" applyNumberFormat="1" applyFont="1" applyFill="1" applyBorder="1" applyAlignment="1">
      <alignment vertical="center"/>
    </xf>
    <xf numFmtId="165" fontId="81" fillId="0" borderId="0" xfId="0" applyNumberFormat="1" applyFont="1" applyFill="1" applyBorder="1" applyAlignment="1">
      <alignment vertical="center"/>
    </xf>
    <xf numFmtId="165" fontId="81" fillId="0" borderId="0" xfId="0" applyNumberFormat="1" applyFont="1" applyFill="1" applyAlignment="1">
      <alignment vertical="center"/>
    </xf>
    <xf numFmtId="165" fontId="89" fillId="0" borderId="0" xfId="0" applyNumberFormat="1" applyFont="1" applyFill="1" applyBorder="1" applyAlignment="1">
      <alignment vertical="center"/>
    </xf>
    <xf numFmtId="165" fontId="89" fillId="0" borderId="0" xfId="0" applyNumberFormat="1" applyFont="1" applyFill="1" applyAlignment="1">
      <alignment vertical="center"/>
    </xf>
    <xf numFmtId="0" fontId="81" fillId="0" borderId="0" xfId="0" applyFont="1" applyFill="1" applyAlignment="1">
      <alignment vertical="center" wrapText="1"/>
    </xf>
    <xf numFmtId="0" fontId="81" fillId="0" borderId="0" xfId="0" applyFont="1" applyFill="1" applyAlignment="1">
      <alignment horizontal="center" vertical="center"/>
    </xf>
    <xf numFmtId="4" fontId="91" fillId="0" borderId="18" xfId="0" applyNumberFormat="1" applyFont="1" applyFill="1" applyBorder="1" applyAlignment="1">
      <alignment vertical="center"/>
    </xf>
    <xf numFmtId="0" fontId="81" fillId="0" borderId="0" xfId="0" applyFont="1" applyFill="1" applyBorder="1" applyAlignment="1">
      <alignment vertical="center"/>
    </xf>
    <xf numFmtId="4" fontId="81" fillId="0" borderId="17" xfId="0" applyNumberFormat="1" applyFont="1" applyFill="1" applyBorder="1" applyAlignment="1">
      <alignment vertical="center"/>
    </xf>
    <xf numFmtId="2" fontId="81" fillId="0" borderId="0" xfId="0" applyNumberFormat="1" applyFont="1" applyFill="1" applyAlignment="1">
      <alignment vertical="center"/>
    </xf>
    <xf numFmtId="4" fontId="81" fillId="0" borderId="18" xfId="0" applyNumberFormat="1" applyFont="1" applyFill="1" applyBorder="1" applyAlignment="1">
      <alignment vertical="center"/>
    </xf>
    <xf numFmtId="4" fontId="81" fillId="0" borderId="21" xfId="0" applyNumberFormat="1" applyFont="1" applyFill="1" applyBorder="1" applyAlignment="1">
      <alignment vertical="center"/>
    </xf>
    <xf numFmtId="3" fontId="81" fillId="0" borderId="18" xfId="0" quotePrefix="1" applyNumberFormat="1" applyFont="1" applyFill="1" applyBorder="1" applyAlignment="1">
      <alignment vertical="center"/>
    </xf>
    <xf numFmtId="4" fontId="81" fillId="0" borderId="0" xfId="0" quotePrefix="1" applyNumberFormat="1" applyFont="1" applyFill="1" applyBorder="1" applyAlignment="1">
      <alignment vertical="center"/>
    </xf>
    <xf numFmtId="4" fontId="81" fillId="0" borderId="17" xfId="0" quotePrefix="1" applyNumberFormat="1" applyFont="1" applyFill="1" applyBorder="1" applyAlignment="1">
      <alignment vertical="center"/>
    </xf>
    <xf numFmtId="3" fontId="81" fillId="0" borderId="0" xfId="0" quotePrefix="1" applyNumberFormat="1" applyFont="1" applyFill="1" applyAlignment="1">
      <alignment vertical="center"/>
    </xf>
    <xf numFmtId="4" fontId="81" fillId="0" borderId="0" xfId="0" quotePrefix="1" applyNumberFormat="1" applyFont="1" applyFill="1" applyAlignment="1">
      <alignment vertical="center"/>
    </xf>
    <xf numFmtId="3" fontId="91" fillId="0" borderId="18" xfId="0" quotePrefix="1" applyNumberFormat="1" applyFont="1" applyFill="1" applyBorder="1" applyAlignment="1">
      <alignment vertical="center"/>
    </xf>
    <xf numFmtId="164" fontId="81" fillId="0" borderId="0" xfId="0" quotePrefix="1" applyNumberFormat="1" applyFont="1" applyFill="1" applyAlignment="1">
      <alignment vertical="center"/>
    </xf>
    <xf numFmtId="165" fontId="81" fillId="0" borderId="16" xfId="0" applyNumberFormat="1" applyFont="1" applyFill="1" applyBorder="1" applyAlignment="1">
      <alignment vertical="center"/>
    </xf>
    <xf numFmtId="165" fontId="81" fillId="0" borderId="17" xfId="0" applyNumberFormat="1" applyFont="1" applyFill="1" applyBorder="1" applyAlignment="1">
      <alignment vertical="center"/>
    </xf>
    <xf numFmtId="165" fontId="92" fillId="0" borderId="16" xfId="0" applyNumberFormat="1" applyFont="1" applyFill="1" applyBorder="1" applyAlignment="1">
      <alignment vertical="center"/>
    </xf>
    <xf numFmtId="165" fontId="92" fillId="0" borderId="17" xfId="0" applyNumberFormat="1" applyFont="1" applyFill="1" applyBorder="1" applyAlignment="1">
      <alignment vertical="center"/>
    </xf>
    <xf numFmtId="165" fontId="92" fillId="0" borderId="0" xfId="0" applyNumberFormat="1" applyFont="1" applyFill="1" applyAlignment="1">
      <alignment vertical="center"/>
    </xf>
    <xf numFmtId="0" fontId="81" fillId="0" borderId="16" xfId="0" applyFont="1" applyFill="1" applyBorder="1" applyAlignment="1">
      <alignment vertical="center"/>
    </xf>
    <xf numFmtId="0" fontId="81" fillId="0" borderId="17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 wrapText="1"/>
    </xf>
  </cellXfs>
  <cellStyles count="7">
    <cellStyle name="Normalny" xfId="0" builtinId="0"/>
    <cellStyle name="Normalny 2" xfId="1" xr:uid="{00000000-0005-0000-0000-000001000000}"/>
    <cellStyle name="Normalny 3" xfId="2" xr:uid="{00000000-0005-0000-0000-000002000000}"/>
    <cellStyle name="Normalny 3 2" xfId="3" xr:uid="{00000000-0005-0000-0000-000003000000}"/>
    <cellStyle name="Normalny 4" xfId="4" xr:uid="{18EDF538-F8A8-4B32-AD68-AB26937C1DE1}"/>
    <cellStyle name="Normalny 5" xfId="5" xr:uid="{C7FFC34D-4363-4B61-9D45-D4E2C2AAF964}"/>
    <cellStyle name="Normalny 6" xfId="6" xr:uid="{7C750BA7-5BE2-4391-8039-8EAB42EFE173}"/>
  </cellStyles>
  <dxfs count="14">
    <dxf>
      <font>
        <color auto="1"/>
      </font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auto="1"/>
      </font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auto="1"/>
      </font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99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299"/>
  <sheetViews>
    <sheetView showGridLines="0" tabSelected="1" topLeftCell="A413" zoomScaleNormal="100" zoomScaleSheetLayoutView="100" workbookViewId="0">
      <selection activeCell="A34" sqref="A34"/>
    </sheetView>
  </sheetViews>
  <sheetFormatPr defaultColWidth="9.140625" defaultRowHeight="12"/>
  <cols>
    <col min="1" max="1" width="57.28515625" style="18" customWidth="1"/>
    <col min="2" max="2" width="13.28515625" style="19" customWidth="1"/>
    <col min="3" max="3" width="17.140625" style="294" hidden="1" customWidth="1"/>
    <col min="4" max="5" width="12.7109375" style="1" customWidth="1"/>
    <col min="6" max="6" width="16" style="1" customWidth="1"/>
    <col min="7" max="8" width="12.7109375" style="1" customWidth="1"/>
    <col min="9" max="9" width="16" style="1" customWidth="1"/>
    <col min="10" max="11" width="12.7109375" style="1" customWidth="1"/>
    <col min="12" max="12" width="16" style="1" customWidth="1"/>
    <col min="13" max="16" width="9.5703125" style="1" customWidth="1"/>
    <col min="17" max="17" width="13.140625" style="1" customWidth="1"/>
    <col min="18" max="18" width="11.7109375" style="1" customWidth="1"/>
    <col min="19" max="19" width="13.5703125" style="1" customWidth="1"/>
    <col min="20" max="20" width="9.85546875" style="1" customWidth="1"/>
    <col min="21" max="16384" width="9.140625" style="1"/>
  </cols>
  <sheetData>
    <row r="1" spans="1:17">
      <c r="M1" s="21"/>
    </row>
    <row r="2" spans="1:17" ht="15.75" customHeight="1">
      <c r="A2" s="1"/>
      <c r="B2" s="125"/>
      <c r="C2" s="295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71" t="s">
        <v>826</v>
      </c>
      <c r="P2" s="126"/>
    </row>
    <row r="3" spans="1:17" ht="19.5" customHeight="1">
      <c r="A3" s="158" t="s">
        <v>2403</v>
      </c>
      <c r="B3" s="158"/>
      <c r="C3" s="296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</row>
    <row r="4" spans="1:17" s="339" customFormat="1" ht="20.25" customHeight="1">
      <c r="A4" s="348"/>
      <c r="B4" s="348"/>
      <c r="C4" s="348"/>
      <c r="D4" s="349"/>
      <c r="E4" s="350">
        <f>7116470861-F2257</f>
        <v>0</v>
      </c>
      <c r="F4" s="351"/>
      <c r="G4" s="349"/>
      <c r="H4" s="350">
        <f>8101255812-I2257</f>
        <v>0</v>
      </c>
      <c r="I4" s="352"/>
      <c r="J4" s="352"/>
      <c r="K4" s="353">
        <f>8022313442-L2257</f>
        <v>0</v>
      </c>
      <c r="L4" s="352"/>
      <c r="M4" s="351"/>
      <c r="N4" s="351"/>
      <c r="O4" s="351"/>
      <c r="P4" s="351"/>
    </row>
    <row r="5" spans="1:17" s="2" customFormat="1" ht="20.25" customHeight="1">
      <c r="B5" s="127"/>
      <c r="C5" s="297"/>
      <c r="D5" s="202"/>
      <c r="E5" s="202"/>
      <c r="F5" s="201"/>
      <c r="G5" s="203"/>
      <c r="H5" s="202"/>
      <c r="I5" s="202"/>
      <c r="J5" s="202"/>
      <c r="K5" s="202"/>
      <c r="L5" s="202"/>
      <c r="M5" s="128"/>
      <c r="N5" s="128"/>
      <c r="O5" s="128"/>
      <c r="P5" s="128"/>
    </row>
    <row r="6" spans="1:17" s="2" customFormat="1" ht="20.25" customHeight="1">
      <c r="B6" s="127"/>
      <c r="C6" s="297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30" t="s">
        <v>255</v>
      </c>
    </row>
    <row r="7" spans="1:17" s="2" customFormat="1" ht="18">
      <c r="A7" s="131"/>
      <c r="B7" s="132"/>
      <c r="C7" s="298"/>
      <c r="D7" s="179"/>
      <c r="E7" s="178" t="s">
        <v>875</v>
      </c>
      <c r="F7" s="180"/>
      <c r="G7" s="179"/>
      <c r="H7" s="178" t="s">
        <v>938</v>
      </c>
      <c r="I7" s="180"/>
      <c r="J7" s="180"/>
      <c r="K7" s="178" t="s">
        <v>939</v>
      </c>
      <c r="L7" s="180"/>
      <c r="M7" s="173" t="s">
        <v>256</v>
      </c>
      <c r="N7" s="174" t="s">
        <v>256</v>
      </c>
      <c r="O7" s="174" t="s">
        <v>256</v>
      </c>
      <c r="P7" s="174" t="s">
        <v>256</v>
      </c>
      <c r="Q7" s="32"/>
    </row>
    <row r="8" spans="1:17" s="3" customFormat="1" ht="15.75">
      <c r="A8" s="133"/>
      <c r="B8" s="134"/>
      <c r="C8" s="299"/>
      <c r="D8" s="135"/>
      <c r="E8" s="136" t="s">
        <v>259</v>
      </c>
      <c r="F8" s="137" t="s">
        <v>260</v>
      </c>
      <c r="G8" s="135"/>
      <c r="H8" s="136" t="s">
        <v>259</v>
      </c>
      <c r="I8" s="137" t="s">
        <v>260</v>
      </c>
      <c r="J8" s="137"/>
      <c r="K8" s="136" t="s">
        <v>259</v>
      </c>
      <c r="L8" s="137" t="s">
        <v>260</v>
      </c>
      <c r="M8" s="175"/>
      <c r="N8" s="172"/>
      <c r="O8" s="172"/>
      <c r="P8" s="172"/>
      <c r="Q8" s="32"/>
    </row>
    <row r="9" spans="1:17" s="3" customFormat="1" ht="15.75">
      <c r="A9" s="458" t="s">
        <v>257</v>
      </c>
      <c r="B9" s="458" t="s">
        <v>414</v>
      </c>
      <c r="C9" s="459"/>
      <c r="D9" s="138" t="s">
        <v>260</v>
      </c>
      <c r="E9" s="138" t="s">
        <v>261</v>
      </c>
      <c r="F9" s="135" t="s">
        <v>262</v>
      </c>
      <c r="G9" s="138" t="s">
        <v>260</v>
      </c>
      <c r="H9" s="138" t="s">
        <v>261</v>
      </c>
      <c r="I9" s="135" t="s">
        <v>262</v>
      </c>
      <c r="J9" s="135" t="s">
        <v>260</v>
      </c>
      <c r="K9" s="138" t="s">
        <v>261</v>
      </c>
      <c r="L9" s="135" t="s">
        <v>262</v>
      </c>
      <c r="M9" s="172" t="s">
        <v>292</v>
      </c>
      <c r="N9" s="172" t="s">
        <v>293</v>
      </c>
      <c r="O9" s="172" t="s">
        <v>295</v>
      </c>
      <c r="P9" s="172" t="s">
        <v>294</v>
      </c>
      <c r="Q9" s="32"/>
    </row>
    <row r="10" spans="1:17" s="3" customFormat="1" ht="12.75">
      <c r="A10" s="458"/>
      <c r="B10" s="458"/>
      <c r="C10" s="459"/>
      <c r="D10" s="138" t="s">
        <v>263</v>
      </c>
      <c r="E10" s="138" t="s">
        <v>264</v>
      </c>
      <c r="F10" s="135" t="s">
        <v>265</v>
      </c>
      <c r="G10" s="138" t="s">
        <v>263</v>
      </c>
      <c r="H10" s="138" t="s">
        <v>264</v>
      </c>
      <c r="I10" s="135" t="s">
        <v>265</v>
      </c>
      <c r="J10" s="135" t="s">
        <v>263</v>
      </c>
      <c r="K10" s="138" t="s">
        <v>264</v>
      </c>
      <c r="L10" s="135" t="s">
        <v>265</v>
      </c>
      <c r="M10" s="135"/>
      <c r="N10" s="135"/>
      <c r="O10" s="135"/>
      <c r="P10" s="135"/>
    </row>
    <row r="11" spans="1:17" s="3" customFormat="1" ht="12.75">
      <c r="A11" s="139"/>
      <c r="B11" s="33"/>
      <c r="C11" s="211"/>
      <c r="D11" s="135"/>
      <c r="E11" s="138" t="s">
        <v>266</v>
      </c>
      <c r="F11" s="135"/>
      <c r="G11" s="135"/>
      <c r="H11" s="138" t="s">
        <v>266</v>
      </c>
      <c r="I11" s="135"/>
      <c r="J11" s="135"/>
      <c r="K11" s="138" t="s">
        <v>266</v>
      </c>
      <c r="L11" s="135"/>
      <c r="M11" s="135"/>
      <c r="N11" s="135"/>
      <c r="O11" s="135"/>
      <c r="P11" s="135"/>
      <c r="Q11" s="20"/>
    </row>
    <row r="12" spans="1:17" s="4" customFormat="1" ht="9">
      <c r="A12" s="106">
        <v>1</v>
      </c>
      <c r="B12" s="34">
        <v>2</v>
      </c>
      <c r="C12" s="300"/>
      <c r="D12" s="35">
        <v>3</v>
      </c>
      <c r="E12" s="35">
        <v>4</v>
      </c>
      <c r="F12" s="35">
        <v>5</v>
      </c>
      <c r="G12" s="35">
        <v>6</v>
      </c>
      <c r="H12" s="35">
        <v>7</v>
      </c>
      <c r="I12" s="35">
        <v>8</v>
      </c>
      <c r="J12" s="35">
        <v>9</v>
      </c>
      <c r="K12" s="35">
        <v>10</v>
      </c>
      <c r="L12" s="35">
        <v>11</v>
      </c>
      <c r="M12" s="35">
        <v>12</v>
      </c>
      <c r="N12" s="35">
        <v>13</v>
      </c>
      <c r="O12" s="35">
        <v>14</v>
      </c>
      <c r="P12" s="35">
        <v>15</v>
      </c>
    </row>
    <row r="13" spans="1:17" s="3" customFormat="1" ht="15.75" customHeight="1">
      <c r="A13" s="58" t="s">
        <v>48</v>
      </c>
      <c r="B13" s="78" t="s">
        <v>265</v>
      </c>
      <c r="C13" s="301" t="s">
        <v>940</v>
      </c>
      <c r="D13" s="69">
        <f>SUM(D15:D18)</f>
        <v>3913857</v>
      </c>
      <c r="E13" s="69">
        <f>SUM(E15:E18)</f>
        <v>3280051</v>
      </c>
      <c r="F13" s="69">
        <f t="shared" ref="F13:F19" si="0">SUM(D13:E13)</f>
        <v>7193908</v>
      </c>
      <c r="G13" s="115">
        <f>SUM(G15:G18)</f>
        <v>5376952</v>
      </c>
      <c r="H13" s="115">
        <f>SUM(H15:H19)</f>
        <v>3572670</v>
      </c>
      <c r="I13" s="115">
        <f t="shared" ref="I13:I47" si="1">SUM(G13:H13)</f>
        <v>8949622</v>
      </c>
      <c r="J13" s="69">
        <f>SUM(J15:J18)</f>
        <v>4878343</v>
      </c>
      <c r="K13" s="69">
        <f>SUM(K15:K18)</f>
        <v>3838629</v>
      </c>
      <c r="L13" s="69">
        <f t="shared" ref="L13:L21" si="2">SUM(J13:K13)</f>
        <v>8716972</v>
      </c>
      <c r="M13" s="217">
        <f t="shared" ref="M13" si="3">IF(D13&gt;0,IF(J13&gt;=0,J13/D13*100,""),"")</f>
        <v>124.64285230656102</v>
      </c>
      <c r="N13" s="217">
        <f t="shared" ref="N13" si="4">IF(F13&gt;0,IF(L13&gt;=0,L13/F13*100,""),"")</f>
        <v>121.17158017589327</v>
      </c>
      <c r="O13" s="217">
        <f t="shared" ref="O13" si="5">IF(G13&gt;0,IF(J13&gt;=0,J13/G13*100,""),"")</f>
        <v>90.726921125574492</v>
      </c>
      <c r="P13" s="217">
        <f t="shared" ref="P13:P54" si="6">IF(I13&gt;0,IF(L13&gt;=0,L13/I13*100,""),"")</f>
        <v>97.400448868119796</v>
      </c>
    </row>
    <row r="14" spans="1:17" s="3" customFormat="1" ht="12.75" hidden="1" customHeight="1">
      <c r="A14" s="80" t="s">
        <v>267</v>
      </c>
      <c r="B14" s="79"/>
      <c r="C14" s="302" t="s">
        <v>268</v>
      </c>
      <c r="D14" s="63">
        <f>SUM(D15:D18)</f>
        <v>3913857</v>
      </c>
      <c r="E14" s="113">
        <f>SUM(E15:E18)</f>
        <v>3280051</v>
      </c>
      <c r="F14" s="63">
        <f t="shared" si="0"/>
        <v>7193908</v>
      </c>
      <c r="G14" s="38">
        <f>SUM(G15:G18)</f>
        <v>5376952</v>
      </c>
      <c r="H14" s="187">
        <f>SUM(H15:H19)</f>
        <v>3572670</v>
      </c>
      <c r="I14" s="38">
        <f t="shared" si="1"/>
        <v>8949622</v>
      </c>
      <c r="J14" s="63">
        <f>SUM(J15:J18)</f>
        <v>4878343</v>
      </c>
      <c r="K14" s="113">
        <f>SUM(K15:K18)</f>
        <v>3838629</v>
      </c>
      <c r="L14" s="63">
        <f t="shared" si="2"/>
        <v>8716972</v>
      </c>
      <c r="M14" s="218">
        <f t="shared" ref="M14:M77" si="7">IF(D14&gt;0,IF(J14&gt;=0,J14/D14*100,""),"")</f>
        <v>124.64285230656102</v>
      </c>
      <c r="N14" s="218">
        <f t="shared" ref="N14:N77" si="8">IF(F14&gt;0,IF(L14&gt;=0,L14/F14*100,""),"")</f>
        <v>121.17158017589327</v>
      </c>
      <c r="O14" s="218">
        <f t="shared" ref="O14:O77" si="9">IF(G14&gt;0,IF(J14&gt;=0,J14/G14*100,""),"")</f>
        <v>90.726921125574492</v>
      </c>
      <c r="P14" s="218">
        <f t="shared" si="6"/>
        <v>97.400448868119796</v>
      </c>
    </row>
    <row r="15" spans="1:17" s="3" customFormat="1" ht="12.75" customHeight="1">
      <c r="A15" s="36" t="s">
        <v>554</v>
      </c>
      <c r="B15" s="33">
        <v>0</v>
      </c>
      <c r="C15" s="211" t="s">
        <v>268</v>
      </c>
      <c r="D15" s="70"/>
      <c r="E15" s="70">
        <v>226211</v>
      </c>
      <c r="F15" s="63">
        <f t="shared" si="0"/>
        <v>226211</v>
      </c>
      <c r="G15" s="84"/>
      <c r="H15" s="84">
        <v>238178</v>
      </c>
      <c r="I15" s="38">
        <f t="shared" si="1"/>
        <v>238178</v>
      </c>
      <c r="J15" s="63"/>
      <c r="K15" s="70">
        <v>247654</v>
      </c>
      <c r="L15" s="63">
        <f t="shared" si="2"/>
        <v>247654</v>
      </c>
      <c r="M15" s="218" t="str">
        <f t="shared" si="7"/>
        <v/>
      </c>
      <c r="N15" s="218">
        <f t="shared" si="8"/>
        <v>109.47920304494477</v>
      </c>
      <c r="O15" s="218" t="str">
        <f t="shared" si="9"/>
        <v/>
      </c>
      <c r="P15" s="218">
        <f t="shared" si="6"/>
        <v>103.97853706051777</v>
      </c>
    </row>
    <row r="16" spans="1:17" s="10" customFormat="1" ht="12.75" customHeight="1">
      <c r="A16" s="36" t="s">
        <v>134</v>
      </c>
      <c r="B16" s="33" t="s">
        <v>597</v>
      </c>
      <c r="C16" s="211" t="s">
        <v>941</v>
      </c>
      <c r="D16" s="63">
        <v>3050000</v>
      </c>
      <c r="E16" s="63">
        <v>3053840</v>
      </c>
      <c r="F16" s="63">
        <f t="shared" si="0"/>
        <v>6103840</v>
      </c>
      <c r="G16" s="38">
        <v>4450000</v>
      </c>
      <c r="H16" s="84">
        <v>3334492</v>
      </c>
      <c r="I16" s="38">
        <f t="shared" si="1"/>
        <v>7784492</v>
      </c>
      <c r="J16" s="63">
        <v>3900000</v>
      </c>
      <c r="K16" s="63">
        <v>3590975</v>
      </c>
      <c r="L16" s="63">
        <f t="shared" si="2"/>
        <v>7490975</v>
      </c>
      <c r="M16" s="218">
        <f t="shared" si="7"/>
        <v>127.86885245901641</v>
      </c>
      <c r="N16" s="218">
        <f t="shared" si="8"/>
        <v>122.72561207371098</v>
      </c>
      <c r="O16" s="218">
        <f t="shared" si="9"/>
        <v>87.640449438202253</v>
      </c>
      <c r="P16" s="218">
        <f t="shared" si="6"/>
        <v>96.229464941321794</v>
      </c>
    </row>
    <row r="17" spans="1:16" s="10" customFormat="1" ht="12.75" customHeight="1">
      <c r="A17" s="46" t="s">
        <v>651</v>
      </c>
      <c r="B17" s="33" t="s">
        <v>650</v>
      </c>
      <c r="C17" s="211" t="s">
        <v>942</v>
      </c>
      <c r="D17" s="63">
        <v>817857</v>
      </c>
      <c r="E17" s="63"/>
      <c r="F17" s="63">
        <f t="shared" si="0"/>
        <v>817857</v>
      </c>
      <c r="G17" s="38">
        <v>881952</v>
      </c>
      <c r="H17" s="38"/>
      <c r="I17" s="38">
        <f t="shared" si="1"/>
        <v>881952</v>
      </c>
      <c r="J17" s="63">
        <v>932343</v>
      </c>
      <c r="K17" s="63"/>
      <c r="L17" s="63">
        <f t="shared" si="2"/>
        <v>932343</v>
      </c>
      <c r="M17" s="218">
        <f t="shared" si="7"/>
        <v>113.99829065472326</v>
      </c>
      <c r="N17" s="218">
        <f t="shared" si="8"/>
        <v>113.99829065472326</v>
      </c>
      <c r="O17" s="218">
        <f t="shared" si="9"/>
        <v>105.71357624904756</v>
      </c>
      <c r="P17" s="218">
        <f t="shared" si="6"/>
        <v>105.71357624904756</v>
      </c>
    </row>
    <row r="18" spans="1:16" s="10" customFormat="1" ht="12.75" customHeight="1">
      <c r="A18" s="36" t="s">
        <v>737</v>
      </c>
      <c r="B18" s="33" t="s">
        <v>738</v>
      </c>
      <c r="C18" s="211" t="s">
        <v>943</v>
      </c>
      <c r="D18" s="63">
        <f>25000+21000</f>
        <v>46000</v>
      </c>
      <c r="E18" s="63"/>
      <c r="F18" s="63">
        <f t="shared" si="0"/>
        <v>46000</v>
      </c>
      <c r="G18" s="38">
        <v>45000</v>
      </c>
      <c r="H18" s="38"/>
      <c r="I18" s="38">
        <f t="shared" si="1"/>
        <v>45000</v>
      </c>
      <c r="J18" s="63">
        <f>25000+21000</f>
        <v>46000</v>
      </c>
      <c r="K18" s="63"/>
      <c r="L18" s="63">
        <f t="shared" si="2"/>
        <v>46000</v>
      </c>
      <c r="M18" s="218">
        <f t="shared" si="7"/>
        <v>100</v>
      </c>
      <c r="N18" s="218">
        <f t="shared" si="8"/>
        <v>100</v>
      </c>
      <c r="O18" s="218">
        <f t="shared" si="9"/>
        <v>102.22222222222221</v>
      </c>
      <c r="P18" s="218">
        <f t="shared" si="6"/>
        <v>102.22222222222221</v>
      </c>
    </row>
    <row r="19" spans="1:16" s="3" customFormat="1" ht="6" customHeight="1">
      <c r="A19" s="36"/>
      <c r="B19" s="33"/>
      <c r="C19" s="211" t="s">
        <v>268</v>
      </c>
      <c r="D19" s="63"/>
      <c r="E19" s="63"/>
      <c r="F19" s="63">
        <f t="shared" si="0"/>
        <v>0</v>
      </c>
      <c r="G19" s="38"/>
      <c r="H19" s="38"/>
      <c r="I19" s="38">
        <f t="shared" si="1"/>
        <v>0</v>
      </c>
      <c r="J19" s="63"/>
      <c r="K19" s="63"/>
      <c r="L19" s="63">
        <f t="shared" si="2"/>
        <v>0</v>
      </c>
      <c r="M19" s="218" t="str">
        <f t="shared" si="7"/>
        <v/>
      </c>
      <c r="N19" s="218" t="str">
        <f t="shared" si="8"/>
        <v/>
      </c>
      <c r="O19" s="218" t="str">
        <f t="shared" si="9"/>
        <v/>
      </c>
      <c r="P19" s="218" t="str">
        <f t="shared" si="6"/>
        <v/>
      </c>
    </row>
    <row r="20" spans="1:16" s="3" customFormat="1" ht="12.75">
      <c r="A20" s="58" t="s">
        <v>65</v>
      </c>
      <c r="B20" s="78" t="s">
        <v>265</v>
      </c>
      <c r="C20" s="301" t="s">
        <v>940</v>
      </c>
      <c r="D20" s="69">
        <f>SUM(D23:D23)</f>
        <v>500000</v>
      </c>
      <c r="E20" s="69">
        <f>SUM(E22:E23)</f>
        <v>2035894</v>
      </c>
      <c r="F20" s="69">
        <f t="shared" ref="F20:F40" si="10">SUM(D20:E20)</f>
        <v>2535894</v>
      </c>
      <c r="G20" s="115">
        <f>SUM(G22:G23)</f>
        <v>500000</v>
      </c>
      <c r="H20" s="115">
        <f>SUM(H22:H23)</f>
        <v>2024513</v>
      </c>
      <c r="I20" s="115">
        <f t="shared" si="1"/>
        <v>2524513</v>
      </c>
      <c r="J20" s="69">
        <f>SUM(J22:J23)</f>
        <v>440000</v>
      </c>
      <c r="K20" s="69">
        <f>SUM(K22:K23)</f>
        <v>2228881</v>
      </c>
      <c r="L20" s="69">
        <f t="shared" si="2"/>
        <v>2668881</v>
      </c>
      <c r="M20" s="217">
        <f t="shared" si="7"/>
        <v>88</v>
      </c>
      <c r="N20" s="217">
        <f t="shared" si="8"/>
        <v>105.24418607402359</v>
      </c>
      <c r="O20" s="217">
        <f t="shared" si="9"/>
        <v>88</v>
      </c>
      <c r="P20" s="217">
        <f t="shared" si="6"/>
        <v>105.71864751736275</v>
      </c>
    </row>
    <row r="21" spans="1:16" s="3" customFormat="1" ht="12.75" hidden="1" customHeight="1">
      <c r="A21" s="80" t="s">
        <v>267</v>
      </c>
      <c r="B21" s="79"/>
      <c r="C21" s="302" t="s">
        <v>268</v>
      </c>
      <c r="D21" s="113">
        <f>SUM(D23:D23)</f>
        <v>500000</v>
      </c>
      <c r="E21" s="113">
        <f>SUM(E22:E23)</f>
        <v>2035894</v>
      </c>
      <c r="F21" s="63">
        <f t="shared" si="10"/>
        <v>2535894</v>
      </c>
      <c r="G21" s="187">
        <f>SUM(G22:G23)</f>
        <v>500000</v>
      </c>
      <c r="H21" s="187">
        <f>SUM(H22:H23)</f>
        <v>2024513</v>
      </c>
      <c r="I21" s="38">
        <f t="shared" si="1"/>
        <v>2524513</v>
      </c>
      <c r="J21" s="113">
        <f>SUM(J22:J23)</f>
        <v>440000</v>
      </c>
      <c r="K21" s="113">
        <f>SUM(K22:K23)</f>
        <v>2228881</v>
      </c>
      <c r="L21" s="63">
        <f t="shared" si="2"/>
        <v>2668881</v>
      </c>
      <c r="M21" s="218">
        <f t="shared" si="7"/>
        <v>88</v>
      </c>
      <c r="N21" s="218">
        <f t="shared" si="8"/>
        <v>105.24418607402359</v>
      </c>
      <c r="O21" s="218">
        <f t="shared" si="9"/>
        <v>88</v>
      </c>
      <c r="P21" s="218">
        <f t="shared" si="6"/>
        <v>105.71864751736275</v>
      </c>
    </row>
    <row r="22" spans="1:16" s="3" customFormat="1" ht="12.75" customHeight="1">
      <c r="A22" s="36" t="s">
        <v>554</v>
      </c>
      <c r="B22" s="33">
        <v>0</v>
      </c>
      <c r="C22" s="211" t="s">
        <v>268</v>
      </c>
      <c r="D22" s="70"/>
      <c r="E22" s="70">
        <v>226212</v>
      </c>
      <c r="F22" s="63">
        <f t="shared" si="10"/>
        <v>226212</v>
      </c>
      <c r="G22" s="84"/>
      <c r="H22" s="84">
        <v>238178</v>
      </c>
      <c r="I22" s="38">
        <f t="shared" si="1"/>
        <v>238178</v>
      </c>
      <c r="J22" s="63"/>
      <c r="K22" s="70">
        <v>247654</v>
      </c>
      <c r="L22" s="63">
        <f t="shared" ref="L22:L36" si="11">SUM(J22:K22)</f>
        <v>247654</v>
      </c>
      <c r="M22" s="218" t="str">
        <f t="shared" si="7"/>
        <v/>
      </c>
      <c r="N22" s="218">
        <f t="shared" si="8"/>
        <v>109.47871907767934</v>
      </c>
      <c r="O22" s="218" t="str">
        <f t="shared" si="9"/>
        <v/>
      </c>
      <c r="P22" s="218">
        <f t="shared" si="6"/>
        <v>103.97853706051777</v>
      </c>
    </row>
    <row r="23" spans="1:16" s="3" customFormat="1" ht="12.75" customHeight="1">
      <c r="A23" s="36" t="s">
        <v>132</v>
      </c>
      <c r="B23" s="33" t="s">
        <v>657</v>
      </c>
      <c r="C23" s="211" t="s">
        <v>944</v>
      </c>
      <c r="D23" s="63">
        <v>500000</v>
      </c>
      <c r="E23" s="63">
        <v>1809682</v>
      </c>
      <c r="F23" s="63">
        <f t="shared" si="10"/>
        <v>2309682</v>
      </c>
      <c r="G23" s="38">
        <v>500000</v>
      </c>
      <c r="H23" s="84">
        <v>1786335</v>
      </c>
      <c r="I23" s="38">
        <f t="shared" si="1"/>
        <v>2286335</v>
      </c>
      <c r="J23" s="63">
        <v>440000</v>
      </c>
      <c r="K23" s="63">
        <v>1981227</v>
      </c>
      <c r="L23" s="63">
        <f t="shared" si="11"/>
        <v>2421227</v>
      </c>
      <c r="M23" s="218">
        <f t="shared" si="7"/>
        <v>88</v>
      </c>
      <c r="N23" s="218">
        <f t="shared" si="8"/>
        <v>104.82945271253791</v>
      </c>
      <c r="O23" s="218">
        <f t="shared" si="9"/>
        <v>88</v>
      </c>
      <c r="P23" s="218">
        <f t="shared" si="6"/>
        <v>105.89992280221404</v>
      </c>
    </row>
    <row r="24" spans="1:16" s="3" customFormat="1" ht="6" customHeight="1">
      <c r="A24" s="81"/>
      <c r="B24" s="82"/>
      <c r="C24" s="303" t="s">
        <v>268</v>
      </c>
      <c r="D24" s="48"/>
      <c r="E24" s="48"/>
      <c r="F24" s="48">
        <f t="shared" si="10"/>
        <v>0</v>
      </c>
      <c r="G24" s="85"/>
      <c r="H24" s="85"/>
      <c r="I24" s="85">
        <f t="shared" si="1"/>
        <v>0</v>
      </c>
      <c r="J24" s="48"/>
      <c r="K24" s="48"/>
      <c r="L24" s="48">
        <f t="shared" si="11"/>
        <v>0</v>
      </c>
      <c r="M24" s="219" t="str">
        <f t="shared" si="7"/>
        <v/>
      </c>
      <c r="N24" s="219" t="str">
        <f t="shared" si="8"/>
        <v/>
      </c>
      <c r="O24" s="219" t="str">
        <f t="shared" si="9"/>
        <v/>
      </c>
      <c r="P24" s="219" t="str">
        <f t="shared" si="6"/>
        <v/>
      </c>
    </row>
    <row r="25" spans="1:16" s="8" customFormat="1" ht="12.75">
      <c r="A25" s="58" t="s">
        <v>183</v>
      </c>
      <c r="B25" s="78" t="s">
        <v>265</v>
      </c>
      <c r="C25" s="301" t="s">
        <v>940</v>
      </c>
      <c r="D25" s="69">
        <f>SUM(D28:D28)</f>
        <v>300000</v>
      </c>
      <c r="E25" s="69">
        <f>SUM(E27:E28)</f>
        <v>2488314</v>
      </c>
      <c r="F25" s="69">
        <f t="shared" si="10"/>
        <v>2788314</v>
      </c>
      <c r="G25" s="115">
        <f>SUM(G27:G28)</f>
        <v>150000</v>
      </c>
      <c r="H25" s="115">
        <f>SUM(H27:H28)</f>
        <v>2530641</v>
      </c>
      <c r="I25" s="115">
        <f t="shared" si="1"/>
        <v>2680641</v>
      </c>
      <c r="J25" s="69">
        <f>SUM(J28:J28)</f>
        <v>140000</v>
      </c>
      <c r="K25" s="69">
        <f>SUM(K27:K28)</f>
        <v>2971841</v>
      </c>
      <c r="L25" s="69">
        <f t="shared" si="11"/>
        <v>3111841</v>
      </c>
      <c r="M25" s="217">
        <f t="shared" si="7"/>
        <v>46.666666666666664</v>
      </c>
      <c r="N25" s="217">
        <f t="shared" si="8"/>
        <v>111.60296150290104</v>
      </c>
      <c r="O25" s="217">
        <f t="shared" si="9"/>
        <v>93.333333333333329</v>
      </c>
      <c r="P25" s="217">
        <f t="shared" si="6"/>
        <v>116.08570487431923</v>
      </c>
    </row>
    <row r="26" spans="1:16" s="8" customFormat="1" ht="12.75" hidden="1" customHeight="1">
      <c r="A26" s="43" t="s">
        <v>267</v>
      </c>
      <c r="B26" s="44"/>
      <c r="C26" s="304" t="s">
        <v>268</v>
      </c>
      <c r="D26" s="113">
        <f>SUM(D28:D28)</f>
        <v>300000</v>
      </c>
      <c r="E26" s="113">
        <f>SUM(E27:E29)</f>
        <v>2488314</v>
      </c>
      <c r="F26" s="113">
        <f t="shared" si="10"/>
        <v>2788314</v>
      </c>
      <c r="G26" s="187">
        <f>SUM(G27:G29)</f>
        <v>150000</v>
      </c>
      <c r="H26" s="187">
        <f>SUM(H27:H29)</f>
        <v>2530641</v>
      </c>
      <c r="I26" s="187">
        <f t="shared" si="1"/>
        <v>2680641</v>
      </c>
      <c r="J26" s="113">
        <f>SUM(J28:J28)</f>
        <v>140000</v>
      </c>
      <c r="K26" s="113">
        <f>SUM(K27:K29)</f>
        <v>2971841</v>
      </c>
      <c r="L26" s="113">
        <f t="shared" si="11"/>
        <v>3111841</v>
      </c>
      <c r="M26" s="220">
        <f t="shared" si="7"/>
        <v>46.666666666666664</v>
      </c>
      <c r="N26" s="220">
        <f t="shared" si="8"/>
        <v>111.60296150290104</v>
      </c>
      <c r="O26" s="220">
        <f t="shared" si="9"/>
        <v>93.333333333333329</v>
      </c>
      <c r="P26" s="220">
        <f t="shared" si="6"/>
        <v>116.08570487431923</v>
      </c>
    </row>
    <row r="27" spans="1:16" s="8" customFormat="1" ht="12.75" customHeight="1">
      <c r="A27" s="46" t="s">
        <v>480</v>
      </c>
      <c r="B27" s="47">
        <v>0</v>
      </c>
      <c r="C27" s="212" t="s">
        <v>268</v>
      </c>
      <c r="D27" s="70"/>
      <c r="E27" s="70">
        <v>475042</v>
      </c>
      <c r="F27" s="63">
        <f t="shared" si="10"/>
        <v>475042</v>
      </c>
      <c r="G27" s="84"/>
      <c r="H27" s="84">
        <v>500174</v>
      </c>
      <c r="I27" s="38">
        <f t="shared" si="1"/>
        <v>500174</v>
      </c>
      <c r="J27" s="63"/>
      <c r="K27" s="70">
        <v>520072</v>
      </c>
      <c r="L27" s="63">
        <f t="shared" si="11"/>
        <v>520072</v>
      </c>
      <c r="M27" s="218" t="str">
        <f t="shared" si="7"/>
        <v/>
      </c>
      <c r="N27" s="218">
        <f t="shared" si="8"/>
        <v>109.47916184253181</v>
      </c>
      <c r="O27" s="218" t="str">
        <f t="shared" si="9"/>
        <v/>
      </c>
      <c r="P27" s="218">
        <f t="shared" si="6"/>
        <v>103.97821558097782</v>
      </c>
    </row>
    <row r="28" spans="1:16" s="3" customFormat="1" ht="12.75" customHeight="1">
      <c r="A28" s="36" t="s">
        <v>184</v>
      </c>
      <c r="B28" s="33" t="s">
        <v>481</v>
      </c>
      <c r="C28" s="211" t="s">
        <v>945</v>
      </c>
      <c r="D28" s="63">
        <v>300000</v>
      </c>
      <c r="E28" s="63">
        <v>2013272</v>
      </c>
      <c r="F28" s="63">
        <f t="shared" si="10"/>
        <v>2313272</v>
      </c>
      <c r="G28" s="38">
        <v>150000</v>
      </c>
      <c r="H28" s="84">
        <v>2030467</v>
      </c>
      <c r="I28" s="38">
        <f t="shared" si="1"/>
        <v>2180467</v>
      </c>
      <c r="J28" s="63">
        <v>140000</v>
      </c>
      <c r="K28" s="63">
        <v>2451769</v>
      </c>
      <c r="L28" s="63">
        <f t="shared" si="11"/>
        <v>2591769</v>
      </c>
      <c r="M28" s="218">
        <f t="shared" si="7"/>
        <v>46.666666666666664</v>
      </c>
      <c r="N28" s="218">
        <f t="shared" si="8"/>
        <v>112.03909440826673</v>
      </c>
      <c r="O28" s="218">
        <f t="shared" si="9"/>
        <v>93.333333333333329</v>
      </c>
      <c r="P28" s="218">
        <f t="shared" si="6"/>
        <v>118.86302337985396</v>
      </c>
    </row>
    <row r="29" spans="1:16" s="3" customFormat="1" ht="6" customHeight="1">
      <c r="A29" s="36"/>
      <c r="B29" s="33"/>
      <c r="C29" s="211" t="s">
        <v>268</v>
      </c>
      <c r="D29" s="63"/>
      <c r="E29" s="63"/>
      <c r="F29" s="63">
        <f t="shared" si="10"/>
        <v>0</v>
      </c>
      <c r="G29" s="38"/>
      <c r="H29" s="38"/>
      <c r="I29" s="38">
        <f t="shared" si="1"/>
        <v>0</v>
      </c>
      <c r="J29" s="63"/>
      <c r="K29" s="63"/>
      <c r="L29" s="63">
        <f t="shared" si="11"/>
        <v>0</v>
      </c>
      <c r="M29" s="218" t="str">
        <f t="shared" si="7"/>
        <v/>
      </c>
      <c r="N29" s="218" t="str">
        <f t="shared" si="8"/>
        <v/>
      </c>
      <c r="O29" s="218" t="str">
        <f t="shared" si="9"/>
        <v/>
      </c>
      <c r="P29" s="218" t="str">
        <f t="shared" si="6"/>
        <v/>
      </c>
    </row>
    <row r="30" spans="1:16" s="3" customFormat="1" ht="12.75">
      <c r="A30" s="58" t="s">
        <v>47</v>
      </c>
      <c r="B30" s="78" t="s">
        <v>265</v>
      </c>
      <c r="C30" s="301" t="s">
        <v>940</v>
      </c>
      <c r="D30" s="69">
        <f>SUM(D33:D40)</f>
        <v>400000</v>
      </c>
      <c r="E30" s="69">
        <f>SUM(E32:E39)</f>
        <v>2148999</v>
      </c>
      <c r="F30" s="69">
        <f t="shared" si="10"/>
        <v>2548999</v>
      </c>
      <c r="G30" s="115">
        <f>SUM(G33:G40)</f>
        <v>197031077</v>
      </c>
      <c r="H30" s="115">
        <f>SUM(H32:H39)</f>
        <v>2084057</v>
      </c>
      <c r="I30" s="115">
        <f t="shared" si="1"/>
        <v>199115134</v>
      </c>
      <c r="J30" s="69">
        <f>SUM(J33:J39)</f>
        <v>77430000</v>
      </c>
      <c r="K30" s="69">
        <f>SUM(K32:K39)</f>
        <v>2197924</v>
      </c>
      <c r="L30" s="69">
        <f t="shared" si="11"/>
        <v>79627924</v>
      </c>
      <c r="M30" s="217">
        <f t="shared" si="7"/>
        <v>19357.5</v>
      </c>
      <c r="N30" s="217">
        <f t="shared" si="8"/>
        <v>3123.8899662181116</v>
      </c>
      <c r="O30" s="217">
        <f t="shared" si="9"/>
        <v>39.298369160312717</v>
      </c>
      <c r="P30" s="217">
        <f t="shared" si="6"/>
        <v>39.990894916104168</v>
      </c>
    </row>
    <row r="31" spans="1:16" s="3" customFormat="1" ht="12.75" customHeight="1">
      <c r="A31" s="80" t="s">
        <v>267</v>
      </c>
      <c r="B31" s="79"/>
      <c r="C31" s="302" t="s">
        <v>268</v>
      </c>
      <c r="D31" s="113">
        <f>SUM(D32:D36)</f>
        <v>400000</v>
      </c>
      <c r="E31" s="113">
        <f>SUM(E32:E36)</f>
        <v>2148999</v>
      </c>
      <c r="F31" s="63">
        <f t="shared" si="10"/>
        <v>2548999</v>
      </c>
      <c r="G31" s="187">
        <f>SUM(G32:G36)</f>
        <v>642500</v>
      </c>
      <c r="H31" s="187">
        <f>SUM(H32:H36)</f>
        <v>2084057</v>
      </c>
      <c r="I31" s="38">
        <f t="shared" si="1"/>
        <v>2726557</v>
      </c>
      <c r="J31" s="63">
        <f>SUM(J32:J36)</f>
        <v>77430000</v>
      </c>
      <c r="K31" s="113">
        <f>SUM(K32:K36)</f>
        <v>2197924</v>
      </c>
      <c r="L31" s="63">
        <f t="shared" si="11"/>
        <v>79627924</v>
      </c>
      <c r="M31" s="218">
        <f t="shared" si="7"/>
        <v>19357.5</v>
      </c>
      <c r="N31" s="218">
        <f t="shared" si="8"/>
        <v>3123.8899662181116</v>
      </c>
      <c r="O31" s="218">
        <f t="shared" si="9"/>
        <v>12051.36186770428</v>
      </c>
      <c r="P31" s="218">
        <f t="shared" si="6"/>
        <v>2920.4569719246651</v>
      </c>
    </row>
    <row r="32" spans="1:16" s="3" customFormat="1" ht="12.75" customHeight="1">
      <c r="A32" s="36" t="s">
        <v>554</v>
      </c>
      <c r="B32" s="33">
        <v>0</v>
      </c>
      <c r="C32" s="211" t="s">
        <v>268</v>
      </c>
      <c r="D32" s="70"/>
      <c r="E32" s="70">
        <v>452421</v>
      </c>
      <c r="F32" s="63">
        <f t="shared" si="10"/>
        <v>452421</v>
      </c>
      <c r="G32" s="84"/>
      <c r="H32" s="84">
        <v>357266</v>
      </c>
      <c r="I32" s="38">
        <f t="shared" si="1"/>
        <v>357266</v>
      </c>
      <c r="J32" s="63"/>
      <c r="K32" s="70">
        <v>340523</v>
      </c>
      <c r="L32" s="63">
        <f t="shared" si="11"/>
        <v>340523</v>
      </c>
      <c r="M32" s="218" t="str">
        <f t="shared" si="7"/>
        <v/>
      </c>
      <c r="N32" s="218">
        <f t="shared" si="8"/>
        <v>75.266842166919744</v>
      </c>
      <c r="O32" s="218" t="str">
        <f t="shared" si="9"/>
        <v/>
      </c>
      <c r="P32" s="218">
        <f t="shared" ref="P32:P39" si="12">IF(I32&gt;0,IF(L32&gt;=0,L32/I32*100,""),"")</f>
        <v>95.313575879036904</v>
      </c>
    </row>
    <row r="33" spans="1:16" s="3" customFormat="1" ht="12.75" customHeight="1">
      <c r="A33" s="36" t="s">
        <v>211</v>
      </c>
      <c r="B33" s="33" t="s">
        <v>548</v>
      </c>
      <c r="C33" s="211" t="s">
        <v>946</v>
      </c>
      <c r="D33" s="63">
        <v>198488</v>
      </c>
      <c r="E33" s="63">
        <v>1131052</v>
      </c>
      <c r="F33" s="63">
        <f t="shared" si="10"/>
        <v>1329540</v>
      </c>
      <c r="G33" s="38">
        <v>195488</v>
      </c>
      <c r="H33" s="84">
        <v>1131346</v>
      </c>
      <c r="I33" s="38">
        <f t="shared" si="1"/>
        <v>1326834</v>
      </c>
      <c r="J33" s="63">
        <v>210000</v>
      </c>
      <c r="K33" s="63">
        <v>1176354</v>
      </c>
      <c r="L33" s="63">
        <f t="shared" si="11"/>
        <v>1386354</v>
      </c>
      <c r="M33" s="218">
        <f t="shared" si="7"/>
        <v>105.79984684212647</v>
      </c>
      <c r="N33" s="218">
        <f t="shared" si="8"/>
        <v>104.27320727469652</v>
      </c>
      <c r="O33" s="218">
        <f t="shared" si="9"/>
        <v>107.4234735635947</v>
      </c>
      <c r="P33" s="218">
        <f t="shared" si="12"/>
        <v>104.48586635555013</v>
      </c>
    </row>
    <row r="34" spans="1:16" s="3" customFormat="1" ht="12.75" customHeight="1">
      <c r="A34" s="36" t="s">
        <v>727</v>
      </c>
      <c r="B34" s="33" t="s">
        <v>704</v>
      </c>
      <c r="C34" s="211" t="s">
        <v>947</v>
      </c>
      <c r="D34" s="63"/>
      <c r="E34" s="63">
        <v>565526</v>
      </c>
      <c r="F34" s="63">
        <f t="shared" si="10"/>
        <v>565526</v>
      </c>
      <c r="G34" s="38">
        <v>245500</v>
      </c>
      <c r="H34" s="84">
        <v>595445</v>
      </c>
      <c r="I34" s="38">
        <f t="shared" si="1"/>
        <v>840945</v>
      </c>
      <c r="J34" s="63">
        <v>220000</v>
      </c>
      <c r="K34" s="63">
        <v>619134</v>
      </c>
      <c r="L34" s="63">
        <f t="shared" si="11"/>
        <v>839134</v>
      </c>
      <c r="M34" s="218" t="str">
        <f t="shared" si="7"/>
        <v/>
      </c>
      <c r="N34" s="218">
        <f t="shared" si="8"/>
        <v>148.38115312116506</v>
      </c>
      <c r="O34" s="218">
        <f t="shared" si="9"/>
        <v>89.613034623217928</v>
      </c>
      <c r="P34" s="218">
        <f t="shared" si="12"/>
        <v>99.784647033991519</v>
      </c>
    </row>
    <row r="35" spans="1:16" s="3" customFormat="1" ht="12.75" customHeight="1">
      <c r="A35" s="36" t="s">
        <v>2459</v>
      </c>
      <c r="B35" s="33" t="s">
        <v>2458</v>
      </c>
      <c r="C35" s="211"/>
      <c r="D35" s="63"/>
      <c r="E35" s="63"/>
      <c r="F35" s="63"/>
      <c r="G35" s="38"/>
      <c r="H35" s="84"/>
      <c r="I35" s="38"/>
      <c r="J35" s="63">
        <v>77000000</v>
      </c>
      <c r="K35" s="63">
        <v>61913</v>
      </c>
      <c r="L35" s="63">
        <f t="shared" si="11"/>
        <v>77061913</v>
      </c>
      <c r="M35" s="218" t="str">
        <f t="shared" si="7"/>
        <v/>
      </c>
      <c r="N35" s="218" t="str">
        <f t="shared" si="8"/>
        <v/>
      </c>
      <c r="O35" s="218" t="str">
        <f t="shared" si="9"/>
        <v/>
      </c>
      <c r="P35" s="218" t="str">
        <f t="shared" si="12"/>
        <v/>
      </c>
    </row>
    <row r="36" spans="1:16" s="3" customFormat="1" ht="24">
      <c r="A36" s="36" t="s">
        <v>733</v>
      </c>
      <c r="B36" s="211" t="s">
        <v>734</v>
      </c>
      <c r="C36" s="211" t="s">
        <v>948</v>
      </c>
      <c r="D36" s="63">
        <v>201512</v>
      </c>
      <c r="E36" s="63"/>
      <c r="F36" s="63">
        <f t="shared" si="10"/>
        <v>201512</v>
      </c>
      <c r="G36" s="38">
        <v>201512</v>
      </c>
      <c r="H36" s="38"/>
      <c r="I36" s="38">
        <f t="shared" si="1"/>
        <v>201512</v>
      </c>
      <c r="J36" s="63"/>
      <c r="K36" s="63"/>
      <c r="L36" s="63">
        <f t="shared" si="11"/>
        <v>0</v>
      </c>
      <c r="M36" s="218">
        <f t="shared" si="7"/>
        <v>0</v>
      </c>
      <c r="N36" s="218">
        <f t="shared" si="8"/>
        <v>0</v>
      </c>
      <c r="O36" s="218">
        <f t="shared" si="9"/>
        <v>0</v>
      </c>
      <c r="P36" s="218">
        <f t="shared" si="12"/>
        <v>0</v>
      </c>
    </row>
    <row r="37" spans="1:16" s="3" customFormat="1" ht="24">
      <c r="A37" s="36" t="s">
        <v>0</v>
      </c>
      <c r="B37" s="211" t="s">
        <v>805</v>
      </c>
      <c r="C37" s="211" t="s">
        <v>949</v>
      </c>
      <c r="D37" s="63"/>
      <c r="E37" s="63"/>
      <c r="F37" s="63">
        <f t="shared" si="10"/>
        <v>0</v>
      </c>
      <c r="G37" s="38">
        <v>188388000</v>
      </c>
      <c r="H37" s="38"/>
      <c r="I37" s="38">
        <f t="shared" si="1"/>
        <v>188388000</v>
      </c>
      <c r="J37" s="63"/>
      <c r="K37" s="63"/>
      <c r="L37" s="63">
        <f t="shared" ref="L37:L40" si="13">SUM(J37:K37)</f>
        <v>0</v>
      </c>
      <c r="M37" s="218" t="str">
        <f t="shared" si="7"/>
        <v/>
      </c>
      <c r="N37" s="218" t="str">
        <f t="shared" si="8"/>
        <v/>
      </c>
      <c r="O37" s="218">
        <f t="shared" si="9"/>
        <v>0</v>
      </c>
      <c r="P37" s="218">
        <f t="shared" si="12"/>
        <v>0</v>
      </c>
    </row>
    <row r="38" spans="1:16" s="3" customFormat="1" ht="12.75" customHeight="1">
      <c r="A38" s="36" t="s">
        <v>792</v>
      </c>
      <c r="B38" s="211" t="s">
        <v>152</v>
      </c>
      <c r="C38" s="211" t="s">
        <v>950</v>
      </c>
      <c r="D38" s="63"/>
      <c r="E38" s="63"/>
      <c r="F38" s="63">
        <f t="shared" si="10"/>
        <v>0</v>
      </c>
      <c r="G38" s="38">
        <v>132000</v>
      </c>
      <c r="H38" s="38"/>
      <c r="I38" s="38">
        <f t="shared" si="1"/>
        <v>132000</v>
      </c>
      <c r="J38" s="63"/>
      <c r="K38" s="63"/>
      <c r="L38" s="63">
        <f t="shared" si="13"/>
        <v>0</v>
      </c>
      <c r="M38" s="218" t="str">
        <f t="shared" si="7"/>
        <v/>
      </c>
      <c r="N38" s="218" t="str">
        <f t="shared" si="8"/>
        <v/>
      </c>
      <c r="O38" s="218">
        <f t="shared" si="9"/>
        <v>0</v>
      </c>
      <c r="P38" s="218">
        <f t="shared" si="12"/>
        <v>0</v>
      </c>
    </row>
    <row r="39" spans="1:16" s="3" customFormat="1" ht="12.75" customHeight="1">
      <c r="A39" s="36" t="s">
        <v>791</v>
      </c>
      <c r="B39" s="211" t="s">
        <v>151</v>
      </c>
      <c r="C39" s="211" t="s">
        <v>951</v>
      </c>
      <c r="D39" s="63"/>
      <c r="E39" s="63"/>
      <c r="F39" s="63">
        <f t="shared" si="10"/>
        <v>0</v>
      </c>
      <c r="G39" s="38">
        <v>7868577</v>
      </c>
      <c r="H39" s="38"/>
      <c r="I39" s="38">
        <f t="shared" si="1"/>
        <v>7868577</v>
      </c>
      <c r="J39" s="63"/>
      <c r="K39" s="63"/>
      <c r="L39" s="63">
        <f t="shared" si="13"/>
        <v>0</v>
      </c>
      <c r="M39" s="218" t="str">
        <f t="shared" si="7"/>
        <v/>
      </c>
      <c r="N39" s="218" t="str">
        <f t="shared" si="8"/>
        <v/>
      </c>
      <c r="O39" s="218">
        <f t="shared" si="9"/>
        <v>0</v>
      </c>
      <c r="P39" s="218">
        <f t="shared" si="12"/>
        <v>0</v>
      </c>
    </row>
    <row r="40" spans="1:16" s="3" customFormat="1" ht="6" customHeight="1">
      <c r="A40" s="36"/>
      <c r="B40" s="33"/>
      <c r="C40" s="211" t="s">
        <v>268</v>
      </c>
      <c r="D40" s="63"/>
      <c r="E40" s="63"/>
      <c r="F40" s="63">
        <f t="shared" si="10"/>
        <v>0</v>
      </c>
      <c r="G40" s="38"/>
      <c r="H40" s="38"/>
      <c r="I40" s="38">
        <f t="shared" si="1"/>
        <v>0</v>
      </c>
      <c r="J40" s="63"/>
      <c r="K40" s="63"/>
      <c r="L40" s="63">
        <f t="shared" si="13"/>
        <v>0</v>
      </c>
      <c r="M40" s="218" t="str">
        <f t="shared" si="7"/>
        <v/>
      </c>
      <c r="N40" s="218" t="str">
        <f t="shared" si="8"/>
        <v/>
      </c>
      <c r="O40" s="218" t="str">
        <f t="shared" si="9"/>
        <v/>
      </c>
      <c r="P40" s="218" t="str">
        <f t="shared" si="6"/>
        <v/>
      </c>
    </row>
    <row r="41" spans="1:16" s="3" customFormat="1" ht="15.75" customHeight="1">
      <c r="A41" s="58" t="s">
        <v>692</v>
      </c>
      <c r="B41" s="78" t="s">
        <v>265</v>
      </c>
      <c r="C41" s="301" t="s">
        <v>940</v>
      </c>
      <c r="D41" s="69">
        <f>SUM(D44:D47)</f>
        <v>920000</v>
      </c>
      <c r="E41" s="69">
        <f>SUM(E43:E47)</f>
        <v>2375209</v>
      </c>
      <c r="F41" s="69">
        <f>SUM(D41:E41)</f>
        <v>3295209</v>
      </c>
      <c r="G41" s="115">
        <f>SUM(G44:G47)</f>
        <v>920000</v>
      </c>
      <c r="H41" s="115">
        <f>SUM(H43:H47)</f>
        <v>2381780</v>
      </c>
      <c r="I41" s="115">
        <f t="shared" si="1"/>
        <v>3301780</v>
      </c>
      <c r="J41" s="69">
        <f>SUM(J43:J48)</f>
        <v>798400</v>
      </c>
      <c r="K41" s="69">
        <f>SUM(K43:K47)</f>
        <v>2600361</v>
      </c>
      <c r="L41" s="69">
        <f>SUM(J41:K41)</f>
        <v>3398761</v>
      </c>
      <c r="M41" s="217">
        <f t="shared" si="7"/>
        <v>86.782608695652172</v>
      </c>
      <c r="N41" s="217">
        <f t="shared" si="8"/>
        <v>103.14250173509481</v>
      </c>
      <c r="O41" s="217">
        <f t="shared" si="9"/>
        <v>86.782608695652172</v>
      </c>
      <c r="P41" s="217">
        <f t="shared" si="6"/>
        <v>102.93723385567786</v>
      </c>
    </row>
    <row r="42" spans="1:16" s="3" customFormat="1" ht="12.75" hidden="1" customHeight="1">
      <c r="A42" s="80" t="s">
        <v>267</v>
      </c>
      <c r="B42" s="79"/>
      <c r="C42" s="302" t="s">
        <v>268</v>
      </c>
      <c r="D42" s="113">
        <f>SUM(D44:D47)</f>
        <v>920000</v>
      </c>
      <c r="E42" s="113">
        <f>SUM(E43:E47)</f>
        <v>2375209</v>
      </c>
      <c r="F42" s="63">
        <f t="shared" ref="F42:F47" si="14">SUM(D42:E42)</f>
        <v>3295209</v>
      </c>
      <c r="G42" s="187">
        <f>SUM(G44:G47)</f>
        <v>920000</v>
      </c>
      <c r="H42" s="187">
        <f>SUM(H43:H47)</f>
        <v>2381780</v>
      </c>
      <c r="I42" s="38">
        <f t="shared" si="1"/>
        <v>3301780</v>
      </c>
      <c r="J42" s="63">
        <f>SUM(J44:J47)</f>
        <v>798400</v>
      </c>
      <c r="K42" s="113">
        <f>SUM(K43:K47)</f>
        <v>2600361</v>
      </c>
      <c r="L42" s="63">
        <f>SUM(J42:K42)</f>
        <v>3398761</v>
      </c>
      <c r="M42" s="218">
        <f t="shared" si="7"/>
        <v>86.782608695652172</v>
      </c>
      <c r="N42" s="218">
        <f t="shared" si="8"/>
        <v>103.14250173509481</v>
      </c>
      <c r="O42" s="218">
        <f t="shared" si="9"/>
        <v>86.782608695652172</v>
      </c>
      <c r="P42" s="218">
        <f t="shared" si="6"/>
        <v>102.93723385567786</v>
      </c>
    </row>
    <row r="43" spans="1:16" s="3" customFormat="1" ht="12.75" customHeight="1">
      <c r="A43" s="36" t="s">
        <v>554</v>
      </c>
      <c r="B43" s="33">
        <v>0</v>
      </c>
      <c r="C43" s="211" t="s">
        <v>268</v>
      </c>
      <c r="D43" s="70"/>
      <c r="E43" s="70">
        <v>339315</v>
      </c>
      <c r="F43" s="63">
        <f t="shared" si="14"/>
        <v>339315</v>
      </c>
      <c r="G43" s="84"/>
      <c r="H43" s="84">
        <v>238178</v>
      </c>
      <c r="I43" s="38">
        <f t="shared" si="1"/>
        <v>238178</v>
      </c>
      <c r="J43" s="63"/>
      <c r="K43" s="70">
        <v>371480</v>
      </c>
      <c r="L43" s="63">
        <f t="shared" ref="L43:L47" si="15">SUM(J43:K43)</f>
        <v>371480</v>
      </c>
      <c r="M43" s="218" t="str">
        <f t="shared" si="7"/>
        <v/>
      </c>
      <c r="N43" s="218">
        <f t="shared" si="8"/>
        <v>109.47939230508526</v>
      </c>
      <c r="O43" s="218" t="str">
        <f t="shared" si="9"/>
        <v/>
      </c>
      <c r="P43" s="218">
        <f t="shared" si="6"/>
        <v>155.96738573671792</v>
      </c>
    </row>
    <row r="44" spans="1:16" s="3" customFormat="1" ht="12.75" customHeight="1">
      <c r="A44" s="36" t="s">
        <v>784</v>
      </c>
      <c r="B44" s="33" t="s">
        <v>693</v>
      </c>
      <c r="C44" s="211" t="s">
        <v>952</v>
      </c>
      <c r="D44" s="63">
        <v>37000</v>
      </c>
      <c r="E44" s="63">
        <v>791737</v>
      </c>
      <c r="F44" s="63">
        <f t="shared" si="14"/>
        <v>828737</v>
      </c>
      <c r="G44" s="38">
        <v>37000</v>
      </c>
      <c r="H44" s="84">
        <v>833623</v>
      </c>
      <c r="I44" s="38">
        <f t="shared" si="1"/>
        <v>870623</v>
      </c>
      <c r="J44" s="63">
        <v>31000</v>
      </c>
      <c r="K44" s="63">
        <v>866787</v>
      </c>
      <c r="L44" s="63">
        <f t="shared" si="15"/>
        <v>897787</v>
      </c>
      <c r="M44" s="218">
        <f t="shared" si="7"/>
        <v>83.78378378378379</v>
      </c>
      <c r="N44" s="218">
        <f t="shared" si="8"/>
        <v>108.33195573505225</v>
      </c>
      <c r="O44" s="218">
        <f t="shared" si="9"/>
        <v>83.78378378378379</v>
      </c>
      <c r="P44" s="218">
        <f t="shared" si="6"/>
        <v>103.12006459742047</v>
      </c>
    </row>
    <row r="45" spans="1:16" s="3" customFormat="1" ht="12.75" customHeight="1">
      <c r="A45" s="36" t="s">
        <v>776</v>
      </c>
      <c r="B45" s="33" t="s">
        <v>694</v>
      </c>
      <c r="C45" s="211" t="s">
        <v>953</v>
      </c>
      <c r="D45" s="63">
        <v>72500</v>
      </c>
      <c r="E45" s="63">
        <v>508973</v>
      </c>
      <c r="F45" s="63">
        <f t="shared" si="14"/>
        <v>581473</v>
      </c>
      <c r="G45" s="38">
        <v>72500</v>
      </c>
      <c r="H45" s="84">
        <v>476356</v>
      </c>
      <c r="I45" s="38">
        <f t="shared" si="1"/>
        <v>548856</v>
      </c>
      <c r="J45" s="63">
        <v>79500</v>
      </c>
      <c r="K45" s="63">
        <v>619134</v>
      </c>
      <c r="L45" s="63">
        <f t="shared" si="15"/>
        <v>698634</v>
      </c>
      <c r="M45" s="218">
        <f t="shared" si="7"/>
        <v>109.6551724137931</v>
      </c>
      <c r="N45" s="218">
        <f t="shared" si="8"/>
        <v>120.14900089943987</v>
      </c>
      <c r="O45" s="218">
        <f t="shared" si="9"/>
        <v>109.6551724137931</v>
      </c>
      <c r="P45" s="218">
        <f t="shared" si="6"/>
        <v>127.28912501639775</v>
      </c>
    </row>
    <row r="46" spans="1:16" s="3" customFormat="1" ht="12.75" customHeight="1">
      <c r="A46" s="36" t="s">
        <v>695</v>
      </c>
      <c r="B46" s="33" t="s">
        <v>574</v>
      </c>
      <c r="C46" s="211" t="s">
        <v>954</v>
      </c>
      <c r="D46" s="63">
        <v>810500</v>
      </c>
      <c r="E46" s="63">
        <v>678631</v>
      </c>
      <c r="F46" s="63">
        <f t="shared" si="14"/>
        <v>1489131</v>
      </c>
      <c r="G46" s="38">
        <v>810500</v>
      </c>
      <c r="H46" s="84">
        <v>714534</v>
      </c>
      <c r="I46" s="38">
        <f t="shared" si="1"/>
        <v>1525034</v>
      </c>
      <c r="J46" s="63">
        <v>687900</v>
      </c>
      <c r="K46" s="63">
        <v>742960</v>
      </c>
      <c r="L46" s="63">
        <f t="shared" si="15"/>
        <v>1430860</v>
      </c>
      <c r="M46" s="218">
        <f t="shared" si="7"/>
        <v>84.873534855027771</v>
      </c>
      <c r="N46" s="218">
        <f t="shared" si="8"/>
        <v>96.086912434164631</v>
      </c>
      <c r="O46" s="218">
        <f t="shared" si="9"/>
        <v>84.873534855027771</v>
      </c>
      <c r="P46" s="218">
        <f t="shared" si="6"/>
        <v>93.824793414441913</v>
      </c>
    </row>
    <row r="47" spans="1:16" s="3" customFormat="1" ht="12.75" customHeight="1">
      <c r="A47" s="36" t="s">
        <v>710</v>
      </c>
      <c r="B47" s="211" t="s">
        <v>709</v>
      </c>
      <c r="C47" s="211" t="s">
        <v>955</v>
      </c>
      <c r="D47" s="63"/>
      <c r="E47" s="63">
        <v>56553</v>
      </c>
      <c r="F47" s="63">
        <f t="shared" si="14"/>
        <v>56553</v>
      </c>
      <c r="G47" s="38"/>
      <c r="H47" s="84">
        <v>119089</v>
      </c>
      <c r="I47" s="38">
        <f t="shared" si="1"/>
        <v>119089</v>
      </c>
      <c r="J47" s="63"/>
      <c r="K47" s="63"/>
      <c r="L47" s="63">
        <f t="shared" si="15"/>
        <v>0</v>
      </c>
      <c r="M47" s="218" t="str">
        <f t="shared" si="7"/>
        <v/>
      </c>
      <c r="N47" s="218">
        <f t="shared" si="8"/>
        <v>0</v>
      </c>
      <c r="O47" s="218" t="str">
        <f t="shared" si="9"/>
        <v/>
      </c>
      <c r="P47" s="218">
        <f t="shared" si="6"/>
        <v>0</v>
      </c>
    </row>
    <row r="48" spans="1:16" s="3" customFormat="1" hidden="1">
      <c r="A48" s="36" t="s">
        <v>791</v>
      </c>
      <c r="B48" s="33" t="s">
        <v>151</v>
      </c>
      <c r="C48" s="211" t="s">
        <v>956</v>
      </c>
      <c r="D48" s="63"/>
      <c r="E48" s="63"/>
      <c r="F48" s="63"/>
      <c r="G48" s="38"/>
      <c r="H48" s="38"/>
      <c r="I48" s="38"/>
      <c r="J48" s="63"/>
      <c r="K48" s="63"/>
      <c r="L48" s="63"/>
      <c r="M48" s="218" t="str">
        <f t="shared" si="7"/>
        <v/>
      </c>
      <c r="N48" s="218" t="str">
        <f t="shared" si="8"/>
        <v/>
      </c>
      <c r="O48" s="218" t="str">
        <f t="shared" si="9"/>
        <v/>
      </c>
      <c r="P48" s="218" t="str">
        <f t="shared" si="6"/>
        <v/>
      </c>
    </row>
    <row r="49" spans="1:17" s="3" customFormat="1" ht="6" customHeight="1">
      <c r="A49" s="36"/>
      <c r="B49" s="33"/>
      <c r="C49" s="211" t="s">
        <v>268</v>
      </c>
      <c r="D49" s="63"/>
      <c r="E49" s="63"/>
      <c r="F49" s="63">
        <f t="shared" ref="F49:F53" si="16">SUM(D49:E49)</f>
        <v>0</v>
      </c>
      <c r="G49" s="38"/>
      <c r="H49" s="38"/>
      <c r="I49" s="38">
        <f t="shared" ref="I49:I68" si="17">SUM(G49:H49)</f>
        <v>0</v>
      </c>
      <c r="J49" s="63"/>
      <c r="K49" s="63"/>
      <c r="L49" s="63">
        <f t="shared" ref="L49:L51" si="18">SUM(J49:K49)</f>
        <v>0</v>
      </c>
      <c r="M49" s="218" t="str">
        <f t="shared" si="7"/>
        <v/>
      </c>
      <c r="N49" s="218" t="str">
        <f t="shared" si="8"/>
        <v/>
      </c>
      <c r="O49" s="218" t="str">
        <f t="shared" si="9"/>
        <v/>
      </c>
      <c r="P49" s="218" t="str">
        <f t="shared" si="6"/>
        <v/>
      </c>
    </row>
    <row r="50" spans="1:17" s="23" customFormat="1" ht="15.75" customHeight="1">
      <c r="A50" s="72" t="s">
        <v>825</v>
      </c>
      <c r="B50" s="96" t="s">
        <v>265</v>
      </c>
      <c r="C50" s="305" t="s">
        <v>940</v>
      </c>
      <c r="D50" s="55">
        <f>SUM(D52:D63)</f>
        <v>24190500</v>
      </c>
      <c r="E50" s="55">
        <f>SUM(E52:E63)</f>
        <v>14138149</v>
      </c>
      <c r="F50" s="55">
        <f t="shared" si="16"/>
        <v>38328649</v>
      </c>
      <c r="G50" s="55">
        <f>SUM(G52:G63)</f>
        <v>40440395</v>
      </c>
      <c r="H50" s="55">
        <f>SUM(H52:H63)</f>
        <v>13873869</v>
      </c>
      <c r="I50" s="55">
        <f t="shared" si="17"/>
        <v>54314264</v>
      </c>
      <c r="J50" s="55">
        <f>SUM(J52:J63)</f>
        <v>26045500</v>
      </c>
      <c r="K50" s="55">
        <f>SUM(K52:K63)</f>
        <v>15602168</v>
      </c>
      <c r="L50" s="55">
        <f t="shared" si="18"/>
        <v>41647668</v>
      </c>
      <c r="M50" s="221">
        <f t="shared" si="7"/>
        <v>107.66829953907526</v>
      </c>
      <c r="N50" s="221">
        <f t="shared" si="8"/>
        <v>108.65936860962671</v>
      </c>
      <c r="O50" s="221">
        <f t="shared" si="9"/>
        <v>64.404662714100596</v>
      </c>
      <c r="P50" s="221">
        <f t="shared" si="6"/>
        <v>76.679061691786899</v>
      </c>
    </row>
    <row r="51" spans="1:17" s="7" customFormat="1" ht="12.75" customHeight="1">
      <c r="A51" s="46" t="s">
        <v>267</v>
      </c>
      <c r="B51" s="40"/>
      <c r="C51" s="306" t="s">
        <v>268</v>
      </c>
      <c r="D51" s="63">
        <f>SUM(D52:D62)</f>
        <v>24190500</v>
      </c>
      <c r="E51" s="63">
        <f>SUM(E52:E62)</f>
        <v>14138149</v>
      </c>
      <c r="F51" s="63">
        <f>SUM(D51:E51)</f>
        <v>38328649</v>
      </c>
      <c r="G51" s="38">
        <f>SUM(G52:G62)</f>
        <v>29887277</v>
      </c>
      <c r="H51" s="38">
        <f>SUM(H52:H62)</f>
        <v>13873869</v>
      </c>
      <c r="I51" s="38">
        <f t="shared" si="17"/>
        <v>43761146</v>
      </c>
      <c r="J51" s="63">
        <f>SUM(J52:J62)</f>
        <v>26045500</v>
      </c>
      <c r="K51" s="63">
        <f>SUM(K52:K62)</f>
        <v>15602168</v>
      </c>
      <c r="L51" s="63">
        <f t="shared" si="18"/>
        <v>41647668</v>
      </c>
      <c r="M51" s="218">
        <f t="shared" si="7"/>
        <v>107.66829953907526</v>
      </c>
      <c r="N51" s="218">
        <f t="shared" si="8"/>
        <v>108.65936860962671</v>
      </c>
      <c r="O51" s="218">
        <f t="shared" si="9"/>
        <v>87.145777783636831</v>
      </c>
      <c r="P51" s="218">
        <f t="shared" si="6"/>
        <v>95.170423553350275</v>
      </c>
    </row>
    <row r="52" spans="1:17" s="7" customFormat="1" ht="12.75" customHeight="1">
      <c r="A52" s="36" t="s">
        <v>554</v>
      </c>
      <c r="B52" s="33">
        <v>0</v>
      </c>
      <c r="C52" s="211" t="s">
        <v>268</v>
      </c>
      <c r="D52" s="63"/>
      <c r="E52" s="63">
        <v>1244157</v>
      </c>
      <c r="F52" s="63">
        <f t="shared" si="16"/>
        <v>1244157</v>
      </c>
      <c r="G52" s="38"/>
      <c r="H52" s="38">
        <v>1250435</v>
      </c>
      <c r="I52" s="38">
        <f t="shared" si="17"/>
        <v>1250435</v>
      </c>
      <c r="J52" s="63"/>
      <c r="K52" s="63">
        <v>1362094</v>
      </c>
      <c r="L52" s="63">
        <f t="shared" ref="L52:L53" si="19">SUM(J52:K52)</f>
        <v>1362094</v>
      </c>
      <c r="M52" s="218" t="str">
        <f t="shared" si="7"/>
        <v/>
      </c>
      <c r="N52" s="218">
        <f t="shared" si="8"/>
        <v>109.4792698992169</v>
      </c>
      <c r="O52" s="218" t="str">
        <f t="shared" si="9"/>
        <v/>
      </c>
      <c r="P52" s="218">
        <f t="shared" si="6"/>
        <v>108.9296124948518</v>
      </c>
    </row>
    <row r="53" spans="1:17" s="7" customFormat="1" ht="12.75" customHeight="1">
      <c r="A53" s="46" t="s">
        <v>284</v>
      </c>
      <c r="B53" s="47" t="s">
        <v>478</v>
      </c>
      <c r="C53" s="212" t="s">
        <v>957</v>
      </c>
      <c r="D53" s="63">
        <v>24150000</v>
      </c>
      <c r="E53" s="63">
        <v>12328466</v>
      </c>
      <c r="F53" s="63">
        <f t="shared" si="16"/>
        <v>36478466</v>
      </c>
      <c r="G53" s="38">
        <v>29322225</v>
      </c>
      <c r="H53" s="38">
        <v>12027989</v>
      </c>
      <c r="I53" s="38">
        <f t="shared" si="17"/>
        <v>41350214</v>
      </c>
      <c r="J53" s="63">
        <v>25930000</v>
      </c>
      <c r="K53" s="63">
        <v>13063720</v>
      </c>
      <c r="L53" s="63">
        <f t="shared" si="19"/>
        <v>38993720</v>
      </c>
      <c r="M53" s="218">
        <f t="shared" si="7"/>
        <v>107.37060041407867</v>
      </c>
      <c r="N53" s="218">
        <f t="shared" si="8"/>
        <v>106.89517481354616</v>
      </c>
      <c r="O53" s="218">
        <f t="shared" si="9"/>
        <v>88.431215571123957</v>
      </c>
      <c r="P53" s="218">
        <f t="shared" si="6"/>
        <v>94.301132274672156</v>
      </c>
    </row>
    <row r="54" spans="1:17" s="7" customFormat="1" ht="12.75" customHeight="1">
      <c r="A54" s="46" t="s">
        <v>651</v>
      </c>
      <c r="B54" s="33" t="s">
        <v>650</v>
      </c>
      <c r="C54" s="211" t="s">
        <v>958</v>
      </c>
      <c r="D54" s="63">
        <v>40500</v>
      </c>
      <c r="E54" s="63"/>
      <c r="F54" s="63">
        <f>SUM(D54:E54)</f>
        <v>40500</v>
      </c>
      <c r="G54" s="38">
        <v>56700</v>
      </c>
      <c r="H54" s="38">
        <v>0</v>
      </c>
      <c r="I54" s="38">
        <f t="shared" si="17"/>
        <v>56700</v>
      </c>
      <c r="J54" s="63">
        <v>45500</v>
      </c>
      <c r="K54" s="63"/>
      <c r="L54" s="63">
        <f>SUM(J54:K54)</f>
        <v>45500</v>
      </c>
      <c r="M54" s="218">
        <f t="shared" si="7"/>
        <v>112.34567901234568</v>
      </c>
      <c r="N54" s="218">
        <f t="shared" si="8"/>
        <v>112.34567901234568</v>
      </c>
      <c r="O54" s="218">
        <f t="shared" si="9"/>
        <v>80.246913580246911</v>
      </c>
      <c r="P54" s="218">
        <f t="shared" si="6"/>
        <v>80.246913580246911</v>
      </c>
    </row>
    <row r="55" spans="1:17" s="7" customFormat="1" ht="12.75" customHeight="1">
      <c r="A55" s="46" t="s">
        <v>908</v>
      </c>
      <c r="B55" s="33" t="s">
        <v>907</v>
      </c>
      <c r="C55" s="211" t="s">
        <v>960</v>
      </c>
      <c r="D55" s="63"/>
      <c r="E55" s="63">
        <v>169658</v>
      </c>
      <c r="F55" s="63">
        <f t="shared" ref="F55" si="20">SUM(D55:E55)</f>
        <v>169658</v>
      </c>
      <c r="G55" s="38"/>
      <c r="H55" s="38">
        <v>119089</v>
      </c>
      <c r="I55" s="38">
        <f t="shared" si="17"/>
        <v>119089</v>
      </c>
      <c r="J55" s="63"/>
      <c r="K55" s="63">
        <v>371480</v>
      </c>
      <c r="L55" s="63">
        <f t="shared" ref="L55:L63" si="21">SUM(J55:K55)</f>
        <v>371480</v>
      </c>
      <c r="M55" s="218" t="str">
        <f t="shared" si="7"/>
        <v/>
      </c>
      <c r="N55" s="218">
        <f t="shared" si="8"/>
        <v>218.95813931556427</v>
      </c>
      <c r="O55" s="218" t="str">
        <f t="shared" si="9"/>
        <v/>
      </c>
      <c r="P55" s="218">
        <f t="shared" ref="P55:P63" si="22">IF(I55&gt;0,IF(L55&gt;=0,L55/I55*100,""),"")</f>
        <v>311.93477147343583</v>
      </c>
      <c r="Q55" s="163"/>
    </row>
    <row r="56" spans="1:17" s="7" customFormat="1" ht="12.75" customHeight="1">
      <c r="A56" s="46" t="s">
        <v>912</v>
      </c>
      <c r="B56" s="33" t="s">
        <v>911</v>
      </c>
      <c r="C56" s="211" t="s">
        <v>961</v>
      </c>
      <c r="D56" s="63"/>
      <c r="E56" s="63">
        <v>113105</v>
      </c>
      <c r="F56" s="63">
        <f>SUM(D56:E56)</f>
        <v>113105</v>
      </c>
      <c r="G56" s="38"/>
      <c r="H56" s="38">
        <v>119089</v>
      </c>
      <c r="I56" s="38">
        <f t="shared" si="17"/>
        <v>119089</v>
      </c>
      <c r="J56" s="63"/>
      <c r="K56" s="63">
        <v>123827</v>
      </c>
      <c r="L56" s="63">
        <f>SUM(J56:K56)</f>
        <v>123827</v>
      </c>
      <c r="M56" s="218" t="str">
        <f t="shared" si="7"/>
        <v/>
      </c>
      <c r="N56" s="218">
        <f t="shared" si="8"/>
        <v>109.47968701648911</v>
      </c>
      <c r="O56" s="218" t="str">
        <f t="shared" si="9"/>
        <v/>
      </c>
      <c r="P56" s="218">
        <f t="shared" si="22"/>
        <v>103.97853706051777</v>
      </c>
    </row>
    <row r="57" spans="1:17" s="7" customFormat="1" ht="12.75" customHeight="1">
      <c r="A57" s="46" t="s">
        <v>914</v>
      </c>
      <c r="B57" s="33" t="s">
        <v>913</v>
      </c>
      <c r="C57" s="211" t="s">
        <v>962</v>
      </c>
      <c r="D57" s="63"/>
      <c r="E57" s="63">
        <v>113105</v>
      </c>
      <c r="F57" s="63">
        <f>SUM(D57:E57)</f>
        <v>113105</v>
      </c>
      <c r="G57" s="38"/>
      <c r="H57" s="38">
        <v>119089</v>
      </c>
      <c r="I57" s="38">
        <f t="shared" si="17"/>
        <v>119089</v>
      </c>
      <c r="J57" s="63"/>
      <c r="K57" s="63">
        <v>247653</v>
      </c>
      <c r="L57" s="63">
        <f>SUM(J57:K57)</f>
        <v>247653</v>
      </c>
      <c r="M57" s="218" t="str">
        <f t="shared" si="7"/>
        <v/>
      </c>
      <c r="N57" s="218">
        <f t="shared" si="8"/>
        <v>218.95848989876666</v>
      </c>
      <c r="O57" s="218" t="str">
        <f t="shared" si="9"/>
        <v/>
      </c>
      <c r="P57" s="218">
        <f t="shared" si="22"/>
        <v>207.95623441291809</v>
      </c>
    </row>
    <row r="58" spans="1:17" s="7" customFormat="1" ht="12.75" customHeight="1">
      <c r="A58" s="46" t="s">
        <v>2091</v>
      </c>
      <c r="B58" s="33" t="s">
        <v>578</v>
      </c>
      <c r="C58" s="211" t="s">
        <v>2095</v>
      </c>
      <c r="D58" s="63"/>
      <c r="E58" s="63"/>
      <c r="F58" s="63"/>
      <c r="G58" s="38">
        <v>40000</v>
      </c>
      <c r="H58" s="38">
        <v>0</v>
      </c>
      <c r="I58" s="38">
        <f t="shared" si="17"/>
        <v>40000</v>
      </c>
      <c r="J58" s="63">
        <v>70000</v>
      </c>
      <c r="K58" s="63">
        <v>61913</v>
      </c>
      <c r="L58" s="63">
        <f t="shared" ref="L58:L62" si="23">SUM(J58:K58)</f>
        <v>131913</v>
      </c>
      <c r="M58" s="218" t="str">
        <f t="shared" si="7"/>
        <v/>
      </c>
      <c r="N58" s="218" t="str">
        <f t="shared" si="8"/>
        <v/>
      </c>
      <c r="O58" s="218">
        <f t="shared" si="9"/>
        <v>175</v>
      </c>
      <c r="P58" s="218">
        <f t="shared" si="22"/>
        <v>329.78250000000003</v>
      </c>
    </row>
    <row r="59" spans="1:17" s="7" customFormat="1" ht="12.75" customHeight="1">
      <c r="A59" s="46" t="s">
        <v>910</v>
      </c>
      <c r="B59" s="33" t="s">
        <v>909</v>
      </c>
      <c r="C59" s="211" t="s">
        <v>963</v>
      </c>
      <c r="D59" s="63"/>
      <c r="E59" s="63"/>
      <c r="F59" s="63">
        <f t="shared" ref="F59:F62" si="24">SUM(D59:E59)</f>
        <v>0</v>
      </c>
      <c r="G59" s="38"/>
      <c r="H59" s="38">
        <v>119089</v>
      </c>
      <c r="I59" s="38">
        <f t="shared" si="17"/>
        <v>119089</v>
      </c>
      <c r="J59" s="63"/>
      <c r="K59" s="63">
        <v>123827</v>
      </c>
      <c r="L59" s="63">
        <f t="shared" si="23"/>
        <v>123827</v>
      </c>
      <c r="M59" s="218" t="str">
        <f t="shared" si="7"/>
        <v/>
      </c>
      <c r="N59" s="218" t="str">
        <f t="shared" si="8"/>
        <v/>
      </c>
      <c r="O59" s="218" t="str">
        <f t="shared" si="9"/>
        <v/>
      </c>
      <c r="P59" s="218">
        <f t="shared" si="22"/>
        <v>103.97853706051777</v>
      </c>
    </row>
    <row r="60" spans="1:17" s="7" customFormat="1" ht="12.75" customHeight="1">
      <c r="A60" s="46" t="s">
        <v>2393</v>
      </c>
      <c r="B60" s="33" t="s">
        <v>2392</v>
      </c>
      <c r="C60" s="211" t="s">
        <v>2406</v>
      </c>
      <c r="D60" s="63"/>
      <c r="E60" s="63"/>
      <c r="F60" s="63"/>
      <c r="G60" s="38"/>
      <c r="H60" s="38"/>
      <c r="I60" s="38"/>
      <c r="J60" s="63"/>
      <c r="K60" s="63">
        <v>247654</v>
      </c>
      <c r="L60" s="63">
        <f t="shared" si="23"/>
        <v>247654</v>
      </c>
      <c r="M60" s="218" t="str">
        <f t="shared" si="7"/>
        <v/>
      </c>
      <c r="N60" s="218" t="str">
        <f t="shared" si="8"/>
        <v/>
      </c>
      <c r="O60" s="218" t="str">
        <f t="shared" si="9"/>
        <v/>
      </c>
      <c r="P60" s="218" t="str">
        <f t="shared" si="22"/>
        <v/>
      </c>
    </row>
    <row r="61" spans="1:17" s="7" customFormat="1" ht="12.75" customHeight="1">
      <c r="A61" s="46" t="s">
        <v>136</v>
      </c>
      <c r="B61" s="211" t="s">
        <v>135</v>
      </c>
      <c r="C61" s="211" t="s">
        <v>959</v>
      </c>
      <c r="D61" s="63"/>
      <c r="E61" s="63">
        <v>169658</v>
      </c>
      <c r="F61" s="63">
        <f>SUM(D61:E61)</f>
        <v>169658</v>
      </c>
      <c r="G61" s="38"/>
      <c r="H61" s="38">
        <v>119089</v>
      </c>
      <c r="I61" s="38">
        <f>SUM(G61:H61)</f>
        <v>119089</v>
      </c>
      <c r="J61" s="63"/>
      <c r="K61" s="63"/>
      <c r="L61" s="63">
        <f>SUM(J61:K61)</f>
        <v>0</v>
      </c>
      <c r="M61" s="218" t="str">
        <f t="shared" si="7"/>
        <v/>
      </c>
      <c r="N61" s="218">
        <f t="shared" si="8"/>
        <v>0</v>
      </c>
      <c r="O61" s="218" t="str">
        <f t="shared" si="9"/>
        <v/>
      </c>
      <c r="P61" s="218">
        <f t="shared" si="22"/>
        <v>0</v>
      </c>
    </row>
    <row r="62" spans="1:17" s="7" customFormat="1" ht="12.75" customHeight="1">
      <c r="A62" s="46" t="s">
        <v>2069</v>
      </c>
      <c r="B62" s="211" t="s">
        <v>2070</v>
      </c>
      <c r="C62" s="211" t="s">
        <v>2096</v>
      </c>
      <c r="D62" s="63"/>
      <c r="E62" s="63"/>
      <c r="F62" s="63">
        <f t="shared" si="24"/>
        <v>0</v>
      </c>
      <c r="G62" s="38">
        <v>468352</v>
      </c>
      <c r="H62" s="38"/>
      <c r="I62" s="38">
        <f t="shared" si="17"/>
        <v>468352</v>
      </c>
      <c r="J62" s="63"/>
      <c r="K62" s="63"/>
      <c r="L62" s="63">
        <f t="shared" si="23"/>
        <v>0</v>
      </c>
      <c r="M62" s="218" t="str">
        <f t="shared" si="7"/>
        <v/>
      </c>
      <c r="N62" s="218" t="str">
        <f t="shared" si="8"/>
        <v/>
      </c>
      <c r="O62" s="218">
        <f t="shared" si="9"/>
        <v>0</v>
      </c>
      <c r="P62" s="218">
        <f t="shared" si="22"/>
        <v>0</v>
      </c>
    </row>
    <row r="63" spans="1:17" s="7" customFormat="1" ht="12.75" customHeight="1">
      <c r="A63" s="46" t="s">
        <v>791</v>
      </c>
      <c r="B63" s="211" t="s">
        <v>151</v>
      </c>
      <c r="C63" s="211" t="s">
        <v>964</v>
      </c>
      <c r="D63" s="63"/>
      <c r="E63" s="63"/>
      <c r="F63" s="63"/>
      <c r="G63" s="38">
        <v>10553118</v>
      </c>
      <c r="H63" s="38"/>
      <c r="I63" s="38">
        <f t="shared" si="17"/>
        <v>10553118</v>
      </c>
      <c r="J63" s="63"/>
      <c r="K63" s="63"/>
      <c r="L63" s="63">
        <f t="shared" si="21"/>
        <v>0</v>
      </c>
      <c r="M63" s="218" t="str">
        <f t="shared" si="7"/>
        <v/>
      </c>
      <c r="N63" s="218" t="str">
        <f t="shared" si="8"/>
        <v/>
      </c>
      <c r="O63" s="218">
        <f t="shared" si="9"/>
        <v>0</v>
      </c>
      <c r="P63" s="218">
        <f t="shared" si="22"/>
        <v>0</v>
      </c>
    </row>
    <row r="64" spans="1:17" s="7" customFormat="1" ht="6" customHeight="1">
      <c r="A64" s="46"/>
      <c r="B64" s="33"/>
      <c r="C64" s="211"/>
      <c r="D64" s="63"/>
      <c r="E64" s="63"/>
      <c r="F64" s="63"/>
      <c r="G64" s="38"/>
      <c r="H64" s="38"/>
      <c r="I64" s="38"/>
      <c r="J64" s="63"/>
      <c r="K64" s="63"/>
      <c r="L64" s="63"/>
      <c r="M64" s="218" t="str">
        <f t="shared" si="7"/>
        <v/>
      </c>
      <c r="N64" s="218" t="str">
        <f t="shared" si="8"/>
        <v/>
      </c>
      <c r="O64" s="218" t="str">
        <f t="shared" si="9"/>
        <v/>
      </c>
      <c r="P64" s="218" t="str">
        <f t="shared" ref="P64:P66" si="25">IF(I64&gt;0,IF(L64&gt;=0,L64/I64*100,""),"")</f>
        <v/>
      </c>
    </row>
    <row r="65" spans="1:16" s="3" customFormat="1" ht="12.75" customHeight="1">
      <c r="A65" s="58" t="s">
        <v>2396</v>
      </c>
      <c r="B65" s="75" t="s">
        <v>265</v>
      </c>
      <c r="C65" s="307" t="s">
        <v>940</v>
      </c>
      <c r="D65" s="69">
        <f>SUM(D67:D69)</f>
        <v>0</v>
      </c>
      <c r="E65" s="69">
        <f>SUM(E67:E69)</f>
        <v>0</v>
      </c>
      <c r="F65" s="69">
        <f>SUM(D65:E65)</f>
        <v>0</v>
      </c>
      <c r="G65" s="115">
        <f>SUM(G67:G69)</f>
        <v>0</v>
      </c>
      <c r="H65" s="115">
        <f>SUM(H67:H69)</f>
        <v>0</v>
      </c>
      <c r="I65" s="115">
        <f>SUM(G65:H65)</f>
        <v>0</v>
      </c>
      <c r="J65" s="69">
        <f>SUM(J67:J69)</f>
        <v>0</v>
      </c>
      <c r="K65" s="69">
        <f>SUM(K67:K69)</f>
        <v>3095668</v>
      </c>
      <c r="L65" s="69">
        <f>SUM(J65:K65)</f>
        <v>3095668</v>
      </c>
      <c r="M65" s="273" t="str">
        <f t="shared" si="7"/>
        <v/>
      </c>
      <c r="N65" s="273" t="str">
        <f t="shared" si="8"/>
        <v/>
      </c>
      <c r="O65" s="273" t="str">
        <f t="shared" si="9"/>
        <v/>
      </c>
      <c r="P65" s="273" t="str">
        <f t="shared" si="25"/>
        <v/>
      </c>
    </row>
    <row r="66" spans="1:16" s="7" customFormat="1" ht="12.75" hidden="1" customHeight="1">
      <c r="A66" s="46" t="s">
        <v>267</v>
      </c>
      <c r="B66" s="44"/>
      <c r="C66" s="304" t="s">
        <v>268</v>
      </c>
      <c r="D66" s="73">
        <f>SUM(D67:D68)</f>
        <v>0</v>
      </c>
      <c r="E66" s="73">
        <f>SUM(E67:E68)</f>
        <v>0</v>
      </c>
      <c r="F66" s="73">
        <f>SUM(D66:E66)</f>
        <v>0</v>
      </c>
      <c r="G66" s="194">
        <f>SUM(G67:G68)</f>
        <v>0</v>
      </c>
      <c r="H66" s="194">
        <f>SUM(H67:H68)</f>
        <v>0</v>
      </c>
      <c r="I66" s="194">
        <f>SUM(G66:H66)</f>
        <v>0</v>
      </c>
      <c r="J66" s="73">
        <f>SUM(J67:J68)</f>
        <v>0</v>
      </c>
      <c r="K66" s="73">
        <f>SUM(K67:K68)</f>
        <v>3095668</v>
      </c>
      <c r="L66" s="73">
        <f>SUM(J66:K66)</f>
        <v>3095668</v>
      </c>
      <c r="M66" s="222" t="str">
        <f t="shared" si="7"/>
        <v/>
      </c>
      <c r="N66" s="222" t="str">
        <f t="shared" si="8"/>
        <v/>
      </c>
      <c r="O66" s="222" t="str">
        <f t="shared" si="9"/>
        <v/>
      </c>
      <c r="P66" s="222" t="str">
        <f t="shared" si="25"/>
        <v/>
      </c>
    </row>
    <row r="67" spans="1:16" s="7" customFormat="1" ht="12.75" customHeight="1">
      <c r="A67" s="46" t="s">
        <v>554</v>
      </c>
      <c r="B67" s="47">
        <v>0</v>
      </c>
      <c r="C67" s="212" t="s">
        <v>268</v>
      </c>
      <c r="D67" s="70"/>
      <c r="E67" s="70"/>
      <c r="F67" s="74">
        <f t="shared" ref="F67:F68" si="26">SUM(D67:E67)</f>
        <v>0</v>
      </c>
      <c r="G67" s="84"/>
      <c r="H67" s="84"/>
      <c r="I67" s="112">
        <f t="shared" si="17"/>
        <v>0</v>
      </c>
      <c r="J67" s="74"/>
      <c r="K67" s="70">
        <v>619134</v>
      </c>
      <c r="L67" s="74">
        <f t="shared" ref="L67:L68" si="27">SUM(J67:K67)</f>
        <v>619134</v>
      </c>
      <c r="M67" s="223" t="str">
        <f t="shared" si="7"/>
        <v/>
      </c>
      <c r="N67" s="223" t="str">
        <f t="shared" si="8"/>
        <v/>
      </c>
      <c r="O67" s="223" t="str">
        <f t="shared" si="9"/>
        <v/>
      </c>
      <c r="P67" s="223" t="str">
        <f t="shared" ref="P67:P68" si="28">IF(I67&gt;0,IF(L67&gt;=0,L67/I67*100,""),"")</f>
        <v/>
      </c>
    </row>
    <row r="68" spans="1:16" s="3" customFormat="1" ht="12.75" customHeight="1">
      <c r="A68" s="46" t="s">
        <v>2398</v>
      </c>
      <c r="B68" s="47" t="s">
        <v>2397</v>
      </c>
      <c r="C68" s="212" t="s">
        <v>965</v>
      </c>
      <c r="D68" s="63"/>
      <c r="E68" s="63"/>
      <c r="F68" s="74">
        <f t="shared" si="26"/>
        <v>0</v>
      </c>
      <c r="G68" s="38"/>
      <c r="H68" s="84"/>
      <c r="I68" s="112">
        <f t="shared" si="17"/>
        <v>0</v>
      </c>
      <c r="J68" s="74"/>
      <c r="K68" s="63">
        <v>2476534</v>
      </c>
      <c r="L68" s="74">
        <f t="shared" si="27"/>
        <v>2476534</v>
      </c>
      <c r="M68" s="223" t="str">
        <f t="shared" si="7"/>
        <v/>
      </c>
      <c r="N68" s="223" t="str">
        <f t="shared" si="8"/>
        <v/>
      </c>
      <c r="O68" s="223" t="str">
        <f t="shared" si="9"/>
        <v/>
      </c>
      <c r="P68" s="223" t="str">
        <f t="shared" si="28"/>
        <v/>
      </c>
    </row>
    <row r="69" spans="1:16" s="7" customFormat="1" ht="6" customHeight="1">
      <c r="A69" s="46"/>
      <c r="B69" s="33"/>
      <c r="C69" s="211" t="s">
        <v>268</v>
      </c>
      <c r="D69" s="63"/>
      <c r="E69" s="63"/>
      <c r="F69" s="63"/>
      <c r="G69" s="38"/>
      <c r="H69" s="38"/>
      <c r="I69" s="38"/>
      <c r="J69" s="63"/>
      <c r="K69" s="63"/>
      <c r="L69" s="63"/>
      <c r="M69" s="218" t="str">
        <f t="shared" si="7"/>
        <v/>
      </c>
      <c r="N69" s="218" t="str">
        <f t="shared" si="8"/>
        <v/>
      </c>
      <c r="O69" s="218" t="str">
        <f t="shared" si="9"/>
        <v/>
      </c>
      <c r="P69" s="218" t="str">
        <f t="shared" ref="P69:P79" si="29">IF(I69&gt;0,IF(L69&gt;=0,L69/I69*100,""),"")</f>
        <v/>
      </c>
    </row>
    <row r="70" spans="1:16" s="3" customFormat="1" ht="12.75" customHeight="1">
      <c r="A70" s="58" t="s">
        <v>270</v>
      </c>
      <c r="B70" s="75" t="s">
        <v>265</v>
      </c>
      <c r="C70" s="307" t="s">
        <v>940</v>
      </c>
      <c r="D70" s="69">
        <f>SUM(D72:D80)</f>
        <v>2603500</v>
      </c>
      <c r="E70" s="69">
        <f>SUM(E72:E80)</f>
        <v>5315944</v>
      </c>
      <c r="F70" s="69">
        <f>SUM(D70:E70)</f>
        <v>7919444</v>
      </c>
      <c r="G70" s="115">
        <f>SUM(G72:G80)</f>
        <v>2893394</v>
      </c>
      <c r="H70" s="115">
        <f>SUM(H72:H80)</f>
        <v>5359005</v>
      </c>
      <c r="I70" s="115">
        <f t="shared" ref="I70:I104" si="30">SUM(G70:H70)</f>
        <v>8252399</v>
      </c>
      <c r="J70" s="69">
        <f>SUM(J72:J80)</f>
        <v>2500000</v>
      </c>
      <c r="K70" s="69">
        <f>SUM(K72:K80)</f>
        <v>5696029</v>
      </c>
      <c r="L70" s="69">
        <f>SUM(J70:K70)</f>
        <v>8196029</v>
      </c>
      <c r="M70" s="217">
        <f t="shared" si="7"/>
        <v>96.024582293067027</v>
      </c>
      <c r="N70" s="217">
        <f t="shared" si="8"/>
        <v>103.49248002763831</v>
      </c>
      <c r="O70" s="217">
        <f t="shared" si="9"/>
        <v>86.403718263050251</v>
      </c>
      <c r="P70" s="217">
        <f t="shared" si="29"/>
        <v>99.31692590239517</v>
      </c>
    </row>
    <row r="71" spans="1:16" s="7" customFormat="1" hidden="1">
      <c r="A71" s="46" t="s">
        <v>267</v>
      </c>
      <c r="B71" s="44"/>
      <c r="C71" s="304" t="s">
        <v>268</v>
      </c>
      <c r="D71" s="73">
        <f>SUM(D72:D80)</f>
        <v>2603500</v>
      </c>
      <c r="E71" s="73">
        <f>SUM(E72:E80)</f>
        <v>5315944</v>
      </c>
      <c r="F71" s="73">
        <f>SUM(D71:E71)</f>
        <v>7919444</v>
      </c>
      <c r="G71" s="194">
        <f>SUM(G72:G80)</f>
        <v>2893394</v>
      </c>
      <c r="H71" s="194">
        <f>SUM(H72:H80)</f>
        <v>5359005</v>
      </c>
      <c r="I71" s="194">
        <f t="shared" si="30"/>
        <v>8252399</v>
      </c>
      <c r="J71" s="73">
        <f>SUM(J72:J80)</f>
        <v>2500000</v>
      </c>
      <c r="K71" s="73">
        <f>SUM(K72:K80)</f>
        <v>5696029</v>
      </c>
      <c r="L71" s="73">
        <f t="shared" ref="L71" si="31">SUM(J71:K71)</f>
        <v>8196029</v>
      </c>
      <c r="M71" s="222">
        <f t="shared" si="7"/>
        <v>96.024582293067027</v>
      </c>
      <c r="N71" s="222">
        <f t="shared" si="8"/>
        <v>103.49248002763831</v>
      </c>
      <c r="O71" s="222">
        <f t="shared" si="9"/>
        <v>86.403718263050251</v>
      </c>
      <c r="P71" s="222">
        <f t="shared" si="29"/>
        <v>99.31692590239517</v>
      </c>
    </row>
    <row r="72" spans="1:16" s="7" customFormat="1" ht="12.75" customHeight="1">
      <c r="A72" s="46" t="s">
        <v>554</v>
      </c>
      <c r="B72" s="47">
        <v>0</v>
      </c>
      <c r="C72" s="212" t="s">
        <v>268</v>
      </c>
      <c r="D72" s="70"/>
      <c r="E72" s="70">
        <v>791736</v>
      </c>
      <c r="F72" s="74">
        <f t="shared" ref="F72:F81" si="32">SUM(D72:E72)</f>
        <v>791736</v>
      </c>
      <c r="G72" s="84"/>
      <c r="H72" s="84">
        <v>833623</v>
      </c>
      <c r="I72" s="112">
        <f t="shared" si="30"/>
        <v>833623</v>
      </c>
      <c r="J72" s="74"/>
      <c r="K72" s="70">
        <v>742960</v>
      </c>
      <c r="L72" s="74">
        <f t="shared" ref="L72:L81" si="33">SUM(J72:K72)</f>
        <v>742960</v>
      </c>
      <c r="M72" s="223" t="str">
        <f t="shared" si="7"/>
        <v/>
      </c>
      <c r="N72" s="223">
        <f t="shared" si="8"/>
        <v>93.839360594945788</v>
      </c>
      <c r="O72" s="223" t="str">
        <f t="shared" si="9"/>
        <v/>
      </c>
      <c r="P72" s="223">
        <f t="shared" si="29"/>
        <v>89.124220420981672</v>
      </c>
    </row>
    <row r="73" spans="1:16" s="3" customFormat="1" ht="12.75" customHeight="1">
      <c r="A73" s="46" t="s">
        <v>280</v>
      </c>
      <c r="B73" s="47" t="s">
        <v>508</v>
      </c>
      <c r="C73" s="212" t="s">
        <v>965</v>
      </c>
      <c r="D73" s="63">
        <v>321500</v>
      </c>
      <c r="E73" s="63">
        <v>904842</v>
      </c>
      <c r="F73" s="74">
        <f t="shared" si="32"/>
        <v>1226342</v>
      </c>
      <c r="G73" s="38">
        <v>427196</v>
      </c>
      <c r="H73" s="84">
        <v>952712</v>
      </c>
      <c r="I73" s="112">
        <f t="shared" si="30"/>
        <v>1379908</v>
      </c>
      <c r="J73" s="74">
        <v>312500</v>
      </c>
      <c r="K73" s="63">
        <v>990614</v>
      </c>
      <c r="L73" s="74">
        <f t="shared" si="33"/>
        <v>1303114</v>
      </c>
      <c r="M73" s="223">
        <f t="shared" si="7"/>
        <v>97.20062208398133</v>
      </c>
      <c r="N73" s="223">
        <f t="shared" si="8"/>
        <v>106.26024387976601</v>
      </c>
      <c r="O73" s="223">
        <f t="shared" si="9"/>
        <v>73.151434002191024</v>
      </c>
      <c r="P73" s="223">
        <f t="shared" si="29"/>
        <v>94.434846381063082</v>
      </c>
    </row>
    <row r="74" spans="1:16" s="3" customFormat="1" ht="12.75" customHeight="1">
      <c r="A74" s="354" t="s">
        <v>321</v>
      </c>
      <c r="B74" s="59" t="s">
        <v>509</v>
      </c>
      <c r="C74" s="310" t="s">
        <v>966</v>
      </c>
      <c r="D74" s="67"/>
      <c r="E74" s="67">
        <v>226210</v>
      </c>
      <c r="F74" s="355">
        <f t="shared" si="32"/>
        <v>226210</v>
      </c>
      <c r="G74" s="61"/>
      <c r="H74" s="356">
        <v>238178</v>
      </c>
      <c r="I74" s="357">
        <f t="shared" si="30"/>
        <v>238178</v>
      </c>
      <c r="J74" s="355"/>
      <c r="K74" s="67">
        <v>247653</v>
      </c>
      <c r="L74" s="355">
        <f t="shared" si="33"/>
        <v>247653</v>
      </c>
      <c r="M74" s="358" t="str">
        <f t="shared" si="7"/>
        <v/>
      </c>
      <c r="N74" s="358">
        <f t="shared" si="8"/>
        <v>109.47924494938333</v>
      </c>
      <c r="O74" s="358" t="str">
        <f t="shared" si="9"/>
        <v/>
      </c>
      <c r="P74" s="358">
        <f t="shared" si="29"/>
        <v>103.97811720645905</v>
      </c>
    </row>
    <row r="75" spans="1:16" s="3" customFormat="1" ht="12.75" customHeight="1">
      <c r="A75" s="80" t="s">
        <v>271</v>
      </c>
      <c r="B75" s="44" t="s">
        <v>510</v>
      </c>
      <c r="C75" s="304" t="s">
        <v>967</v>
      </c>
      <c r="D75" s="76">
        <v>426500</v>
      </c>
      <c r="E75" s="76">
        <v>1114086</v>
      </c>
      <c r="F75" s="73">
        <f t="shared" si="32"/>
        <v>1540586</v>
      </c>
      <c r="G75" s="116">
        <v>631148</v>
      </c>
      <c r="H75" s="187">
        <v>934849</v>
      </c>
      <c r="I75" s="194">
        <f t="shared" si="30"/>
        <v>1565997</v>
      </c>
      <c r="J75" s="73">
        <v>317100</v>
      </c>
      <c r="K75" s="76">
        <v>1095867</v>
      </c>
      <c r="L75" s="73">
        <f t="shared" si="33"/>
        <v>1412967</v>
      </c>
      <c r="M75" s="222">
        <f t="shared" si="7"/>
        <v>74.349355216881591</v>
      </c>
      <c r="N75" s="222">
        <f t="shared" si="8"/>
        <v>91.716204093766919</v>
      </c>
      <c r="O75" s="222">
        <f t="shared" si="9"/>
        <v>50.241781642340619</v>
      </c>
      <c r="P75" s="222">
        <f t="shared" si="29"/>
        <v>90.227950628257915</v>
      </c>
    </row>
    <row r="76" spans="1:16" s="3" customFormat="1" ht="24">
      <c r="A76" s="36" t="s">
        <v>68</v>
      </c>
      <c r="B76" s="47" t="s">
        <v>511</v>
      </c>
      <c r="C76" s="212" t="s">
        <v>968</v>
      </c>
      <c r="D76" s="63">
        <v>39200</v>
      </c>
      <c r="E76" s="63">
        <v>1922789</v>
      </c>
      <c r="F76" s="74">
        <f t="shared" si="32"/>
        <v>1961989</v>
      </c>
      <c r="G76" s="38">
        <v>39200</v>
      </c>
      <c r="H76" s="84">
        <v>2024513</v>
      </c>
      <c r="I76" s="112">
        <f t="shared" si="30"/>
        <v>2063713</v>
      </c>
      <c r="J76" s="74">
        <v>50400</v>
      </c>
      <c r="K76" s="63">
        <v>2228881</v>
      </c>
      <c r="L76" s="74">
        <f t="shared" si="33"/>
        <v>2279281</v>
      </c>
      <c r="M76" s="223">
        <f t="shared" si="7"/>
        <v>128.57142857142858</v>
      </c>
      <c r="N76" s="223">
        <f t="shared" si="8"/>
        <v>116.17195611188443</v>
      </c>
      <c r="O76" s="223">
        <f t="shared" si="9"/>
        <v>128.57142857142858</v>
      </c>
      <c r="P76" s="223">
        <f t="shared" si="29"/>
        <v>110.44563851659606</v>
      </c>
    </row>
    <row r="77" spans="1:16" s="3" customFormat="1" ht="12.75" customHeight="1">
      <c r="A77" s="36" t="s">
        <v>281</v>
      </c>
      <c r="B77" s="47" t="s">
        <v>512</v>
      </c>
      <c r="C77" s="212" t="s">
        <v>969</v>
      </c>
      <c r="D77" s="63"/>
      <c r="E77" s="63">
        <v>226210</v>
      </c>
      <c r="F77" s="74">
        <f t="shared" si="32"/>
        <v>226210</v>
      </c>
      <c r="G77" s="38"/>
      <c r="H77" s="84">
        <v>238178</v>
      </c>
      <c r="I77" s="112">
        <f t="shared" si="30"/>
        <v>238178</v>
      </c>
      <c r="J77" s="74"/>
      <c r="K77" s="63">
        <v>247653</v>
      </c>
      <c r="L77" s="74">
        <f t="shared" si="33"/>
        <v>247653</v>
      </c>
      <c r="M77" s="223" t="str">
        <f t="shared" si="7"/>
        <v/>
      </c>
      <c r="N77" s="223">
        <f t="shared" si="8"/>
        <v>109.47924494938333</v>
      </c>
      <c r="O77" s="223" t="str">
        <f t="shared" si="9"/>
        <v/>
      </c>
      <c r="P77" s="223">
        <f t="shared" si="29"/>
        <v>103.97811720645905</v>
      </c>
    </row>
    <row r="78" spans="1:16" s="3" customFormat="1" ht="12.75" customHeight="1">
      <c r="A78" s="36" t="s">
        <v>688</v>
      </c>
      <c r="B78" s="47" t="s">
        <v>513</v>
      </c>
      <c r="C78" s="212" t="s">
        <v>970</v>
      </c>
      <c r="D78" s="63">
        <v>500000</v>
      </c>
      <c r="E78" s="63">
        <v>113105</v>
      </c>
      <c r="F78" s="74">
        <f t="shared" si="32"/>
        <v>613105</v>
      </c>
      <c r="G78" s="38">
        <v>500000</v>
      </c>
      <c r="H78" s="84">
        <v>119089</v>
      </c>
      <c r="I78" s="112">
        <f t="shared" si="30"/>
        <v>619089</v>
      </c>
      <c r="J78" s="74">
        <v>500000</v>
      </c>
      <c r="K78" s="63">
        <v>123827</v>
      </c>
      <c r="L78" s="74">
        <f t="shared" si="33"/>
        <v>623827</v>
      </c>
      <c r="M78" s="223">
        <f t="shared" ref="M78:M141" si="34">IF(D78&gt;0,IF(J78&gt;=0,J78/D78*100,""),"")</f>
        <v>100</v>
      </c>
      <c r="N78" s="223">
        <f t="shared" ref="N78:N141" si="35">IF(F78&gt;0,IF(L78&gt;=0,L78/F78*100,""),"")</f>
        <v>101.74880322293897</v>
      </c>
      <c r="O78" s="223">
        <f t="shared" ref="O78:O141" si="36">IF(G78&gt;0,IF(J78&gt;=0,J78/G78*100,""),"")</f>
        <v>100</v>
      </c>
      <c r="P78" s="223">
        <f t="shared" si="29"/>
        <v>100.76531807219963</v>
      </c>
    </row>
    <row r="79" spans="1:16" s="3" customFormat="1" ht="24">
      <c r="A79" s="36" t="s">
        <v>67</v>
      </c>
      <c r="B79" s="47" t="s">
        <v>514</v>
      </c>
      <c r="C79" s="212" t="s">
        <v>971</v>
      </c>
      <c r="D79" s="63">
        <v>1316300</v>
      </c>
      <c r="E79" s="63">
        <v>16966</v>
      </c>
      <c r="F79" s="74">
        <f t="shared" si="32"/>
        <v>1333266</v>
      </c>
      <c r="G79" s="38">
        <v>1274200</v>
      </c>
      <c r="H79" s="84">
        <v>17863</v>
      </c>
      <c r="I79" s="112">
        <f t="shared" si="30"/>
        <v>1292063</v>
      </c>
      <c r="J79" s="74">
        <v>1320000</v>
      </c>
      <c r="K79" s="63">
        <v>18574</v>
      </c>
      <c r="L79" s="74">
        <f t="shared" si="33"/>
        <v>1338574</v>
      </c>
      <c r="M79" s="223">
        <f t="shared" si="34"/>
        <v>100.28109093671655</v>
      </c>
      <c r="N79" s="223">
        <f t="shared" si="35"/>
        <v>100.3981201050653</v>
      </c>
      <c r="O79" s="223">
        <f t="shared" si="36"/>
        <v>103.5944121801915</v>
      </c>
      <c r="P79" s="223">
        <f t="shared" si="29"/>
        <v>103.59974707115676</v>
      </c>
    </row>
    <row r="80" spans="1:16" s="3" customFormat="1" ht="12.75" customHeight="1">
      <c r="A80" s="36" t="s">
        <v>2069</v>
      </c>
      <c r="B80" s="212" t="s">
        <v>2070</v>
      </c>
      <c r="C80" s="212" t="s">
        <v>2097</v>
      </c>
      <c r="D80" s="63"/>
      <c r="E80" s="63"/>
      <c r="F80" s="74">
        <f t="shared" si="32"/>
        <v>0</v>
      </c>
      <c r="G80" s="38">
        <v>21650</v>
      </c>
      <c r="H80" s="38"/>
      <c r="I80" s="112">
        <f t="shared" si="30"/>
        <v>21650</v>
      </c>
      <c r="J80" s="74"/>
      <c r="K80" s="63"/>
      <c r="L80" s="74"/>
      <c r="M80" s="223" t="str">
        <f t="shared" si="34"/>
        <v/>
      </c>
      <c r="N80" s="223" t="str">
        <f t="shared" si="35"/>
        <v/>
      </c>
      <c r="O80" s="223">
        <f t="shared" si="36"/>
        <v>0</v>
      </c>
      <c r="P80" s="223">
        <f t="shared" ref="P80" si="37">IF(I80&gt;0,IF(L80&gt;=0,L80/I80*100,""),"")</f>
        <v>0</v>
      </c>
    </row>
    <row r="81" spans="1:17" s="3" customFormat="1" ht="6" customHeight="1">
      <c r="A81" s="36"/>
      <c r="B81" s="47"/>
      <c r="C81" s="212" t="s">
        <v>268</v>
      </c>
      <c r="D81" s="63"/>
      <c r="E81" s="63"/>
      <c r="F81" s="74">
        <f t="shared" si="32"/>
        <v>0</v>
      </c>
      <c r="G81" s="38"/>
      <c r="H81" s="38"/>
      <c r="I81" s="112">
        <f t="shared" si="30"/>
        <v>0</v>
      </c>
      <c r="J81" s="74"/>
      <c r="K81" s="63"/>
      <c r="L81" s="74">
        <f t="shared" si="33"/>
        <v>0</v>
      </c>
      <c r="M81" s="223" t="str">
        <f t="shared" si="34"/>
        <v/>
      </c>
      <c r="N81" s="223" t="str">
        <f t="shared" si="35"/>
        <v/>
      </c>
      <c r="O81" s="223" t="str">
        <f t="shared" si="36"/>
        <v/>
      </c>
      <c r="P81" s="223" t="str">
        <f t="shared" ref="P81:P98" si="38">IF(I81&gt;0,IF(L81&gt;=0,L81/I81*100,""),"")</f>
        <v/>
      </c>
    </row>
    <row r="82" spans="1:17" s="8" customFormat="1" ht="12.75">
      <c r="A82" s="58" t="s">
        <v>55</v>
      </c>
      <c r="B82" s="65" t="s">
        <v>265</v>
      </c>
      <c r="C82" s="308" t="s">
        <v>940</v>
      </c>
      <c r="D82" s="69">
        <f>SUM(D84:D86)</f>
        <v>2820000</v>
      </c>
      <c r="E82" s="69">
        <f>SUM(E84:E86)</f>
        <v>3393156</v>
      </c>
      <c r="F82" s="69">
        <f>SUM(D82:E82)</f>
        <v>6213156</v>
      </c>
      <c r="G82" s="115">
        <f>SUM(G84:G86)</f>
        <v>3330000</v>
      </c>
      <c r="H82" s="115">
        <f>SUM(H84:H86)</f>
        <v>3334492</v>
      </c>
      <c r="I82" s="115">
        <f t="shared" si="30"/>
        <v>6664492</v>
      </c>
      <c r="J82" s="69">
        <f>SUM(J84:J86)</f>
        <v>2900000</v>
      </c>
      <c r="K82" s="69">
        <f>SUM(K84:K86)</f>
        <v>3714802</v>
      </c>
      <c r="L82" s="69">
        <f>SUM(J82:K82)</f>
        <v>6614802</v>
      </c>
      <c r="M82" s="217">
        <f t="shared" si="34"/>
        <v>102.83687943262412</v>
      </c>
      <c r="N82" s="217">
        <f t="shared" si="35"/>
        <v>106.46444415688259</v>
      </c>
      <c r="O82" s="217">
        <f t="shared" si="36"/>
        <v>87.087087087087085</v>
      </c>
      <c r="P82" s="217">
        <f t="shared" si="38"/>
        <v>99.254406787494077</v>
      </c>
    </row>
    <row r="83" spans="1:17" s="8" customFormat="1" ht="12.75" hidden="1">
      <c r="A83" s="46" t="s">
        <v>267</v>
      </c>
      <c r="B83" s="47"/>
      <c r="C83" s="212" t="s">
        <v>268</v>
      </c>
      <c r="D83" s="70">
        <f>SUM(D84:D86)</f>
        <v>2820000</v>
      </c>
      <c r="E83" s="70">
        <f>SUM(E84:E86)</f>
        <v>3393156</v>
      </c>
      <c r="F83" s="70">
        <f>SUM(D83:E83)</f>
        <v>6213156</v>
      </c>
      <c r="G83" s="84">
        <f>SUM(G84:G86)</f>
        <v>3330000</v>
      </c>
      <c r="H83" s="84">
        <f>SUM(H84:H86)</f>
        <v>3334492</v>
      </c>
      <c r="I83" s="84">
        <f t="shared" si="30"/>
        <v>6664492</v>
      </c>
      <c r="J83" s="70">
        <f>SUM(J84:J86)</f>
        <v>2900000</v>
      </c>
      <c r="K83" s="70">
        <f>SUM(K84:K86)</f>
        <v>3714802</v>
      </c>
      <c r="L83" s="70">
        <f>SUM(J83:K83)</f>
        <v>6614802</v>
      </c>
      <c r="M83" s="224">
        <f t="shared" si="34"/>
        <v>102.83687943262412</v>
      </c>
      <c r="N83" s="224">
        <f t="shared" si="35"/>
        <v>106.46444415688259</v>
      </c>
      <c r="O83" s="224">
        <f t="shared" si="36"/>
        <v>87.087087087087085</v>
      </c>
      <c r="P83" s="224">
        <f t="shared" si="38"/>
        <v>99.254406787494077</v>
      </c>
    </row>
    <row r="84" spans="1:17" s="8" customFormat="1" ht="12.75" customHeight="1">
      <c r="A84" s="46" t="s">
        <v>554</v>
      </c>
      <c r="B84" s="47">
        <v>0</v>
      </c>
      <c r="C84" s="212" t="s">
        <v>268</v>
      </c>
      <c r="D84" s="70"/>
      <c r="E84" s="70">
        <v>588147</v>
      </c>
      <c r="F84" s="70">
        <f>SUM(D84:E84)</f>
        <v>588147</v>
      </c>
      <c r="G84" s="84"/>
      <c r="H84" s="84">
        <v>619263</v>
      </c>
      <c r="I84" s="84">
        <f t="shared" si="30"/>
        <v>619263</v>
      </c>
      <c r="J84" s="70"/>
      <c r="K84" s="70">
        <v>650091</v>
      </c>
      <c r="L84" s="70">
        <f>SUM(J84:K84)</f>
        <v>650091</v>
      </c>
      <c r="M84" s="224" t="str">
        <f t="shared" si="34"/>
        <v/>
      </c>
      <c r="N84" s="224">
        <f t="shared" si="35"/>
        <v>110.53206086233544</v>
      </c>
      <c r="O84" s="224" t="str">
        <f t="shared" si="36"/>
        <v/>
      </c>
      <c r="P84" s="224">
        <f t="shared" si="38"/>
        <v>104.97817567011107</v>
      </c>
    </row>
    <row r="85" spans="1:17" s="9" customFormat="1" ht="12.75" customHeight="1">
      <c r="A85" s="36" t="s">
        <v>272</v>
      </c>
      <c r="B85" s="33" t="s">
        <v>596</v>
      </c>
      <c r="C85" s="211" t="s">
        <v>972</v>
      </c>
      <c r="D85" s="63">
        <v>2750000</v>
      </c>
      <c r="E85" s="63">
        <v>2799354</v>
      </c>
      <c r="F85" s="63">
        <f t="shared" ref="F85:F87" si="39">SUM(D85:E85)</f>
        <v>5549354</v>
      </c>
      <c r="G85" s="38">
        <v>3260000</v>
      </c>
      <c r="H85" s="84">
        <v>2709275</v>
      </c>
      <c r="I85" s="38">
        <f t="shared" si="30"/>
        <v>5969275</v>
      </c>
      <c r="J85" s="63">
        <v>2830000</v>
      </c>
      <c r="K85" s="63">
        <v>3058520</v>
      </c>
      <c r="L85" s="63">
        <f t="shared" ref="L85:L87" si="40">SUM(J85:K85)</f>
        <v>5888520</v>
      </c>
      <c r="M85" s="218">
        <f t="shared" si="34"/>
        <v>102.90909090909091</v>
      </c>
      <c r="N85" s="218">
        <f t="shared" si="35"/>
        <v>106.11181049181579</v>
      </c>
      <c r="O85" s="218">
        <f t="shared" si="36"/>
        <v>86.809815950920239</v>
      </c>
      <c r="P85" s="218">
        <f t="shared" si="38"/>
        <v>98.647155642854457</v>
      </c>
    </row>
    <row r="86" spans="1:17" s="3" customFormat="1" ht="12.75" customHeight="1">
      <c r="A86" s="36" t="s">
        <v>133</v>
      </c>
      <c r="B86" s="33" t="s">
        <v>598</v>
      </c>
      <c r="C86" s="211" t="s">
        <v>973</v>
      </c>
      <c r="D86" s="63">
        <v>70000</v>
      </c>
      <c r="E86" s="63">
        <v>5655</v>
      </c>
      <c r="F86" s="63">
        <f t="shared" si="39"/>
        <v>75655</v>
      </c>
      <c r="G86" s="38">
        <v>70000</v>
      </c>
      <c r="H86" s="84">
        <v>5954</v>
      </c>
      <c r="I86" s="38">
        <f t="shared" si="30"/>
        <v>75954</v>
      </c>
      <c r="J86" s="63">
        <v>70000</v>
      </c>
      <c r="K86" s="63">
        <v>6191</v>
      </c>
      <c r="L86" s="63">
        <f t="shared" si="40"/>
        <v>76191</v>
      </c>
      <c r="M86" s="218">
        <f t="shared" si="34"/>
        <v>100</v>
      </c>
      <c r="N86" s="218">
        <f t="shared" si="35"/>
        <v>100.70847928094639</v>
      </c>
      <c r="O86" s="218">
        <f t="shared" si="36"/>
        <v>100</v>
      </c>
      <c r="P86" s="218">
        <f t="shared" si="38"/>
        <v>100.31203096611108</v>
      </c>
      <c r="Q86" s="14"/>
    </row>
    <row r="87" spans="1:17" s="3" customFormat="1" ht="6" customHeight="1">
      <c r="A87" s="36"/>
      <c r="B87" s="33"/>
      <c r="C87" s="211" t="s">
        <v>268</v>
      </c>
      <c r="D87" s="63"/>
      <c r="E87" s="63"/>
      <c r="F87" s="63">
        <f t="shared" si="39"/>
        <v>0</v>
      </c>
      <c r="G87" s="38"/>
      <c r="H87" s="38"/>
      <c r="I87" s="38">
        <f t="shared" si="30"/>
        <v>0</v>
      </c>
      <c r="J87" s="63"/>
      <c r="K87" s="63"/>
      <c r="L87" s="63">
        <f t="shared" si="40"/>
        <v>0</v>
      </c>
      <c r="M87" s="218" t="str">
        <f t="shared" si="34"/>
        <v/>
      </c>
      <c r="N87" s="218" t="str">
        <f t="shared" si="35"/>
        <v/>
      </c>
      <c r="O87" s="218" t="str">
        <f t="shared" si="36"/>
        <v/>
      </c>
      <c r="P87" s="218" t="str">
        <f t="shared" si="38"/>
        <v/>
      </c>
    </row>
    <row r="88" spans="1:17" s="3" customFormat="1" ht="12.75">
      <c r="A88" s="58" t="s">
        <v>49</v>
      </c>
      <c r="B88" s="75" t="s">
        <v>265</v>
      </c>
      <c r="C88" s="307" t="s">
        <v>940</v>
      </c>
      <c r="D88" s="42">
        <f>SUM(D90:D104)</f>
        <v>460866700</v>
      </c>
      <c r="E88" s="42">
        <f>SUM(E90:E104)</f>
        <v>12441571</v>
      </c>
      <c r="F88" s="42">
        <f>SUM(D88:E88)</f>
        <v>473308271</v>
      </c>
      <c r="G88" s="55">
        <f>SUM(G90:G104)</f>
        <v>572608422</v>
      </c>
      <c r="H88" s="55">
        <f>SUM(H90:H104)</f>
        <v>12027989</v>
      </c>
      <c r="I88" s="55">
        <f t="shared" si="30"/>
        <v>584636411</v>
      </c>
      <c r="J88" s="42">
        <f>SUM(J90:J104)</f>
        <v>146582781</v>
      </c>
      <c r="K88" s="42">
        <f>SUM(K90:K104)</f>
        <v>13001806</v>
      </c>
      <c r="L88" s="42">
        <f>SUM(J88:K88)</f>
        <v>159584587</v>
      </c>
      <c r="M88" s="225">
        <f t="shared" si="34"/>
        <v>31.80589550080316</v>
      </c>
      <c r="N88" s="225">
        <f t="shared" si="35"/>
        <v>33.716838850677931</v>
      </c>
      <c r="O88" s="225">
        <f t="shared" si="36"/>
        <v>25.599131163320543</v>
      </c>
      <c r="P88" s="225">
        <f t="shared" si="38"/>
        <v>27.296381819092687</v>
      </c>
    </row>
    <row r="89" spans="1:17" s="3" customFormat="1" hidden="1">
      <c r="A89" s="36" t="s">
        <v>267</v>
      </c>
      <c r="B89" s="47"/>
      <c r="C89" s="212" t="s">
        <v>268</v>
      </c>
      <c r="D89" s="63">
        <f>SUM(D90:D104)</f>
        <v>460866700</v>
      </c>
      <c r="E89" s="63">
        <f>SUM(E90:E104)</f>
        <v>12441571</v>
      </c>
      <c r="F89" s="63">
        <f>SUM(D89:E89)</f>
        <v>473308271</v>
      </c>
      <c r="G89" s="38">
        <f>SUM(G90:G104)</f>
        <v>572608422</v>
      </c>
      <c r="H89" s="38">
        <f>SUM(H90:H104)</f>
        <v>12027989</v>
      </c>
      <c r="I89" s="38">
        <f t="shared" si="30"/>
        <v>584636411</v>
      </c>
      <c r="J89" s="63">
        <f>SUM(J90:J104)</f>
        <v>146582781</v>
      </c>
      <c r="K89" s="63">
        <f>SUM(K90:K104)</f>
        <v>13001806</v>
      </c>
      <c r="L89" s="63">
        <f>SUM(J89:K89)</f>
        <v>159584587</v>
      </c>
      <c r="M89" s="218">
        <f t="shared" si="34"/>
        <v>31.80589550080316</v>
      </c>
      <c r="N89" s="218">
        <f t="shared" si="35"/>
        <v>33.716838850677931</v>
      </c>
      <c r="O89" s="218">
        <f t="shared" si="36"/>
        <v>25.599131163320543</v>
      </c>
      <c r="P89" s="218">
        <f t="shared" si="38"/>
        <v>27.296381819092687</v>
      </c>
    </row>
    <row r="90" spans="1:17" s="3" customFormat="1" ht="12.75" customHeight="1">
      <c r="A90" s="36" t="s">
        <v>554</v>
      </c>
      <c r="B90" s="47">
        <v>0</v>
      </c>
      <c r="C90" s="212" t="s">
        <v>268</v>
      </c>
      <c r="D90" s="63"/>
      <c r="E90" s="63">
        <v>933118</v>
      </c>
      <c r="F90" s="63">
        <f t="shared" ref="F90:F104" si="41">SUM(D90:E90)</f>
        <v>933118</v>
      </c>
      <c r="G90" s="38"/>
      <c r="H90" s="38">
        <v>982483</v>
      </c>
      <c r="I90" s="38">
        <f t="shared" si="30"/>
        <v>982483</v>
      </c>
      <c r="J90" s="63"/>
      <c r="K90" s="63">
        <v>990614</v>
      </c>
      <c r="L90" s="63">
        <f t="shared" ref="L90:L94" si="42">SUM(J90:K90)</f>
        <v>990614</v>
      </c>
      <c r="M90" s="218" t="str">
        <f t="shared" si="34"/>
        <v/>
      </c>
      <c r="N90" s="218">
        <f t="shared" si="35"/>
        <v>106.16170730818611</v>
      </c>
      <c r="O90" s="218" t="str">
        <f t="shared" si="36"/>
        <v/>
      </c>
      <c r="P90" s="218">
        <f t="shared" si="38"/>
        <v>100.82759701694583</v>
      </c>
    </row>
    <row r="91" spans="1:17" s="3" customFormat="1" ht="12.75" customHeight="1">
      <c r="A91" s="36" t="s">
        <v>362</v>
      </c>
      <c r="B91" s="47" t="s">
        <v>615</v>
      </c>
      <c r="C91" s="212" t="s">
        <v>974</v>
      </c>
      <c r="D91" s="63">
        <v>13000000</v>
      </c>
      <c r="E91" s="63">
        <v>1922788</v>
      </c>
      <c r="F91" s="63">
        <f t="shared" si="41"/>
        <v>14922788</v>
      </c>
      <c r="G91" s="38">
        <v>17299078</v>
      </c>
      <c r="H91" s="38">
        <v>1905424</v>
      </c>
      <c r="I91" s="38">
        <f t="shared" si="30"/>
        <v>19204502</v>
      </c>
      <c r="J91" s="63">
        <v>15256900</v>
      </c>
      <c r="K91" s="63">
        <v>2228881</v>
      </c>
      <c r="L91" s="63">
        <f t="shared" si="42"/>
        <v>17485781</v>
      </c>
      <c r="M91" s="218">
        <f t="shared" si="34"/>
        <v>117.36076923076924</v>
      </c>
      <c r="N91" s="218">
        <f t="shared" si="35"/>
        <v>117.17502788352954</v>
      </c>
      <c r="O91" s="218">
        <f t="shared" si="36"/>
        <v>88.194873738357614</v>
      </c>
      <c r="P91" s="218">
        <f t="shared" si="38"/>
        <v>91.050426613509686</v>
      </c>
    </row>
    <row r="92" spans="1:17" s="3" customFormat="1" ht="12.75" customHeight="1">
      <c r="A92" s="36" t="s">
        <v>2370</v>
      </c>
      <c r="B92" s="47" t="s">
        <v>616</v>
      </c>
      <c r="C92" s="212" t="s">
        <v>975</v>
      </c>
      <c r="D92" s="63">
        <v>30000</v>
      </c>
      <c r="E92" s="63">
        <v>56552</v>
      </c>
      <c r="F92" s="63">
        <f t="shared" si="41"/>
        <v>86552</v>
      </c>
      <c r="G92" s="38">
        <v>30000</v>
      </c>
      <c r="H92" s="38">
        <v>59545</v>
      </c>
      <c r="I92" s="38">
        <f t="shared" si="30"/>
        <v>89545</v>
      </c>
      <c r="J92" s="63">
        <v>30000</v>
      </c>
      <c r="K92" s="63">
        <v>61913</v>
      </c>
      <c r="L92" s="63">
        <f t="shared" si="42"/>
        <v>91913</v>
      </c>
      <c r="M92" s="218">
        <f t="shared" si="34"/>
        <v>100</v>
      </c>
      <c r="N92" s="218">
        <f t="shared" si="35"/>
        <v>106.19396432202606</v>
      </c>
      <c r="O92" s="218">
        <f t="shared" si="36"/>
        <v>100</v>
      </c>
      <c r="P92" s="218">
        <f t="shared" si="38"/>
        <v>102.64448042883467</v>
      </c>
    </row>
    <row r="93" spans="1:17" s="3" customFormat="1" ht="12.75" customHeight="1">
      <c r="A93" s="46" t="s">
        <v>237</v>
      </c>
      <c r="B93" s="47" t="s">
        <v>620</v>
      </c>
      <c r="C93" s="212" t="s">
        <v>976</v>
      </c>
      <c r="D93" s="63">
        <v>127669421</v>
      </c>
      <c r="E93" s="63">
        <v>5960644</v>
      </c>
      <c r="F93" s="63">
        <f t="shared" si="41"/>
        <v>133630065</v>
      </c>
      <c r="G93" s="38">
        <v>128197371</v>
      </c>
      <c r="H93" s="38">
        <v>6549895</v>
      </c>
      <c r="I93" s="38">
        <f t="shared" si="30"/>
        <v>134747266</v>
      </c>
      <c r="J93" s="63">
        <v>130625881</v>
      </c>
      <c r="K93" s="63">
        <v>6810470</v>
      </c>
      <c r="L93" s="63">
        <f t="shared" si="42"/>
        <v>137436351</v>
      </c>
      <c r="M93" s="218">
        <f t="shared" si="34"/>
        <v>102.31571505286297</v>
      </c>
      <c r="N93" s="218">
        <f t="shared" si="35"/>
        <v>102.84837547598289</v>
      </c>
      <c r="O93" s="218">
        <f t="shared" si="36"/>
        <v>101.8943524200664</v>
      </c>
      <c r="P93" s="218">
        <f t="shared" si="38"/>
        <v>101.99565088021897</v>
      </c>
    </row>
    <row r="94" spans="1:17" s="3" customFormat="1" ht="12.75" customHeight="1">
      <c r="A94" s="36" t="s">
        <v>729</v>
      </c>
      <c r="B94" s="47" t="s">
        <v>730</v>
      </c>
      <c r="C94" s="212" t="s">
        <v>977</v>
      </c>
      <c r="D94" s="63"/>
      <c r="E94" s="63">
        <v>84829</v>
      </c>
      <c r="F94" s="63">
        <f t="shared" si="41"/>
        <v>84829</v>
      </c>
      <c r="G94" s="38">
        <v>3999517</v>
      </c>
      <c r="H94" s="38">
        <v>89317</v>
      </c>
      <c r="I94" s="38">
        <f t="shared" si="30"/>
        <v>4088834</v>
      </c>
      <c r="J94" s="63"/>
      <c r="K94" s="63">
        <v>123827</v>
      </c>
      <c r="L94" s="63">
        <f t="shared" si="42"/>
        <v>123827</v>
      </c>
      <c r="M94" s="218" t="str">
        <f t="shared" si="34"/>
        <v/>
      </c>
      <c r="N94" s="218">
        <f t="shared" si="35"/>
        <v>145.97248582442325</v>
      </c>
      <c r="O94" s="218">
        <f t="shared" si="36"/>
        <v>0</v>
      </c>
      <c r="P94" s="218">
        <f t="shared" si="38"/>
        <v>3.0284183706161709</v>
      </c>
    </row>
    <row r="95" spans="1:17" s="3" customFormat="1" ht="12.75" customHeight="1">
      <c r="A95" s="36" t="s">
        <v>586</v>
      </c>
      <c r="B95" s="47" t="s">
        <v>626</v>
      </c>
      <c r="C95" s="212" t="s">
        <v>978</v>
      </c>
      <c r="D95" s="63"/>
      <c r="E95" s="63">
        <v>452421</v>
      </c>
      <c r="F95" s="63">
        <f t="shared" si="41"/>
        <v>452421</v>
      </c>
      <c r="G95" s="38">
        <v>14234</v>
      </c>
      <c r="H95" s="38">
        <v>357267</v>
      </c>
      <c r="I95" s="38">
        <f t="shared" si="30"/>
        <v>371501</v>
      </c>
      <c r="J95" s="63"/>
      <c r="K95" s="63">
        <v>495307</v>
      </c>
      <c r="L95" s="63">
        <f t="shared" ref="L95:L104" si="43">SUM(J95:K95)</f>
        <v>495307</v>
      </c>
      <c r="M95" s="218" t="str">
        <f t="shared" si="34"/>
        <v/>
      </c>
      <c r="N95" s="218">
        <f t="shared" si="35"/>
        <v>109.47922399711774</v>
      </c>
      <c r="O95" s="218">
        <f t="shared" si="36"/>
        <v>0</v>
      </c>
      <c r="P95" s="218">
        <f t="shared" si="38"/>
        <v>133.32588606760143</v>
      </c>
    </row>
    <row r="96" spans="1:17" s="3" customFormat="1" ht="12.75" customHeight="1">
      <c r="A96" s="36" t="s">
        <v>777</v>
      </c>
      <c r="B96" s="47" t="s">
        <v>689</v>
      </c>
      <c r="C96" s="212" t="s">
        <v>979</v>
      </c>
      <c r="D96" s="63">
        <v>319962279</v>
      </c>
      <c r="E96" s="63">
        <v>2341278</v>
      </c>
      <c r="F96" s="63">
        <f t="shared" si="41"/>
        <v>322303557</v>
      </c>
      <c r="G96" s="38">
        <v>330333500</v>
      </c>
      <c r="H96" s="38">
        <v>238178</v>
      </c>
      <c r="I96" s="38">
        <f t="shared" si="30"/>
        <v>330571678</v>
      </c>
      <c r="J96" s="63">
        <v>400000</v>
      </c>
      <c r="K96" s="63">
        <v>123827</v>
      </c>
      <c r="L96" s="63">
        <f t="shared" si="43"/>
        <v>523827</v>
      </c>
      <c r="M96" s="218">
        <f t="shared" si="34"/>
        <v>0.12501473650273631</v>
      </c>
      <c r="N96" s="218">
        <f t="shared" si="35"/>
        <v>0.16252597547348818</v>
      </c>
      <c r="O96" s="218">
        <f t="shared" si="36"/>
        <v>0.12108974717974411</v>
      </c>
      <c r="P96" s="218">
        <f t="shared" si="38"/>
        <v>0.15846094352946957</v>
      </c>
    </row>
    <row r="97" spans="1:16" s="3" customFormat="1" ht="12.75" customHeight="1">
      <c r="A97" s="36" t="s">
        <v>75</v>
      </c>
      <c r="B97" s="47" t="s">
        <v>76</v>
      </c>
      <c r="C97" s="212" t="s">
        <v>981</v>
      </c>
      <c r="D97" s="63">
        <v>50000</v>
      </c>
      <c r="E97" s="63">
        <v>452421</v>
      </c>
      <c r="F97" s="63">
        <f t="shared" si="41"/>
        <v>502421</v>
      </c>
      <c r="G97" s="38">
        <v>50000</v>
      </c>
      <c r="H97" s="38">
        <v>357267</v>
      </c>
      <c r="I97" s="38">
        <f t="shared" si="30"/>
        <v>407267</v>
      </c>
      <c r="J97" s="63">
        <v>50000</v>
      </c>
      <c r="K97" s="63">
        <v>495307</v>
      </c>
      <c r="L97" s="63">
        <f t="shared" si="43"/>
        <v>545307</v>
      </c>
      <c r="M97" s="218">
        <f t="shared" si="34"/>
        <v>100</v>
      </c>
      <c r="N97" s="218">
        <f t="shared" si="35"/>
        <v>108.53586932074893</v>
      </c>
      <c r="O97" s="218">
        <f t="shared" si="36"/>
        <v>100</v>
      </c>
      <c r="P97" s="218">
        <f t="shared" si="38"/>
        <v>133.8942266375621</v>
      </c>
    </row>
    <row r="98" spans="1:16" s="3" customFormat="1" ht="12.75" customHeight="1">
      <c r="A98" s="36" t="s">
        <v>219</v>
      </c>
      <c r="B98" s="47" t="s">
        <v>619</v>
      </c>
      <c r="C98" s="212" t="s">
        <v>982</v>
      </c>
      <c r="D98" s="63">
        <v>150000</v>
      </c>
      <c r="E98" s="63">
        <v>113105</v>
      </c>
      <c r="F98" s="63">
        <f t="shared" si="41"/>
        <v>263105</v>
      </c>
      <c r="G98" s="38">
        <v>229920</v>
      </c>
      <c r="H98" s="38">
        <v>119089</v>
      </c>
      <c r="I98" s="38">
        <f t="shared" si="30"/>
        <v>349009</v>
      </c>
      <c r="J98" s="63">
        <v>200000</v>
      </c>
      <c r="K98" s="63">
        <v>123827</v>
      </c>
      <c r="L98" s="63">
        <f t="shared" si="43"/>
        <v>323827</v>
      </c>
      <c r="M98" s="218">
        <f t="shared" si="34"/>
        <v>133.33333333333331</v>
      </c>
      <c r="N98" s="218">
        <f t="shared" si="35"/>
        <v>123.07899887877463</v>
      </c>
      <c r="O98" s="218">
        <f t="shared" si="36"/>
        <v>86.986778009742522</v>
      </c>
      <c r="P98" s="218">
        <f t="shared" si="38"/>
        <v>92.784713288196002</v>
      </c>
    </row>
    <row r="99" spans="1:16" s="3" customFormat="1" ht="12.75" customHeight="1">
      <c r="A99" s="36" t="s">
        <v>2345</v>
      </c>
      <c r="B99" s="47" t="s">
        <v>2344</v>
      </c>
      <c r="C99" s="212" t="s">
        <v>2280</v>
      </c>
      <c r="D99" s="63"/>
      <c r="E99" s="63"/>
      <c r="F99" s="63"/>
      <c r="G99" s="38">
        <v>16090175</v>
      </c>
      <c r="H99" s="38">
        <v>1190890</v>
      </c>
      <c r="I99" s="38">
        <f t="shared" si="30"/>
        <v>17281065</v>
      </c>
      <c r="J99" s="63"/>
      <c r="K99" s="63">
        <v>12383</v>
      </c>
      <c r="L99" s="63">
        <f t="shared" si="43"/>
        <v>12383</v>
      </c>
      <c r="M99" s="218" t="str">
        <f t="shared" si="34"/>
        <v/>
      </c>
      <c r="N99" s="218" t="str">
        <f t="shared" si="35"/>
        <v/>
      </c>
      <c r="O99" s="218">
        <f t="shared" si="36"/>
        <v>0</v>
      </c>
      <c r="P99" s="218">
        <f t="shared" ref="P99:P100" si="44">IF(I99&gt;0,IF(L99&gt;=0,L99/I99*100,""),"")</f>
        <v>7.1656463302464279E-2</v>
      </c>
    </row>
    <row r="100" spans="1:16" s="3" customFormat="1" ht="12.75" customHeight="1">
      <c r="A100" s="36" t="s">
        <v>902</v>
      </c>
      <c r="B100" s="47" t="s">
        <v>901</v>
      </c>
      <c r="C100" s="212" t="s">
        <v>983</v>
      </c>
      <c r="D100" s="63"/>
      <c r="E100" s="63">
        <v>113105</v>
      </c>
      <c r="F100" s="63">
        <f t="shared" si="41"/>
        <v>113105</v>
      </c>
      <c r="G100" s="38"/>
      <c r="H100" s="38">
        <v>178634</v>
      </c>
      <c r="I100" s="38">
        <f t="shared" si="30"/>
        <v>178634</v>
      </c>
      <c r="J100" s="63"/>
      <c r="K100" s="63">
        <v>247652</v>
      </c>
      <c r="L100" s="63">
        <f t="shared" si="43"/>
        <v>247652</v>
      </c>
      <c r="M100" s="218" t="str">
        <f t="shared" si="34"/>
        <v/>
      </c>
      <c r="N100" s="218">
        <f t="shared" si="35"/>
        <v>218.95760576455507</v>
      </c>
      <c r="O100" s="218" t="str">
        <f t="shared" si="36"/>
        <v/>
      </c>
      <c r="P100" s="218">
        <f t="shared" si="44"/>
        <v>138.63654175576877</v>
      </c>
    </row>
    <row r="101" spans="1:16" s="3" customFormat="1" ht="12.75" customHeight="1">
      <c r="A101" s="36" t="s">
        <v>793</v>
      </c>
      <c r="B101" s="47" t="s">
        <v>794</v>
      </c>
      <c r="C101" s="212" t="s">
        <v>2385</v>
      </c>
      <c r="D101" s="63"/>
      <c r="E101" s="63"/>
      <c r="F101" s="63"/>
      <c r="G101" s="38"/>
      <c r="H101" s="38"/>
      <c r="I101" s="38"/>
      <c r="J101" s="63">
        <v>20000</v>
      </c>
      <c r="K101" s="63">
        <v>123827</v>
      </c>
      <c r="L101" s="63">
        <f t="shared" si="43"/>
        <v>143827</v>
      </c>
      <c r="M101" s="218" t="str">
        <f t="shared" si="34"/>
        <v/>
      </c>
      <c r="N101" s="218" t="str">
        <f t="shared" si="35"/>
        <v/>
      </c>
      <c r="O101" s="218" t="str">
        <f t="shared" si="36"/>
        <v/>
      </c>
      <c r="P101" s="218" t="str">
        <f t="shared" ref="P101:P103" si="45">IF(I101&gt;0,IF(L101&gt;=0,L101/I101*100,""),"")</f>
        <v/>
      </c>
    </row>
    <row r="102" spans="1:16" s="3" customFormat="1" ht="12.75" customHeight="1">
      <c r="A102" s="36" t="s">
        <v>2372</v>
      </c>
      <c r="B102" s="47" t="s">
        <v>2371</v>
      </c>
      <c r="C102" s="212" t="s">
        <v>2386</v>
      </c>
      <c r="D102" s="63"/>
      <c r="E102" s="63"/>
      <c r="F102" s="63"/>
      <c r="G102" s="38"/>
      <c r="H102" s="38"/>
      <c r="I102" s="38"/>
      <c r="J102" s="63"/>
      <c r="K102" s="63">
        <v>1163971</v>
      </c>
      <c r="L102" s="63">
        <f t="shared" si="43"/>
        <v>1163971</v>
      </c>
      <c r="M102" s="218" t="str">
        <f t="shared" si="34"/>
        <v/>
      </c>
      <c r="N102" s="218" t="str">
        <f t="shared" si="35"/>
        <v/>
      </c>
      <c r="O102" s="218" t="str">
        <f t="shared" si="36"/>
        <v/>
      </c>
      <c r="P102" s="218" t="str">
        <f t="shared" si="45"/>
        <v/>
      </c>
    </row>
    <row r="103" spans="1:16" s="3" customFormat="1" ht="12.75" customHeight="1">
      <c r="A103" s="36" t="s">
        <v>35</v>
      </c>
      <c r="B103" s="212" t="s">
        <v>3</v>
      </c>
      <c r="C103" s="212" t="s">
        <v>980</v>
      </c>
      <c r="D103" s="63">
        <v>5000</v>
      </c>
      <c r="E103" s="63">
        <v>11310</v>
      </c>
      <c r="F103" s="63">
        <f>SUM(D103:E103)</f>
        <v>16310</v>
      </c>
      <c r="G103" s="38">
        <v>5800</v>
      </c>
      <c r="H103" s="38">
        <v>0</v>
      </c>
      <c r="I103" s="38">
        <f>SUM(G103:H103)</f>
        <v>5800</v>
      </c>
      <c r="J103" s="63"/>
      <c r="K103" s="63"/>
      <c r="L103" s="63">
        <f t="shared" si="43"/>
        <v>0</v>
      </c>
      <c r="M103" s="218">
        <f t="shared" si="34"/>
        <v>0</v>
      </c>
      <c r="N103" s="218">
        <f t="shared" si="35"/>
        <v>0</v>
      </c>
      <c r="O103" s="218">
        <f t="shared" si="36"/>
        <v>0</v>
      </c>
      <c r="P103" s="218">
        <f t="shared" si="45"/>
        <v>0</v>
      </c>
    </row>
    <row r="104" spans="1:16" s="3" customFormat="1" ht="12.75" customHeight="1">
      <c r="A104" s="36" t="s">
        <v>2069</v>
      </c>
      <c r="B104" s="212" t="s">
        <v>2070</v>
      </c>
      <c r="C104" s="212" t="s">
        <v>2098</v>
      </c>
      <c r="D104" s="63"/>
      <c r="E104" s="63"/>
      <c r="F104" s="63">
        <f t="shared" si="41"/>
        <v>0</v>
      </c>
      <c r="G104" s="38">
        <v>76358827</v>
      </c>
      <c r="H104" s="38"/>
      <c r="I104" s="38">
        <f t="shared" si="30"/>
        <v>76358827</v>
      </c>
      <c r="J104" s="63"/>
      <c r="K104" s="63"/>
      <c r="L104" s="63">
        <f t="shared" si="43"/>
        <v>0</v>
      </c>
      <c r="M104" s="218" t="str">
        <f t="shared" si="34"/>
        <v/>
      </c>
      <c r="N104" s="218" t="str">
        <f t="shared" si="35"/>
        <v/>
      </c>
      <c r="O104" s="218">
        <f t="shared" si="36"/>
        <v>0</v>
      </c>
      <c r="P104" s="218"/>
    </row>
    <row r="105" spans="1:16" s="3" customFormat="1" ht="6" customHeight="1">
      <c r="A105" s="36"/>
      <c r="B105" s="47"/>
      <c r="C105" s="212" t="s">
        <v>268</v>
      </c>
      <c r="D105" s="63"/>
      <c r="E105" s="63"/>
      <c r="F105" s="63"/>
      <c r="G105" s="38"/>
      <c r="H105" s="38"/>
      <c r="I105" s="38"/>
      <c r="J105" s="63"/>
      <c r="K105" s="63"/>
      <c r="L105" s="63"/>
      <c r="M105" s="218" t="str">
        <f t="shared" si="34"/>
        <v/>
      </c>
      <c r="N105" s="218" t="str">
        <f t="shared" si="35"/>
        <v/>
      </c>
      <c r="O105" s="218" t="str">
        <f t="shared" si="36"/>
        <v/>
      </c>
      <c r="P105" s="218" t="str">
        <f t="shared" ref="P105:P121" si="46">IF(I105&gt;0,IF(L105&gt;=0,L105/I105*100,""),"")</f>
        <v/>
      </c>
    </row>
    <row r="106" spans="1:16" s="8" customFormat="1" ht="12.75">
      <c r="A106" s="58" t="s">
        <v>245</v>
      </c>
      <c r="B106" s="78" t="s">
        <v>265</v>
      </c>
      <c r="C106" s="301" t="s">
        <v>940</v>
      </c>
      <c r="D106" s="42">
        <f>SUM(D109:D109)</f>
        <v>150000</v>
      </c>
      <c r="E106" s="42">
        <f>SUM(E108:E109)</f>
        <v>8709100</v>
      </c>
      <c r="F106" s="42">
        <f t="shared" ref="F106:F112" si="47">SUM(D106:E106)</f>
        <v>8859100</v>
      </c>
      <c r="G106" s="55">
        <f>SUM(G109:G109)</f>
        <v>217611</v>
      </c>
      <c r="H106" s="55">
        <f>SUM(H108:H109)</f>
        <v>9122217</v>
      </c>
      <c r="I106" s="55">
        <f t="shared" ref="I106:I116" si="48">SUM(G106:H106)</f>
        <v>9339828</v>
      </c>
      <c r="J106" s="42">
        <f>SUM(J109:J109)</f>
        <v>132000</v>
      </c>
      <c r="K106" s="42">
        <f>SUM(K108:K109)</f>
        <v>9534658</v>
      </c>
      <c r="L106" s="42">
        <f t="shared" ref="L106:L110" si="49">SUM(J106:K106)</f>
        <v>9666658</v>
      </c>
      <c r="M106" s="225">
        <f t="shared" si="34"/>
        <v>88</v>
      </c>
      <c r="N106" s="225">
        <f t="shared" si="35"/>
        <v>109.11557607431905</v>
      </c>
      <c r="O106" s="225">
        <f t="shared" si="36"/>
        <v>60.658698319478333</v>
      </c>
      <c r="P106" s="225">
        <f t="shared" si="46"/>
        <v>103.49931497667836</v>
      </c>
    </row>
    <row r="107" spans="1:16" s="8" customFormat="1" ht="12.75" hidden="1">
      <c r="A107" s="36" t="s">
        <v>267</v>
      </c>
      <c r="B107" s="181"/>
      <c r="C107" s="309" t="s">
        <v>268</v>
      </c>
      <c r="D107" s="38">
        <f>SUM(D108:D109)</f>
        <v>150000</v>
      </c>
      <c r="E107" s="38">
        <f>SUM(E108:E109)</f>
        <v>8709100</v>
      </c>
      <c r="F107" s="63">
        <f t="shared" si="47"/>
        <v>8859100</v>
      </c>
      <c r="G107" s="38">
        <f>SUM(G108:G109)</f>
        <v>217611</v>
      </c>
      <c r="H107" s="38">
        <f>SUM(H108:H109)</f>
        <v>9122217</v>
      </c>
      <c r="I107" s="38">
        <f t="shared" si="48"/>
        <v>9339828</v>
      </c>
      <c r="J107" s="63">
        <f>SUM(J108:J109)</f>
        <v>132000</v>
      </c>
      <c r="K107" s="38">
        <f>SUM(K108:K109)</f>
        <v>9534658</v>
      </c>
      <c r="L107" s="63">
        <f t="shared" si="49"/>
        <v>9666658</v>
      </c>
      <c r="M107" s="218">
        <f t="shared" si="34"/>
        <v>88</v>
      </c>
      <c r="N107" s="218">
        <f t="shared" si="35"/>
        <v>109.11557607431905</v>
      </c>
      <c r="O107" s="218">
        <f t="shared" si="36"/>
        <v>60.658698319478333</v>
      </c>
      <c r="P107" s="218">
        <f t="shared" si="46"/>
        <v>103.49931497667836</v>
      </c>
    </row>
    <row r="108" spans="1:16" s="8" customFormat="1" ht="12.75" customHeight="1">
      <c r="A108" s="36" t="s">
        <v>554</v>
      </c>
      <c r="B108" s="33">
        <v>0</v>
      </c>
      <c r="C108" s="211" t="s">
        <v>268</v>
      </c>
      <c r="D108" s="77"/>
      <c r="E108" s="38">
        <v>508719</v>
      </c>
      <c r="F108" s="63">
        <f t="shared" si="47"/>
        <v>508719</v>
      </c>
      <c r="G108" s="109"/>
      <c r="H108" s="38">
        <v>595445</v>
      </c>
      <c r="I108" s="38">
        <f t="shared" si="48"/>
        <v>595445</v>
      </c>
      <c r="J108" s="63"/>
      <c r="K108" s="38">
        <v>556941</v>
      </c>
      <c r="L108" s="63">
        <f t="shared" si="49"/>
        <v>556941</v>
      </c>
      <c r="M108" s="218" t="str">
        <f t="shared" si="34"/>
        <v/>
      </c>
      <c r="N108" s="218">
        <f t="shared" si="35"/>
        <v>109.47910339499802</v>
      </c>
      <c r="O108" s="218" t="str">
        <f t="shared" si="36"/>
        <v/>
      </c>
      <c r="P108" s="218">
        <f t="shared" si="46"/>
        <v>93.533575729076574</v>
      </c>
    </row>
    <row r="109" spans="1:16" s="3" customFormat="1" ht="24">
      <c r="A109" s="36" t="s">
        <v>736</v>
      </c>
      <c r="B109" s="33" t="s">
        <v>486</v>
      </c>
      <c r="C109" s="211" t="s">
        <v>984</v>
      </c>
      <c r="D109" s="63">
        <v>150000</v>
      </c>
      <c r="E109" s="63">
        <v>8200381</v>
      </c>
      <c r="F109" s="63">
        <f t="shared" si="47"/>
        <v>8350381</v>
      </c>
      <c r="G109" s="38">
        <v>217611</v>
      </c>
      <c r="H109" s="38">
        <v>8526772</v>
      </c>
      <c r="I109" s="38">
        <f t="shared" si="48"/>
        <v>8744383</v>
      </c>
      <c r="J109" s="63">
        <v>132000</v>
      </c>
      <c r="K109" s="63">
        <v>8977717</v>
      </c>
      <c r="L109" s="63">
        <f t="shared" si="49"/>
        <v>9109717</v>
      </c>
      <c r="M109" s="218">
        <f t="shared" si="34"/>
        <v>88</v>
      </c>
      <c r="N109" s="218">
        <f t="shared" si="35"/>
        <v>109.09342938962905</v>
      </c>
      <c r="O109" s="218">
        <f t="shared" si="36"/>
        <v>60.658698319478333</v>
      </c>
      <c r="P109" s="218">
        <f t="shared" si="46"/>
        <v>104.17792770513368</v>
      </c>
    </row>
    <row r="110" spans="1:16" s="3" customFormat="1" ht="6" customHeight="1">
      <c r="A110" s="36"/>
      <c r="B110" s="33"/>
      <c r="C110" s="211" t="s">
        <v>268</v>
      </c>
      <c r="D110" s="63"/>
      <c r="E110" s="63"/>
      <c r="F110" s="63">
        <f t="shared" si="47"/>
        <v>0</v>
      </c>
      <c r="G110" s="38"/>
      <c r="H110" s="38"/>
      <c r="I110" s="38">
        <f t="shared" si="48"/>
        <v>0</v>
      </c>
      <c r="J110" s="63"/>
      <c r="K110" s="63"/>
      <c r="L110" s="63">
        <f t="shared" si="49"/>
        <v>0</v>
      </c>
      <c r="M110" s="218" t="str">
        <f t="shared" si="34"/>
        <v/>
      </c>
      <c r="N110" s="218" t="str">
        <f t="shared" si="35"/>
        <v/>
      </c>
      <c r="O110" s="218" t="str">
        <f t="shared" si="36"/>
        <v/>
      </c>
      <c r="P110" s="218" t="str">
        <f t="shared" si="46"/>
        <v/>
      </c>
    </row>
    <row r="111" spans="1:16" s="8" customFormat="1" ht="12.75">
      <c r="A111" s="58" t="s">
        <v>274</v>
      </c>
      <c r="B111" s="78" t="s">
        <v>265</v>
      </c>
      <c r="C111" s="301" t="s">
        <v>940</v>
      </c>
      <c r="D111" s="69">
        <f>SUM(D113:D116)</f>
        <v>300000</v>
      </c>
      <c r="E111" s="69">
        <f>SUM(E113:E116)</f>
        <v>22621039</v>
      </c>
      <c r="F111" s="42">
        <f t="shared" si="47"/>
        <v>22921039</v>
      </c>
      <c r="G111" s="115">
        <f>SUM(G113:G116)</f>
        <v>466000</v>
      </c>
      <c r="H111" s="115">
        <f>SUM(H113:H116)</f>
        <v>24353701</v>
      </c>
      <c r="I111" s="55">
        <f t="shared" si="48"/>
        <v>24819701</v>
      </c>
      <c r="J111" s="42">
        <f>SUM(J113:J116)</f>
        <v>430000</v>
      </c>
      <c r="K111" s="69">
        <f>SUM(K113:K116)</f>
        <v>25012999</v>
      </c>
      <c r="L111" s="42">
        <f t="shared" ref="L111:L116" si="50">SUM(J111:K111)</f>
        <v>25442999</v>
      </c>
      <c r="M111" s="225">
        <f t="shared" si="34"/>
        <v>143.33333333333334</v>
      </c>
      <c r="N111" s="225">
        <f t="shared" si="35"/>
        <v>111.002817106153</v>
      </c>
      <c r="O111" s="225">
        <f t="shared" si="36"/>
        <v>92.274678111587988</v>
      </c>
      <c r="P111" s="225">
        <f t="shared" si="46"/>
        <v>102.51130341981154</v>
      </c>
    </row>
    <row r="112" spans="1:16" s="3" customFormat="1" hidden="1">
      <c r="A112" s="36" t="s">
        <v>267</v>
      </c>
      <c r="B112" s="33"/>
      <c r="C112" s="211" t="s">
        <v>268</v>
      </c>
      <c r="D112" s="70">
        <f>SUM(D113:D116)</f>
        <v>300000</v>
      </c>
      <c r="E112" s="70">
        <f>SUM(E113:E116)</f>
        <v>22621039</v>
      </c>
      <c r="F112" s="63">
        <f t="shared" si="47"/>
        <v>22921039</v>
      </c>
      <c r="G112" s="84">
        <f>SUM(G113:G116)</f>
        <v>466000</v>
      </c>
      <c r="H112" s="84">
        <f>SUM(H113:H116)</f>
        <v>24353701</v>
      </c>
      <c r="I112" s="38">
        <f t="shared" si="48"/>
        <v>24819701</v>
      </c>
      <c r="J112" s="63">
        <f>SUM(J113:J116)</f>
        <v>430000</v>
      </c>
      <c r="K112" s="70">
        <f>SUM(K113:K116)</f>
        <v>25012999</v>
      </c>
      <c r="L112" s="63">
        <f t="shared" si="50"/>
        <v>25442999</v>
      </c>
      <c r="M112" s="218">
        <f t="shared" si="34"/>
        <v>143.33333333333334</v>
      </c>
      <c r="N112" s="218">
        <f t="shared" si="35"/>
        <v>111.002817106153</v>
      </c>
      <c r="O112" s="218">
        <f t="shared" si="36"/>
        <v>92.274678111587988</v>
      </c>
      <c r="P112" s="218">
        <f t="shared" si="46"/>
        <v>102.51130341981154</v>
      </c>
    </row>
    <row r="113" spans="1:17" s="3" customFormat="1" ht="12.75" customHeight="1">
      <c r="A113" s="36" t="s">
        <v>554</v>
      </c>
      <c r="B113" s="33">
        <v>0</v>
      </c>
      <c r="C113" s="211" t="s">
        <v>268</v>
      </c>
      <c r="D113" s="70"/>
      <c r="E113" s="70">
        <v>2488314</v>
      </c>
      <c r="F113" s="63">
        <f>SUM(D113:E113)</f>
        <v>2488314</v>
      </c>
      <c r="G113" s="84"/>
      <c r="H113" s="84">
        <v>2858136</v>
      </c>
      <c r="I113" s="38">
        <f t="shared" si="48"/>
        <v>2858136</v>
      </c>
      <c r="J113" s="63"/>
      <c r="K113" s="70">
        <v>2971841</v>
      </c>
      <c r="L113" s="63">
        <f t="shared" si="50"/>
        <v>2971841</v>
      </c>
      <c r="M113" s="218" t="str">
        <f t="shared" si="34"/>
        <v/>
      </c>
      <c r="N113" s="218">
        <f t="shared" si="35"/>
        <v>119.4319125319393</v>
      </c>
      <c r="O113" s="218" t="str">
        <f t="shared" si="36"/>
        <v/>
      </c>
      <c r="P113" s="218">
        <f t="shared" si="46"/>
        <v>103.97829214565017</v>
      </c>
    </row>
    <row r="114" spans="1:17" s="3" customFormat="1" ht="24">
      <c r="A114" s="36" t="s">
        <v>2402</v>
      </c>
      <c r="B114" s="33" t="s">
        <v>603</v>
      </c>
      <c r="C114" s="211" t="s">
        <v>985</v>
      </c>
      <c r="D114" s="63">
        <v>154000</v>
      </c>
      <c r="E114" s="63">
        <v>8426337</v>
      </c>
      <c r="F114" s="63">
        <f>SUM(D114:E114)</f>
        <v>8580337</v>
      </c>
      <c r="G114" s="38">
        <v>124000</v>
      </c>
      <c r="H114" s="84">
        <v>8812586</v>
      </c>
      <c r="I114" s="38">
        <f t="shared" si="48"/>
        <v>8936586</v>
      </c>
      <c r="J114" s="63">
        <v>229000</v>
      </c>
      <c r="K114" s="63">
        <v>9101265</v>
      </c>
      <c r="L114" s="63">
        <f t="shared" si="50"/>
        <v>9330265</v>
      </c>
      <c r="M114" s="218">
        <f t="shared" si="34"/>
        <v>148.70129870129873</v>
      </c>
      <c r="N114" s="218">
        <f t="shared" si="35"/>
        <v>108.7400762930407</v>
      </c>
      <c r="O114" s="218">
        <f t="shared" si="36"/>
        <v>184.67741935483869</v>
      </c>
      <c r="P114" s="218">
        <f t="shared" si="46"/>
        <v>104.40525050617764</v>
      </c>
    </row>
    <row r="115" spans="1:17" s="3" customFormat="1" ht="12.75" customHeight="1">
      <c r="A115" s="36" t="s">
        <v>678</v>
      </c>
      <c r="B115" s="33" t="s">
        <v>604</v>
      </c>
      <c r="C115" s="211" t="s">
        <v>986</v>
      </c>
      <c r="D115" s="63">
        <v>145000</v>
      </c>
      <c r="E115" s="63">
        <v>11649835</v>
      </c>
      <c r="F115" s="63">
        <f>SUM(D115:E115)</f>
        <v>11794835</v>
      </c>
      <c r="G115" s="38">
        <v>341000</v>
      </c>
      <c r="H115" s="84">
        <v>12671070</v>
      </c>
      <c r="I115" s="38">
        <f t="shared" si="48"/>
        <v>13012070</v>
      </c>
      <c r="J115" s="63">
        <v>200000</v>
      </c>
      <c r="K115" s="63">
        <v>12927510</v>
      </c>
      <c r="L115" s="63">
        <f t="shared" si="50"/>
        <v>13127510</v>
      </c>
      <c r="M115" s="218">
        <f t="shared" si="34"/>
        <v>137.93103448275863</v>
      </c>
      <c r="N115" s="218">
        <f t="shared" si="35"/>
        <v>111.29880155169613</v>
      </c>
      <c r="O115" s="218">
        <f t="shared" si="36"/>
        <v>58.651026392961882</v>
      </c>
      <c r="P115" s="218">
        <f t="shared" si="46"/>
        <v>100.88717629093603</v>
      </c>
    </row>
    <row r="116" spans="1:17" s="3" customFormat="1" ht="24">
      <c r="A116" s="36" t="s">
        <v>26</v>
      </c>
      <c r="B116" s="33" t="s">
        <v>27</v>
      </c>
      <c r="C116" s="211" t="s">
        <v>987</v>
      </c>
      <c r="D116" s="63">
        <v>1000</v>
      </c>
      <c r="E116" s="63">
        <v>56553</v>
      </c>
      <c r="F116" s="63">
        <f>SUM(D116:E116)</f>
        <v>57553</v>
      </c>
      <c r="G116" s="38">
        <v>1000</v>
      </c>
      <c r="H116" s="84">
        <v>11909</v>
      </c>
      <c r="I116" s="38">
        <f t="shared" si="48"/>
        <v>12909</v>
      </c>
      <c r="J116" s="63">
        <v>1000</v>
      </c>
      <c r="K116" s="63">
        <v>12383</v>
      </c>
      <c r="L116" s="63">
        <f t="shared" si="50"/>
        <v>13383</v>
      </c>
      <c r="M116" s="218">
        <f t="shared" si="34"/>
        <v>100</v>
      </c>
      <c r="N116" s="218">
        <f t="shared" si="35"/>
        <v>23.253349086928569</v>
      </c>
      <c r="O116" s="218">
        <f t="shared" si="36"/>
        <v>100</v>
      </c>
      <c r="P116" s="218">
        <f t="shared" si="46"/>
        <v>103.67185684406228</v>
      </c>
    </row>
    <row r="117" spans="1:17" s="3" customFormat="1" ht="6" customHeight="1">
      <c r="A117" s="36"/>
      <c r="B117" s="33"/>
      <c r="C117" s="211" t="s">
        <v>268</v>
      </c>
      <c r="D117" s="63"/>
      <c r="E117" s="63"/>
      <c r="F117" s="63"/>
      <c r="G117" s="38"/>
      <c r="H117" s="38"/>
      <c r="I117" s="38"/>
      <c r="J117" s="63"/>
      <c r="K117" s="63"/>
      <c r="L117" s="63"/>
      <c r="M117" s="218" t="str">
        <f t="shared" si="34"/>
        <v/>
      </c>
      <c r="N117" s="218" t="str">
        <f t="shared" si="35"/>
        <v/>
      </c>
      <c r="O117" s="218" t="str">
        <f t="shared" si="36"/>
        <v/>
      </c>
      <c r="P117" s="218" t="str">
        <f t="shared" si="46"/>
        <v/>
      </c>
    </row>
    <row r="118" spans="1:17" s="3" customFormat="1" ht="12.75">
      <c r="A118" s="58" t="s">
        <v>250</v>
      </c>
      <c r="B118" s="59" t="s">
        <v>265</v>
      </c>
      <c r="C118" s="310" t="s">
        <v>940</v>
      </c>
      <c r="D118" s="42">
        <f>SUM(D120:D133)</f>
        <v>3687700</v>
      </c>
      <c r="E118" s="42">
        <f>SUM(E120:E133)</f>
        <v>4637313</v>
      </c>
      <c r="F118" s="42">
        <f>SUM(D118:E118)</f>
        <v>8325013</v>
      </c>
      <c r="G118" s="55">
        <f>SUM(G120:G133)</f>
        <v>7113920</v>
      </c>
      <c r="H118" s="55">
        <f>SUM(H120:H133)</f>
        <v>5359005</v>
      </c>
      <c r="I118" s="55">
        <f t="shared" ref="I118:I133" si="51">SUM(G118:H118)</f>
        <v>12472925</v>
      </c>
      <c r="J118" s="42">
        <f>SUM(J120:J133)</f>
        <v>3998450</v>
      </c>
      <c r="K118" s="42">
        <f>SUM(K120:K133)</f>
        <v>5696029</v>
      </c>
      <c r="L118" s="42">
        <f>SUM(J118:K118)</f>
        <v>9694479</v>
      </c>
      <c r="M118" s="225">
        <f t="shared" si="34"/>
        <v>108.4266616047943</v>
      </c>
      <c r="N118" s="225">
        <f t="shared" si="35"/>
        <v>116.45001635432881</v>
      </c>
      <c r="O118" s="225">
        <f t="shared" si="36"/>
        <v>56.206001754307046</v>
      </c>
      <c r="P118" s="225">
        <f t="shared" si="46"/>
        <v>77.724182579467126</v>
      </c>
    </row>
    <row r="119" spans="1:17" s="3" customFormat="1" ht="12.75" customHeight="1">
      <c r="A119" s="43" t="s">
        <v>267</v>
      </c>
      <c r="B119" s="44"/>
      <c r="C119" s="304" t="s">
        <v>268</v>
      </c>
      <c r="D119" s="76">
        <f>SUM(D120:D131)</f>
        <v>3687700</v>
      </c>
      <c r="E119" s="76">
        <f>SUM(E120:E131)</f>
        <v>4637313</v>
      </c>
      <c r="F119" s="76">
        <f>SUM(D119:E119)</f>
        <v>8325013</v>
      </c>
      <c r="G119" s="116">
        <f>SUM(G120:G131)</f>
        <v>5936600</v>
      </c>
      <c r="H119" s="116">
        <f>SUM(H120:H131)</f>
        <v>5359005</v>
      </c>
      <c r="I119" s="116">
        <f t="shared" si="51"/>
        <v>11295605</v>
      </c>
      <c r="J119" s="76">
        <f>SUM(J120:J131)</f>
        <v>3998450</v>
      </c>
      <c r="K119" s="76">
        <f>SUM(K120:K131)</f>
        <v>5696029</v>
      </c>
      <c r="L119" s="76">
        <f>SUM(J119:K119)</f>
        <v>9694479</v>
      </c>
      <c r="M119" s="226">
        <f t="shared" si="34"/>
        <v>108.4266616047943</v>
      </c>
      <c r="N119" s="226">
        <f t="shared" si="35"/>
        <v>116.45001635432881</v>
      </c>
      <c r="O119" s="226">
        <f t="shared" si="36"/>
        <v>67.352525014317948</v>
      </c>
      <c r="P119" s="226">
        <f t="shared" si="46"/>
        <v>85.825230255484314</v>
      </c>
    </row>
    <row r="120" spans="1:17" s="3" customFormat="1" ht="12.75" customHeight="1">
      <c r="A120" s="46" t="s">
        <v>554</v>
      </c>
      <c r="B120" s="47">
        <v>0</v>
      </c>
      <c r="C120" s="212" t="s">
        <v>268</v>
      </c>
      <c r="D120" s="63"/>
      <c r="E120" s="63">
        <v>599458</v>
      </c>
      <c r="F120" s="63">
        <f t="shared" ref="F120:F125" si="52">SUM(D120:E120)</f>
        <v>599458</v>
      </c>
      <c r="G120" s="38"/>
      <c r="H120" s="38">
        <v>631171</v>
      </c>
      <c r="I120" s="38">
        <f t="shared" si="51"/>
        <v>631171</v>
      </c>
      <c r="J120" s="63"/>
      <c r="K120" s="63">
        <v>656282</v>
      </c>
      <c r="L120" s="63">
        <f t="shared" ref="L120:L132" si="53">SUM(J120:K120)</f>
        <v>656282</v>
      </c>
      <c r="M120" s="218" t="str">
        <f t="shared" si="34"/>
        <v/>
      </c>
      <c r="N120" s="218">
        <f t="shared" si="35"/>
        <v>109.47922957071221</v>
      </c>
      <c r="O120" s="218" t="str">
        <f t="shared" si="36"/>
        <v/>
      </c>
      <c r="P120" s="218">
        <f t="shared" si="46"/>
        <v>103.97847809864523</v>
      </c>
    </row>
    <row r="121" spans="1:17" s="3" customFormat="1" ht="12.75" customHeight="1">
      <c r="A121" s="36" t="s">
        <v>238</v>
      </c>
      <c r="B121" s="47" t="s">
        <v>558</v>
      </c>
      <c r="C121" s="212" t="s">
        <v>988</v>
      </c>
      <c r="D121" s="63">
        <v>18000</v>
      </c>
      <c r="E121" s="63">
        <v>791736</v>
      </c>
      <c r="F121" s="63">
        <f t="shared" si="52"/>
        <v>809736</v>
      </c>
      <c r="G121" s="38">
        <v>12000</v>
      </c>
      <c r="H121" s="38">
        <v>595445</v>
      </c>
      <c r="I121" s="38">
        <f t="shared" si="51"/>
        <v>607445</v>
      </c>
      <c r="J121" s="63">
        <v>56000</v>
      </c>
      <c r="K121" s="63">
        <v>866787</v>
      </c>
      <c r="L121" s="63">
        <f t="shared" si="53"/>
        <v>922787</v>
      </c>
      <c r="M121" s="218">
        <f t="shared" si="34"/>
        <v>311.11111111111114</v>
      </c>
      <c r="N121" s="218">
        <f t="shared" si="35"/>
        <v>113.96146398332296</v>
      </c>
      <c r="O121" s="218">
        <f t="shared" si="36"/>
        <v>466.66666666666669</v>
      </c>
      <c r="P121" s="218">
        <f t="shared" si="46"/>
        <v>151.91284807678059</v>
      </c>
    </row>
    <row r="122" spans="1:17" s="7" customFormat="1" ht="12.75" customHeight="1">
      <c r="A122" s="46" t="s">
        <v>373</v>
      </c>
      <c r="B122" s="47" t="s">
        <v>559</v>
      </c>
      <c r="C122" s="212" t="s">
        <v>989</v>
      </c>
      <c r="D122" s="63">
        <v>5550</v>
      </c>
      <c r="E122" s="63">
        <v>339316</v>
      </c>
      <c r="F122" s="63">
        <f t="shared" si="52"/>
        <v>344866</v>
      </c>
      <c r="G122" s="38">
        <v>4350</v>
      </c>
      <c r="H122" s="38">
        <v>476356</v>
      </c>
      <c r="I122" s="38">
        <f t="shared" si="51"/>
        <v>480706</v>
      </c>
      <c r="J122" s="63">
        <v>57700</v>
      </c>
      <c r="K122" s="63">
        <v>371480</v>
      </c>
      <c r="L122" s="63">
        <f t="shared" si="53"/>
        <v>429180</v>
      </c>
      <c r="M122" s="218">
        <f t="shared" si="34"/>
        <v>1039.6396396396397</v>
      </c>
      <c r="N122" s="218">
        <f t="shared" si="35"/>
        <v>124.44833645531888</v>
      </c>
      <c r="O122" s="218">
        <f t="shared" si="36"/>
        <v>1326.4367816091954</v>
      </c>
      <c r="P122" s="218">
        <f t="shared" ref="P122:P133" si="54">IF(I122&gt;0,IF(L122&gt;=0,L122/I122*100,""),"")</f>
        <v>89.281182261090976</v>
      </c>
    </row>
    <row r="123" spans="1:17" s="3" customFormat="1" ht="24">
      <c r="A123" s="36" t="s">
        <v>680</v>
      </c>
      <c r="B123" s="47" t="s">
        <v>560</v>
      </c>
      <c r="C123" s="212" t="s">
        <v>990</v>
      </c>
      <c r="D123" s="63">
        <v>131730</v>
      </c>
      <c r="E123" s="63">
        <v>904842</v>
      </c>
      <c r="F123" s="63">
        <f t="shared" si="52"/>
        <v>1036572</v>
      </c>
      <c r="G123" s="38">
        <v>138530</v>
      </c>
      <c r="H123" s="38">
        <v>1548157</v>
      </c>
      <c r="I123" s="38">
        <f t="shared" si="51"/>
        <v>1686687</v>
      </c>
      <c r="J123" s="63">
        <v>188000</v>
      </c>
      <c r="K123" s="63">
        <v>1609747</v>
      </c>
      <c r="L123" s="63">
        <f t="shared" si="53"/>
        <v>1797747</v>
      </c>
      <c r="M123" s="218">
        <f t="shared" si="34"/>
        <v>142.71616184620055</v>
      </c>
      <c r="N123" s="218">
        <f t="shared" si="35"/>
        <v>173.4319468401616</v>
      </c>
      <c r="O123" s="218">
        <f t="shared" si="36"/>
        <v>135.71067638778604</v>
      </c>
      <c r="P123" s="218">
        <f t="shared" si="54"/>
        <v>106.58450560180994</v>
      </c>
      <c r="Q123" s="107"/>
    </row>
    <row r="124" spans="1:17" s="3" customFormat="1" ht="24">
      <c r="A124" s="36" t="s">
        <v>327</v>
      </c>
      <c r="B124" s="47" t="s">
        <v>561</v>
      </c>
      <c r="C124" s="212" t="s">
        <v>991</v>
      </c>
      <c r="D124" s="63">
        <v>655100</v>
      </c>
      <c r="E124" s="63">
        <v>237522</v>
      </c>
      <c r="F124" s="63">
        <f t="shared" si="52"/>
        <v>892622</v>
      </c>
      <c r="G124" s="38">
        <v>618680</v>
      </c>
      <c r="H124" s="38">
        <v>250087</v>
      </c>
      <c r="I124" s="38">
        <f t="shared" si="51"/>
        <v>868767</v>
      </c>
      <c r="J124" s="63">
        <v>871500</v>
      </c>
      <c r="K124" s="63">
        <v>260036</v>
      </c>
      <c r="L124" s="63">
        <f t="shared" si="53"/>
        <v>1131536</v>
      </c>
      <c r="M124" s="218">
        <f t="shared" si="34"/>
        <v>133.03312471378413</v>
      </c>
      <c r="N124" s="218">
        <f t="shared" si="35"/>
        <v>126.76541694020538</v>
      </c>
      <c r="O124" s="218">
        <f t="shared" si="36"/>
        <v>140.86442102540892</v>
      </c>
      <c r="P124" s="218">
        <f t="shared" si="54"/>
        <v>130.24619949882995</v>
      </c>
    </row>
    <row r="125" spans="1:17" s="3" customFormat="1" ht="12.75" customHeight="1">
      <c r="A125" s="46" t="s">
        <v>2373</v>
      </c>
      <c r="B125" s="33" t="s">
        <v>711</v>
      </c>
      <c r="C125" s="211" t="s">
        <v>992</v>
      </c>
      <c r="D125" s="63">
        <v>310000</v>
      </c>
      <c r="E125" s="63">
        <v>565526</v>
      </c>
      <c r="F125" s="63">
        <f t="shared" si="52"/>
        <v>875526</v>
      </c>
      <c r="G125" s="38">
        <v>230000</v>
      </c>
      <c r="H125" s="38">
        <v>595445</v>
      </c>
      <c r="I125" s="38">
        <f t="shared" si="51"/>
        <v>825445</v>
      </c>
      <c r="J125" s="63">
        <v>340000</v>
      </c>
      <c r="K125" s="63">
        <v>619134</v>
      </c>
      <c r="L125" s="63">
        <f t="shared" si="53"/>
        <v>959134</v>
      </c>
      <c r="M125" s="218">
        <f t="shared" si="34"/>
        <v>109.6774193548387</v>
      </c>
      <c r="N125" s="218">
        <f t="shared" si="35"/>
        <v>109.5494594106857</v>
      </c>
      <c r="O125" s="218">
        <f t="shared" si="36"/>
        <v>147.82608695652172</v>
      </c>
      <c r="P125" s="218">
        <f t="shared" si="54"/>
        <v>116.19599125320281</v>
      </c>
    </row>
    <row r="126" spans="1:17" s="3" customFormat="1" ht="12.75" customHeight="1">
      <c r="A126" s="36" t="s">
        <v>356</v>
      </c>
      <c r="B126" s="47" t="s">
        <v>459</v>
      </c>
      <c r="C126" s="212" t="s">
        <v>993</v>
      </c>
      <c r="D126" s="63">
        <v>1661036</v>
      </c>
      <c r="E126" s="63">
        <v>486352</v>
      </c>
      <c r="F126" s="63">
        <f>SUM(D126:E126)</f>
        <v>2147388</v>
      </c>
      <c r="G126" s="38">
        <v>2098736</v>
      </c>
      <c r="H126" s="38">
        <v>512083</v>
      </c>
      <c r="I126" s="38">
        <f t="shared" si="51"/>
        <v>2610819</v>
      </c>
      <c r="J126" s="63">
        <f>2270000-500000</f>
        <v>1770000</v>
      </c>
      <c r="K126" s="63">
        <v>532455</v>
      </c>
      <c r="L126" s="63">
        <f t="shared" si="53"/>
        <v>2302455</v>
      </c>
      <c r="M126" s="218">
        <f t="shared" si="34"/>
        <v>106.56000231181022</v>
      </c>
      <c r="N126" s="218">
        <f t="shared" si="35"/>
        <v>107.22119151266563</v>
      </c>
      <c r="O126" s="218">
        <f t="shared" si="36"/>
        <v>84.336476812710131</v>
      </c>
      <c r="P126" s="218">
        <f t="shared" si="54"/>
        <v>88.188993568684765</v>
      </c>
    </row>
    <row r="127" spans="1:17" s="3" customFormat="1" ht="12.75" customHeight="1">
      <c r="A127" s="36" t="s">
        <v>253</v>
      </c>
      <c r="B127" s="47" t="s">
        <v>562</v>
      </c>
      <c r="C127" s="212" t="s">
        <v>995</v>
      </c>
      <c r="D127" s="63">
        <v>21284</v>
      </c>
      <c r="E127" s="63">
        <v>452419</v>
      </c>
      <c r="F127" s="63">
        <f>SUM(D127:E127)</f>
        <v>473703</v>
      </c>
      <c r="G127" s="38">
        <v>21284</v>
      </c>
      <c r="H127" s="38">
        <v>476356</v>
      </c>
      <c r="I127" s="38">
        <f>SUM(G127:H127)</f>
        <v>497640</v>
      </c>
      <c r="J127" s="63">
        <v>19500</v>
      </c>
      <c r="K127" s="63">
        <v>495307</v>
      </c>
      <c r="L127" s="63">
        <f>SUM(J127:K127)</f>
        <v>514807</v>
      </c>
      <c r="M127" s="218">
        <f t="shared" si="34"/>
        <v>91.618116895320441</v>
      </c>
      <c r="N127" s="218">
        <f t="shared" si="35"/>
        <v>108.67716691682341</v>
      </c>
      <c r="O127" s="218">
        <f t="shared" si="36"/>
        <v>91.618116895320441</v>
      </c>
      <c r="P127" s="218">
        <f t="shared" si="54"/>
        <v>103.44968250140664</v>
      </c>
      <c r="Q127" s="107"/>
    </row>
    <row r="128" spans="1:17" s="3" customFormat="1" ht="12.75" customHeight="1">
      <c r="A128" s="46" t="s">
        <v>312</v>
      </c>
      <c r="B128" s="47" t="s">
        <v>563</v>
      </c>
      <c r="C128" s="212" t="s">
        <v>996</v>
      </c>
      <c r="D128" s="63"/>
      <c r="E128" s="63">
        <v>260142</v>
      </c>
      <c r="F128" s="63">
        <f>SUM(D128:E128)</f>
        <v>260142</v>
      </c>
      <c r="G128" s="38"/>
      <c r="H128" s="93"/>
      <c r="I128" s="38">
        <f>SUM(G128:H128)</f>
        <v>0</v>
      </c>
      <c r="J128" s="63"/>
      <c r="K128" s="63">
        <v>284801</v>
      </c>
      <c r="L128" s="63">
        <f>SUM(J128:K128)</f>
        <v>284801</v>
      </c>
      <c r="M128" s="218" t="str">
        <f t="shared" si="34"/>
        <v/>
      </c>
      <c r="N128" s="218">
        <f t="shared" si="35"/>
        <v>109.47905374756863</v>
      </c>
      <c r="O128" s="218" t="str">
        <f t="shared" si="36"/>
        <v/>
      </c>
      <c r="P128" s="218" t="str">
        <f t="shared" si="54"/>
        <v/>
      </c>
    </row>
    <row r="129" spans="1:16" s="3" customFormat="1" ht="12.75" customHeight="1">
      <c r="A129" s="46" t="s">
        <v>14</v>
      </c>
      <c r="B129" s="33" t="s">
        <v>9</v>
      </c>
      <c r="C129" s="211" t="s">
        <v>994</v>
      </c>
      <c r="D129" s="63">
        <v>806900</v>
      </c>
      <c r="E129" s="63"/>
      <c r="F129" s="63">
        <f>SUM(D129:E129)</f>
        <v>806900</v>
      </c>
      <c r="G129" s="38">
        <v>791000</v>
      </c>
      <c r="H129" s="38">
        <v>273905</v>
      </c>
      <c r="I129" s="38">
        <f>SUM(G129:H129)</f>
        <v>1064905</v>
      </c>
      <c r="J129" s="63">
        <v>440500</v>
      </c>
      <c r="K129" s="63"/>
      <c r="L129" s="63">
        <f>SUM(J129:K129)</f>
        <v>440500</v>
      </c>
      <c r="M129" s="218">
        <f t="shared" si="34"/>
        <v>54.591647044243395</v>
      </c>
      <c r="N129" s="218">
        <f t="shared" si="35"/>
        <v>54.591647044243395</v>
      </c>
      <c r="O129" s="218">
        <f t="shared" si="36"/>
        <v>55.689001264222505</v>
      </c>
      <c r="P129" s="218">
        <f t="shared" si="54"/>
        <v>41.365192200243214</v>
      </c>
    </row>
    <row r="130" spans="1:16" s="3" customFormat="1" ht="12.75" customHeight="1">
      <c r="A130" s="46" t="s">
        <v>651</v>
      </c>
      <c r="B130" s="33" t="s">
        <v>650</v>
      </c>
      <c r="C130" s="211" t="s">
        <v>997</v>
      </c>
      <c r="D130" s="63">
        <v>78100</v>
      </c>
      <c r="E130" s="63"/>
      <c r="F130" s="63">
        <f>SUM(D130:E130)</f>
        <v>78100</v>
      </c>
      <c r="G130" s="38">
        <v>203020</v>
      </c>
      <c r="H130" s="38"/>
      <c r="I130" s="38">
        <f t="shared" si="51"/>
        <v>203020</v>
      </c>
      <c r="J130" s="63">
        <v>255250</v>
      </c>
      <c r="K130" s="63"/>
      <c r="L130" s="63">
        <f t="shared" si="53"/>
        <v>255250</v>
      </c>
      <c r="M130" s="218">
        <f t="shared" si="34"/>
        <v>326.82458386683737</v>
      </c>
      <c r="N130" s="218">
        <f t="shared" si="35"/>
        <v>326.82458386683737</v>
      </c>
      <c r="O130" s="218">
        <f t="shared" si="36"/>
        <v>125.72652940596984</v>
      </c>
      <c r="P130" s="218">
        <f t="shared" si="54"/>
        <v>125.72652940596984</v>
      </c>
    </row>
    <row r="131" spans="1:16" s="3" customFormat="1" ht="12.75" customHeight="1">
      <c r="A131" s="46" t="s">
        <v>2069</v>
      </c>
      <c r="B131" s="211" t="s">
        <v>2070</v>
      </c>
      <c r="C131" s="211" t="s">
        <v>2099</v>
      </c>
      <c r="D131" s="63"/>
      <c r="E131" s="63"/>
      <c r="F131" s="63"/>
      <c r="G131" s="38">
        <v>1819000</v>
      </c>
      <c r="H131" s="38"/>
      <c r="I131" s="38">
        <f t="shared" si="51"/>
        <v>1819000</v>
      </c>
      <c r="J131" s="63"/>
      <c r="K131" s="63"/>
      <c r="L131" s="63">
        <f t="shared" si="53"/>
        <v>0</v>
      </c>
      <c r="M131" s="218" t="str">
        <f t="shared" si="34"/>
        <v/>
      </c>
      <c r="N131" s="218" t="str">
        <f t="shared" si="35"/>
        <v/>
      </c>
      <c r="O131" s="218">
        <f t="shared" si="36"/>
        <v>0</v>
      </c>
      <c r="P131" s="218">
        <f t="shared" si="54"/>
        <v>0</v>
      </c>
    </row>
    <row r="132" spans="1:16" s="3" customFormat="1" ht="12.75" customHeight="1">
      <c r="A132" s="46" t="s">
        <v>792</v>
      </c>
      <c r="B132" s="211" t="s">
        <v>152</v>
      </c>
      <c r="C132" s="211" t="s">
        <v>998</v>
      </c>
      <c r="D132" s="63"/>
      <c r="E132" s="63"/>
      <c r="F132" s="63">
        <f t="shared" ref="F132:F133" si="55">SUM(D132:E132)</f>
        <v>0</v>
      </c>
      <c r="G132" s="38">
        <v>205500</v>
      </c>
      <c r="H132" s="38"/>
      <c r="I132" s="38">
        <f t="shared" si="51"/>
        <v>205500</v>
      </c>
      <c r="J132" s="63"/>
      <c r="K132" s="63"/>
      <c r="L132" s="63">
        <f t="shared" si="53"/>
        <v>0</v>
      </c>
      <c r="M132" s="218" t="str">
        <f t="shared" si="34"/>
        <v/>
      </c>
      <c r="N132" s="218" t="str">
        <f t="shared" si="35"/>
        <v/>
      </c>
      <c r="O132" s="218">
        <f t="shared" si="36"/>
        <v>0</v>
      </c>
      <c r="P132" s="218">
        <f t="shared" si="54"/>
        <v>0</v>
      </c>
    </row>
    <row r="133" spans="1:16" s="3" customFormat="1" ht="12.75" customHeight="1">
      <c r="A133" s="359" t="s">
        <v>791</v>
      </c>
      <c r="B133" s="311" t="s">
        <v>151</v>
      </c>
      <c r="C133" s="311" t="s">
        <v>999</v>
      </c>
      <c r="D133" s="67"/>
      <c r="E133" s="67"/>
      <c r="F133" s="67">
        <f t="shared" si="55"/>
        <v>0</v>
      </c>
      <c r="G133" s="61">
        <v>971820</v>
      </c>
      <c r="H133" s="61"/>
      <c r="I133" s="61">
        <f t="shared" si="51"/>
        <v>971820</v>
      </c>
      <c r="J133" s="67"/>
      <c r="K133" s="67"/>
      <c r="L133" s="67">
        <f t="shared" ref="L133" si="56">SUM(J133:K133)</f>
        <v>0</v>
      </c>
      <c r="M133" s="273" t="str">
        <f t="shared" si="34"/>
        <v/>
      </c>
      <c r="N133" s="273" t="str">
        <f t="shared" si="35"/>
        <v/>
      </c>
      <c r="O133" s="273">
        <f t="shared" si="36"/>
        <v>0</v>
      </c>
      <c r="P133" s="273">
        <f t="shared" si="54"/>
        <v>0</v>
      </c>
    </row>
    <row r="134" spans="1:16" s="3" customFormat="1" ht="6" customHeight="1">
      <c r="A134" s="43"/>
      <c r="B134" s="44"/>
      <c r="C134" s="304" t="s">
        <v>268</v>
      </c>
      <c r="D134" s="76"/>
      <c r="E134" s="76"/>
      <c r="F134" s="76"/>
      <c r="G134" s="116"/>
      <c r="H134" s="116"/>
      <c r="I134" s="116"/>
      <c r="J134" s="76"/>
      <c r="K134" s="76"/>
      <c r="L134" s="76"/>
      <c r="M134" s="226" t="str">
        <f t="shared" si="34"/>
        <v/>
      </c>
      <c r="N134" s="226" t="str">
        <f t="shared" si="35"/>
        <v/>
      </c>
      <c r="O134" s="226" t="str">
        <f t="shared" si="36"/>
        <v/>
      </c>
      <c r="P134" s="226" t="str">
        <f t="shared" ref="P134:P156" si="57">IF(I134&gt;0,IF(L134&gt;=0,L134/I134*100,""),"")</f>
        <v/>
      </c>
    </row>
    <row r="135" spans="1:16" s="8" customFormat="1" ht="12.75">
      <c r="A135" s="58" t="s">
        <v>277</v>
      </c>
      <c r="B135" s="78" t="s">
        <v>265</v>
      </c>
      <c r="C135" s="301" t="s">
        <v>940</v>
      </c>
      <c r="D135" s="69">
        <f>SUM(D137:D141)</f>
        <v>165227689</v>
      </c>
      <c r="E135" s="42">
        <f>SUM(E137:E141)</f>
        <v>8822205</v>
      </c>
      <c r="F135" s="42">
        <f t="shared" ref="F135:F141" si="58">SUM(D135:E135)</f>
        <v>174049894</v>
      </c>
      <c r="G135" s="115">
        <f>SUM(G137:G141)</f>
        <v>204577689</v>
      </c>
      <c r="H135" s="55">
        <f>SUM(H137:H141)</f>
        <v>8991220</v>
      </c>
      <c r="I135" s="55">
        <f t="shared" ref="I135:I141" si="59">SUM(G135:H135)</f>
        <v>213568909</v>
      </c>
      <c r="J135" s="42">
        <f>SUM(J137:J141)</f>
        <v>394935251</v>
      </c>
      <c r="K135" s="42">
        <f>SUM(K137:K141)</f>
        <v>9658485</v>
      </c>
      <c r="L135" s="42">
        <f t="shared" ref="L135:L141" si="60">SUM(J135:K135)</f>
        <v>404593736</v>
      </c>
      <c r="M135" s="225">
        <f t="shared" si="34"/>
        <v>239.02485920504523</v>
      </c>
      <c r="N135" s="225">
        <f t="shared" si="35"/>
        <v>232.45847883136315</v>
      </c>
      <c r="O135" s="225">
        <f t="shared" si="36"/>
        <v>193.04903331858441</v>
      </c>
      <c r="P135" s="225">
        <f t="shared" si="57"/>
        <v>189.44411801064172</v>
      </c>
    </row>
    <row r="136" spans="1:16" s="3" customFormat="1" hidden="1">
      <c r="A136" s="43" t="s">
        <v>267</v>
      </c>
      <c r="B136" s="44"/>
      <c r="C136" s="304" t="s">
        <v>268</v>
      </c>
      <c r="D136" s="113">
        <f>SUM(D137:D141)</f>
        <v>165227689</v>
      </c>
      <c r="E136" s="113">
        <f>SUM(E137:E141)</f>
        <v>8822205</v>
      </c>
      <c r="F136" s="113">
        <f t="shared" si="58"/>
        <v>174049894</v>
      </c>
      <c r="G136" s="187">
        <f>SUM(G137:G141)</f>
        <v>204577689</v>
      </c>
      <c r="H136" s="187">
        <f>SUM(H137:H141)</f>
        <v>8991220</v>
      </c>
      <c r="I136" s="187">
        <f t="shared" si="59"/>
        <v>213568909</v>
      </c>
      <c r="J136" s="113">
        <f>SUM(J137:J141)</f>
        <v>394935251</v>
      </c>
      <c r="K136" s="113">
        <f>SUM(K137:K141)</f>
        <v>9658485</v>
      </c>
      <c r="L136" s="113">
        <f t="shared" si="60"/>
        <v>404593736</v>
      </c>
      <c r="M136" s="220">
        <f t="shared" si="34"/>
        <v>239.02485920504523</v>
      </c>
      <c r="N136" s="220">
        <f t="shared" si="35"/>
        <v>232.45847883136315</v>
      </c>
      <c r="O136" s="220">
        <f t="shared" si="36"/>
        <v>193.04903331858441</v>
      </c>
      <c r="P136" s="220">
        <f t="shared" si="57"/>
        <v>189.44411801064172</v>
      </c>
    </row>
    <row r="137" spans="1:16" s="3" customFormat="1" ht="12.75" customHeight="1">
      <c r="A137" s="46" t="s">
        <v>554</v>
      </c>
      <c r="B137" s="47">
        <v>0</v>
      </c>
      <c r="C137" s="212" t="s">
        <v>268</v>
      </c>
      <c r="D137" s="70"/>
      <c r="E137" s="70">
        <v>904842</v>
      </c>
      <c r="F137" s="63">
        <f t="shared" si="58"/>
        <v>904842</v>
      </c>
      <c r="G137" s="84"/>
      <c r="H137" s="84">
        <v>952712</v>
      </c>
      <c r="I137" s="38">
        <f t="shared" si="59"/>
        <v>952712</v>
      </c>
      <c r="J137" s="63"/>
      <c r="K137" s="70">
        <v>990614</v>
      </c>
      <c r="L137" s="63">
        <f t="shared" si="60"/>
        <v>990614</v>
      </c>
      <c r="M137" s="218" t="str">
        <f t="shared" si="34"/>
        <v/>
      </c>
      <c r="N137" s="218">
        <f t="shared" si="35"/>
        <v>109.47922399711774</v>
      </c>
      <c r="O137" s="218" t="str">
        <f t="shared" si="36"/>
        <v/>
      </c>
      <c r="P137" s="218">
        <f t="shared" si="57"/>
        <v>103.97832713348841</v>
      </c>
    </row>
    <row r="138" spans="1:16" s="3" customFormat="1" ht="24">
      <c r="A138" s="46" t="s">
        <v>56</v>
      </c>
      <c r="B138" s="47" t="s">
        <v>556</v>
      </c>
      <c r="C138" s="212" t="s">
        <v>1000</v>
      </c>
      <c r="D138" s="63"/>
      <c r="E138" s="63">
        <v>3958682</v>
      </c>
      <c r="F138" s="63">
        <f t="shared" si="58"/>
        <v>3958682</v>
      </c>
      <c r="G138" s="38"/>
      <c r="H138" s="84">
        <v>4049026</v>
      </c>
      <c r="I138" s="38">
        <f t="shared" si="59"/>
        <v>4049026</v>
      </c>
      <c r="J138" s="63"/>
      <c r="K138" s="63">
        <v>4333936</v>
      </c>
      <c r="L138" s="63">
        <f t="shared" si="60"/>
        <v>4333936</v>
      </c>
      <c r="M138" s="218" t="str">
        <f t="shared" si="34"/>
        <v/>
      </c>
      <c r="N138" s="218">
        <f t="shared" si="35"/>
        <v>109.47926607896264</v>
      </c>
      <c r="O138" s="218" t="str">
        <f t="shared" si="36"/>
        <v/>
      </c>
      <c r="P138" s="218">
        <f t="shared" si="57"/>
        <v>107.03650705132543</v>
      </c>
    </row>
    <row r="139" spans="1:16" s="3" customFormat="1" ht="24">
      <c r="A139" s="46" t="s">
        <v>139</v>
      </c>
      <c r="B139" s="47" t="s">
        <v>557</v>
      </c>
      <c r="C139" s="212" t="s">
        <v>1001</v>
      </c>
      <c r="D139" s="63">
        <v>500000</v>
      </c>
      <c r="E139" s="63">
        <v>2714524</v>
      </c>
      <c r="F139" s="63">
        <f t="shared" si="58"/>
        <v>3214524</v>
      </c>
      <c r="G139" s="38">
        <v>500000</v>
      </c>
      <c r="H139" s="84">
        <v>2679503</v>
      </c>
      <c r="I139" s="38">
        <f t="shared" si="59"/>
        <v>3179503</v>
      </c>
      <c r="J139" s="63">
        <v>500000</v>
      </c>
      <c r="K139" s="63">
        <v>2971841</v>
      </c>
      <c r="L139" s="63">
        <f t="shared" si="60"/>
        <v>3471841</v>
      </c>
      <c r="M139" s="218">
        <f t="shared" si="34"/>
        <v>100</v>
      </c>
      <c r="N139" s="218">
        <f t="shared" si="35"/>
        <v>108.00482435346569</v>
      </c>
      <c r="O139" s="218">
        <f t="shared" si="36"/>
        <v>100</v>
      </c>
      <c r="P139" s="218">
        <f t="shared" si="57"/>
        <v>109.19445586307042</v>
      </c>
    </row>
    <row r="140" spans="1:16" s="3" customFormat="1" ht="24">
      <c r="A140" s="46" t="s">
        <v>823</v>
      </c>
      <c r="B140" s="47" t="s">
        <v>6</v>
      </c>
      <c r="C140" s="212" t="s">
        <v>1002</v>
      </c>
      <c r="D140" s="63">
        <f>159500000+5057589+40000+130100</f>
        <v>164727689</v>
      </c>
      <c r="E140" s="63">
        <v>565526</v>
      </c>
      <c r="F140" s="63">
        <f t="shared" si="58"/>
        <v>165293215</v>
      </c>
      <c r="G140" s="38">
        <v>204077689</v>
      </c>
      <c r="H140" s="84">
        <v>595445</v>
      </c>
      <c r="I140" s="38">
        <f t="shared" si="59"/>
        <v>204673134</v>
      </c>
      <c r="J140" s="63">
        <f>334500000+59935251</f>
        <v>394435251</v>
      </c>
      <c r="K140" s="63">
        <v>619133</v>
      </c>
      <c r="L140" s="63">
        <f t="shared" si="60"/>
        <v>395054384</v>
      </c>
      <c r="M140" s="218">
        <f t="shared" si="34"/>
        <v>239.44684308659245</v>
      </c>
      <c r="N140" s="218">
        <f t="shared" si="35"/>
        <v>239.00217803858433</v>
      </c>
      <c r="O140" s="218">
        <f t="shared" si="36"/>
        <v>193.27700785557209</v>
      </c>
      <c r="P140" s="218">
        <f t="shared" si="57"/>
        <v>193.01721543971669</v>
      </c>
    </row>
    <row r="141" spans="1:16" s="3" customFormat="1" ht="24">
      <c r="A141" s="46" t="s">
        <v>854</v>
      </c>
      <c r="B141" s="47" t="s">
        <v>600</v>
      </c>
      <c r="C141" s="212" t="s">
        <v>1003</v>
      </c>
      <c r="D141" s="63"/>
      <c r="E141" s="63">
        <v>678631</v>
      </c>
      <c r="F141" s="63">
        <f t="shared" si="58"/>
        <v>678631</v>
      </c>
      <c r="G141" s="38"/>
      <c r="H141" s="84">
        <v>714534</v>
      </c>
      <c r="I141" s="38">
        <f t="shared" si="59"/>
        <v>714534</v>
      </c>
      <c r="J141" s="63"/>
      <c r="K141" s="63">
        <v>742961</v>
      </c>
      <c r="L141" s="63">
        <f t="shared" si="60"/>
        <v>742961</v>
      </c>
      <c r="M141" s="218" t="str">
        <f t="shared" si="34"/>
        <v/>
      </c>
      <c r="N141" s="218">
        <f t="shared" si="35"/>
        <v>109.47937833668075</v>
      </c>
      <c r="O141" s="218" t="str">
        <f t="shared" si="36"/>
        <v/>
      </c>
      <c r="P141" s="218">
        <f t="shared" si="57"/>
        <v>103.97839710916486</v>
      </c>
    </row>
    <row r="142" spans="1:16" s="3" customFormat="1" ht="6" customHeight="1">
      <c r="A142" s="46"/>
      <c r="B142" s="47"/>
      <c r="C142" s="212" t="s">
        <v>268</v>
      </c>
      <c r="D142" s="63"/>
      <c r="E142" s="63"/>
      <c r="F142" s="63"/>
      <c r="G142" s="38"/>
      <c r="H142" s="38"/>
      <c r="I142" s="38"/>
      <c r="J142" s="63"/>
      <c r="K142" s="63"/>
      <c r="L142" s="63"/>
      <c r="M142" s="218" t="str">
        <f t="shared" ref="M142:M206" si="61">IF(D142&gt;0,IF(J142&gt;=0,J142/D142*100,""),"")</f>
        <v/>
      </c>
      <c r="N142" s="218" t="str">
        <f t="shared" ref="N142:N206" si="62">IF(F142&gt;0,IF(L142&gt;=0,L142/F142*100,""),"")</f>
        <v/>
      </c>
      <c r="O142" s="218" t="str">
        <f t="shared" ref="O142:O206" si="63">IF(G142&gt;0,IF(J142&gt;=0,J142/G142*100,""),"")</f>
        <v/>
      </c>
      <c r="P142" s="218" t="str">
        <f t="shared" si="57"/>
        <v/>
      </c>
    </row>
    <row r="143" spans="1:16" s="11" customFormat="1" ht="12.75">
      <c r="A143" s="58" t="s">
        <v>800</v>
      </c>
      <c r="B143" s="65" t="s">
        <v>265</v>
      </c>
      <c r="C143" s="308" t="s">
        <v>940</v>
      </c>
      <c r="D143" s="42">
        <f>SUM(D145:D152)</f>
        <v>568700</v>
      </c>
      <c r="E143" s="42">
        <f>SUM(E145:E152)</f>
        <v>6899417</v>
      </c>
      <c r="F143" s="90">
        <f t="shared" ref="F143:F152" si="64">SUM(D143:E143)</f>
        <v>7468117</v>
      </c>
      <c r="G143" s="55">
        <f>SUM(G145:G152)</f>
        <v>33807090</v>
      </c>
      <c r="H143" s="55">
        <f>SUM(H145:H152)</f>
        <v>7562152</v>
      </c>
      <c r="I143" s="60">
        <f t="shared" ref="I143:I152" si="65">SUM(G143:H143)</f>
        <v>41369242</v>
      </c>
      <c r="J143" s="42">
        <f>SUM(J145:J152)</f>
        <v>429300</v>
      </c>
      <c r="K143" s="42">
        <f>SUM(K145:K152)</f>
        <v>8172564</v>
      </c>
      <c r="L143" s="90">
        <f t="shared" ref="L143:L144" si="66">SUM(J143:K143)</f>
        <v>8601864</v>
      </c>
      <c r="M143" s="227">
        <f t="shared" si="61"/>
        <v>75.487954985053634</v>
      </c>
      <c r="N143" s="227">
        <f t="shared" si="62"/>
        <v>115.18116280181469</v>
      </c>
      <c r="O143" s="227">
        <f t="shared" si="63"/>
        <v>1.2698519748372308</v>
      </c>
      <c r="P143" s="227">
        <f t="shared" si="57"/>
        <v>20.792897293114532</v>
      </c>
    </row>
    <row r="144" spans="1:16" s="3" customFormat="1" ht="12.75" customHeight="1">
      <c r="A144" s="80" t="s">
        <v>267</v>
      </c>
      <c r="B144" s="79"/>
      <c r="C144" s="302" t="s">
        <v>268</v>
      </c>
      <c r="D144" s="113">
        <f>SUM(D145:D151)</f>
        <v>568700</v>
      </c>
      <c r="E144" s="113">
        <f>SUM(E145:E151)</f>
        <v>6899417</v>
      </c>
      <c r="F144" s="73">
        <f>SUM(D144:E144)</f>
        <v>7468117</v>
      </c>
      <c r="G144" s="187">
        <f>SUM(G145:G151)</f>
        <v>569440</v>
      </c>
      <c r="H144" s="187">
        <f>SUM(H145:H151)</f>
        <v>7562152</v>
      </c>
      <c r="I144" s="194">
        <f t="shared" si="65"/>
        <v>8131592</v>
      </c>
      <c r="J144" s="113">
        <f>SUM(J145:J151)</f>
        <v>429300</v>
      </c>
      <c r="K144" s="113">
        <f>SUM(K145:K151)</f>
        <v>8172564</v>
      </c>
      <c r="L144" s="73">
        <f t="shared" si="66"/>
        <v>8601864</v>
      </c>
      <c r="M144" s="222">
        <f t="shared" si="61"/>
        <v>75.487954985053634</v>
      </c>
      <c r="N144" s="222">
        <f t="shared" si="62"/>
        <v>115.18116280181469</v>
      </c>
      <c r="O144" s="222">
        <f t="shared" si="63"/>
        <v>75.389856701320596</v>
      </c>
      <c r="P144" s="222">
        <f t="shared" si="57"/>
        <v>105.78327097572038</v>
      </c>
    </row>
    <row r="145" spans="1:16" s="3" customFormat="1" ht="12.75" customHeight="1">
      <c r="A145" s="36" t="s">
        <v>554</v>
      </c>
      <c r="B145" s="33">
        <v>0</v>
      </c>
      <c r="C145" s="211" t="s">
        <v>268</v>
      </c>
      <c r="D145" s="70"/>
      <c r="E145" s="70">
        <v>961394</v>
      </c>
      <c r="F145" s="74">
        <f t="shared" si="64"/>
        <v>961394</v>
      </c>
      <c r="G145" s="84"/>
      <c r="H145" s="84">
        <v>1051557</v>
      </c>
      <c r="I145" s="112">
        <f t="shared" si="65"/>
        <v>1051557</v>
      </c>
      <c r="J145" s="74"/>
      <c r="K145" s="70">
        <v>1077293</v>
      </c>
      <c r="L145" s="74">
        <f t="shared" ref="L145:L152" si="67">SUM(J145:K145)</f>
        <v>1077293</v>
      </c>
      <c r="M145" s="223" t="str">
        <f t="shared" si="61"/>
        <v/>
      </c>
      <c r="N145" s="223">
        <f t="shared" si="62"/>
        <v>112.05530718935212</v>
      </c>
      <c r="O145" s="223" t="str">
        <f t="shared" si="63"/>
        <v/>
      </c>
      <c r="P145" s="223">
        <f t="shared" si="57"/>
        <v>102.44741844712175</v>
      </c>
    </row>
    <row r="146" spans="1:16" s="3" customFormat="1" ht="24">
      <c r="A146" s="36" t="s">
        <v>687</v>
      </c>
      <c r="B146" s="47" t="s">
        <v>672</v>
      </c>
      <c r="C146" s="212" t="s">
        <v>1004</v>
      </c>
      <c r="D146" s="63">
        <v>14500</v>
      </c>
      <c r="E146" s="63">
        <v>1017947</v>
      </c>
      <c r="F146" s="74">
        <f t="shared" si="64"/>
        <v>1032447</v>
      </c>
      <c r="G146" s="38">
        <v>14500</v>
      </c>
      <c r="H146" s="84">
        <v>1071801</v>
      </c>
      <c r="I146" s="112">
        <f t="shared" si="65"/>
        <v>1086301</v>
      </c>
      <c r="J146" s="74">
        <v>7200</v>
      </c>
      <c r="K146" s="63">
        <v>1114441</v>
      </c>
      <c r="L146" s="74">
        <f t="shared" si="67"/>
        <v>1121641</v>
      </c>
      <c r="M146" s="223">
        <f t="shared" si="61"/>
        <v>49.655172413793103</v>
      </c>
      <c r="N146" s="223">
        <f t="shared" si="62"/>
        <v>108.63908752701109</v>
      </c>
      <c r="O146" s="223">
        <f t="shared" si="63"/>
        <v>49.655172413793103</v>
      </c>
      <c r="P146" s="223">
        <f t="shared" si="57"/>
        <v>103.25324196516435</v>
      </c>
    </row>
    <row r="147" spans="1:16" s="3" customFormat="1" ht="12.75" customHeight="1">
      <c r="A147" s="36" t="s">
        <v>801</v>
      </c>
      <c r="B147" s="47" t="s">
        <v>802</v>
      </c>
      <c r="C147" s="212" t="s">
        <v>1005</v>
      </c>
      <c r="D147" s="63">
        <v>282800</v>
      </c>
      <c r="E147" s="63">
        <v>1185342</v>
      </c>
      <c r="F147" s="74">
        <f t="shared" si="64"/>
        <v>1468142</v>
      </c>
      <c r="G147" s="38">
        <v>339940</v>
      </c>
      <c r="H147" s="84">
        <v>1182554</v>
      </c>
      <c r="I147" s="112">
        <f t="shared" si="65"/>
        <v>1522494</v>
      </c>
      <c r="J147" s="74">
        <v>258100</v>
      </c>
      <c r="K147" s="63">
        <v>1380668</v>
      </c>
      <c r="L147" s="74">
        <f t="shared" si="67"/>
        <v>1638768</v>
      </c>
      <c r="M147" s="223">
        <f t="shared" si="61"/>
        <v>91.265912305516267</v>
      </c>
      <c r="N147" s="223">
        <f t="shared" si="62"/>
        <v>111.6219003338914</v>
      </c>
      <c r="O147" s="223">
        <f t="shared" si="63"/>
        <v>75.925163264105436</v>
      </c>
      <c r="P147" s="223">
        <f t="shared" ref="P147:P152" si="68">IF(I147&gt;0,IF(L147&gt;=0,L147/I147*100,""),"")</f>
        <v>107.63707443182042</v>
      </c>
    </row>
    <row r="148" spans="1:16" s="12" customFormat="1" ht="12.75" customHeight="1">
      <c r="A148" s="36" t="s">
        <v>803</v>
      </c>
      <c r="B148" s="47" t="s">
        <v>804</v>
      </c>
      <c r="C148" s="212" t="s">
        <v>1006</v>
      </c>
      <c r="D148" s="63">
        <v>171400</v>
      </c>
      <c r="E148" s="63">
        <v>3604663</v>
      </c>
      <c r="F148" s="74">
        <f t="shared" si="64"/>
        <v>3776063</v>
      </c>
      <c r="G148" s="38">
        <v>115000</v>
      </c>
      <c r="H148" s="84">
        <v>3854911</v>
      </c>
      <c r="I148" s="112">
        <f t="shared" si="65"/>
        <v>3969911</v>
      </c>
      <c r="J148" s="74">
        <v>164000</v>
      </c>
      <c r="K148" s="63">
        <v>4104855</v>
      </c>
      <c r="L148" s="74">
        <f t="shared" si="67"/>
        <v>4268855</v>
      </c>
      <c r="M148" s="223">
        <f t="shared" si="61"/>
        <v>95.682613768961488</v>
      </c>
      <c r="N148" s="223">
        <f t="shared" si="62"/>
        <v>113.05041785584615</v>
      </c>
      <c r="O148" s="223">
        <f t="shared" si="63"/>
        <v>142.60869565217391</v>
      </c>
      <c r="P148" s="223">
        <f t="shared" si="68"/>
        <v>107.53024438079342</v>
      </c>
    </row>
    <row r="149" spans="1:16" s="12" customFormat="1" ht="36">
      <c r="A149" s="36" t="s">
        <v>138</v>
      </c>
      <c r="B149" s="47" t="s">
        <v>137</v>
      </c>
      <c r="C149" s="212" t="s">
        <v>1008</v>
      </c>
      <c r="D149" s="63"/>
      <c r="E149" s="63">
        <v>113105</v>
      </c>
      <c r="F149" s="74">
        <f>SUM(D149:E149)</f>
        <v>113105</v>
      </c>
      <c r="G149" s="38"/>
      <c r="H149" s="84">
        <v>375130</v>
      </c>
      <c r="I149" s="112">
        <f>SUM(G149:H149)</f>
        <v>375130</v>
      </c>
      <c r="J149" s="74"/>
      <c r="K149" s="63">
        <v>495307</v>
      </c>
      <c r="L149" s="74">
        <f>SUM(J149:K149)</f>
        <v>495307</v>
      </c>
      <c r="M149" s="223" t="str">
        <f t="shared" si="61"/>
        <v/>
      </c>
      <c r="N149" s="223">
        <f t="shared" si="62"/>
        <v>437.91786393174482</v>
      </c>
      <c r="O149" s="223" t="str">
        <f t="shared" si="63"/>
        <v/>
      </c>
      <c r="P149" s="223">
        <f t="shared" si="68"/>
        <v>132.03609415402659</v>
      </c>
    </row>
    <row r="150" spans="1:16" s="12" customFormat="1" ht="12.75" customHeight="1">
      <c r="A150" s="36" t="s">
        <v>210</v>
      </c>
      <c r="B150" s="212" t="s">
        <v>420</v>
      </c>
      <c r="C150" s="212" t="s">
        <v>1007</v>
      </c>
      <c r="D150" s="63">
        <v>100000</v>
      </c>
      <c r="E150" s="63">
        <v>16966</v>
      </c>
      <c r="F150" s="74">
        <f t="shared" si="64"/>
        <v>116966</v>
      </c>
      <c r="G150" s="38">
        <v>100000</v>
      </c>
      <c r="H150" s="84">
        <v>8336</v>
      </c>
      <c r="I150" s="112">
        <f t="shared" si="65"/>
        <v>108336</v>
      </c>
      <c r="J150" s="74"/>
      <c r="K150" s="63"/>
      <c r="L150" s="74">
        <f t="shared" si="67"/>
        <v>0</v>
      </c>
      <c r="M150" s="223">
        <f t="shared" si="61"/>
        <v>0</v>
      </c>
      <c r="N150" s="223">
        <f t="shared" si="62"/>
        <v>0</v>
      </c>
      <c r="O150" s="223">
        <f t="shared" si="63"/>
        <v>0</v>
      </c>
      <c r="P150" s="223">
        <f t="shared" si="68"/>
        <v>0</v>
      </c>
    </row>
    <row r="151" spans="1:16" s="12" customFormat="1" ht="12.75" customHeight="1">
      <c r="A151" s="36" t="s">
        <v>2069</v>
      </c>
      <c r="B151" s="212" t="s">
        <v>2070</v>
      </c>
      <c r="C151" s="212" t="s">
        <v>2100</v>
      </c>
      <c r="D151" s="63"/>
      <c r="E151" s="63"/>
      <c r="F151" s="74"/>
      <c r="G151" s="38"/>
      <c r="H151" s="84">
        <v>17863</v>
      </c>
      <c r="I151" s="112">
        <f t="shared" si="65"/>
        <v>17863</v>
      </c>
      <c r="J151" s="74"/>
      <c r="K151" s="63"/>
      <c r="L151" s="74"/>
      <c r="M151" s="223" t="str">
        <f t="shared" si="61"/>
        <v/>
      </c>
      <c r="N151" s="223" t="str">
        <f t="shared" si="62"/>
        <v/>
      </c>
      <c r="O151" s="223" t="str">
        <f t="shared" si="63"/>
        <v/>
      </c>
      <c r="P151" s="223">
        <f t="shared" si="68"/>
        <v>0</v>
      </c>
    </row>
    <row r="152" spans="1:16" s="7" customFormat="1" ht="12.75" customHeight="1">
      <c r="A152" s="36" t="s">
        <v>791</v>
      </c>
      <c r="B152" s="212" t="s">
        <v>151</v>
      </c>
      <c r="C152" s="212" t="s">
        <v>1009</v>
      </c>
      <c r="D152" s="63"/>
      <c r="E152" s="63"/>
      <c r="F152" s="74">
        <f t="shared" si="64"/>
        <v>0</v>
      </c>
      <c r="G152" s="38">
        <v>33237650</v>
      </c>
      <c r="H152" s="38"/>
      <c r="I152" s="112">
        <f t="shared" si="65"/>
        <v>33237650</v>
      </c>
      <c r="J152" s="74"/>
      <c r="K152" s="63"/>
      <c r="L152" s="74">
        <f t="shared" si="67"/>
        <v>0</v>
      </c>
      <c r="M152" s="223" t="str">
        <f t="shared" si="61"/>
        <v/>
      </c>
      <c r="N152" s="223" t="str">
        <f t="shared" si="62"/>
        <v/>
      </c>
      <c r="O152" s="223">
        <f t="shared" si="63"/>
        <v>0</v>
      </c>
      <c r="P152" s="223">
        <f t="shared" si="68"/>
        <v>0</v>
      </c>
    </row>
    <row r="153" spans="1:16" s="7" customFormat="1" ht="6" customHeight="1">
      <c r="A153" s="36"/>
      <c r="B153" s="47"/>
      <c r="C153" s="212" t="s">
        <v>268</v>
      </c>
      <c r="D153" s="63"/>
      <c r="E153" s="63"/>
      <c r="F153" s="70"/>
      <c r="G153" s="38"/>
      <c r="H153" s="38"/>
      <c r="I153" s="84"/>
      <c r="J153" s="70"/>
      <c r="K153" s="63"/>
      <c r="L153" s="70"/>
      <c r="M153" s="224" t="str">
        <f t="shared" si="61"/>
        <v/>
      </c>
      <c r="N153" s="224" t="str">
        <f t="shared" si="62"/>
        <v/>
      </c>
      <c r="O153" s="224" t="str">
        <f t="shared" si="63"/>
        <v/>
      </c>
      <c r="P153" s="224" t="str">
        <f t="shared" si="57"/>
        <v/>
      </c>
    </row>
    <row r="154" spans="1:16" s="8" customFormat="1" ht="12.75">
      <c r="A154" s="58" t="s">
        <v>140</v>
      </c>
      <c r="B154" s="65" t="s">
        <v>265</v>
      </c>
      <c r="C154" s="308" t="s">
        <v>940</v>
      </c>
      <c r="D154" s="83">
        <f>SUM(D157:D164)</f>
        <v>4442411</v>
      </c>
      <c r="E154" s="83">
        <f>SUM(E156:E164)</f>
        <v>4863523</v>
      </c>
      <c r="F154" s="69">
        <f t="shared" ref="F154" si="69">SUM(D154:E154)</f>
        <v>9305934</v>
      </c>
      <c r="G154" s="121">
        <f>SUM(G157:G164)</f>
        <v>5245411</v>
      </c>
      <c r="H154" s="121">
        <f>SUM(H156:H164)</f>
        <v>5076169</v>
      </c>
      <c r="I154" s="115">
        <f t="shared" ref="I154:I163" si="70">SUM(G154:H154)</f>
        <v>10321580</v>
      </c>
      <c r="J154" s="69">
        <f>SUM(J157:J164)</f>
        <v>4380000</v>
      </c>
      <c r="K154" s="83">
        <f>SUM(K156:K164)</f>
        <v>5572203</v>
      </c>
      <c r="L154" s="69">
        <f t="shared" ref="L154" si="71">SUM(J154:K154)</f>
        <v>9952203</v>
      </c>
      <c r="M154" s="217">
        <f t="shared" si="61"/>
        <v>98.595109727578105</v>
      </c>
      <c r="N154" s="217">
        <f t="shared" si="62"/>
        <v>106.94469786697391</v>
      </c>
      <c r="O154" s="217">
        <f t="shared" si="63"/>
        <v>83.501559744317461</v>
      </c>
      <c r="P154" s="217">
        <f t="shared" si="57"/>
        <v>96.42131340356805</v>
      </c>
    </row>
    <row r="155" spans="1:16" s="3" customFormat="1" hidden="1">
      <c r="A155" s="36" t="s">
        <v>267</v>
      </c>
      <c r="B155" s="33"/>
      <c r="C155" s="211" t="s">
        <v>268</v>
      </c>
      <c r="D155" s="63">
        <f>SUM(D156:D163)</f>
        <v>4442411</v>
      </c>
      <c r="E155" s="63">
        <f>SUM(E156:E163)</f>
        <v>4863523</v>
      </c>
      <c r="F155" s="63">
        <f>SUM(D155:E155)</f>
        <v>9305934</v>
      </c>
      <c r="G155" s="38">
        <f>SUM(G156:G163)</f>
        <v>5245411</v>
      </c>
      <c r="H155" s="38">
        <f>SUM(H156:H163)</f>
        <v>5076169</v>
      </c>
      <c r="I155" s="38">
        <f t="shared" si="70"/>
        <v>10321580</v>
      </c>
      <c r="J155" s="63">
        <f>SUM(J156:J163)</f>
        <v>4380000</v>
      </c>
      <c r="K155" s="63">
        <f>SUM(K156:K163)</f>
        <v>5572203</v>
      </c>
      <c r="L155" s="63">
        <f>SUM(J155:K155)</f>
        <v>9952203</v>
      </c>
      <c r="M155" s="218">
        <f t="shared" si="61"/>
        <v>98.595109727578105</v>
      </c>
      <c r="N155" s="218">
        <f t="shared" si="62"/>
        <v>106.94469786697391</v>
      </c>
      <c r="O155" s="218">
        <f t="shared" si="63"/>
        <v>83.501559744317461</v>
      </c>
      <c r="P155" s="218">
        <f t="shared" si="57"/>
        <v>96.42131340356805</v>
      </c>
    </row>
    <row r="156" spans="1:16" s="3" customFormat="1" ht="12.75" customHeight="1">
      <c r="A156" s="36" t="s">
        <v>554</v>
      </c>
      <c r="B156" s="33">
        <v>0</v>
      </c>
      <c r="C156" s="211" t="s">
        <v>268</v>
      </c>
      <c r="D156" s="63"/>
      <c r="E156" s="63">
        <v>904842</v>
      </c>
      <c r="F156" s="48">
        <f t="shared" ref="F156:F159" si="72">SUM(D156:E156)</f>
        <v>904842</v>
      </c>
      <c r="G156" s="38"/>
      <c r="H156" s="38">
        <v>833623</v>
      </c>
      <c r="I156" s="85">
        <f t="shared" si="70"/>
        <v>833623</v>
      </c>
      <c r="J156" s="48"/>
      <c r="K156" s="63">
        <v>866787</v>
      </c>
      <c r="L156" s="48">
        <f t="shared" ref="L156:L159" si="73">SUM(J156:K156)</f>
        <v>866787</v>
      </c>
      <c r="M156" s="219" t="str">
        <f t="shared" si="61"/>
        <v/>
      </c>
      <c r="N156" s="219">
        <f t="shared" si="62"/>
        <v>95.794293368344967</v>
      </c>
      <c r="O156" s="219" t="str">
        <f t="shared" si="63"/>
        <v/>
      </c>
      <c r="P156" s="219">
        <f t="shared" si="57"/>
        <v>103.97829714391278</v>
      </c>
    </row>
    <row r="157" spans="1:16" s="3" customFormat="1" ht="12.75" customHeight="1">
      <c r="A157" s="36" t="s">
        <v>350</v>
      </c>
      <c r="B157" s="33" t="s">
        <v>629</v>
      </c>
      <c r="C157" s="211" t="s">
        <v>1010</v>
      </c>
      <c r="D157" s="48">
        <v>1200000</v>
      </c>
      <c r="E157" s="48">
        <v>1017947</v>
      </c>
      <c r="F157" s="48">
        <f t="shared" si="72"/>
        <v>2217947</v>
      </c>
      <c r="G157" s="85">
        <v>1200000</v>
      </c>
      <c r="H157" s="38">
        <v>1042029</v>
      </c>
      <c r="I157" s="85">
        <f t="shared" si="70"/>
        <v>2242029</v>
      </c>
      <c r="J157" s="48">
        <v>600000</v>
      </c>
      <c r="K157" s="48">
        <v>1114441</v>
      </c>
      <c r="L157" s="48">
        <f t="shared" si="73"/>
        <v>1714441</v>
      </c>
      <c r="M157" s="219">
        <f t="shared" si="61"/>
        <v>50</v>
      </c>
      <c r="N157" s="219">
        <f t="shared" si="62"/>
        <v>77.298555826627052</v>
      </c>
      <c r="O157" s="219">
        <f t="shared" si="63"/>
        <v>50</v>
      </c>
      <c r="P157" s="219">
        <f t="shared" ref="P157:P163" si="74">IF(I157&gt;0,IF(L157&gt;=0,L157/I157*100,""),"")</f>
        <v>76.468279402273566</v>
      </c>
    </row>
    <row r="158" spans="1:16" s="3" customFormat="1" ht="12.75" customHeight="1">
      <c r="A158" s="36" t="s">
        <v>323</v>
      </c>
      <c r="B158" s="33" t="s">
        <v>631</v>
      </c>
      <c r="C158" s="211" t="s">
        <v>1011</v>
      </c>
      <c r="D158" s="63">
        <v>1200000</v>
      </c>
      <c r="E158" s="63">
        <v>1017947</v>
      </c>
      <c r="F158" s="48">
        <f t="shared" si="72"/>
        <v>2217947</v>
      </c>
      <c r="G158" s="38">
        <v>1823000</v>
      </c>
      <c r="H158" s="38">
        <v>1056915</v>
      </c>
      <c r="I158" s="85">
        <f t="shared" si="70"/>
        <v>2879915</v>
      </c>
      <c r="J158" s="48">
        <v>2400000</v>
      </c>
      <c r="K158" s="63">
        <v>990614</v>
      </c>
      <c r="L158" s="48">
        <f t="shared" si="73"/>
        <v>3390614</v>
      </c>
      <c r="M158" s="219">
        <f t="shared" si="61"/>
        <v>200</v>
      </c>
      <c r="N158" s="219">
        <f t="shared" si="62"/>
        <v>152.87173228215102</v>
      </c>
      <c r="O158" s="219">
        <f t="shared" si="63"/>
        <v>131.65112452002194</v>
      </c>
      <c r="P158" s="219">
        <f t="shared" si="74"/>
        <v>117.73312754022254</v>
      </c>
    </row>
    <row r="159" spans="1:16" s="3" customFormat="1" ht="12.75" customHeight="1">
      <c r="A159" s="36" t="s">
        <v>351</v>
      </c>
      <c r="B159" s="33" t="s">
        <v>632</v>
      </c>
      <c r="C159" s="211" t="s">
        <v>1012</v>
      </c>
      <c r="D159" s="63">
        <v>1050000</v>
      </c>
      <c r="E159" s="63">
        <v>565526</v>
      </c>
      <c r="F159" s="48">
        <f t="shared" si="72"/>
        <v>1615526</v>
      </c>
      <c r="G159" s="38">
        <v>1050000</v>
      </c>
      <c r="H159" s="38">
        <v>595445</v>
      </c>
      <c r="I159" s="85">
        <f t="shared" si="70"/>
        <v>1645445</v>
      </c>
      <c r="J159" s="48">
        <v>600000</v>
      </c>
      <c r="K159" s="63">
        <v>619134</v>
      </c>
      <c r="L159" s="48">
        <f t="shared" si="73"/>
        <v>1219134</v>
      </c>
      <c r="M159" s="219">
        <f t="shared" si="61"/>
        <v>57.142857142857139</v>
      </c>
      <c r="N159" s="219">
        <f t="shared" si="62"/>
        <v>75.463595138673099</v>
      </c>
      <c r="O159" s="219">
        <f t="shared" si="63"/>
        <v>57.142857142857139</v>
      </c>
      <c r="P159" s="219">
        <f t="shared" si="74"/>
        <v>74.091446386843685</v>
      </c>
    </row>
    <row r="160" spans="1:16" s="3" customFormat="1" ht="12.75" customHeight="1">
      <c r="A160" s="36" t="s">
        <v>104</v>
      </c>
      <c r="B160" s="33" t="s">
        <v>105</v>
      </c>
      <c r="C160" s="211" t="s">
        <v>1014</v>
      </c>
      <c r="D160" s="63">
        <v>558486</v>
      </c>
      <c r="E160" s="63">
        <v>565526</v>
      </c>
      <c r="F160" s="48">
        <f>SUM(D160:E160)</f>
        <v>1124012</v>
      </c>
      <c r="G160" s="38">
        <v>708486</v>
      </c>
      <c r="H160" s="38">
        <v>714534</v>
      </c>
      <c r="I160" s="85">
        <f>SUM(G160:H160)</f>
        <v>1423020</v>
      </c>
      <c r="J160" s="48">
        <v>600000</v>
      </c>
      <c r="K160" s="63">
        <v>742960</v>
      </c>
      <c r="L160" s="48">
        <f>SUM(J160:K160)</f>
        <v>1342960</v>
      </c>
      <c r="M160" s="219">
        <f t="shared" si="61"/>
        <v>107.43331077233806</v>
      </c>
      <c r="N160" s="219">
        <f t="shared" si="62"/>
        <v>119.47915146813379</v>
      </c>
      <c r="O160" s="219">
        <f t="shared" si="63"/>
        <v>84.687629677932946</v>
      </c>
      <c r="P160" s="219">
        <f t="shared" si="74"/>
        <v>94.373937119646939</v>
      </c>
    </row>
    <row r="161" spans="1:16" s="3" customFormat="1" ht="12.75" customHeight="1">
      <c r="A161" s="36" t="s">
        <v>852</v>
      </c>
      <c r="B161" s="33" t="s">
        <v>853</v>
      </c>
      <c r="C161" s="211" t="s">
        <v>1015</v>
      </c>
      <c r="D161" s="63">
        <v>12500</v>
      </c>
      <c r="E161" s="63">
        <v>678630</v>
      </c>
      <c r="F161" s="48">
        <f>SUM(D161:E161)</f>
        <v>691130</v>
      </c>
      <c r="G161" s="38">
        <v>42500</v>
      </c>
      <c r="H161" s="38">
        <v>833623</v>
      </c>
      <c r="I161" s="85">
        <f>SUM(G161:H161)</f>
        <v>876123</v>
      </c>
      <c r="J161" s="48">
        <v>160000</v>
      </c>
      <c r="K161" s="63">
        <v>866787</v>
      </c>
      <c r="L161" s="48">
        <f>SUM(J161:K161)</f>
        <v>1026787</v>
      </c>
      <c r="M161" s="219">
        <f t="shared" si="61"/>
        <v>1280</v>
      </c>
      <c r="N161" s="219">
        <f t="shared" si="62"/>
        <v>148.56640574132217</v>
      </c>
      <c r="O161" s="219">
        <f t="shared" si="63"/>
        <v>376.47058823529409</v>
      </c>
      <c r="P161" s="219">
        <f t="shared" si="74"/>
        <v>117.19667215676337</v>
      </c>
    </row>
    <row r="162" spans="1:16" s="3" customFormat="1" ht="12.75" customHeight="1">
      <c r="A162" s="36" t="s">
        <v>2366</v>
      </c>
      <c r="B162" s="33" t="s">
        <v>2367</v>
      </c>
      <c r="C162" s="211" t="s">
        <v>2368</v>
      </c>
      <c r="D162" s="63"/>
      <c r="E162" s="63"/>
      <c r="F162" s="48"/>
      <c r="G162" s="38"/>
      <c r="H162" s="38"/>
      <c r="I162" s="85"/>
      <c r="J162" s="48">
        <v>20000</v>
      </c>
      <c r="K162" s="63">
        <v>371480</v>
      </c>
      <c r="L162" s="48">
        <f>SUM(J162:K162)</f>
        <v>391480</v>
      </c>
      <c r="M162" s="219" t="str">
        <f t="shared" si="61"/>
        <v/>
      </c>
      <c r="N162" s="219" t="str">
        <f t="shared" si="62"/>
        <v/>
      </c>
      <c r="O162" s="219" t="str">
        <f t="shared" si="63"/>
        <v/>
      </c>
      <c r="P162" s="219" t="str">
        <f t="shared" si="74"/>
        <v/>
      </c>
    </row>
    <row r="163" spans="1:16" s="3" customFormat="1" ht="12.75" customHeight="1">
      <c r="A163" s="36" t="s">
        <v>106</v>
      </c>
      <c r="B163" s="211" t="s">
        <v>84</v>
      </c>
      <c r="C163" s="211" t="s">
        <v>1013</v>
      </c>
      <c r="D163" s="63">
        <v>421425</v>
      </c>
      <c r="E163" s="63">
        <v>113105</v>
      </c>
      <c r="F163" s="48">
        <f>SUM(D163:E163)</f>
        <v>534530</v>
      </c>
      <c r="G163" s="38">
        <v>421425</v>
      </c>
      <c r="H163" s="38">
        <v>0</v>
      </c>
      <c r="I163" s="85">
        <f t="shared" si="70"/>
        <v>421425</v>
      </c>
      <c r="J163" s="48"/>
      <c r="K163" s="63"/>
      <c r="L163" s="48">
        <f>SUM(J163:K163)</f>
        <v>0</v>
      </c>
      <c r="M163" s="219">
        <f t="shared" si="61"/>
        <v>0</v>
      </c>
      <c r="N163" s="219">
        <f t="shared" si="62"/>
        <v>0</v>
      </c>
      <c r="O163" s="219">
        <f t="shared" si="63"/>
        <v>0</v>
      </c>
      <c r="P163" s="219">
        <f t="shared" si="74"/>
        <v>0</v>
      </c>
    </row>
    <row r="164" spans="1:16" s="3" customFormat="1" ht="6" customHeight="1">
      <c r="A164" s="36"/>
      <c r="B164" s="33"/>
      <c r="C164" s="211" t="s">
        <v>268</v>
      </c>
      <c r="D164" s="63"/>
      <c r="E164" s="63"/>
      <c r="F164" s="48"/>
      <c r="G164" s="38"/>
      <c r="H164" s="38"/>
      <c r="I164" s="85"/>
      <c r="J164" s="48"/>
      <c r="K164" s="63"/>
      <c r="L164" s="48"/>
      <c r="M164" s="219" t="str">
        <f t="shared" si="61"/>
        <v/>
      </c>
      <c r="N164" s="219" t="str">
        <f t="shared" si="62"/>
        <v/>
      </c>
      <c r="O164" s="219" t="str">
        <f t="shared" si="63"/>
        <v/>
      </c>
      <c r="P164" s="219" t="str">
        <f t="shared" ref="P164:P171" si="75">IF(I164&gt;0,IF(L164&gt;=0,L164/I164*100,""),"")</f>
        <v/>
      </c>
    </row>
    <row r="165" spans="1:16" s="16" customFormat="1" ht="12.75">
      <c r="A165" s="72" t="s">
        <v>51</v>
      </c>
      <c r="B165" s="66" t="s">
        <v>265</v>
      </c>
      <c r="C165" s="311" t="s">
        <v>940</v>
      </c>
      <c r="D165" s="69">
        <f>SUM(D167:D174)</f>
        <v>6762452</v>
      </c>
      <c r="E165" s="69">
        <f>SUM(E167:E174)</f>
        <v>3619366</v>
      </c>
      <c r="F165" s="69">
        <f>SUM(D165:E165)</f>
        <v>10381818</v>
      </c>
      <c r="G165" s="115">
        <f>SUM(G167:G174)</f>
        <v>9017452</v>
      </c>
      <c r="H165" s="115">
        <f>SUM(H167:H174)</f>
        <v>3721531</v>
      </c>
      <c r="I165" s="115">
        <f t="shared" ref="I165:I174" si="76">SUM(G165:H165)</f>
        <v>12738983</v>
      </c>
      <c r="J165" s="69">
        <f>SUM(J167:J174)</f>
        <v>9820000</v>
      </c>
      <c r="K165" s="69">
        <f>SUM(K167:K174)</f>
        <v>4086282</v>
      </c>
      <c r="L165" s="69">
        <f>SUM(J165:K165)</f>
        <v>13906282</v>
      </c>
      <c r="M165" s="217">
        <f t="shared" si="61"/>
        <v>145.21360003738289</v>
      </c>
      <c r="N165" s="217">
        <f t="shared" si="62"/>
        <v>133.94842791503376</v>
      </c>
      <c r="O165" s="217">
        <f t="shared" si="63"/>
        <v>108.89994202353392</v>
      </c>
      <c r="P165" s="217">
        <f t="shared" si="75"/>
        <v>109.16320400144971</v>
      </c>
    </row>
    <row r="166" spans="1:16" s="16" customFormat="1" ht="12.75" customHeight="1">
      <c r="A166" s="46" t="s">
        <v>267</v>
      </c>
      <c r="B166" s="44"/>
      <c r="C166" s="304" t="s">
        <v>268</v>
      </c>
      <c r="D166" s="73">
        <f>SUM(D167:D173)</f>
        <v>6762452</v>
      </c>
      <c r="E166" s="73">
        <f>SUM(E167:E173)</f>
        <v>3619366</v>
      </c>
      <c r="F166" s="73">
        <f>SUM(D166:E166)</f>
        <v>10381818</v>
      </c>
      <c r="G166" s="194">
        <f>SUM(G167:G173)</f>
        <v>8922452</v>
      </c>
      <c r="H166" s="194">
        <f>SUM(H167:H173)</f>
        <v>3721531</v>
      </c>
      <c r="I166" s="194">
        <f t="shared" si="76"/>
        <v>12643983</v>
      </c>
      <c r="J166" s="73">
        <f>SUM(J167:J173)</f>
        <v>9820000</v>
      </c>
      <c r="K166" s="73">
        <f>SUM(K167:K173)</f>
        <v>4086282</v>
      </c>
      <c r="L166" s="73">
        <f t="shared" ref="L166" si="77">SUM(J166:K166)</f>
        <v>13906282</v>
      </c>
      <c r="M166" s="222">
        <f t="shared" si="61"/>
        <v>145.21360003738289</v>
      </c>
      <c r="N166" s="222">
        <f t="shared" si="62"/>
        <v>133.94842791503376</v>
      </c>
      <c r="O166" s="222">
        <f t="shared" si="63"/>
        <v>110.0594320933304</v>
      </c>
      <c r="P166" s="222">
        <f t="shared" si="75"/>
        <v>109.9833968457566</v>
      </c>
    </row>
    <row r="167" spans="1:16" s="16" customFormat="1" ht="12.75" customHeight="1">
      <c r="A167" s="36" t="s">
        <v>554</v>
      </c>
      <c r="B167" s="33">
        <v>0</v>
      </c>
      <c r="C167" s="211" t="s">
        <v>268</v>
      </c>
      <c r="D167" s="70"/>
      <c r="E167" s="70">
        <v>678631</v>
      </c>
      <c r="F167" s="74">
        <f t="shared" ref="F167:F168" si="78">SUM(D167:E167)</f>
        <v>678631</v>
      </c>
      <c r="G167" s="84"/>
      <c r="H167" s="84">
        <v>714534</v>
      </c>
      <c r="I167" s="112">
        <f t="shared" si="76"/>
        <v>714534</v>
      </c>
      <c r="J167" s="74"/>
      <c r="K167" s="70">
        <v>742960</v>
      </c>
      <c r="L167" s="74">
        <f t="shared" ref="L167" si="79">SUM(J167:K167)</f>
        <v>742960</v>
      </c>
      <c r="M167" s="223" t="str">
        <f t="shared" si="61"/>
        <v/>
      </c>
      <c r="N167" s="223">
        <f t="shared" si="62"/>
        <v>109.47923098119597</v>
      </c>
      <c r="O167" s="223" t="str">
        <f t="shared" si="63"/>
        <v/>
      </c>
      <c r="P167" s="223">
        <f t="shared" si="75"/>
        <v>103.97825715781195</v>
      </c>
    </row>
    <row r="168" spans="1:16" s="16" customFormat="1" ht="12.75" customHeight="1">
      <c r="A168" s="36" t="s">
        <v>705</v>
      </c>
      <c r="B168" s="33" t="s">
        <v>706</v>
      </c>
      <c r="C168" s="211" t="s">
        <v>1016</v>
      </c>
      <c r="D168" s="63"/>
      <c r="E168" s="63">
        <v>565526</v>
      </c>
      <c r="F168" s="74">
        <f t="shared" si="78"/>
        <v>565526</v>
      </c>
      <c r="G168" s="38"/>
      <c r="H168" s="84">
        <v>595445</v>
      </c>
      <c r="I168" s="112">
        <f t="shared" si="76"/>
        <v>595445</v>
      </c>
      <c r="J168" s="74"/>
      <c r="K168" s="63">
        <v>588177</v>
      </c>
      <c r="L168" s="74">
        <f t="shared" ref="L168" si="80">SUM(J168:K168)</f>
        <v>588177</v>
      </c>
      <c r="M168" s="223" t="str">
        <f t="shared" si="61"/>
        <v/>
      </c>
      <c r="N168" s="223">
        <f t="shared" si="62"/>
        <v>104.00529772282796</v>
      </c>
      <c r="O168" s="223" t="str">
        <f t="shared" si="63"/>
        <v/>
      </c>
      <c r="P168" s="223">
        <f t="shared" si="75"/>
        <v>98.779400280462511</v>
      </c>
    </row>
    <row r="169" spans="1:16" s="16" customFormat="1" ht="12.75" customHeight="1">
      <c r="A169" s="36" t="s">
        <v>844</v>
      </c>
      <c r="B169" s="33" t="s">
        <v>845</v>
      </c>
      <c r="C169" s="211" t="s">
        <v>1018</v>
      </c>
      <c r="D169" s="63">
        <v>4130852</v>
      </c>
      <c r="E169" s="63">
        <v>1215880</v>
      </c>
      <c r="F169" s="70">
        <f>SUM(D169:E169)</f>
        <v>5346732</v>
      </c>
      <c r="G169" s="38">
        <v>5790852</v>
      </c>
      <c r="H169" s="84">
        <v>1250435</v>
      </c>
      <c r="I169" s="84">
        <f t="shared" si="76"/>
        <v>7041287</v>
      </c>
      <c r="J169" s="70">
        <v>6220000</v>
      </c>
      <c r="K169" s="63">
        <v>1300181</v>
      </c>
      <c r="L169" s="70">
        <f>SUM(J169:K169)</f>
        <v>7520181</v>
      </c>
      <c r="M169" s="224">
        <f t="shared" si="61"/>
        <v>150.57426409854432</v>
      </c>
      <c r="N169" s="224">
        <f t="shared" si="62"/>
        <v>140.65004567275861</v>
      </c>
      <c r="O169" s="224">
        <f t="shared" si="63"/>
        <v>107.4107920561603</v>
      </c>
      <c r="P169" s="224">
        <f t="shared" si="75"/>
        <v>106.80122824137122</v>
      </c>
    </row>
    <row r="170" spans="1:16" s="16" customFormat="1" ht="12.75" customHeight="1">
      <c r="A170" s="36" t="s">
        <v>846</v>
      </c>
      <c r="B170" s="33" t="s">
        <v>847</v>
      </c>
      <c r="C170" s="211" t="s">
        <v>1019</v>
      </c>
      <c r="D170" s="63">
        <v>855000</v>
      </c>
      <c r="E170" s="63">
        <v>1046223</v>
      </c>
      <c r="F170" s="70">
        <f>SUM(D170:E170)</f>
        <v>1901223</v>
      </c>
      <c r="G170" s="38">
        <v>763100</v>
      </c>
      <c r="H170" s="84">
        <v>1101573</v>
      </c>
      <c r="I170" s="84">
        <f t="shared" si="76"/>
        <v>1864673</v>
      </c>
      <c r="J170" s="70">
        <v>2080000</v>
      </c>
      <c r="K170" s="63">
        <v>1331137</v>
      </c>
      <c r="L170" s="70">
        <f>SUM(J170:K170)</f>
        <v>3411137</v>
      </c>
      <c r="M170" s="224">
        <f t="shared" si="61"/>
        <v>243.27485380116957</v>
      </c>
      <c r="N170" s="224">
        <f t="shared" si="62"/>
        <v>179.41803775780116</v>
      </c>
      <c r="O170" s="224">
        <f t="shared" si="63"/>
        <v>272.57240204429303</v>
      </c>
      <c r="P170" s="224">
        <f t="shared" si="75"/>
        <v>182.93486311004662</v>
      </c>
    </row>
    <row r="171" spans="1:16" s="16" customFormat="1" ht="12.75" customHeight="1">
      <c r="A171" s="36" t="s">
        <v>878</v>
      </c>
      <c r="B171" s="33" t="s">
        <v>877</v>
      </c>
      <c r="C171" s="211" t="s">
        <v>1020</v>
      </c>
      <c r="D171" s="63">
        <v>1700000</v>
      </c>
      <c r="E171" s="63">
        <v>56553</v>
      </c>
      <c r="F171" s="70">
        <f>SUM(D171:E171)</f>
        <v>1756553</v>
      </c>
      <c r="G171" s="38">
        <v>2205000</v>
      </c>
      <c r="H171" s="84">
        <v>59544</v>
      </c>
      <c r="I171" s="84">
        <f t="shared" si="76"/>
        <v>2264544</v>
      </c>
      <c r="J171" s="70">
        <v>1520000</v>
      </c>
      <c r="K171" s="63">
        <v>123827</v>
      </c>
      <c r="L171" s="70">
        <f>SUM(J171:K171)</f>
        <v>1643827</v>
      </c>
      <c r="M171" s="224">
        <f t="shared" si="61"/>
        <v>89.411764705882362</v>
      </c>
      <c r="N171" s="224">
        <f t="shared" si="62"/>
        <v>93.582544904708257</v>
      </c>
      <c r="O171" s="224">
        <f t="shared" si="63"/>
        <v>68.934240362811792</v>
      </c>
      <c r="P171" s="224">
        <f t="shared" si="75"/>
        <v>72.589757584749961</v>
      </c>
    </row>
    <row r="172" spans="1:16" s="16" customFormat="1" ht="12.75" customHeight="1">
      <c r="A172" s="36" t="s">
        <v>103</v>
      </c>
      <c r="B172" s="211" t="s">
        <v>100</v>
      </c>
      <c r="C172" s="211" t="s">
        <v>1017</v>
      </c>
      <c r="D172" s="63">
        <v>76600</v>
      </c>
      <c r="E172" s="63">
        <v>56553</v>
      </c>
      <c r="F172" s="70">
        <f>SUM(D172:E172)</f>
        <v>133153</v>
      </c>
      <c r="G172" s="38">
        <v>76600</v>
      </c>
      <c r="H172" s="84">
        <v>0</v>
      </c>
      <c r="I172" s="84">
        <f>SUM(G172:H172)</f>
        <v>76600</v>
      </c>
      <c r="J172" s="70"/>
      <c r="K172" s="63"/>
      <c r="L172" s="70">
        <f>SUM(J172:K172)</f>
        <v>0</v>
      </c>
      <c r="M172" s="224">
        <f t="shared" si="61"/>
        <v>0</v>
      </c>
      <c r="N172" s="224">
        <f t="shared" si="62"/>
        <v>0</v>
      </c>
      <c r="O172" s="224">
        <f t="shared" si="63"/>
        <v>0</v>
      </c>
      <c r="P172" s="224">
        <f>IF(I172&gt;0,IF(L172&gt;=0,L172/I172*100,""),"")</f>
        <v>0</v>
      </c>
    </row>
    <row r="173" spans="1:16" s="16" customFormat="1" ht="12.75" customHeight="1">
      <c r="A173" s="36" t="s">
        <v>2069</v>
      </c>
      <c r="B173" s="211" t="s">
        <v>2070</v>
      </c>
      <c r="C173" s="211" t="s">
        <v>2101</v>
      </c>
      <c r="D173" s="63"/>
      <c r="E173" s="63"/>
      <c r="F173" s="70"/>
      <c r="G173" s="38">
        <v>86900</v>
      </c>
      <c r="H173" s="38"/>
      <c r="I173" s="84">
        <f>SUM(G173:H173)</f>
        <v>86900</v>
      </c>
      <c r="J173" s="70"/>
      <c r="K173" s="63"/>
      <c r="L173" s="70"/>
      <c r="M173" s="224" t="str">
        <f t="shared" si="61"/>
        <v/>
      </c>
      <c r="N173" s="224" t="str">
        <f t="shared" si="62"/>
        <v/>
      </c>
      <c r="O173" s="224">
        <f t="shared" si="63"/>
        <v>0</v>
      </c>
      <c r="P173" s="224"/>
    </row>
    <row r="174" spans="1:16" s="16" customFormat="1" ht="12.75" customHeight="1">
      <c r="A174" s="36" t="s">
        <v>791</v>
      </c>
      <c r="B174" s="211" t="s">
        <v>151</v>
      </c>
      <c r="C174" s="211" t="s">
        <v>1021</v>
      </c>
      <c r="D174" s="63"/>
      <c r="E174" s="63"/>
      <c r="F174" s="70"/>
      <c r="G174" s="38">
        <v>95000</v>
      </c>
      <c r="H174" s="38"/>
      <c r="I174" s="84">
        <f t="shared" si="76"/>
        <v>95000</v>
      </c>
      <c r="J174" s="74"/>
      <c r="K174" s="63"/>
      <c r="L174" s="74">
        <f t="shared" ref="L174" si="81">SUM(J174:K174)</f>
        <v>0</v>
      </c>
      <c r="M174" s="223" t="str">
        <f t="shared" si="61"/>
        <v/>
      </c>
      <c r="N174" s="223" t="str">
        <f t="shared" si="62"/>
        <v/>
      </c>
      <c r="O174" s="223">
        <f t="shared" si="63"/>
        <v>0</v>
      </c>
      <c r="P174" s="223">
        <f t="shared" ref="P174:P185" si="82">IF(I174&gt;0,IF(L174&gt;=0,L174/I174*100,""),"")</f>
        <v>0</v>
      </c>
    </row>
    <row r="175" spans="1:16" s="16" customFormat="1" ht="6" customHeight="1">
      <c r="A175" s="36"/>
      <c r="B175" s="33"/>
      <c r="C175" s="211" t="s">
        <v>268</v>
      </c>
      <c r="D175" s="38"/>
      <c r="E175" s="38"/>
      <c r="F175" s="38"/>
      <c r="G175" s="38"/>
      <c r="H175" s="38"/>
      <c r="I175" s="38"/>
      <c r="J175" s="38"/>
      <c r="K175" s="38"/>
      <c r="L175" s="38"/>
      <c r="M175" s="223" t="str">
        <f t="shared" si="61"/>
        <v/>
      </c>
      <c r="N175" s="223" t="str">
        <f t="shared" si="62"/>
        <v/>
      </c>
      <c r="O175" s="223" t="str">
        <f t="shared" si="63"/>
        <v/>
      </c>
      <c r="P175" s="223" t="str">
        <f t="shared" si="82"/>
        <v/>
      </c>
    </row>
    <row r="176" spans="1:16" s="8" customFormat="1" ht="12.75">
      <c r="A176" s="58" t="s">
        <v>278</v>
      </c>
      <c r="B176" s="78" t="s">
        <v>265</v>
      </c>
      <c r="C176" s="301" t="s">
        <v>940</v>
      </c>
      <c r="D176" s="69">
        <f>SUM(D178:D191)</f>
        <v>458546620</v>
      </c>
      <c r="E176" s="69">
        <f>SUM(E178:E191)</f>
        <v>7804258</v>
      </c>
      <c r="F176" s="69">
        <f t="shared" ref="F176:F192" si="83">SUM(D176:E176)</f>
        <v>466350878</v>
      </c>
      <c r="G176" s="115">
        <f>SUM(G178:G191)</f>
        <v>505126649</v>
      </c>
      <c r="H176" s="115">
        <f>SUM(H178:H191)</f>
        <v>8559522</v>
      </c>
      <c r="I176" s="115">
        <f t="shared" ref="I176:I199" si="84">SUM(G176:H176)</f>
        <v>513686171</v>
      </c>
      <c r="J176" s="69">
        <f>SUM(J178:J191)</f>
        <v>592794280</v>
      </c>
      <c r="K176" s="69">
        <f>SUM(K178:K191)</f>
        <v>9658485</v>
      </c>
      <c r="L176" s="69">
        <f t="shared" ref="L176:L177" si="85">SUM(J176:K176)</f>
        <v>602452765</v>
      </c>
      <c r="M176" s="217">
        <f t="shared" si="61"/>
        <v>129.27677451858656</v>
      </c>
      <c r="N176" s="217">
        <f t="shared" si="62"/>
        <v>129.18443888938063</v>
      </c>
      <c r="O176" s="217">
        <f t="shared" si="63"/>
        <v>117.35557432448987</v>
      </c>
      <c r="P176" s="217">
        <f t="shared" si="82"/>
        <v>117.28031607843303</v>
      </c>
    </row>
    <row r="177" spans="1:16" s="11" customFormat="1" ht="12.75" customHeight="1">
      <c r="A177" s="46" t="s">
        <v>267</v>
      </c>
      <c r="B177" s="47"/>
      <c r="C177" s="212" t="s">
        <v>268</v>
      </c>
      <c r="D177" s="70">
        <f>SUM(D178:D190)</f>
        <v>458546620</v>
      </c>
      <c r="E177" s="70">
        <f>SUM(E178:E190)</f>
        <v>7804258</v>
      </c>
      <c r="F177" s="70">
        <f>SUM(D177:E177)</f>
        <v>466350878</v>
      </c>
      <c r="G177" s="84">
        <f>SUM(G178:G190)</f>
        <v>502727028</v>
      </c>
      <c r="H177" s="84">
        <f>SUM(H178:H190)</f>
        <v>8559522</v>
      </c>
      <c r="I177" s="84">
        <f t="shared" si="84"/>
        <v>511286550</v>
      </c>
      <c r="J177" s="70">
        <f>SUM(J178:J190)</f>
        <v>592794280</v>
      </c>
      <c r="K177" s="70">
        <f>SUM(K178:K190)</f>
        <v>9658485</v>
      </c>
      <c r="L177" s="70">
        <f t="shared" si="85"/>
        <v>602452765</v>
      </c>
      <c r="M177" s="224">
        <f t="shared" si="61"/>
        <v>129.27677451858656</v>
      </c>
      <c r="N177" s="224">
        <f t="shared" si="62"/>
        <v>129.18443888938063</v>
      </c>
      <c r="O177" s="224">
        <f t="shared" si="63"/>
        <v>117.9157369672991</v>
      </c>
      <c r="P177" s="224">
        <f t="shared" si="82"/>
        <v>117.83074774800941</v>
      </c>
    </row>
    <row r="178" spans="1:16" s="11" customFormat="1" ht="12.75" customHeight="1">
      <c r="A178" s="46" t="s">
        <v>554</v>
      </c>
      <c r="B178" s="47">
        <v>0</v>
      </c>
      <c r="C178" s="212" t="s">
        <v>268</v>
      </c>
      <c r="D178" s="70"/>
      <c r="E178" s="70">
        <v>848289</v>
      </c>
      <c r="F178" s="70">
        <f t="shared" si="83"/>
        <v>848289</v>
      </c>
      <c r="G178" s="84"/>
      <c r="H178" s="84">
        <v>887213</v>
      </c>
      <c r="I178" s="84">
        <f t="shared" si="84"/>
        <v>887213</v>
      </c>
      <c r="J178" s="70"/>
      <c r="K178" s="70">
        <v>922509</v>
      </c>
      <c r="L178" s="70">
        <f t="shared" ref="L178:L190" si="86">SUM(J178:K178)</f>
        <v>922509</v>
      </c>
      <c r="M178" s="224" t="str">
        <f t="shared" si="61"/>
        <v/>
      </c>
      <c r="N178" s="224">
        <f t="shared" si="62"/>
        <v>108.74937668648303</v>
      </c>
      <c r="O178" s="224" t="str">
        <f t="shared" si="63"/>
        <v/>
      </c>
      <c r="P178" s="224">
        <f t="shared" si="82"/>
        <v>103.978300588472</v>
      </c>
    </row>
    <row r="179" spans="1:16" s="11" customFormat="1" ht="12.75" customHeight="1">
      <c r="A179" s="46" t="s">
        <v>381</v>
      </c>
      <c r="B179" s="47" t="s">
        <v>469</v>
      </c>
      <c r="C179" s="212" t="s">
        <v>1022</v>
      </c>
      <c r="D179" s="70">
        <v>462000</v>
      </c>
      <c r="E179" s="70">
        <v>2482659</v>
      </c>
      <c r="F179" s="70">
        <f t="shared" si="83"/>
        <v>2944659</v>
      </c>
      <c r="G179" s="84">
        <v>634192</v>
      </c>
      <c r="H179" s="84">
        <v>2372848</v>
      </c>
      <c r="I179" s="84">
        <f t="shared" si="84"/>
        <v>3007040</v>
      </c>
      <c r="J179" s="70">
        <v>7562000</v>
      </c>
      <c r="K179" s="70">
        <v>2854206</v>
      </c>
      <c r="L179" s="70">
        <f t="shared" si="86"/>
        <v>10416206</v>
      </c>
      <c r="M179" s="224">
        <f t="shared" si="61"/>
        <v>1636.7965367965369</v>
      </c>
      <c r="N179" s="224">
        <f t="shared" si="62"/>
        <v>353.73216389401966</v>
      </c>
      <c r="O179" s="224">
        <f t="shared" si="63"/>
        <v>1192.3833791659308</v>
      </c>
      <c r="P179" s="224">
        <f t="shared" si="82"/>
        <v>346.39399542407153</v>
      </c>
    </row>
    <row r="180" spans="1:16" s="11" customFormat="1" ht="12.75" customHeight="1">
      <c r="A180" s="46" t="s">
        <v>382</v>
      </c>
      <c r="B180" s="47" t="s">
        <v>472</v>
      </c>
      <c r="C180" s="212" t="s">
        <v>1023</v>
      </c>
      <c r="D180" s="70">
        <f>385000+650000</f>
        <v>1035000</v>
      </c>
      <c r="E180" s="70">
        <v>723873</v>
      </c>
      <c r="F180" s="70">
        <f t="shared" si="83"/>
        <v>1758873</v>
      </c>
      <c r="G180" s="84">
        <v>270000</v>
      </c>
      <c r="H180" s="84">
        <v>756215</v>
      </c>
      <c r="I180" s="84">
        <f t="shared" si="84"/>
        <v>1026215</v>
      </c>
      <c r="J180" s="70">
        <f>385000+100000</f>
        <v>485000</v>
      </c>
      <c r="K180" s="70">
        <v>910126</v>
      </c>
      <c r="L180" s="70">
        <f t="shared" si="86"/>
        <v>1395126</v>
      </c>
      <c r="M180" s="224">
        <f t="shared" si="61"/>
        <v>46.859903381642518</v>
      </c>
      <c r="N180" s="224">
        <f t="shared" si="62"/>
        <v>79.319314128990541</v>
      </c>
      <c r="O180" s="224">
        <f t="shared" si="63"/>
        <v>179.62962962962962</v>
      </c>
      <c r="P180" s="224">
        <f t="shared" si="82"/>
        <v>135.94870470612884</v>
      </c>
    </row>
    <row r="181" spans="1:16" s="11" customFormat="1" ht="12.75" customHeight="1">
      <c r="A181" s="341" t="s">
        <v>2481</v>
      </c>
      <c r="B181" s="47"/>
      <c r="C181" s="212"/>
      <c r="D181" s="70"/>
      <c r="E181" s="70"/>
      <c r="F181" s="70"/>
      <c r="G181" s="84"/>
      <c r="H181" s="84"/>
      <c r="I181" s="84"/>
      <c r="J181" s="70"/>
      <c r="K181" s="70"/>
      <c r="L181" s="70"/>
      <c r="M181" s="224"/>
      <c r="N181" s="224"/>
      <c r="O181" s="224"/>
      <c r="P181" s="224"/>
    </row>
    <row r="182" spans="1:16" s="11" customFormat="1" ht="12.75" customHeight="1">
      <c r="A182" s="46" t="s">
        <v>383</v>
      </c>
      <c r="B182" s="47" t="s">
        <v>471</v>
      </c>
      <c r="C182" s="212" t="s">
        <v>1024</v>
      </c>
      <c r="D182" s="70">
        <v>1891100</v>
      </c>
      <c r="E182" s="70">
        <v>107450</v>
      </c>
      <c r="F182" s="70">
        <f t="shared" si="83"/>
        <v>1998550</v>
      </c>
      <c r="G182" s="84">
        <v>2802890</v>
      </c>
      <c r="H182" s="84">
        <v>59545</v>
      </c>
      <c r="I182" s="84">
        <f t="shared" si="84"/>
        <v>2862435</v>
      </c>
      <c r="J182" s="70">
        <v>1719700</v>
      </c>
      <c r="K182" s="70">
        <v>61913</v>
      </c>
      <c r="L182" s="70">
        <f t="shared" si="86"/>
        <v>1781613</v>
      </c>
      <c r="M182" s="224">
        <f t="shared" si="61"/>
        <v>90.936491988789598</v>
      </c>
      <c r="N182" s="224">
        <f t="shared" si="62"/>
        <v>89.145280328237973</v>
      </c>
      <c r="O182" s="224">
        <f t="shared" si="63"/>
        <v>61.354530502445691</v>
      </c>
      <c r="P182" s="224">
        <f t="shared" si="82"/>
        <v>62.241168795099277</v>
      </c>
    </row>
    <row r="183" spans="1:16" s="11" customFormat="1" ht="24">
      <c r="A183" s="46" t="s">
        <v>384</v>
      </c>
      <c r="B183" s="47" t="s">
        <v>470</v>
      </c>
      <c r="C183" s="212" t="s">
        <v>1025</v>
      </c>
      <c r="D183" s="70">
        <v>438619120</v>
      </c>
      <c r="E183" s="70">
        <v>1809683</v>
      </c>
      <c r="F183" s="70">
        <f t="shared" si="83"/>
        <v>440428803</v>
      </c>
      <c r="G183" s="84">
        <v>465593756</v>
      </c>
      <c r="H183" s="84">
        <v>2024513</v>
      </c>
      <c r="I183" s="84">
        <f t="shared" si="84"/>
        <v>467618269</v>
      </c>
      <c r="J183" s="70">
        <v>553374240</v>
      </c>
      <c r="K183" s="70">
        <v>2105054</v>
      </c>
      <c r="L183" s="70">
        <f t="shared" si="86"/>
        <v>555479294</v>
      </c>
      <c r="M183" s="224">
        <f t="shared" si="61"/>
        <v>126.16281752605769</v>
      </c>
      <c r="N183" s="224">
        <f t="shared" si="62"/>
        <v>126.12238123763217</v>
      </c>
      <c r="O183" s="224">
        <f t="shared" si="63"/>
        <v>118.85344957246377</v>
      </c>
      <c r="P183" s="224">
        <f t="shared" si="82"/>
        <v>118.78904885129712</v>
      </c>
    </row>
    <row r="184" spans="1:16" s="11" customFormat="1" ht="12.75" customHeight="1">
      <c r="A184" s="46" t="s">
        <v>239</v>
      </c>
      <c r="B184" s="47" t="s">
        <v>468</v>
      </c>
      <c r="C184" s="212" t="s">
        <v>1026</v>
      </c>
      <c r="D184" s="70">
        <f>7197800-455400</f>
        <v>6742400</v>
      </c>
      <c r="E184" s="70">
        <v>701252</v>
      </c>
      <c r="F184" s="70">
        <f t="shared" si="83"/>
        <v>7443652</v>
      </c>
      <c r="G184" s="84">
        <v>4798179</v>
      </c>
      <c r="H184" s="84">
        <v>714534</v>
      </c>
      <c r="I184" s="84">
        <f t="shared" si="84"/>
        <v>5512713</v>
      </c>
      <c r="J184" s="70">
        <v>6723200</v>
      </c>
      <c r="K184" s="70">
        <v>767726</v>
      </c>
      <c r="L184" s="70">
        <f t="shared" si="86"/>
        <v>7490926</v>
      </c>
      <c r="M184" s="224">
        <f t="shared" si="61"/>
        <v>99.715234931181769</v>
      </c>
      <c r="N184" s="224">
        <f t="shared" si="62"/>
        <v>100.63509148466372</v>
      </c>
      <c r="O184" s="224">
        <f t="shared" si="63"/>
        <v>140.11982462513384</v>
      </c>
      <c r="P184" s="224">
        <f t="shared" si="82"/>
        <v>135.884563553372</v>
      </c>
    </row>
    <row r="185" spans="1:16" s="11" customFormat="1" ht="12.75" customHeight="1">
      <c r="A185" s="46" t="s">
        <v>795</v>
      </c>
      <c r="B185" s="47" t="s">
        <v>796</v>
      </c>
      <c r="C185" s="212" t="s">
        <v>1027</v>
      </c>
      <c r="D185" s="70">
        <f>8538000+1259000</f>
        <v>9797000</v>
      </c>
      <c r="E185" s="70">
        <v>1131052</v>
      </c>
      <c r="F185" s="70">
        <f t="shared" si="83"/>
        <v>10928052</v>
      </c>
      <c r="G185" s="84">
        <v>4013262</v>
      </c>
      <c r="H185" s="84">
        <v>1268298</v>
      </c>
      <c r="I185" s="84">
        <f t="shared" si="84"/>
        <v>5281560</v>
      </c>
      <c r="J185" s="70">
        <v>18482900</v>
      </c>
      <c r="K185" s="70">
        <v>1541644</v>
      </c>
      <c r="L185" s="70">
        <f t="shared" si="86"/>
        <v>20024544</v>
      </c>
      <c r="M185" s="224">
        <f t="shared" si="61"/>
        <v>188.65877309380423</v>
      </c>
      <c r="N185" s="224">
        <f t="shared" si="62"/>
        <v>183.23983084999961</v>
      </c>
      <c r="O185" s="224">
        <f t="shared" si="63"/>
        <v>460.54556119186839</v>
      </c>
      <c r="P185" s="224">
        <f t="shared" si="82"/>
        <v>379.14070842705564</v>
      </c>
    </row>
    <row r="186" spans="1:16" s="11" customFormat="1" ht="12.75" customHeight="1">
      <c r="A186" s="46" t="s">
        <v>148</v>
      </c>
      <c r="B186" s="47" t="s">
        <v>771</v>
      </c>
      <c r="C186" s="212" t="s">
        <v>2102</v>
      </c>
      <c r="D186" s="70"/>
      <c r="E186" s="70"/>
      <c r="F186" s="70"/>
      <c r="G186" s="84">
        <v>2002000</v>
      </c>
      <c r="H186" s="84">
        <v>476356</v>
      </c>
      <c r="I186" s="84">
        <f t="shared" si="84"/>
        <v>2478356</v>
      </c>
      <c r="J186" s="70">
        <v>1300000</v>
      </c>
      <c r="K186" s="70">
        <v>495307</v>
      </c>
      <c r="L186" s="70">
        <f t="shared" si="86"/>
        <v>1795307</v>
      </c>
      <c r="M186" s="224" t="str">
        <f t="shared" si="61"/>
        <v/>
      </c>
      <c r="N186" s="224" t="str">
        <f t="shared" si="62"/>
        <v/>
      </c>
      <c r="O186" s="224">
        <f t="shared" si="63"/>
        <v>64.935064935064929</v>
      </c>
      <c r="P186" s="224">
        <f t="shared" ref="P186:P189" si="87">IF(I186&gt;0,IF(L186&gt;=0,L186/I186*100,""),"")</f>
        <v>72.439431623221196</v>
      </c>
    </row>
    <row r="187" spans="1:16" s="11" customFormat="1" ht="12.75" customHeight="1">
      <c r="A187" s="46" t="s">
        <v>2347</v>
      </c>
      <c r="B187" s="47" t="s">
        <v>2346</v>
      </c>
      <c r="C187" s="212" t="s">
        <v>2285</v>
      </c>
      <c r="D187" s="70"/>
      <c r="E187" s="70"/>
      <c r="F187" s="70"/>
      <c r="G187" s="84">
        <v>7024800</v>
      </c>
      <c r="H187" s="84"/>
      <c r="I187" s="84">
        <f>SUM(G187:H187)</f>
        <v>7024800</v>
      </c>
      <c r="J187" s="70">
        <v>3147240</v>
      </c>
      <c r="K187" s="70"/>
      <c r="L187" s="70">
        <f>SUM(J187:K187)</f>
        <v>3147240</v>
      </c>
      <c r="M187" s="224" t="str">
        <f t="shared" si="61"/>
        <v/>
      </c>
      <c r="N187" s="224" t="str">
        <f t="shared" si="62"/>
        <v/>
      </c>
      <c r="O187" s="224">
        <f t="shared" si="63"/>
        <v>44.801844892381276</v>
      </c>
      <c r="P187" s="224">
        <f t="shared" si="87"/>
        <v>44.801844892381276</v>
      </c>
    </row>
    <row r="188" spans="1:16" s="11" customFormat="1" ht="12.75" customHeight="1">
      <c r="A188" s="46" t="s">
        <v>319</v>
      </c>
      <c r="B188" s="212" t="s">
        <v>613</v>
      </c>
      <c r="C188" s="212" t="s">
        <v>2103</v>
      </c>
      <c r="D188" s="70"/>
      <c r="E188" s="70"/>
      <c r="F188" s="70"/>
      <c r="G188" s="84">
        <v>6115000</v>
      </c>
      <c r="H188" s="84"/>
      <c r="I188" s="84">
        <f t="shared" si="84"/>
        <v>6115000</v>
      </c>
      <c r="J188" s="70"/>
      <c r="K188" s="70"/>
      <c r="L188" s="70">
        <f t="shared" si="86"/>
        <v>0</v>
      </c>
      <c r="M188" s="224" t="str">
        <f t="shared" si="61"/>
        <v/>
      </c>
      <c r="N188" s="224" t="str">
        <f t="shared" si="62"/>
        <v/>
      </c>
      <c r="O188" s="224">
        <f t="shared" si="63"/>
        <v>0</v>
      </c>
      <c r="P188" s="224">
        <f t="shared" si="87"/>
        <v>0</v>
      </c>
    </row>
    <row r="189" spans="1:16" s="11" customFormat="1" ht="12.75" customHeight="1">
      <c r="A189" s="359" t="s">
        <v>2069</v>
      </c>
      <c r="B189" s="310" t="s">
        <v>2070</v>
      </c>
      <c r="C189" s="310" t="s">
        <v>2104</v>
      </c>
      <c r="D189" s="360"/>
      <c r="E189" s="360"/>
      <c r="F189" s="360"/>
      <c r="G189" s="356">
        <v>9326949</v>
      </c>
      <c r="H189" s="356"/>
      <c r="I189" s="356">
        <f t="shared" si="84"/>
        <v>9326949</v>
      </c>
      <c r="J189" s="360"/>
      <c r="K189" s="360"/>
      <c r="L189" s="360">
        <f t="shared" si="86"/>
        <v>0</v>
      </c>
      <c r="M189" s="252" t="str">
        <f t="shared" si="61"/>
        <v/>
      </c>
      <c r="N189" s="252" t="str">
        <f t="shared" si="62"/>
        <v/>
      </c>
      <c r="O189" s="252">
        <f t="shared" si="63"/>
        <v>0</v>
      </c>
      <c r="P189" s="252">
        <f t="shared" si="87"/>
        <v>0</v>
      </c>
    </row>
    <row r="190" spans="1:16" s="11" customFormat="1" ht="12.75" customHeight="1">
      <c r="A190" s="43" t="s">
        <v>651</v>
      </c>
      <c r="B190" s="304" t="s">
        <v>650</v>
      </c>
      <c r="C190" s="304" t="s">
        <v>2105</v>
      </c>
      <c r="D190" s="113"/>
      <c r="E190" s="113"/>
      <c r="F190" s="113"/>
      <c r="G190" s="187">
        <v>146000</v>
      </c>
      <c r="H190" s="187"/>
      <c r="I190" s="187">
        <f t="shared" si="84"/>
        <v>146000</v>
      </c>
      <c r="J190" s="113"/>
      <c r="K190" s="113"/>
      <c r="L190" s="113">
        <f t="shared" si="86"/>
        <v>0</v>
      </c>
      <c r="M190" s="220" t="str">
        <f t="shared" si="61"/>
        <v/>
      </c>
      <c r="N190" s="220" t="str">
        <f t="shared" si="62"/>
        <v/>
      </c>
      <c r="O190" s="220">
        <f t="shared" si="63"/>
        <v>0</v>
      </c>
      <c r="P190" s="220"/>
    </row>
    <row r="191" spans="1:16" s="11" customFormat="1" ht="12.75" customHeight="1">
      <c r="A191" s="46" t="s">
        <v>791</v>
      </c>
      <c r="B191" s="212" t="s">
        <v>151</v>
      </c>
      <c r="C191" s="212" t="s">
        <v>1028</v>
      </c>
      <c r="D191" s="70"/>
      <c r="E191" s="70"/>
      <c r="F191" s="70">
        <f t="shared" si="83"/>
        <v>0</v>
      </c>
      <c r="G191" s="84">
        <v>2399621</v>
      </c>
      <c r="H191" s="84"/>
      <c r="I191" s="84">
        <f t="shared" si="84"/>
        <v>2399621</v>
      </c>
      <c r="J191" s="70"/>
      <c r="K191" s="70"/>
      <c r="L191" s="70">
        <f t="shared" ref="L191:L192" si="88">SUM(J191:K191)</f>
        <v>0</v>
      </c>
      <c r="M191" s="224" t="str">
        <f t="shared" si="61"/>
        <v/>
      </c>
      <c r="N191" s="224" t="str">
        <f t="shared" si="62"/>
        <v/>
      </c>
      <c r="O191" s="224">
        <f t="shared" si="63"/>
        <v>0</v>
      </c>
      <c r="P191" s="224">
        <f t="shared" ref="P191:P222" si="89">IF(I191&gt;0,IF(L191&gt;=0,L191/I191*100,""),"")</f>
        <v>0</v>
      </c>
    </row>
    <row r="192" spans="1:16" s="7" customFormat="1" ht="6" customHeight="1">
      <c r="A192" s="46"/>
      <c r="B192" s="47"/>
      <c r="C192" s="212" t="s">
        <v>268</v>
      </c>
      <c r="D192" s="63"/>
      <c r="E192" s="63"/>
      <c r="F192" s="63">
        <f t="shared" si="83"/>
        <v>0</v>
      </c>
      <c r="G192" s="38"/>
      <c r="H192" s="38"/>
      <c r="I192" s="38">
        <f t="shared" si="84"/>
        <v>0</v>
      </c>
      <c r="J192" s="63"/>
      <c r="K192" s="63"/>
      <c r="L192" s="63">
        <f t="shared" si="88"/>
        <v>0</v>
      </c>
      <c r="M192" s="218" t="str">
        <f t="shared" si="61"/>
        <v/>
      </c>
      <c r="N192" s="218" t="str">
        <f t="shared" si="62"/>
        <v/>
      </c>
      <c r="O192" s="218" t="str">
        <f t="shared" si="63"/>
        <v/>
      </c>
      <c r="P192" s="218" t="str">
        <f t="shared" si="89"/>
        <v/>
      </c>
    </row>
    <row r="193" spans="1:16" s="3" customFormat="1" ht="12.75">
      <c r="A193" s="72" t="s">
        <v>656</v>
      </c>
      <c r="B193" s="75" t="s">
        <v>265</v>
      </c>
      <c r="C193" s="307" t="s">
        <v>940</v>
      </c>
      <c r="D193" s="55">
        <f>SUM(D195:D199)</f>
        <v>1770000</v>
      </c>
      <c r="E193" s="55">
        <f>SUM(E195:E199)</f>
        <v>6673206</v>
      </c>
      <c r="F193" s="55">
        <f>SUM(D193:E193)</f>
        <v>8443206</v>
      </c>
      <c r="G193" s="55">
        <f>SUM(G195:G199)</f>
        <v>1610775</v>
      </c>
      <c r="H193" s="55">
        <f>SUM(H195:H199)</f>
        <v>7264429</v>
      </c>
      <c r="I193" s="55">
        <f t="shared" si="84"/>
        <v>8875204</v>
      </c>
      <c r="J193" s="55">
        <f>SUM(J195:J199)</f>
        <v>1374500</v>
      </c>
      <c r="K193" s="55">
        <f>SUM(K195:K199)</f>
        <v>7429604</v>
      </c>
      <c r="L193" s="55">
        <f>SUM(J193:K193)</f>
        <v>8804104</v>
      </c>
      <c r="M193" s="221">
        <f t="shared" si="61"/>
        <v>77.655367231638422</v>
      </c>
      <c r="N193" s="221">
        <f t="shared" si="62"/>
        <v>104.27441898255236</v>
      </c>
      <c r="O193" s="221">
        <f t="shared" si="63"/>
        <v>85.331595039654829</v>
      </c>
      <c r="P193" s="221">
        <f t="shared" si="89"/>
        <v>99.198891653645376</v>
      </c>
    </row>
    <row r="194" spans="1:16" s="3" customFormat="1" hidden="1">
      <c r="A194" s="46" t="s">
        <v>267</v>
      </c>
      <c r="B194" s="47"/>
      <c r="C194" s="212" t="s">
        <v>268</v>
      </c>
      <c r="D194" s="63">
        <f>SUM(D195:D199)</f>
        <v>1770000</v>
      </c>
      <c r="E194" s="63">
        <f>SUM(E195:E199)</f>
        <v>6673206</v>
      </c>
      <c r="F194" s="63">
        <f t="shared" ref="F194:F198" si="90">SUM(D194:E194)</f>
        <v>8443206</v>
      </c>
      <c r="G194" s="38">
        <f>SUM(G195:G199)</f>
        <v>1610775</v>
      </c>
      <c r="H194" s="38">
        <f>SUM(H195:H199)</f>
        <v>7264429</v>
      </c>
      <c r="I194" s="38">
        <f t="shared" si="84"/>
        <v>8875204</v>
      </c>
      <c r="J194" s="63">
        <f>SUM(J195:J199)</f>
        <v>1374500</v>
      </c>
      <c r="K194" s="63">
        <f>SUM(K195:K199)</f>
        <v>7429604</v>
      </c>
      <c r="L194" s="63">
        <f t="shared" ref="L194:L198" si="91">SUM(J194:K194)</f>
        <v>8804104</v>
      </c>
      <c r="M194" s="218">
        <f t="shared" si="61"/>
        <v>77.655367231638422</v>
      </c>
      <c r="N194" s="218">
        <f t="shared" si="62"/>
        <v>104.27441898255236</v>
      </c>
      <c r="O194" s="218">
        <f t="shared" si="63"/>
        <v>85.331595039654829</v>
      </c>
      <c r="P194" s="218">
        <f t="shared" si="89"/>
        <v>99.198891653645376</v>
      </c>
    </row>
    <row r="195" spans="1:16" s="3" customFormat="1" ht="12.75" customHeight="1">
      <c r="A195" s="46" t="s">
        <v>554</v>
      </c>
      <c r="B195" s="47">
        <v>0</v>
      </c>
      <c r="C195" s="212" t="s">
        <v>268</v>
      </c>
      <c r="D195" s="63"/>
      <c r="E195" s="63">
        <v>678631</v>
      </c>
      <c r="F195" s="63">
        <f t="shared" si="90"/>
        <v>678631</v>
      </c>
      <c r="G195" s="38"/>
      <c r="H195" s="38">
        <v>714534</v>
      </c>
      <c r="I195" s="38">
        <f t="shared" si="84"/>
        <v>714534</v>
      </c>
      <c r="J195" s="63"/>
      <c r="K195" s="63">
        <v>742960</v>
      </c>
      <c r="L195" s="63">
        <f t="shared" si="91"/>
        <v>742960</v>
      </c>
      <c r="M195" s="218" t="str">
        <f t="shared" si="61"/>
        <v/>
      </c>
      <c r="N195" s="218">
        <f t="shared" si="62"/>
        <v>109.47923098119597</v>
      </c>
      <c r="O195" s="218" t="str">
        <f t="shared" si="63"/>
        <v/>
      </c>
      <c r="P195" s="218">
        <f t="shared" si="89"/>
        <v>103.97825715781195</v>
      </c>
    </row>
    <row r="196" spans="1:16" s="3" customFormat="1" ht="12.75" customHeight="1">
      <c r="A196" s="46" t="s">
        <v>346</v>
      </c>
      <c r="B196" s="47" t="s">
        <v>602</v>
      </c>
      <c r="C196" s="212" t="s">
        <v>1029</v>
      </c>
      <c r="D196" s="63">
        <v>100000</v>
      </c>
      <c r="E196" s="63">
        <v>3280051</v>
      </c>
      <c r="F196" s="63">
        <f t="shared" si="90"/>
        <v>3380051</v>
      </c>
      <c r="G196" s="38">
        <v>100000</v>
      </c>
      <c r="H196" s="38">
        <v>3453581</v>
      </c>
      <c r="I196" s="38">
        <f t="shared" si="84"/>
        <v>3553581</v>
      </c>
      <c r="J196" s="63">
        <v>100000</v>
      </c>
      <c r="K196" s="63">
        <v>3590975</v>
      </c>
      <c r="L196" s="63">
        <f t="shared" si="91"/>
        <v>3690975</v>
      </c>
      <c r="M196" s="218">
        <f t="shared" si="61"/>
        <v>100</v>
      </c>
      <c r="N196" s="218">
        <f t="shared" si="62"/>
        <v>109.19879611283972</v>
      </c>
      <c r="O196" s="218">
        <f t="shared" si="63"/>
        <v>100</v>
      </c>
      <c r="P196" s="218">
        <f t="shared" si="89"/>
        <v>103.86635340519888</v>
      </c>
    </row>
    <row r="197" spans="1:16" s="3" customFormat="1" ht="12.75" customHeight="1">
      <c r="A197" s="46" t="s">
        <v>77</v>
      </c>
      <c r="B197" s="47" t="s">
        <v>735</v>
      </c>
      <c r="C197" s="212" t="s">
        <v>1030</v>
      </c>
      <c r="D197" s="63">
        <v>120000</v>
      </c>
      <c r="E197" s="63">
        <v>1470367</v>
      </c>
      <c r="F197" s="63">
        <f t="shared" si="90"/>
        <v>1590367</v>
      </c>
      <c r="G197" s="38">
        <v>122000</v>
      </c>
      <c r="H197" s="38">
        <v>1786335</v>
      </c>
      <c r="I197" s="38">
        <f t="shared" si="84"/>
        <v>1908335</v>
      </c>
      <c r="J197" s="63">
        <v>151500</v>
      </c>
      <c r="K197" s="63">
        <v>1733574</v>
      </c>
      <c r="L197" s="63">
        <f t="shared" si="91"/>
        <v>1885074</v>
      </c>
      <c r="M197" s="218">
        <f t="shared" si="61"/>
        <v>126.25</v>
      </c>
      <c r="N197" s="218">
        <f t="shared" si="62"/>
        <v>118.53075422213865</v>
      </c>
      <c r="O197" s="218">
        <f t="shared" si="63"/>
        <v>124.18032786885247</v>
      </c>
      <c r="P197" s="218">
        <f t="shared" si="89"/>
        <v>98.781084033987739</v>
      </c>
    </row>
    <row r="198" spans="1:16" s="3" customFormat="1" ht="12.75" customHeight="1">
      <c r="A198" s="46" t="s">
        <v>659</v>
      </c>
      <c r="B198" s="47" t="s">
        <v>658</v>
      </c>
      <c r="C198" s="212" t="s">
        <v>1031</v>
      </c>
      <c r="D198" s="63"/>
      <c r="E198" s="63">
        <v>226210</v>
      </c>
      <c r="F198" s="63">
        <f t="shared" si="90"/>
        <v>226210</v>
      </c>
      <c r="G198" s="38"/>
      <c r="H198" s="38">
        <v>238178</v>
      </c>
      <c r="I198" s="38">
        <f t="shared" si="84"/>
        <v>238178</v>
      </c>
      <c r="J198" s="63"/>
      <c r="K198" s="63">
        <v>247654</v>
      </c>
      <c r="L198" s="63">
        <f t="shared" si="91"/>
        <v>247654</v>
      </c>
      <c r="M198" s="218" t="str">
        <f t="shared" si="61"/>
        <v/>
      </c>
      <c r="N198" s="218">
        <f t="shared" si="62"/>
        <v>109.47968701648911</v>
      </c>
      <c r="O198" s="218" t="str">
        <f t="shared" si="63"/>
        <v/>
      </c>
      <c r="P198" s="218">
        <f t="shared" si="89"/>
        <v>103.97853706051777</v>
      </c>
    </row>
    <row r="199" spans="1:16" s="3" customFormat="1" ht="12.75" customHeight="1">
      <c r="A199" s="46" t="s">
        <v>345</v>
      </c>
      <c r="B199" s="47" t="s">
        <v>601</v>
      </c>
      <c r="C199" s="212" t="s">
        <v>1032</v>
      </c>
      <c r="D199" s="63">
        <v>1550000</v>
      </c>
      <c r="E199" s="63">
        <v>1017947</v>
      </c>
      <c r="F199" s="63">
        <f>SUM(D199:E199)</f>
        <v>2567947</v>
      </c>
      <c r="G199" s="38">
        <v>1388775</v>
      </c>
      <c r="H199" s="38">
        <v>1071801</v>
      </c>
      <c r="I199" s="38">
        <f t="shared" si="84"/>
        <v>2460576</v>
      </c>
      <c r="J199" s="63">
        <v>1123000</v>
      </c>
      <c r="K199" s="63">
        <v>1114441</v>
      </c>
      <c r="L199" s="63">
        <f>SUM(J199:K199)</f>
        <v>2237441</v>
      </c>
      <c r="M199" s="218">
        <f t="shared" si="61"/>
        <v>72.451612903225808</v>
      </c>
      <c r="N199" s="218">
        <f t="shared" si="62"/>
        <v>87.129563032258844</v>
      </c>
      <c r="O199" s="218">
        <f t="shared" si="63"/>
        <v>80.86263073572033</v>
      </c>
      <c r="P199" s="218">
        <f t="shared" si="89"/>
        <v>90.931594878597537</v>
      </c>
    </row>
    <row r="200" spans="1:16" s="16" customFormat="1" ht="6" customHeight="1">
      <c r="A200" s="57"/>
      <c r="B200" s="33"/>
      <c r="C200" s="211" t="s">
        <v>268</v>
      </c>
      <c r="D200" s="38"/>
      <c r="E200" s="38"/>
      <c r="F200" s="38"/>
      <c r="G200" s="38"/>
      <c r="H200" s="38"/>
      <c r="I200" s="38"/>
      <c r="J200" s="38"/>
      <c r="K200" s="38"/>
      <c r="L200" s="38"/>
      <c r="M200" s="228" t="str">
        <f t="shared" si="61"/>
        <v/>
      </c>
      <c r="N200" s="228" t="str">
        <f t="shared" si="62"/>
        <v/>
      </c>
      <c r="O200" s="228" t="str">
        <f t="shared" si="63"/>
        <v/>
      </c>
      <c r="P200" s="228" t="str">
        <f t="shared" si="89"/>
        <v/>
      </c>
    </row>
    <row r="201" spans="1:16" s="8" customFormat="1" ht="12.75">
      <c r="A201" s="58" t="s">
        <v>360</v>
      </c>
      <c r="B201" s="78" t="s">
        <v>265</v>
      </c>
      <c r="C201" s="301" t="s">
        <v>940</v>
      </c>
      <c r="D201" s="69">
        <f>SUM(D204:D207)</f>
        <v>6900000</v>
      </c>
      <c r="E201" s="69">
        <f>SUM(E203:E207)</f>
        <v>17305095</v>
      </c>
      <c r="F201" s="69">
        <f>SUM(D201:E201)</f>
        <v>24205095</v>
      </c>
      <c r="G201" s="115">
        <f>SUM(G204:G207)</f>
        <v>8800000</v>
      </c>
      <c r="H201" s="115">
        <f>SUM(H203:H207)</f>
        <v>19113785</v>
      </c>
      <c r="I201" s="115">
        <f t="shared" ref="I201:I207" si="92">SUM(G201:H201)</f>
        <v>27913785</v>
      </c>
      <c r="J201" s="69">
        <f>SUM(J204:J207)</f>
        <v>7200000</v>
      </c>
      <c r="K201" s="69">
        <f>SUM(K203:K207)</f>
        <v>19193143</v>
      </c>
      <c r="L201" s="69">
        <f>SUM(J201:K201)</f>
        <v>26393143</v>
      </c>
      <c r="M201" s="217">
        <f t="shared" si="61"/>
        <v>104.34782608695652</v>
      </c>
      <c r="N201" s="217">
        <f t="shared" si="62"/>
        <v>109.0396174854922</v>
      </c>
      <c r="O201" s="217">
        <f t="shared" si="63"/>
        <v>81.818181818181827</v>
      </c>
      <c r="P201" s="217">
        <f t="shared" si="89"/>
        <v>94.552361852754828</v>
      </c>
    </row>
    <row r="202" spans="1:16" s="8" customFormat="1" ht="12.75" hidden="1">
      <c r="A202" s="46" t="s">
        <v>267</v>
      </c>
      <c r="B202" s="47"/>
      <c r="C202" s="212" t="s">
        <v>268</v>
      </c>
      <c r="D202" s="70">
        <f>SUM(D204:D207)</f>
        <v>6900000</v>
      </c>
      <c r="E202" s="70">
        <f>SUM(E203:E207)</f>
        <v>17305095</v>
      </c>
      <c r="F202" s="70">
        <f t="shared" ref="F202:F207" si="93">SUM(D202:E202)</f>
        <v>24205095</v>
      </c>
      <c r="G202" s="84">
        <f>SUM(G204:G207)</f>
        <v>8800000</v>
      </c>
      <c r="H202" s="84">
        <f>SUM(H203:H207)</f>
        <v>19113785</v>
      </c>
      <c r="I202" s="84">
        <f t="shared" si="92"/>
        <v>27913785</v>
      </c>
      <c r="J202" s="70">
        <f>SUM(J204:J207)</f>
        <v>7200000</v>
      </c>
      <c r="K202" s="70">
        <f>SUM(K203:K207)</f>
        <v>19193143</v>
      </c>
      <c r="L202" s="70">
        <f t="shared" ref="L202:L207" si="94">SUM(J202:K202)</f>
        <v>26393143</v>
      </c>
      <c r="M202" s="224">
        <f t="shared" si="61"/>
        <v>104.34782608695652</v>
      </c>
      <c r="N202" s="224">
        <f t="shared" si="62"/>
        <v>109.0396174854922</v>
      </c>
      <c r="O202" s="224">
        <f t="shared" si="63"/>
        <v>81.818181818181827</v>
      </c>
      <c r="P202" s="224">
        <f t="shared" si="89"/>
        <v>94.552361852754828</v>
      </c>
    </row>
    <row r="203" spans="1:16" s="8" customFormat="1" ht="12.75" customHeight="1">
      <c r="A203" s="46" t="s">
        <v>554</v>
      </c>
      <c r="B203" s="47">
        <v>0</v>
      </c>
      <c r="C203" s="212" t="s">
        <v>268</v>
      </c>
      <c r="D203" s="70"/>
      <c r="E203" s="70">
        <v>904842</v>
      </c>
      <c r="F203" s="63">
        <f t="shared" si="93"/>
        <v>904842</v>
      </c>
      <c r="G203" s="84"/>
      <c r="H203" s="84">
        <v>1369524</v>
      </c>
      <c r="I203" s="38">
        <f t="shared" si="92"/>
        <v>1369524</v>
      </c>
      <c r="J203" s="63"/>
      <c r="K203" s="70">
        <v>990614</v>
      </c>
      <c r="L203" s="63">
        <f t="shared" si="94"/>
        <v>990614</v>
      </c>
      <c r="M203" s="218" t="str">
        <f t="shared" si="61"/>
        <v/>
      </c>
      <c r="N203" s="218">
        <f t="shared" si="62"/>
        <v>109.47922399711774</v>
      </c>
      <c r="O203" s="218" t="str">
        <f t="shared" si="63"/>
        <v/>
      </c>
      <c r="P203" s="218">
        <f t="shared" si="89"/>
        <v>72.332722902263853</v>
      </c>
    </row>
    <row r="204" spans="1:16" s="3" customFormat="1" ht="12.75" customHeight="1">
      <c r="A204" s="36" t="s">
        <v>163</v>
      </c>
      <c r="B204" s="33" t="s">
        <v>521</v>
      </c>
      <c r="C204" s="211" t="s">
        <v>1033</v>
      </c>
      <c r="D204" s="63">
        <v>806700</v>
      </c>
      <c r="E204" s="63">
        <v>2262104</v>
      </c>
      <c r="F204" s="63">
        <f t="shared" si="93"/>
        <v>3068804</v>
      </c>
      <c r="G204" s="38">
        <v>1408700</v>
      </c>
      <c r="H204" s="84">
        <v>2381780</v>
      </c>
      <c r="I204" s="38">
        <f t="shared" si="92"/>
        <v>3790480</v>
      </c>
      <c r="J204" s="63">
        <v>1229100</v>
      </c>
      <c r="K204" s="63">
        <v>2600361</v>
      </c>
      <c r="L204" s="63">
        <f t="shared" si="94"/>
        <v>3829461</v>
      </c>
      <c r="M204" s="218">
        <f t="shared" si="61"/>
        <v>152.36147266641876</v>
      </c>
      <c r="N204" s="218">
        <f t="shared" si="62"/>
        <v>124.78675731653112</v>
      </c>
      <c r="O204" s="218">
        <f t="shared" si="63"/>
        <v>87.250656633775819</v>
      </c>
      <c r="P204" s="218">
        <f t="shared" si="89"/>
        <v>101.02839218252042</v>
      </c>
    </row>
    <row r="205" spans="1:16" s="3" customFormat="1" ht="12.75" customHeight="1">
      <c r="A205" s="36" t="s">
        <v>220</v>
      </c>
      <c r="B205" s="33" t="s">
        <v>522</v>
      </c>
      <c r="C205" s="211" t="s">
        <v>1034</v>
      </c>
      <c r="D205" s="63">
        <v>5930100</v>
      </c>
      <c r="E205" s="63">
        <v>10971204</v>
      </c>
      <c r="F205" s="63">
        <f t="shared" si="93"/>
        <v>16901304</v>
      </c>
      <c r="G205" s="38">
        <v>7228100</v>
      </c>
      <c r="H205" s="84">
        <v>11789811</v>
      </c>
      <c r="I205" s="38">
        <f t="shared" si="92"/>
        <v>19017911</v>
      </c>
      <c r="J205" s="63">
        <v>5823400</v>
      </c>
      <c r="K205" s="63">
        <v>11887366</v>
      </c>
      <c r="L205" s="63">
        <f t="shared" si="94"/>
        <v>17710766</v>
      </c>
      <c r="M205" s="218">
        <f t="shared" si="61"/>
        <v>98.200704878501213</v>
      </c>
      <c r="N205" s="218">
        <f t="shared" si="62"/>
        <v>104.78934643149429</v>
      </c>
      <c r="O205" s="218">
        <f t="shared" si="63"/>
        <v>80.566123877644188</v>
      </c>
      <c r="P205" s="218">
        <f t="shared" si="89"/>
        <v>93.12676876024922</v>
      </c>
    </row>
    <row r="206" spans="1:16" s="3" customFormat="1" ht="12.75" customHeight="1">
      <c r="A206" s="36" t="s">
        <v>233</v>
      </c>
      <c r="B206" s="33" t="s">
        <v>523</v>
      </c>
      <c r="C206" s="211" t="s">
        <v>1035</v>
      </c>
      <c r="D206" s="63">
        <v>129500</v>
      </c>
      <c r="E206" s="63">
        <v>1809683</v>
      </c>
      <c r="F206" s="63">
        <f t="shared" si="93"/>
        <v>1939183</v>
      </c>
      <c r="G206" s="38">
        <v>129500</v>
      </c>
      <c r="H206" s="84">
        <v>1905424</v>
      </c>
      <c r="I206" s="38">
        <f t="shared" si="92"/>
        <v>2034924</v>
      </c>
      <c r="J206" s="63">
        <v>99000</v>
      </c>
      <c r="K206" s="63">
        <v>1981228</v>
      </c>
      <c r="L206" s="63">
        <f t="shared" si="94"/>
        <v>2080228</v>
      </c>
      <c r="M206" s="218">
        <f t="shared" si="61"/>
        <v>76.447876447876453</v>
      </c>
      <c r="N206" s="218">
        <f t="shared" si="62"/>
        <v>107.27342391099756</v>
      </c>
      <c r="O206" s="218">
        <f t="shared" si="63"/>
        <v>76.447876447876453</v>
      </c>
      <c r="P206" s="218">
        <f t="shared" si="89"/>
        <v>102.22632393150801</v>
      </c>
    </row>
    <row r="207" spans="1:16" s="3" customFormat="1" ht="12.75" customHeight="1">
      <c r="A207" s="36" t="s">
        <v>236</v>
      </c>
      <c r="B207" s="33" t="s">
        <v>524</v>
      </c>
      <c r="C207" s="211" t="s">
        <v>1036</v>
      </c>
      <c r="D207" s="63">
        <v>33700</v>
      </c>
      <c r="E207" s="63">
        <v>1357262</v>
      </c>
      <c r="F207" s="63">
        <f t="shared" si="93"/>
        <v>1390962</v>
      </c>
      <c r="G207" s="38">
        <v>33700</v>
      </c>
      <c r="H207" s="84">
        <v>1667246</v>
      </c>
      <c r="I207" s="38">
        <f t="shared" si="92"/>
        <v>1700946</v>
      </c>
      <c r="J207" s="63">
        <v>48500</v>
      </c>
      <c r="K207" s="63">
        <v>1733574</v>
      </c>
      <c r="L207" s="63">
        <f t="shared" si="94"/>
        <v>1782074</v>
      </c>
      <c r="M207" s="218">
        <f t="shared" ref="M207:M270" si="95">IF(D207&gt;0,IF(J207&gt;=0,J207/D207*100,""),"")</f>
        <v>143.91691394658756</v>
      </c>
      <c r="N207" s="218">
        <f t="shared" ref="N207:N270" si="96">IF(F207&gt;0,IF(L207&gt;=0,L207/F207*100,""),"")</f>
        <v>128.11809380845773</v>
      </c>
      <c r="O207" s="218">
        <f t="shared" ref="O207:O270" si="97">IF(G207&gt;0,IF(J207&gt;=0,J207/G207*100,""),"")</f>
        <v>143.91691394658756</v>
      </c>
      <c r="P207" s="218">
        <f t="shared" si="89"/>
        <v>104.76958116248252</v>
      </c>
    </row>
    <row r="208" spans="1:16" s="3" customFormat="1" ht="6" customHeight="1">
      <c r="A208" s="36"/>
      <c r="B208" s="33"/>
      <c r="C208" s="211" t="s">
        <v>268</v>
      </c>
      <c r="D208" s="63"/>
      <c r="E208" s="63"/>
      <c r="F208" s="63"/>
      <c r="G208" s="38"/>
      <c r="H208" s="38"/>
      <c r="I208" s="38"/>
      <c r="J208" s="63"/>
      <c r="K208" s="63"/>
      <c r="L208" s="63"/>
      <c r="M208" s="218" t="str">
        <f t="shared" si="95"/>
        <v/>
      </c>
      <c r="N208" s="218" t="str">
        <f t="shared" si="96"/>
        <v/>
      </c>
      <c r="O208" s="218" t="str">
        <f t="shared" si="97"/>
        <v/>
      </c>
      <c r="P208" s="218" t="str">
        <f t="shared" si="89"/>
        <v/>
      </c>
    </row>
    <row r="209" spans="1:16" s="8" customFormat="1" ht="12.75">
      <c r="A209" s="58" t="s">
        <v>154</v>
      </c>
      <c r="B209" s="65" t="s">
        <v>265</v>
      </c>
      <c r="C209" s="308" t="s">
        <v>940</v>
      </c>
      <c r="D209" s="42">
        <f>SUM(D211:D214)</f>
        <v>1500000</v>
      </c>
      <c r="E209" s="42">
        <f>SUM(E211:E214)</f>
        <v>11762940</v>
      </c>
      <c r="F209" s="42">
        <f t="shared" ref="F209:F215" si="98">SUM(D209:E209)</f>
        <v>13262940</v>
      </c>
      <c r="G209" s="55">
        <f>SUM(G211:G214)</f>
        <v>1200000</v>
      </c>
      <c r="H209" s="55">
        <f>SUM(H211:H214)</f>
        <v>12802068</v>
      </c>
      <c r="I209" s="55">
        <f t="shared" ref="I209:I227" si="99">SUM(G209:H209)</f>
        <v>14002068</v>
      </c>
      <c r="J209" s="42">
        <f>SUM(J211:J214)</f>
        <v>1000000</v>
      </c>
      <c r="K209" s="42">
        <f>SUM(K211:K214)</f>
        <v>13125633</v>
      </c>
      <c r="L209" s="42">
        <f t="shared" ref="L209:L214" si="100">SUM(J209:K209)</f>
        <v>14125633</v>
      </c>
      <c r="M209" s="225">
        <f t="shared" si="95"/>
        <v>66.666666666666657</v>
      </c>
      <c r="N209" s="225">
        <f t="shared" si="96"/>
        <v>106.50453820947693</v>
      </c>
      <c r="O209" s="225">
        <f t="shared" si="97"/>
        <v>83.333333333333343</v>
      </c>
      <c r="P209" s="225">
        <f t="shared" si="89"/>
        <v>100.88247678842868</v>
      </c>
    </row>
    <row r="210" spans="1:16" s="8" customFormat="1" ht="12.75" hidden="1">
      <c r="A210" s="46" t="s">
        <v>267</v>
      </c>
      <c r="B210" s="92"/>
      <c r="C210" s="312" t="s">
        <v>268</v>
      </c>
      <c r="D210" s="70">
        <f>SUM(D211:D214)</f>
        <v>1500000</v>
      </c>
      <c r="E210" s="70">
        <f>SUM(E211:E214)</f>
        <v>11762940</v>
      </c>
      <c r="F210" s="70">
        <f t="shared" si="98"/>
        <v>13262940</v>
      </c>
      <c r="G210" s="84">
        <f>SUM(G211:G214)</f>
        <v>1200000</v>
      </c>
      <c r="H210" s="84">
        <f>SUM(H211:H214)</f>
        <v>12802068</v>
      </c>
      <c r="I210" s="84">
        <f t="shared" si="99"/>
        <v>14002068</v>
      </c>
      <c r="J210" s="70">
        <f>SUM(J211:J214)</f>
        <v>1000000</v>
      </c>
      <c r="K210" s="70">
        <f>SUM(K211:K214)</f>
        <v>13125633</v>
      </c>
      <c r="L210" s="70">
        <f t="shared" si="100"/>
        <v>14125633</v>
      </c>
      <c r="M210" s="224">
        <f t="shared" si="95"/>
        <v>66.666666666666657</v>
      </c>
      <c r="N210" s="224">
        <f t="shared" si="96"/>
        <v>106.50453820947693</v>
      </c>
      <c r="O210" s="224">
        <f t="shared" si="97"/>
        <v>83.333333333333343</v>
      </c>
      <c r="P210" s="224">
        <f t="shared" si="89"/>
        <v>100.88247678842868</v>
      </c>
    </row>
    <row r="211" spans="1:16" s="8" customFormat="1" ht="12.75" customHeight="1">
      <c r="A211" s="46" t="s">
        <v>554</v>
      </c>
      <c r="B211" s="33">
        <v>0</v>
      </c>
      <c r="C211" s="211" t="s">
        <v>268</v>
      </c>
      <c r="D211" s="70"/>
      <c r="E211" s="70">
        <v>1131052</v>
      </c>
      <c r="F211" s="70">
        <f t="shared" si="98"/>
        <v>1131052</v>
      </c>
      <c r="G211" s="84"/>
      <c r="H211" s="84">
        <v>1309979</v>
      </c>
      <c r="I211" s="84">
        <f t="shared" si="99"/>
        <v>1309979</v>
      </c>
      <c r="J211" s="70"/>
      <c r="K211" s="70">
        <v>1362094</v>
      </c>
      <c r="L211" s="70">
        <f t="shared" si="100"/>
        <v>1362094</v>
      </c>
      <c r="M211" s="224" t="str">
        <f t="shared" si="95"/>
        <v/>
      </c>
      <c r="N211" s="224">
        <f t="shared" si="96"/>
        <v>120.42717753029923</v>
      </c>
      <c r="O211" s="224" t="str">
        <f t="shared" si="97"/>
        <v/>
      </c>
      <c r="P211" s="224">
        <f t="shared" si="89"/>
        <v>103.978308049213</v>
      </c>
    </row>
    <row r="212" spans="1:16" s="10" customFormat="1" ht="12.75" customHeight="1">
      <c r="A212" s="46" t="s">
        <v>28</v>
      </c>
      <c r="B212" s="47" t="s">
        <v>575</v>
      </c>
      <c r="C212" s="212" t="s">
        <v>1037</v>
      </c>
      <c r="D212" s="70">
        <v>1500000</v>
      </c>
      <c r="E212" s="70">
        <v>8143574</v>
      </c>
      <c r="F212" s="70">
        <f t="shared" si="98"/>
        <v>9643574</v>
      </c>
      <c r="G212" s="84">
        <v>1200000</v>
      </c>
      <c r="H212" s="84">
        <v>8872131</v>
      </c>
      <c r="I212" s="84">
        <f t="shared" si="99"/>
        <v>10072131</v>
      </c>
      <c r="J212" s="70">
        <v>1000000</v>
      </c>
      <c r="K212" s="70">
        <v>9039351</v>
      </c>
      <c r="L212" s="70">
        <f t="shared" si="100"/>
        <v>10039351</v>
      </c>
      <c r="M212" s="224">
        <f t="shared" si="95"/>
        <v>66.666666666666657</v>
      </c>
      <c r="N212" s="224">
        <f t="shared" si="96"/>
        <v>104.10404897603316</v>
      </c>
      <c r="O212" s="224">
        <f t="shared" si="97"/>
        <v>83.333333333333343</v>
      </c>
      <c r="P212" s="224">
        <f t="shared" si="89"/>
        <v>99.674547521274292</v>
      </c>
    </row>
    <row r="213" spans="1:16" s="10" customFormat="1" ht="12.75" customHeight="1">
      <c r="A213" s="46" t="s">
        <v>29</v>
      </c>
      <c r="B213" s="47" t="s">
        <v>30</v>
      </c>
      <c r="C213" s="212" t="s">
        <v>1038</v>
      </c>
      <c r="D213" s="70"/>
      <c r="E213" s="70">
        <v>1696578</v>
      </c>
      <c r="F213" s="70">
        <f t="shared" si="98"/>
        <v>1696578</v>
      </c>
      <c r="G213" s="84"/>
      <c r="H213" s="84">
        <v>1786335</v>
      </c>
      <c r="I213" s="84">
        <f t="shared" si="99"/>
        <v>1786335</v>
      </c>
      <c r="J213" s="70"/>
      <c r="K213" s="70">
        <v>1857401</v>
      </c>
      <c r="L213" s="70">
        <f t="shared" si="100"/>
        <v>1857401</v>
      </c>
      <c r="M213" s="224" t="str">
        <f t="shared" si="95"/>
        <v/>
      </c>
      <c r="N213" s="224">
        <f t="shared" si="96"/>
        <v>109.47925765865172</v>
      </c>
      <c r="O213" s="224" t="str">
        <f t="shared" si="97"/>
        <v/>
      </c>
      <c r="P213" s="224">
        <f t="shared" si="89"/>
        <v>103.9783131383531</v>
      </c>
    </row>
    <row r="214" spans="1:16" s="10" customFormat="1" ht="12.75" customHeight="1">
      <c r="A214" s="46" t="s">
        <v>205</v>
      </c>
      <c r="B214" s="47" t="s">
        <v>599</v>
      </c>
      <c r="C214" s="212" t="s">
        <v>1039</v>
      </c>
      <c r="D214" s="70"/>
      <c r="E214" s="70">
        <v>791736</v>
      </c>
      <c r="F214" s="70">
        <f t="shared" si="98"/>
        <v>791736</v>
      </c>
      <c r="G214" s="84"/>
      <c r="H214" s="84">
        <v>833623</v>
      </c>
      <c r="I214" s="84">
        <f t="shared" si="99"/>
        <v>833623</v>
      </c>
      <c r="J214" s="70"/>
      <c r="K214" s="70">
        <v>866787</v>
      </c>
      <c r="L214" s="70">
        <f t="shared" si="100"/>
        <v>866787</v>
      </c>
      <c r="M214" s="224" t="str">
        <f t="shared" si="95"/>
        <v/>
      </c>
      <c r="N214" s="224">
        <f t="shared" si="96"/>
        <v>109.47929612901271</v>
      </c>
      <c r="O214" s="224" t="str">
        <f t="shared" si="97"/>
        <v/>
      </c>
      <c r="P214" s="224">
        <f t="shared" si="89"/>
        <v>103.97829714391278</v>
      </c>
    </row>
    <row r="215" spans="1:16" s="3" customFormat="1" ht="6" customHeight="1">
      <c r="A215" s="46"/>
      <c r="B215" s="47"/>
      <c r="C215" s="212" t="s">
        <v>268</v>
      </c>
      <c r="D215" s="70"/>
      <c r="E215" s="70"/>
      <c r="F215" s="70">
        <f t="shared" si="98"/>
        <v>0</v>
      </c>
      <c r="G215" s="84"/>
      <c r="H215" s="84"/>
      <c r="I215" s="84">
        <f t="shared" si="99"/>
        <v>0</v>
      </c>
      <c r="J215" s="70"/>
      <c r="K215" s="70"/>
      <c r="L215" s="70">
        <f t="shared" ref="L215" si="101">SUM(J215:K215)</f>
        <v>0</v>
      </c>
      <c r="M215" s="224" t="str">
        <f t="shared" si="95"/>
        <v/>
      </c>
      <c r="N215" s="224" t="str">
        <f t="shared" si="96"/>
        <v/>
      </c>
      <c r="O215" s="224" t="str">
        <f t="shared" si="97"/>
        <v/>
      </c>
      <c r="P215" s="224" t="str">
        <f t="shared" si="89"/>
        <v/>
      </c>
    </row>
    <row r="216" spans="1:16" s="8" customFormat="1" ht="12.75">
      <c r="A216" s="58" t="s">
        <v>155</v>
      </c>
      <c r="B216" s="78" t="s">
        <v>265</v>
      </c>
      <c r="C216" s="301" t="s">
        <v>940</v>
      </c>
      <c r="D216" s="69">
        <f>SUM(D218:D227)</f>
        <v>11134524</v>
      </c>
      <c r="E216" s="69">
        <f>SUM(E218:E227)</f>
        <v>21263777</v>
      </c>
      <c r="F216" s="69">
        <f>SUM(D216:E216)</f>
        <v>32398301</v>
      </c>
      <c r="G216" s="115">
        <f>SUM(G218:G227)</f>
        <v>17270718</v>
      </c>
      <c r="H216" s="115">
        <f>SUM(H218:H227)</f>
        <v>22269643</v>
      </c>
      <c r="I216" s="115">
        <f t="shared" si="99"/>
        <v>39540361</v>
      </c>
      <c r="J216" s="69">
        <f>SUM(J218:J227)</f>
        <v>6994300</v>
      </c>
      <c r="K216" s="69">
        <f>SUM(K218:K227)</f>
        <v>23403251</v>
      </c>
      <c r="L216" s="69">
        <f>SUM(J216:K216)</f>
        <v>30397551</v>
      </c>
      <c r="M216" s="217">
        <f t="shared" si="95"/>
        <v>62.816335929582621</v>
      </c>
      <c r="N216" s="217">
        <f t="shared" si="96"/>
        <v>93.824521847611692</v>
      </c>
      <c r="O216" s="217">
        <f t="shared" si="97"/>
        <v>40.498026775725251</v>
      </c>
      <c r="P216" s="217">
        <f t="shared" si="89"/>
        <v>76.877272314231021</v>
      </c>
    </row>
    <row r="217" spans="1:16" s="3" customFormat="1" ht="12.75" customHeight="1">
      <c r="A217" s="80" t="s">
        <v>267</v>
      </c>
      <c r="B217" s="79"/>
      <c r="C217" s="302" t="s">
        <v>268</v>
      </c>
      <c r="D217" s="113">
        <f>SUM(D218:D226)</f>
        <v>11134524</v>
      </c>
      <c r="E217" s="113">
        <f>SUM(E218:E226)</f>
        <v>21263777</v>
      </c>
      <c r="F217" s="63">
        <f t="shared" ref="F217:F223" si="102">SUM(D217:E217)</f>
        <v>32398301</v>
      </c>
      <c r="G217" s="187">
        <f>SUM(G218:G226)</f>
        <v>14675774</v>
      </c>
      <c r="H217" s="187">
        <f>SUM(H218:H226)</f>
        <v>22269643</v>
      </c>
      <c r="I217" s="38">
        <f t="shared" si="99"/>
        <v>36945417</v>
      </c>
      <c r="J217" s="63">
        <f>SUM(J218:J226)</f>
        <v>6994300</v>
      </c>
      <c r="K217" s="113">
        <f>SUM(K218:K226)</f>
        <v>23403251</v>
      </c>
      <c r="L217" s="63">
        <f t="shared" ref="L217:L223" si="103">SUM(J217:K217)</f>
        <v>30397551</v>
      </c>
      <c r="M217" s="218">
        <f t="shared" si="95"/>
        <v>62.816335929582621</v>
      </c>
      <c r="N217" s="218">
        <f t="shared" si="96"/>
        <v>93.824521847611692</v>
      </c>
      <c r="O217" s="218">
        <f t="shared" si="97"/>
        <v>47.658815133021264</v>
      </c>
      <c r="P217" s="218">
        <f t="shared" si="89"/>
        <v>82.276919489093871</v>
      </c>
    </row>
    <row r="218" spans="1:16" s="3" customFormat="1" ht="12.75" customHeight="1">
      <c r="A218" s="36" t="s">
        <v>554</v>
      </c>
      <c r="B218" s="33">
        <v>0</v>
      </c>
      <c r="C218" s="211" t="s">
        <v>268</v>
      </c>
      <c r="D218" s="70"/>
      <c r="E218" s="70">
        <v>1131052</v>
      </c>
      <c r="F218" s="63">
        <f t="shared" si="102"/>
        <v>1131052</v>
      </c>
      <c r="G218" s="84"/>
      <c r="H218" s="84">
        <v>774078</v>
      </c>
      <c r="I218" s="38">
        <f t="shared" si="99"/>
        <v>774078</v>
      </c>
      <c r="J218" s="63"/>
      <c r="K218" s="70">
        <v>1052527</v>
      </c>
      <c r="L218" s="63">
        <f t="shared" si="103"/>
        <v>1052527</v>
      </c>
      <c r="M218" s="218" t="str">
        <f t="shared" si="95"/>
        <v/>
      </c>
      <c r="N218" s="218">
        <f t="shared" si="96"/>
        <v>93.057348380092165</v>
      </c>
      <c r="O218" s="218" t="str">
        <f t="shared" si="97"/>
        <v/>
      </c>
      <c r="P218" s="218">
        <f t="shared" si="89"/>
        <v>135.9716979425846</v>
      </c>
    </row>
    <row r="219" spans="1:16" s="3" customFormat="1" ht="12.75" customHeight="1">
      <c r="A219" s="36" t="s">
        <v>157</v>
      </c>
      <c r="B219" s="33" t="s">
        <v>551</v>
      </c>
      <c r="C219" s="211" t="s">
        <v>1040</v>
      </c>
      <c r="D219" s="63">
        <v>938100</v>
      </c>
      <c r="E219" s="63">
        <v>2148999</v>
      </c>
      <c r="F219" s="63">
        <f t="shared" si="102"/>
        <v>3087099</v>
      </c>
      <c r="G219" s="38">
        <v>992616</v>
      </c>
      <c r="H219" s="84">
        <v>2381780</v>
      </c>
      <c r="I219" s="38">
        <f t="shared" si="99"/>
        <v>3374396</v>
      </c>
      <c r="J219" s="63">
        <v>940000</v>
      </c>
      <c r="K219" s="63">
        <v>2476535</v>
      </c>
      <c r="L219" s="63">
        <f t="shared" si="103"/>
        <v>3416535</v>
      </c>
      <c r="M219" s="218">
        <f t="shared" si="95"/>
        <v>100.20253704295918</v>
      </c>
      <c r="N219" s="218">
        <f t="shared" si="96"/>
        <v>110.6713778858404</v>
      </c>
      <c r="O219" s="218">
        <f t="shared" si="97"/>
        <v>94.699259330899366</v>
      </c>
      <c r="P219" s="218">
        <f t="shared" si="89"/>
        <v>101.24878644948608</v>
      </c>
    </row>
    <row r="220" spans="1:16" s="3" customFormat="1" ht="12.75" customHeight="1">
      <c r="A220" s="36" t="s">
        <v>158</v>
      </c>
      <c r="B220" s="33" t="s">
        <v>728</v>
      </c>
      <c r="C220" s="211" t="s">
        <v>1041</v>
      </c>
      <c r="D220" s="63">
        <v>590301</v>
      </c>
      <c r="E220" s="63">
        <v>3166946</v>
      </c>
      <c r="F220" s="63">
        <f t="shared" si="102"/>
        <v>3757247</v>
      </c>
      <c r="G220" s="38">
        <v>4035785</v>
      </c>
      <c r="H220" s="84">
        <v>3453581</v>
      </c>
      <c r="I220" s="38">
        <f t="shared" si="99"/>
        <v>7489366</v>
      </c>
      <c r="J220" s="63">
        <v>657000</v>
      </c>
      <c r="K220" s="63">
        <v>3590975</v>
      </c>
      <c r="L220" s="63">
        <f t="shared" si="103"/>
        <v>4247975</v>
      </c>
      <c r="M220" s="218">
        <f t="shared" si="95"/>
        <v>111.29915077223316</v>
      </c>
      <c r="N220" s="218">
        <f t="shared" si="96"/>
        <v>113.06083949231977</v>
      </c>
      <c r="O220" s="218">
        <f t="shared" si="97"/>
        <v>16.279360768722814</v>
      </c>
      <c r="P220" s="218">
        <f t="shared" si="89"/>
        <v>56.720088189040297</v>
      </c>
    </row>
    <row r="221" spans="1:16" s="3" customFormat="1" ht="12.75" customHeight="1">
      <c r="A221" s="36" t="s">
        <v>702</v>
      </c>
      <c r="B221" s="33" t="s">
        <v>703</v>
      </c>
      <c r="C221" s="211" t="s">
        <v>1042</v>
      </c>
      <c r="D221" s="63">
        <v>3039000</v>
      </c>
      <c r="E221" s="63">
        <v>4863523</v>
      </c>
      <c r="F221" s="63">
        <f t="shared" si="102"/>
        <v>7902523</v>
      </c>
      <c r="G221" s="38">
        <v>3039000</v>
      </c>
      <c r="H221" s="84">
        <v>5239916</v>
      </c>
      <c r="I221" s="38">
        <f t="shared" si="99"/>
        <v>8278916</v>
      </c>
      <c r="J221" s="63">
        <v>1601900</v>
      </c>
      <c r="K221" s="63">
        <v>5448376</v>
      </c>
      <c r="L221" s="63">
        <f t="shared" si="103"/>
        <v>7050276</v>
      </c>
      <c r="M221" s="218">
        <f t="shared" si="95"/>
        <v>52.711418229680817</v>
      </c>
      <c r="N221" s="218">
        <f t="shared" si="96"/>
        <v>89.215507503110075</v>
      </c>
      <c r="O221" s="218">
        <f t="shared" si="97"/>
        <v>52.711418229680817</v>
      </c>
      <c r="P221" s="218">
        <f t="shared" si="89"/>
        <v>85.159409758475618</v>
      </c>
    </row>
    <row r="222" spans="1:16" s="3" customFormat="1" ht="12.75" customHeight="1">
      <c r="A222" s="36" t="s">
        <v>313</v>
      </c>
      <c r="B222" s="33" t="s">
        <v>552</v>
      </c>
      <c r="C222" s="211" t="s">
        <v>1043</v>
      </c>
      <c r="D222" s="63">
        <v>3300000</v>
      </c>
      <c r="E222" s="63">
        <v>9104968</v>
      </c>
      <c r="F222" s="63">
        <f t="shared" si="102"/>
        <v>12404968</v>
      </c>
      <c r="G222" s="38">
        <v>3300000</v>
      </c>
      <c r="H222" s="84">
        <v>9527120</v>
      </c>
      <c r="I222" s="38">
        <f t="shared" si="99"/>
        <v>12827120</v>
      </c>
      <c r="J222" s="63">
        <f>7274000-4000000</f>
        <v>3274000</v>
      </c>
      <c r="K222" s="63">
        <v>9906138</v>
      </c>
      <c r="L222" s="63">
        <f t="shared" si="103"/>
        <v>13180138</v>
      </c>
      <c r="M222" s="218">
        <f t="shared" si="95"/>
        <v>99.212121212121204</v>
      </c>
      <c r="N222" s="218">
        <f t="shared" si="96"/>
        <v>106.24886738925889</v>
      </c>
      <c r="O222" s="218">
        <f t="shared" si="97"/>
        <v>99.212121212121204</v>
      </c>
      <c r="P222" s="218">
        <f t="shared" si="89"/>
        <v>102.75212206637188</v>
      </c>
    </row>
    <row r="223" spans="1:16" s="3" customFormat="1" ht="12.75" customHeight="1">
      <c r="A223" s="36" t="s">
        <v>305</v>
      </c>
      <c r="B223" s="33" t="s">
        <v>553</v>
      </c>
      <c r="C223" s="211" t="s">
        <v>1044</v>
      </c>
      <c r="D223" s="63">
        <v>276000</v>
      </c>
      <c r="E223" s="63">
        <v>656010</v>
      </c>
      <c r="F223" s="63">
        <f t="shared" si="102"/>
        <v>932010</v>
      </c>
      <c r="G223" s="38">
        <v>262250</v>
      </c>
      <c r="H223" s="84">
        <v>690716</v>
      </c>
      <c r="I223" s="38">
        <f t="shared" si="99"/>
        <v>952966</v>
      </c>
      <c r="J223" s="63">
        <v>227000</v>
      </c>
      <c r="K223" s="63">
        <v>705812</v>
      </c>
      <c r="L223" s="63">
        <f t="shared" si="103"/>
        <v>932812</v>
      </c>
      <c r="M223" s="218">
        <f t="shared" si="95"/>
        <v>82.246376811594203</v>
      </c>
      <c r="N223" s="218">
        <f t="shared" si="96"/>
        <v>100.08605057885644</v>
      </c>
      <c r="O223" s="218">
        <f t="shared" si="97"/>
        <v>86.558627264061002</v>
      </c>
      <c r="P223" s="218">
        <f t="shared" ref="P223:P242" si="104">IF(I223&gt;0,IF(L223&gt;=0,L223/I223*100,""),"")</f>
        <v>97.885129165153856</v>
      </c>
    </row>
    <row r="224" spans="1:16" s="3" customFormat="1" ht="24">
      <c r="A224" s="36" t="s">
        <v>816</v>
      </c>
      <c r="B224" s="33" t="s">
        <v>806</v>
      </c>
      <c r="C224" s="211" t="s">
        <v>1045</v>
      </c>
      <c r="D224" s="63">
        <v>2991123</v>
      </c>
      <c r="E224" s="63">
        <v>56553</v>
      </c>
      <c r="F224" s="63">
        <f>SUM(D224:E224)</f>
        <v>3047676</v>
      </c>
      <c r="G224" s="38">
        <v>2991123</v>
      </c>
      <c r="H224" s="84">
        <v>59545</v>
      </c>
      <c r="I224" s="38">
        <f t="shared" si="99"/>
        <v>3050668</v>
      </c>
      <c r="J224" s="63">
        <v>259400</v>
      </c>
      <c r="K224" s="63">
        <v>61913</v>
      </c>
      <c r="L224" s="63">
        <f>SUM(J224:K224)</f>
        <v>321313</v>
      </c>
      <c r="M224" s="218">
        <f t="shared" si="95"/>
        <v>8.6723280854715767</v>
      </c>
      <c r="N224" s="218">
        <f t="shared" si="96"/>
        <v>10.542885792321757</v>
      </c>
      <c r="O224" s="218">
        <f t="shared" si="97"/>
        <v>8.6723280854715767</v>
      </c>
      <c r="P224" s="218">
        <f t="shared" si="104"/>
        <v>10.53254565885242</v>
      </c>
    </row>
    <row r="225" spans="1:16" s="3" customFormat="1" ht="24">
      <c r="A225" s="36" t="s">
        <v>848</v>
      </c>
      <c r="B225" s="33" t="s">
        <v>824</v>
      </c>
      <c r="C225" s="211" t="s">
        <v>1046</v>
      </c>
      <c r="D225" s="63"/>
      <c r="E225" s="63">
        <v>101795</v>
      </c>
      <c r="F225" s="63">
        <f>SUM(D225:E225)</f>
        <v>101795</v>
      </c>
      <c r="G225" s="38">
        <v>55000</v>
      </c>
      <c r="H225" s="84">
        <v>107180</v>
      </c>
      <c r="I225" s="38">
        <f t="shared" si="99"/>
        <v>162180</v>
      </c>
      <c r="J225" s="63">
        <v>35000</v>
      </c>
      <c r="K225" s="63">
        <v>123827</v>
      </c>
      <c r="L225" s="63">
        <f>SUM(J225:K225)</f>
        <v>158827</v>
      </c>
      <c r="M225" s="218" t="str">
        <f t="shared" si="95"/>
        <v/>
      </c>
      <c r="N225" s="218">
        <f t="shared" si="96"/>
        <v>156.02632742276143</v>
      </c>
      <c r="O225" s="218">
        <f t="shared" si="97"/>
        <v>63.636363636363633</v>
      </c>
      <c r="P225" s="218">
        <f t="shared" si="104"/>
        <v>97.932544086817117</v>
      </c>
    </row>
    <row r="226" spans="1:16" s="3" customFormat="1" ht="12.75" customHeight="1">
      <c r="A226" s="36" t="s">
        <v>929</v>
      </c>
      <c r="B226" s="33" t="s">
        <v>928</v>
      </c>
      <c r="C226" s="211" t="s">
        <v>1047</v>
      </c>
      <c r="D226" s="63"/>
      <c r="E226" s="63">
        <v>33931</v>
      </c>
      <c r="F226" s="63">
        <f>SUM(D226:E226)</f>
        <v>33931</v>
      </c>
      <c r="G226" s="38"/>
      <c r="H226" s="84">
        <v>35727</v>
      </c>
      <c r="I226" s="38">
        <f t="shared" si="99"/>
        <v>35727</v>
      </c>
      <c r="J226" s="63"/>
      <c r="K226" s="63">
        <v>37148</v>
      </c>
      <c r="L226" s="63">
        <f>SUM(J226:K226)</f>
        <v>37148</v>
      </c>
      <c r="M226" s="218" t="str">
        <f t="shared" si="95"/>
        <v/>
      </c>
      <c r="N226" s="218">
        <f t="shared" si="96"/>
        <v>109.48100557012761</v>
      </c>
      <c r="O226" s="218" t="str">
        <f t="shared" si="97"/>
        <v/>
      </c>
      <c r="P226" s="218">
        <f t="shared" si="104"/>
        <v>103.97738405127774</v>
      </c>
    </row>
    <row r="227" spans="1:16" s="3" customFormat="1" ht="12.75" customHeight="1">
      <c r="A227" s="36" t="s">
        <v>791</v>
      </c>
      <c r="B227" s="211" t="s">
        <v>151</v>
      </c>
      <c r="C227" s="211" t="s">
        <v>1048</v>
      </c>
      <c r="D227" s="63"/>
      <c r="E227" s="63"/>
      <c r="F227" s="63">
        <f t="shared" ref="F227" si="105">SUM(D227:E227)</f>
        <v>0</v>
      </c>
      <c r="G227" s="38">
        <v>2594944</v>
      </c>
      <c r="H227" s="38"/>
      <c r="I227" s="38">
        <f t="shared" si="99"/>
        <v>2594944</v>
      </c>
      <c r="J227" s="63"/>
      <c r="K227" s="63"/>
      <c r="L227" s="63">
        <f t="shared" ref="L227" si="106">SUM(J227:K227)</f>
        <v>0</v>
      </c>
      <c r="M227" s="218" t="str">
        <f t="shared" si="95"/>
        <v/>
      </c>
      <c r="N227" s="218" t="str">
        <f t="shared" si="96"/>
        <v/>
      </c>
      <c r="O227" s="218">
        <f t="shared" si="97"/>
        <v>0</v>
      </c>
      <c r="P227" s="218">
        <f t="shared" si="104"/>
        <v>0</v>
      </c>
    </row>
    <row r="228" spans="1:16" s="3" customFormat="1" ht="6" customHeight="1">
      <c r="A228" s="36"/>
      <c r="B228" s="33"/>
      <c r="C228" s="211" t="s">
        <v>268</v>
      </c>
      <c r="D228" s="63"/>
      <c r="E228" s="63"/>
      <c r="F228" s="63"/>
      <c r="G228" s="38"/>
      <c r="H228" s="38"/>
      <c r="I228" s="38"/>
      <c r="J228" s="63"/>
      <c r="K228" s="63"/>
      <c r="L228" s="63"/>
      <c r="M228" s="218" t="str">
        <f t="shared" si="95"/>
        <v/>
      </c>
      <c r="N228" s="218" t="str">
        <f t="shared" si="96"/>
        <v/>
      </c>
      <c r="O228" s="218" t="str">
        <f t="shared" si="97"/>
        <v/>
      </c>
      <c r="P228" s="218" t="str">
        <f t="shared" si="104"/>
        <v/>
      </c>
    </row>
    <row r="229" spans="1:16" s="11" customFormat="1" ht="12.75">
      <c r="A229" s="58" t="s">
        <v>2068</v>
      </c>
      <c r="B229" s="65" t="s">
        <v>265</v>
      </c>
      <c r="C229" s="308" t="s">
        <v>940</v>
      </c>
      <c r="D229" s="90">
        <f>SUM(D231:D248)</f>
        <v>311413208</v>
      </c>
      <c r="E229" s="69">
        <f>SUM(E231:E248)</f>
        <v>6446996</v>
      </c>
      <c r="F229" s="90">
        <f>SUM(D229:E229)</f>
        <v>317860204</v>
      </c>
      <c r="G229" s="60">
        <f>SUM(G231:G248)</f>
        <v>377555156</v>
      </c>
      <c r="H229" s="115">
        <f>SUM(H231:H248)</f>
        <v>6347444</v>
      </c>
      <c r="I229" s="60">
        <f t="shared" ref="I229:I248" si="107">SUM(G229:H229)</f>
        <v>383902600</v>
      </c>
      <c r="J229" s="90">
        <f>SUM(J231:J248)</f>
        <v>391912280</v>
      </c>
      <c r="K229" s="69">
        <f>SUM(K231:K248)</f>
        <v>7058123</v>
      </c>
      <c r="L229" s="90">
        <f>SUM(J229:K229)</f>
        <v>398970403</v>
      </c>
      <c r="M229" s="227">
        <f t="shared" si="95"/>
        <v>125.84960108692628</v>
      </c>
      <c r="N229" s="227">
        <f t="shared" si="96"/>
        <v>125.51756966719874</v>
      </c>
      <c r="O229" s="227">
        <f t="shared" si="97"/>
        <v>103.80265605484142</v>
      </c>
      <c r="P229" s="227">
        <f t="shared" si="104"/>
        <v>103.92490256643221</v>
      </c>
    </row>
    <row r="230" spans="1:16" s="3" customFormat="1" ht="12.75" customHeight="1">
      <c r="A230" s="36" t="s">
        <v>267</v>
      </c>
      <c r="B230" s="33"/>
      <c r="C230" s="211" t="s">
        <v>268</v>
      </c>
      <c r="D230" s="74">
        <f>SUM(D231:D247)</f>
        <v>311413208</v>
      </c>
      <c r="E230" s="74">
        <f>SUM(E231:E247)</f>
        <v>6446996</v>
      </c>
      <c r="F230" s="74">
        <f>SUM(D230:E230)</f>
        <v>317860204</v>
      </c>
      <c r="G230" s="112">
        <f>SUM(G231:G247)</f>
        <v>359744606</v>
      </c>
      <c r="H230" s="112">
        <f>SUM(H231:H247)</f>
        <v>6347444</v>
      </c>
      <c r="I230" s="112">
        <f t="shared" si="107"/>
        <v>366092050</v>
      </c>
      <c r="J230" s="74">
        <f>SUM(J231:J247)</f>
        <v>391912280</v>
      </c>
      <c r="K230" s="74">
        <f>SUM(K231:K247)</f>
        <v>7058123</v>
      </c>
      <c r="L230" s="74">
        <f>SUM(J230:K230)</f>
        <v>398970403</v>
      </c>
      <c r="M230" s="223">
        <f t="shared" si="95"/>
        <v>125.84960108692628</v>
      </c>
      <c r="N230" s="223">
        <f t="shared" si="96"/>
        <v>125.51756966719874</v>
      </c>
      <c r="O230" s="223">
        <f t="shared" si="97"/>
        <v>108.94180856738127</v>
      </c>
      <c r="P230" s="223">
        <f t="shared" si="104"/>
        <v>108.98089783703307</v>
      </c>
    </row>
    <row r="231" spans="1:16" s="3" customFormat="1" ht="12.75" customHeight="1">
      <c r="A231" s="36" t="s">
        <v>554</v>
      </c>
      <c r="B231" s="33">
        <v>0</v>
      </c>
      <c r="C231" s="211" t="s">
        <v>268</v>
      </c>
      <c r="D231" s="70"/>
      <c r="E231" s="70">
        <v>678631</v>
      </c>
      <c r="F231" s="74">
        <f>SUM(D231:E231)</f>
        <v>678631</v>
      </c>
      <c r="G231" s="84"/>
      <c r="H231" s="84">
        <v>833622</v>
      </c>
      <c r="I231" s="112">
        <f t="shared" si="107"/>
        <v>833622</v>
      </c>
      <c r="J231" s="74"/>
      <c r="K231" s="70">
        <v>990614</v>
      </c>
      <c r="L231" s="74">
        <f>SUM(J231:K231)</f>
        <v>990614</v>
      </c>
      <c r="M231" s="223" t="str">
        <f t="shared" si="95"/>
        <v/>
      </c>
      <c r="N231" s="223">
        <f t="shared" si="96"/>
        <v>145.97240621191781</v>
      </c>
      <c r="O231" s="223" t="str">
        <f t="shared" si="97"/>
        <v/>
      </c>
      <c r="P231" s="223">
        <f t="shared" si="104"/>
        <v>118.83251641631338</v>
      </c>
    </row>
    <row r="232" spans="1:16" s="3" customFormat="1" ht="12.75" customHeight="1">
      <c r="A232" s="36" t="s">
        <v>44</v>
      </c>
      <c r="B232" s="47" t="s">
        <v>697</v>
      </c>
      <c r="C232" s="212" t="s">
        <v>1049</v>
      </c>
      <c r="D232" s="63">
        <v>1355000</v>
      </c>
      <c r="E232" s="63">
        <v>752150</v>
      </c>
      <c r="F232" s="74">
        <f t="shared" ref="F232:F242" si="108">SUM(D232:E232)</f>
        <v>2107150</v>
      </c>
      <c r="G232" s="38">
        <v>1505000</v>
      </c>
      <c r="H232" s="84">
        <v>1028929</v>
      </c>
      <c r="I232" s="112">
        <f t="shared" si="107"/>
        <v>2533929</v>
      </c>
      <c r="J232" s="74">
        <v>1489693</v>
      </c>
      <c r="K232" s="63">
        <v>897744</v>
      </c>
      <c r="L232" s="74">
        <f t="shared" ref="L232:L237" si="109">SUM(J232:K232)</f>
        <v>2387437</v>
      </c>
      <c r="M232" s="223">
        <f t="shared" si="95"/>
        <v>109.94044280442805</v>
      </c>
      <c r="N232" s="223">
        <f t="shared" si="96"/>
        <v>113.30171084165816</v>
      </c>
      <c r="O232" s="223">
        <f t="shared" si="97"/>
        <v>98.982923588039867</v>
      </c>
      <c r="P232" s="223">
        <f t="shared" si="104"/>
        <v>94.218780399924384</v>
      </c>
    </row>
    <row r="233" spans="1:16" s="3" customFormat="1" ht="12.75" customHeight="1">
      <c r="A233" s="36" t="s">
        <v>715</v>
      </c>
      <c r="B233" s="47" t="s">
        <v>716</v>
      </c>
      <c r="C233" s="212" t="s">
        <v>1050</v>
      </c>
      <c r="D233" s="63"/>
      <c r="E233" s="63">
        <v>180968</v>
      </c>
      <c r="F233" s="74">
        <f t="shared" si="108"/>
        <v>180968</v>
      </c>
      <c r="G233" s="38"/>
      <c r="H233" s="84">
        <v>119089</v>
      </c>
      <c r="I233" s="112">
        <f t="shared" si="107"/>
        <v>119089</v>
      </c>
      <c r="J233" s="74"/>
      <c r="K233" s="63">
        <v>185740</v>
      </c>
      <c r="L233" s="74">
        <f t="shared" si="109"/>
        <v>185740</v>
      </c>
      <c r="M233" s="223" t="str">
        <f t="shared" si="95"/>
        <v/>
      </c>
      <c r="N233" s="223">
        <f t="shared" si="96"/>
        <v>102.63693028601742</v>
      </c>
      <c r="O233" s="223" t="str">
        <f t="shared" si="97"/>
        <v/>
      </c>
      <c r="P233" s="223">
        <f t="shared" si="104"/>
        <v>155.96738573671792</v>
      </c>
    </row>
    <row r="234" spans="1:16" s="3" customFormat="1" ht="12.75" customHeight="1">
      <c r="A234" s="36" t="s">
        <v>45</v>
      </c>
      <c r="B234" s="47" t="s">
        <v>543</v>
      </c>
      <c r="C234" s="212" t="s">
        <v>1051</v>
      </c>
      <c r="D234" s="63">
        <v>4450000</v>
      </c>
      <c r="E234" s="63">
        <v>1583473</v>
      </c>
      <c r="F234" s="74">
        <f t="shared" si="108"/>
        <v>6033473</v>
      </c>
      <c r="G234" s="38">
        <v>5033918</v>
      </c>
      <c r="H234" s="84">
        <v>1429068</v>
      </c>
      <c r="I234" s="112">
        <f t="shared" si="107"/>
        <v>6462986</v>
      </c>
      <c r="J234" s="74">
        <v>3260243</v>
      </c>
      <c r="K234" s="63">
        <v>1362094</v>
      </c>
      <c r="L234" s="74">
        <f t="shared" si="109"/>
        <v>4622337</v>
      </c>
      <c r="M234" s="223">
        <f t="shared" si="95"/>
        <v>73.26388764044944</v>
      </c>
      <c r="N234" s="223">
        <f t="shared" si="96"/>
        <v>76.61154694816733</v>
      </c>
      <c r="O234" s="223">
        <f t="shared" si="97"/>
        <v>64.76551664131199</v>
      </c>
      <c r="P234" s="223">
        <f t="shared" si="104"/>
        <v>71.520145641658516</v>
      </c>
    </row>
    <row r="235" spans="1:16" s="3" customFormat="1" ht="12.75" customHeight="1">
      <c r="A235" s="36" t="s">
        <v>775</v>
      </c>
      <c r="B235" s="47" t="s">
        <v>774</v>
      </c>
      <c r="C235" s="212" t="s">
        <v>1052</v>
      </c>
      <c r="D235" s="63">
        <v>350000</v>
      </c>
      <c r="E235" s="63">
        <v>169658</v>
      </c>
      <c r="F235" s="74">
        <f t="shared" si="108"/>
        <v>519658</v>
      </c>
      <c r="G235" s="38">
        <v>350000</v>
      </c>
      <c r="H235" s="84">
        <v>119089</v>
      </c>
      <c r="I235" s="112">
        <f t="shared" si="107"/>
        <v>469089</v>
      </c>
      <c r="J235" s="74">
        <v>570000</v>
      </c>
      <c r="K235" s="63">
        <v>247653</v>
      </c>
      <c r="L235" s="74">
        <f t="shared" si="109"/>
        <v>817653</v>
      </c>
      <c r="M235" s="223">
        <f t="shared" si="95"/>
        <v>162.85714285714286</v>
      </c>
      <c r="N235" s="223">
        <f t="shared" si="96"/>
        <v>157.34444577010265</v>
      </c>
      <c r="O235" s="223">
        <f t="shared" si="97"/>
        <v>162.85714285714286</v>
      </c>
      <c r="P235" s="223">
        <f t="shared" si="104"/>
        <v>174.30658148027348</v>
      </c>
    </row>
    <row r="236" spans="1:16" s="3" customFormat="1" ht="12.75" customHeight="1">
      <c r="A236" s="36" t="s">
        <v>713</v>
      </c>
      <c r="B236" s="47" t="s">
        <v>714</v>
      </c>
      <c r="C236" s="212" t="s">
        <v>1053</v>
      </c>
      <c r="D236" s="63">
        <v>250000</v>
      </c>
      <c r="E236" s="63">
        <v>169658</v>
      </c>
      <c r="F236" s="74">
        <f t="shared" si="108"/>
        <v>419658</v>
      </c>
      <c r="G236" s="38">
        <v>330000</v>
      </c>
      <c r="H236" s="84">
        <v>119089</v>
      </c>
      <c r="I236" s="112">
        <f t="shared" si="107"/>
        <v>449089</v>
      </c>
      <c r="J236" s="74">
        <v>350000</v>
      </c>
      <c r="K236" s="63">
        <v>123827</v>
      </c>
      <c r="L236" s="74">
        <f t="shared" si="109"/>
        <v>473827</v>
      </c>
      <c r="M236" s="223">
        <f t="shared" si="95"/>
        <v>140</v>
      </c>
      <c r="N236" s="223">
        <f t="shared" si="96"/>
        <v>112.90789166416464</v>
      </c>
      <c r="O236" s="223">
        <f t="shared" si="97"/>
        <v>106.06060606060606</v>
      </c>
      <c r="P236" s="223">
        <f t="shared" si="104"/>
        <v>105.508484955098</v>
      </c>
    </row>
    <row r="237" spans="1:16" s="3" customFormat="1" ht="12.75" customHeight="1">
      <c r="A237" s="36" t="s">
        <v>395</v>
      </c>
      <c r="B237" s="47" t="s">
        <v>461</v>
      </c>
      <c r="C237" s="212" t="s">
        <v>1054</v>
      </c>
      <c r="D237" s="63">
        <v>246412336</v>
      </c>
      <c r="E237" s="63">
        <v>667321</v>
      </c>
      <c r="F237" s="74">
        <f t="shared" si="108"/>
        <v>247079657</v>
      </c>
      <c r="G237" s="38">
        <v>283894336</v>
      </c>
      <c r="H237" s="84">
        <v>643081</v>
      </c>
      <c r="I237" s="112">
        <f t="shared" si="107"/>
        <v>284537417</v>
      </c>
      <c r="J237" s="74">
        <v>320964264</v>
      </c>
      <c r="K237" s="63">
        <v>631516</v>
      </c>
      <c r="L237" s="74">
        <f t="shared" si="109"/>
        <v>321595780</v>
      </c>
      <c r="M237" s="223">
        <f t="shared" si="95"/>
        <v>130.25494957362849</v>
      </c>
      <c r="N237" s="223">
        <f t="shared" si="96"/>
        <v>130.15874471608157</v>
      </c>
      <c r="O237" s="223">
        <f t="shared" si="97"/>
        <v>113.05764973063781</v>
      </c>
      <c r="P237" s="223">
        <f t="shared" si="104"/>
        <v>113.02407373719852</v>
      </c>
    </row>
    <row r="238" spans="1:16" s="3" customFormat="1" ht="12.75" customHeight="1">
      <c r="A238" s="36" t="s">
        <v>394</v>
      </c>
      <c r="B238" s="47" t="s">
        <v>544</v>
      </c>
      <c r="C238" s="212" t="s">
        <v>1055</v>
      </c>
      <c r="D238" s="63">
        <v>57452627</v>
      </c>
      <c r="E238" s="63">
        <v>803047</v>
      </c>
      <c r="F238" s="74">
        <f t="shared" si="108"/>
        <v>58255674</v>
      </c>
      <c r="G238" s="38">
        <v>64542627</v>
      </c>
      <c r="H238" s="84">
        <v>785987</v>
      </c>
      <c r="I238" s="112">
        <f t="shared" si="107"/>
        <v>65328614</v>
      </c>
      <c r="J238" s="74">
        <v>64000000</v>
      </c>
      <c r="K238" s="63">
        <v>854404</v>
      </c>
      <c r="L238" s="74">
        <f t="shared" ref="L238:L248" si="110">SUM(J238:K238)</f>
        <v>64854404</v>
      </c>
      <c r="M238" s="223">
        <f t="shared" si="95"/>
        <v>111.39612467154896</v>
      </c>
      <c r="N238" s="223">
        <f t="shared" si="96"/>
        <v>111.32718848982847</v>
      </c>
      <c r="O238" s="223">
        <f t="shared" si="97"/>
        <v>99.159273451946731</v>
      </c>
      <c r="P238" s="223">
        <f t="shared" si="104"/>
        <v>99.27411593333359</v>
      </c>
    </row>
    <row r="239" spans="1:16" s="3" customFormat="1" ht="12.75" customHeight="1">
      <c r="A239" s="36" t="s">
        <v>130</v>
      </c>
      <c r="B239" s="47" t="s">
        <v>131</v>
      </c>
      <c r="C239" s="212" t="s">
        <v>1056</v>
      </c>
      <c r="D239" s="63">
        <v>510000</v>
      </c>
      <c r="E239" s="63">
        <v>480697</v>
      </c>
      <c r="F239" s="74">
        <f t="shared" si="108"/>
        <v>990697</v>
      </c>
      <c r="G239" s="38">
        <v>510000</v>
      </c>
      <c r="H239" s="84">
        <v>178634</v>
      </c>
      <c r="I239" s="112">
        <f t="shared" si="107"/>
        <v>688634</v>
      </c>
      <c r="J239" s="74">
        <v>215800</v>
      </c>
      <c r="K239" s="63">
        <v>495307</v>
      </c>
      <c r="L239" s="74">
        <f t="shared" si="110"/>
        <v>711107</v>
      </c>
      <c r="M239" s="223">
        <f t="shared" si="95"/>
        <v>42.313725490196077</v>
      </c>
      <c r="N239" s="223">
        <f t="shared" si="96"/>
        <v>71.778454966553852</v>
      </c>
      <c r="O239" s="223">
        <f t="shared" si="97"/>
        <v>42.313725490196077</v>
      </c>
      <c r="P239" s="223">
        <f t="shared" si="104"/>
        <v>103.26341714176182</v>
      </c>
    </row>
    <row r="240" spans="1:16" s="3" customFormat="1" ht="12.75" customHeight="1">
      <c r="A240" s="36" t="s">
        <v>128</v>
      </c>
      <c r="B240" s="47" t="s">
        <v>129</v>
      </c>
      <c r="C240" s="212" t="s">
        <v>1058</v>
      </c>
      <c r="D240" s="63">
        <v>108100</v>
      </c>
      <c r="E240" s="63">
        <v>169658</v>
      </c>
      <c r="F240" s="74">
        <f t="shared" si="108"/>
        <v>277758</v>
      </c>
      <c r="G240" s="38">
        <v>108100</v>
      </c>
      <c r="H240" s="84">
        <v>136952</v>
      </c>
      <c r="I240" s="112">
        <f t="shared" si="107"/>
        <v>245052</v>
      </c>
      <c r="J240" s="74">
        <v>225700</v>
      </c>
      <c r="K240" s="63">
        <v>154783</v>
      </c>
      <c r="L240" s="74">
        <f t="shared" si="110"/>
        <v>380483</v>
      </c>
      <c r="M240" s="223">
        <f t="shared" si="95"/>
        <v>208.78815911193337</v>
      </c>
      <c r="N240" s="223">
        <f t="shared" si="96"/>
        <v>136.98363323468632</v>
      </c>
      <c r="O240" s="223">
        <f t="shared" si="97"/>
        <v>208.78815911193337</v>
      </c>
      <c r="P240" s="223">
        <f t="shared" si="104"/>
        <v>155.26622920849454</v>
      </c>
    </row>
    <row r="241" spans="1:16" s="3" customFormat="1" ht="24">
      <c r="A241" s="36" t="s">
        <v>687</v>
      </c>
      <c r="B241" s="47" t="s">
        <v>672</v>
      </c>
      <c r="C241" s="212" t="s">
        <v>1059</v>
      </c>
      <c r="D241" s="63">
        <v>188800</v>
      </c>
      <c r="E241" s="63">
        <v>226210</v>
      </c>
      <c r="F241" s="74">
        <f t="shared" si="108"/>
        <v>415010</v>
      </c>
      <c r="G241" s="38">
        <v>188800</v>
      </c>
      <c r="H241" s="84">
        <v>119089</v>
      </c>
      <c r="I241" s="112">
        <f t="shared" si="107"/>
        <v>307889</v>
      </c>
      <c r="J241" s="74">
        <v>250000</v>
      </c>
      <c r="K241" s="63">
        <v>247654</v>
      </c>
      <c r="L241" s="74">
        <f t="shared" si="110"/>
        <v>497654</v>
      </c>
      <c r="M241" s="223">
        <f t="shared" si="95"/>
        <v>132.41525423728814</v>
      </c>
      <c r="N241" s="223">
        <f t="shared" si="96"/>
        <v>119.91373701838511</v>
      </c>
      <c r="O241" s="223">
        <f t="shared" si="97"/>
        <v>132.41525423728814</v>
      </c>
      <c r="P241" s="223">
        <f t="shared" si="104"/>
        <v>161.63422532146325</v>
      </c>
    </row>
    <row r="242" spans="1:16" s="3" customFormat="1" ht="24">
      <c r="A242" s="36" t="s">
        <v>855</v>
      </c>
      <c r="B242" s="47" t="s">
        <v>856</v>
      </c>
      <c r="C242" s="212" t="s">
        <v>1060</v>
      </c>
      <c r="D242" s="63">
        <v>155495</v>
      </c>
      <c r="E242" s="63">
        <v>452421</v>
      </c>
      <c r="F242" s="74">
        <f t="shared" si="108"/>
        <v>607916</v>
      </c>
      <c r="G242" s="38">
        <v>155495</v>
      </c>
      <c r="H242" s="84">
        <v>476356</v>
      </c>
      <c r="I242" s="112">
        <f t="shared" si="107"/>
        <v>631851</v>
      </c>
      <c r="J242" s="74">
        <v>186580</v>
      </c>
      <c r="K242" s="63">
        <v>495307</v>
      </c>
      <c r="L242" s="74">
        <f t="shared" si="110"/>
        <v>681887</v>
      </c>
      <c r="M242" s="223">
        <f t="shared" si="95"/>
        <v>119.99099649506415</v>
      </c>
      <c r="N242" s="223">
        <f t="shared" si="96"/>
        <v>112.16796399502562</v>
      </c>
      <c r="O242" s="223">
        <f t="shared" si="97"/>
        <v>119.99099649506415</v>
      </c>
      <c r="P242" s="223">
        <f t="shared" si="104"/>
        <v>107.91895557655207</v>
      </c>
    </row>
    <row r="243" spans="1:16" s="3" customFormat="1" ht="12.75" customHeight="1">
      <c r="A243" s="36" t="s">
        <v>2090</v>
      </c>
      <c r="B243" s="47" t="s">
        <v>516</v>
      </c>
      <c r="C243" s="212" t="s">
        <v>2106</v>
      </c>
      <c r="D243" s="63"/>
      <c r="E243" s="63"/>
      <c r="F243" s="74"/>
      <c r="G243" s="38">
        <v>5000</v>
      </c>
      <c r="H243" s="84">
        <v>238178</v>
      </c>
      <c r="I243" s="112">
        <f>SUM(G243:H243)</f>
        <v>243178</v>
      </c>
      <c r="J243" s="74">
        <v>400000</v>
      </c>
      <c r="K243" s="63">
        <v>371480</v>
      </c>
      <c r="L243" s="74">
        <f>SUM(J243:K243)</f>
        <v>771480</v>
      </c>
      <c r="M243" s="223" t="str">
        <f t="shared" si="95"/>
        <v/>
      </c>
      <c r="N243" s="223" t="str">
        <f t="shared" si="96"/>
        <v/>
      </c>
      <c r="O243" s="223">
        <f t="shared" si="97"/>
        <v>8000</v>
      </c>
      <c r="P243" s="223">
        <f t="shared" ref="P243:P248" si="111">IF(I243&gt;0,IF(L243&gt;=0,L243/I243*100,""),"")</f>
        <v>317.24909325679135</v>
      </c>
    </row>
    <row r="244" spans="1:16" s="3" customFormat="1" ht="12.75" customHeight="1">
      <c r="A244" s="36" t="s">
        <v>21</v>
      </c>
      <c r="B244" s="212" t="s">
        <v>22</v>
      </c>
      <c r="C244" s="212" t="s">
        <v>1057</v>
      </c>
      <c r="D244" s="63">
        <v>75000</v>
      </c>
      <c r="E244" s="63">
        <v>56552</v>
      </c>
      <c r="F244" s="74">
        <f>SUM(D244:E244)</f>
        <v>131552</v>
      </c>
      <c r="G244" s="38">
        <v>75000</v>
      </c>
      <c r="H244" s="84">
        <v>59545</v>
      </c>
      <c r="I244" s="112">
        <f>SUM(G244:H244)</f>
        <v>134545</v>
      </c>
      <c r="J244" s="74"/>
      <c r="K244" s="63"/>
      <c r="L244" s="74">
        <f>SUM(J244:K244)</f>
        <v>0</v>
      </c>
      <c r="M244" s="223">
        <f t="shared" si="95"/>
        <v>0</v>
      </c>
      <c r="N244" s="223">
        <f t="shared" si="96"/>
        <v>0</v>
      </c>
      <c r="O244" s="223">
        <f t="shared" si="97"/>
        <v>0</v>
      </c>
      <c r="P244" s="223">
        <f t="shared" si="111"/>
        <v>0</v>
      </c>
    </row>
    <row r="245" spans="1:16" s="3" customFormat="1" ht="12.75" customHeight="1">
      <c r="A245" s="36" t="s">
        <v>19</v>
      </c>
      <c r="B245" s="212" t="s">
        <v>20</v>
      </c>
      <c r="C245" s="212" t="s">
        <v>1061</v>
      </c>
      <c r="D245" s="63">
        <v>105850</v>
      </c>
      <c r="E245" s="63">
        <v>56552</v>
      </c>
      <c r="F245" s="74">
        <f>SUM(D245:E245)</f>
        <v>162402</v>
      </c>
      <c r="G245" s="38">
        <v>126330</v>
      </c>
      <c r="H245" s="84">
        <v>59545</v>
      </c>
      <c r="I245" s="112">
        <f t="shared" si="107"/>
        <v>185875</v>
      </c>
      <c r="J245" s="74"/>
      <c r="K245" s="63"/>
      <c r="L245" s="74">
        <f t="shared" si="110"/>
        <v>0</v>
      </c>
      <c r="M245" s="223">
        <f t="shared" si="95"/>
        <v>0</v>
      </c>
      <c r="N245" s="223">
        <f t="shared" si="96"/>
        <v>0</v>
      </c>
      <c r="O245" s="223">
        <f t="shared" si="97"/>
        <v>0</v>
      </c>
      <c r="P245" s="223">
        <f t="shared" si="111"/>
        <v>0</v>
      </c>
    </row>
    <row r="246" spans="1:16" s="3" customFormat="1" ht="12.75" customHeight="1">
      <c r="A246" s="36" t="s">
        <v>210</v>
      </c>
      <c r="B246" s="212" t="s">
        <v>420</v>
      </c>
      <c r="C246" s="212" t="s">
        <v>1062</v>
      </c>
      <c r="D246" s="63"/>
      <c r="E246" s="63"/>
      <c r="F246" s="74"/>
      <c r="G246" s="38">
        <v>150000</v>
      </c>
      <c r="H246" s="84">
        <v>1191</v>
      </c>
      <c r="I246" s="112">
        <f t="shared" si="107"/>
        <v>151191</v>
      </c>
      <c r="J246" s="74"/>
      <c r="K246" s="63"/>
      <c r="L246" s="74">
        <f t="shared" si="110"/>
        <v>0</v>
      </c>
      <c r="M246" s="223" t="str">
        <f t="shared" si="95"/>
        <v/>
      </c>
      <c r="N246" s="223" t="str">
        <f t="shared" si="96"/>
        <v/>
      </c>
      <c r="O246" s="223">
        <f t="shared" si="97"/>
        <v>0</v>
      </c>
      <c r="P246" s="223">
        <f t="shared" si="111"/>
        <v>0</v>
      </c>
    </row>
    <row r="247" spans="1:16" s="3" customFormat="1" ht="12.75" customHeight="1">
      <c r="A247" s="36" t="s">
        <v>2069</v>
      </c>
      <c r="B247" s="212" t="s">
        <v>2070</v>
      </c>
      <c r="C247" s="212" t="s">
        <v>2107</v>
      </c>
      <c r="D247" s="63"/>
      <c r="E247" s="63"/>
      <c r="F247" s="74"/>
      <c r="G247" s="38">
        <v>2770000</v>
      </c>
      <c r="H247" s="38"/>
      <c r="I247" s="112">
        <f>SUM(G247:H247)</f>
        <v>2770000</v>
      </c>
      <c r="J247" s="74"/>
      <c r="K247" s="63"/>
      <c r="L247" s="74">
        <f t="shared" si="110"/>
        <v>0</v>
      </c>
      <c r="M247" s="223" t="str">
        <f t="shared" si="95"/>
        <v/>
      </c>
      <c r="N247" s="223" t="str">
        <f t="shared" si="96"/>
        <v/>
      </c>
      <c r="O247" s="223">
        <f t="shared" si="97"/>
        <v>0</v>
      </c>
      <c r="P247" s="223">
        <f t="shared" si="111"/>
        <v>0</v>
      </c>
    </row>
    <row r="248" spans="1:16" s="3" customFormat="1" ht="12.75" customHeight="1">
      <c r="A248" s="354" t="s">
        <v>791</v>
      </c>
      <c r="B248" s="310" t="s">
        <v>151</v>
      </c>
      <c r="C248" s="310" t="s">
        <v>1063</v>
      </c>
      <c r="D248" s="67"/>
      <c r="E248" s="67"/>
      <c r="F248" s="355">
        <f t="shared" ref="F248" si="112">SUM(D248:E248)</f>
        <v>0</v>
      </c>
      <c r="G248" s="61">
        <v>17810550</v>
      </c>
      <c r="H248" s="61"/>
      <c r="I248" s="357">
        <f t="shared" si="107"/>
        <v>17810550</v>
      </c>
      <c r="J248" s="355"/>
      <c r="K248" s="67"/>
      <c r="L248" s="355">
        <f t="shared" si="110"/>
        <v>0</v>
      </c>
      <c r="M248" s="358" t="str">
        <f t="shared" si="95"/>
        <v/>
      </c>
      <c r="N248" s="358" t="str">
        <f t="shared" si="96"/>
        <v/>
      </c>
      <c r="O248" s="358">
        <f t="shared" si="97"/>
        <v>0</v>
      </c>
      <c r="P248" s="358">
        <f t="shared" si="111"/>
        <v>0</v>
      </c>
    </row>
    <row r="249" spans="1:16" s="3" customFormat="1" ht="6" customHeight="1">
      <c r="A249" s="80"/>
      <c r="B249" s="44"/>
      <c r="C249" s="304" t="s">
        <v>268</v>
      </c>
      <c r="D249" s="76"/>
      <c r="E249" s="76"/>
      <c r="F249" s="73"/>
      <c r="G249" s="116"/>
      <c r="H249" s="116"/>
      <c r="I249" s="194"/>
      <c r="J249" s="73"/>
      <c r="K249" s="76"/>
      <c r="L249" s="73"/>
      <c r="M249" s="222" t="str">
        <f t="shared" si="95"/>
        <v/>
      </c>
      <c r="N249" s="222" t="str">
        <f t="shared" si="96"/>
        <v/>
      </c>
      <c r="O249" s="222" t="str">
        <f t="shared" si="97"/>
        <v/>
      </c>
      <c r="P249" s="222" t="str">
        <f t="shared" ref="P249:P256" si="113">IF(I249&gt;0,IF(L249&gt;=0,L249/I249*100,""),"")</f>
        <v/>
      </c>
    </row>
    <row r="250" spans="1:16" s="24" customFormat="1" ht="12.75">
      <c r="A250" s="41" t="s">
        <v>50</v>
      </c>
      <c r="B250" s="78" t="s">
        <v>265</v>
      </c>
      <c r="C250" s="301" t="s">
        <v>940</v>
      </c>
      <c r="D250" s="42">
        <f>SUM(D253:D257)</f>
        <v>10000000</v>
      </c>
      <c r="E250" s="42">
        <f>SUM(E252:E257)</f>
        <v>5542155</v>
      </c>
      <c r="F250" s="42">
        <f t="shared" ref="F250:F256" si="114">SUM(D250:E250)</f>
        <v>15542155</v>
      </c>
      <c r="G250" s="55">
        <f>SUM(G253:G257)</f>
        <v>9628000</v>
      </c>
      <c r="H250" s="55">
        <f>SUM(H252:H257)</f>
        <v>5656728</v>
      </c>
      <c r="I250" s="55">
        <f t="shared" ref="I250:I262" si="115">SUM(G250:H250)</f>
        <v>15284728</v>
      </c>
      <c r="J250" s="42">
        <f>SUM(J253:J257)</f>
        <v>8100000</v>
      </c>
      <c r="K250" s="42">
        <f>SUM(K252:K257)</f>
        <v>6005596</v>
      </c>
      <c r="L250" s="42">
        <f t="shared" ref="L250:L256" si="116">SUM(J250:K250)</f>
        <v>14105596</v>
      </c>
      <c r="M250" s="225">
        <f t="shared" si="95"/>
        <v>81</v>
      </c>
      <c r="N250" s="225">
        <f t="shared" si="96"/>
        <v>90.757015355978638</v>
      </c>
      <c r="O250" s="225">
        <f t="shared" si="97"/>
        <v>84.129621936019944</v>
      </c>
      <c r="P250" s="225">
        <f t="shared" si="113"/>
        <v>92.285554574474602</v>
      </c>
    </row>
    <row r="251" spans="1:16" s="6" customFormat="1" hidden="1">
      <c r="A251" s="43" t="s">
        <v>267</v>
      </c>
      <c r="B251" s="44" t="s">
        <v>268</v>
      </c>
      <c r="C251" s="304"/>
      <c r="D251" s="45">
        <f>SUM(D252:D257)</f>
        <v>10000000</v>
      </c>
      <c r="E251" s="45">
        <f>SUM(E252:E257)</f>
        <v>5542155</v>
      </c>
      <c r="F251" s="45">
        <f>SUM(D251:E251)</f>
        <v>15542155</v>
      </c>
      <c r="G251" s="88">
        <f>SUM(G252:G257)</f>
        <v>9628000</v>
      </c>
      <c r="H251" s="88">
        <f>SUM(H252:H257)</f>
        <v>5656728</v>
      </c>
      <c r="I251" s="88">
        <f t="shared" si="115"/>
        <v>15284728</v>
      </c>
      <c r="J251" s="45">
        <f>SUM(J252:J257)</f>
        <v>8100000</v>
      </c>
      <c r="K251" s="45">
        <f>SUM(K252:K257)</f>
        <v>6005596</v>
      </c>
      <c r="L251" s="45">
        <f t="shared" si="116"/>
        <v>14105596</v>
      </c>
      <c r="M251" s="229">
        <f t="shared" si="95"/>
        <v>81</v>
      </c>
      <c r="N251" s="229">
        <f t="shared" si="96"/>
        <v>90.757015355978638</v>
      </c>
      <c r="O251" s="229">
        <f t="shared" si="97"/>
        <v>84.129621936019944</v>
      </c>
      <c r="P251" s="229">
        <f t="shared" si="113"/>
        <v>92.285554574474602</v>
      </c>
    </row>
    <row r="252" spans="1:16" s="6" customFormat="1" ht="12.75" customHeight="1">
      <c r="A252" s="46" t="s">
        <v>554</v>
      </c>
      <c r="B252" s="47">
        <v>0</v>
      </c>
      <c r="C252" s="212" t="s">
        <v>268</v>
      </c>
      <c r="D252" s="63"/>
      <c r="E252" s="63">
        <v>1017947</v>
      </c>
      <c r="F252" s="48">
        <f t="shared" si="114"/>
        <v>1017947</v>
      </c>
      <c r="G252" s="38"/>
      <c r="H252" s="38">
        <v>1012257</v>
      </c>
      <c r="I252" s="85">
        <f t="shared" si="115"/>
        <v>1012257</v>
      </c>
      <c r="J252" s="48"/>
      <c r="K252" s="63">
        <v>1052528</v>
      </c>
      <c r="L252" s="48">
        <f t="shared" si="116"/>
        <v>1052528</v>
      </c>
      <c r="M252" s="219" t="str">
        <f t="shared" si="95"/>
        <v/>
      </c>
      <c r="N252" s="219">
        <f t="shared" si="96"/>
        <v>103.3971316777789</v>
      </c>
      <c r="O252" s="219" t="str">
        <f t="shared" si="97"/>
        <v/>
      </c>
      <c r="P252" s="219">
        <f t="shared" si="113"/>
        <v>103.97833751705348</v>
      </c>
    </row>
    <row r="253" spans="1:16" s="6" customFormat="1" ht="12.75" customHeight="1">
      <c r="A253" s="46" t="s">
        <v>191</v>
      </c>
      <c r="B253" s="47" t="s">
        <v>611</v>
      </c>
      <c r="C253" s="212" t="s">
        <v>1064</v>
      </c>
      <c r="D253" s="63">
        <v>250000</v>
      </c>
      <c r="E253" s="63">
        <v>1017947</v>
      </c>
      <c r="F253" s="48">
        <f t="shared" si="114"/>
        <v>1267947</v>
      </c>
      <c r="G253" s="38">
        <v>350000</v>
      </c>
      <c r="H253" s="38">
        <v>1071801</v>
      </c>
      <c r="I253" s="85">
        <f t="shared" si="115"/>
        <v>1421801</v>
      </c>
      <c r="J253" s="48">
        <f>250000-50000</f>
        <v>200000</v>
      </c>
      <c r="K253" s="63">
        <v>1114441</v>
      </c>
      <c r="L253" s="48">
        <f t="shared" si="116"/>
        <v>1314441</v>
      </c>
      <c r="M253" s="219">
        <f t="shared" si="95"/>
        <v>80</v>
      </c>
      <c r="N253" s="219">
        <f t="shared" si="96"/>
        <v>103.66687251123273</v>
      </c>
      <c r="O253" s="219">
        <f t="shared" si="97"/>
        <v>57.142857142857139</v>
      </c>
      <c r="P253" s="219">
        <f t="shared" si="113"/>
        <v>92.44901361020284</v>
      </c>
    </row>
    <row r="254" spans="1:16" s="6" customFormat="1" ht="12.75" customHeight="1">
      <c r="A254" s="49" t="s">
        <v>57</v>
      </c>
      <c r="B254" s="47" t="s">
        <v>610</v>
      </c>
      <c r="C254" s="212" t="s">
        <v>1065</v>
      </c>
      <c r="D254" s="63">
        <v>5665000</v>
      </c>
      <c r="E254" s="63">
        <v>1244157</v>
      </c>
      <c r="F254" s="48">
        <f t="shared" si="114"/>
        <v>6909157</v>
      </c>
      <c r="G254" s="38">
        <v>4441000</v>
      </c>
      <c r="H254" s="38">
        <v>1190890</v>
      </c>
      <c r="I254" s="85">
        <f t="shared" si="115"/>
        <v>5631890</v>
      </c>
      <c r="J254" s="48">
        <v>4120900</v>
      </c>
      <c r="K254" s="63">
        <v>1362093</v>
      </c>
      <c r="L254" s="48">
        <f t="shared" si="116"/>
        <v>5482993</v>
      </c>
      <c r="M254" s="219">
        <f t="shared" si="95"/>
        <v>72.743159752868493</v>
      </c>
      <c r="N254" s="219">
        <f t="shared" si="96"/>
        <v>79.358350085256419</v>
      </c>
      <c r="O254" s="219">
        <f t="shared" si="97"/>
        <v>92.792163927043461</v>
      </c>
      <c r="P254" s="219">
        <f t="shared" si="113"/>
        <v>97.356180607220665</v>
      </c>
    </row>
    <row r="255" spans="1:16" s="6" customFormat="1" ht="12.75" customHeight="1">
      <c r="A255" s="49" t="s">
        <v>58</v>
      </c>
      <c r="B255" s="47" t="s">
        <v>655</v>
      </c>
      <c r="C255" s="212" t="s">
        <v>1066</v>
      </c>
      <c r="D255" s="63">
        <v>2310000</v>
      </c>
      <c r="E255" s="63">
        <v>1470368</v>
      </c>
      <c r="F255" s="48">
        <f t="shared" si="114"/>
        <v>3780368</v>
      </c>
      <c r="G255" s="38">
        <v>2529000</v>
      </c>
      <c r="H255" s="38">
        <v>1548157</v>
      </c>
      <c r="I255" s="85">
        <f t="shared" si="115"/>
        <v>4077157</v>
      </c>
      <c r="J255" s="48">
        <f>2079100-250000</f>
        <v>1829100</v>
      </c>
      <c r="K255" s="63">
        <v>1609747</v>
      </c>
      <c r="L255" s="48">
        <f t="shared" si="116"/>
        <v>3438847</v>
      </c>
      <c r="M255" s="219">
        <f t="shared" si="95"/>
        <v>79.181818181818187</v>
      </c>
      <c r="N255" s="219">
        <f t="shared" si="96"/>
        <v>90.965932417161497</v>
      </c>
      <c r="O255" s="219">
        <f t="shared" si="97"/>
        <v>72.325029655990519</v>
      </c>
      <c r="P255" s="219">
        <f t="shared" si="113"/>
        <v>84.34423790891546</v>
      </c>
    </row>
    <row r="256" spans="1:16" s="6" customFormat="1" ht="12.75" customHeight="1">
      <c r="A256" s="49" t="s">
        <v>927</v>
      </c>
      <c r="B256" s="47" t="s">
        <v>926</v>
      </c>
      <c r="C256" s="212" t="s">
        <v>1067</v>
      </c>
      <c r="D256" s="63">
        <v>1775000</v>
      </c>
      <c r="E256" s="63">
        <v>791736</v>
      </c>
      <c r="F256" s="48">
        <f t="shared" si="114"/>
        <v>2566736</v>
      </c>
      <c r="G256" s="38">
        <v>2135000</v>
      </c>
      <c r="H256" s="38">
        <v>833623</v>
      </c>
      <c r="I256" s="85">
        <f t="shared" si="115"/>
        <v>2968623</v>
      </c>
      <c r="J256" s="48">
        <v>1950000</v>
      </c>
      <c r="K256" s="63">
        <v>866787</v>
      </c>
      <c r="L256" s="48">
        <f t="shared" si="116"/>
        <v>2816787</v>
      </c>
      <c r="M256" s="219">
        <f t="shared" si="95"/>
        <v>109.85915492957747</v>
      </c>
      <c r="N256" s="219">
        <f t="shared" si="96"/>
        <v>109.74198359317046</v>
      </c>
      <c r="O256" s="219">
        <f t="shared" si="97"/>
        <v>91.334894613583145</v>
      </c>
      <c r="P256" s="219">
        <f t="shared" si="113"/>
        <v>94.885305409275617</v>
      </c>
    </row>
    <row r="257" spans="1:17" s="6" customFormat="1" ht="12.75" customHeight="1">
      <c r="A257" s="49" t="s">
        <v>2069</v>
      </c>
      <c r="B257" s="212" t="s">
        <v>2070</v>
      </c>
      <c r="C257" s="212" t="s">
        <v>2108</v>
      </c>
      <c r="D257" s="63"/>
      <c r="E257" s="63"/>
      <c r="F257" s="48"/>
      <c r="G257" s="38">
        <v>173000</v>
      </c>
      <c r="H257" s="38"/>
      <c r="I257" s="85">
        <f t="shared" si="115"/>
        <v>173000</v>
      </c>
      <c r="J257" s="48"/>
      <c r="K257" s="63"/>
      <c r="L257" s="48"/>
      <c r="M257" s="219" t="str">
        <f t="shared" si="95"/>
        <v/>
      </c>
      <c r="N257" s="219" t="str">
        <f t="shared" si="96"/>
        <v/>
      </c>
      <c r="O257" s="219">
        <f t="shared" si="97"/>
        <v>0</v>
      </c>
      <c r="P257" s="219"/>
    </row>
    <row r="258" spans="1:17" s="5" customFormat="1" ht="6" customHeight="1">
      <c r="A258" s="50"/>
      <c r="B258" s="51"/>
      <c r="C258" s="313" t="s">
        <v>268</v>
      </c>
      <c r="D258" s="52"/>
      <c r="E258" s="52"/>
      <c r="F258" s="52">
        <f>SUM(D258:E258)</f>
        <v>0</v>
      </c>
      <c r="G258" s="52"/>
      <c r="H258" s="52"/>
      <c r="I258" s="52">
        <f t="shared" si="115"/>
        <v>0</v>
      </c>
      <c r="J258" s="52"/>
      <c r="K258" s="52"/>
      <c r="L258" s="52">
        <f>SUM(J258:K258)</f>
        <v>0</v>
      </c>
      <c r="M258" s="230" t="str">
        <f t="shared" si="95"/>
        <v/>
      </c>
      <c r="N258" s="230" t="str">
        <f t="shared" si="96"/>
        <v/>
      </c>
      <c r="O258" s="230" t="str">
        <f t="shared" si="97"/>
        <v/>
      </c>
      <c r="P258" s="230" t="str">
        <f t="shared" ref="P258:P271" si="117">IF(I258&gt;0,IF(L258&gt;=0,L258/I258*100,""),"")</f>
        <v/>
      </c>
    </row>
    <row r="259" spans="1:17" s="24" customFormat="1" ht="13.5" customHeight="1">
      <c r="A259" s="41" t="s">
        <v>876</v>
      </c>
      <c r="B259" s="78" t="s">
        <v>265</v>
      </c>
      <c r="C259" s="301" t="s">
        <v>940</v>
      </c>
      <c r="D259" s="42">
        <f>SUM(D261:D267)</f>
        <v>388163</v>
      </c>
      <c r="E259" s="42">
        <f>SUM(E261:E267)</f>
        <v>5768365</v>
      </c>
      <c r="F259" s="42">
        <f>SUM(D259:E259)</f>
        <v>6156528</v>
      </c>
      <c r="G259" s="55">
        <f>SUM(G261:G267)</f>
        <v>341463</v>
      </c>
      <c r="H259" s="55">
        <f>SUM(H261:H267)</f>
        <v>6073539</v>
      </c>
      <c r="I259" s="55">
        <f t="shared" si="115"/>
        <v>6415002</v>
      </c>
      <c r="J259" s="42">
        <f>SUM(J261:J267)</f>
        <v>355800</v>
      </c>
      <c r="K259" s="42">
        <f>SUM(K261:K267)</f>
        <v>6438990</v>
      </c>
      <c r="L259" s="42">
        <f>SUM(J259:K259)</f>
        <v>6794790</v>
      </c>
      <c r="M259" s="231">
        <f t="shared" si="95"/>
        <v>91.662523218338691</v>
      </c>
      <c r="N259" s="231">
        <f t="shared" si="96"/>
        <v>110.36723945704463</v>
      </c>
      <c r="O259" s="231">
        <f t="shared" si="97"/>
        <v>104.1986979555618</v>
      </c>
      <c r="P259" s="231">
        <f t="shared" si="117"/>
        <v>105.92030992351991</v>
      </c>
    </row>
    <row r="260" spans="1:17" s="6" customFormat="1" hidden="1">
      <c r="A260" s="43" t="s">
        <v>267</v>
      </c>
      <c r="B260" s="44" t="s">
        <v>268</v>
      </c>
      <c r="C260" s="304"/>
      <c r="D260" s="45">
        <f>SUM(D261:D267)</f>
        <v>388163</v>
      </c>
      <c r="E260" s="45">
        <f>SUM(E261:E267)</f>
        <v>5768365</v>
      </c>
      <c r="F260" s="45">
        <f>SUM(D260:E260)</f>
        <v>6156528</v>
      </c>
      <c r="G260" s="88">
        <f>SUM(G261:G267)</f>
        <v>341463</v>
      </c>
      <c r="H260" s="88">
        <f>SUM(H261:H267)</f>
        <v>6073539</v>
      </c>
      <c r="I260" s="88">
        <f t="shared" si="115"/>
        <v>6415002</v>
      </c>
      <c r="J260" s="45">
        <f>SUM(J261:J267)</f>
        <v>355800</v>
      </c>
      <c r="K260" s="45">
        <f>SUM(K261:K267)</f>
        <v>6438990</v>
      </c>
      <c r="L260" s="45">
        <f>SUM(J260:K260)</f>
        <v>6794790</v>
      </c>
      <c r="M260" s="219">
        <f t="shared" si="95"/>
        <v>91.662523218338691</v>
      </c>
      <c r="N260" s="219">
        <f t="shared" si="96"/>
        <v>110.36723945704463</v>
      </c>
      <c r="O260" s="219">
        <f t="shared" si="97"/>
        <v>104.1986979555618</v>
      </c>
      <c r="P260" s="219">
        <f t="shared" si="117"/>
        <v>105.92030992351991</v>
      </c>
    </row>
    <row r="261" spans="1:17" s="6" customFormat="1" ht="12.75" customHeight="1">
      <c r="A261" s="46" t="s">
        <v>554</v>
      </c>
      <c r="B261" s="47">
        <v>0</v>
      </c>
      <c r="C261" s="212" t="s">
        <v>268</v>
      </c>
      <c r="D261" s="63"/>
      <c r="E261" s="63">
        <v>452421</v>
      </c>
      <c r="F261" s="63">
        <f t="shared" ref="F261:F266" si="118">SUM(D261:E261)</f>
        <v>452421</v>
      </c>
      <c r="G261" s="38"/>
      <c r="H261" s="38">
        <v>535900</v>
      </c>
      <c r="I261" s="85">
        <f t="shared" si="115"/>
        <v>535900</v>
      </c>
      <c r="J261" s="48"/>
      <c r="K261" s="63">
        <v>557220</v>
      </c>
      <c r="L261" s="63">
        <f t="shared" ref="L261:L263" si="119">SUM(J261:K261)</f>
        <v>557220</v>
      </c>
      <c r="M261" s="219" t="str">
        <f t="shared" si="95"/>
        <v/>
      </c>
      <c r="N261" s="219">
        <f t="shared" si="96"/>
        <v>123.16404410935833</v>
      </c>
      <c r="O261" s="219" t="str">
        <f t="shared" si="97"/>
        <v/>
      </c>
      <c r="P261" s="219">
        <f t="shared" si="117"/>
        <v>103.97835417055421</v>
      </c>
    </row>
    <row r="262" spans="1:17" s="6" customFormat="1" ht="12.75" customHeight="1">
      <c r="A262" s="46" t="s">
        <v>1</v>
      </c>
      <c r="B262" s="47" t="s">
        <v>2</v>
      </c>
      <c r="C262" s="212" t="s">
        <v>1068</v>
      </c>
      <c r="D262" s="63">
        <v>388163</v>
      </c>
      <c r="E262" s="63">
        <v>2205551</v>
      </c>
      <c r="F262" s="63">
        <f t="shared" si="118"/>
        <v>2593714</v>
      </c>
      <c r="G262" s="38">
        <v>341463</v>
      </c>
      <c r="H262" s="38">
        <v>2381780</v>
      </c>
      <c r="I262" s="85">
        <f t="shared" si="115"/>
        <v>2723243</v>
      </c>
      <c r="J262" s="48">
        <v>355800</v>
      </c>
      <c r="K262" s="63">
        <v>2476535</v>
      </c>
      <c r="L262" s="48">
        <f>SUM(J262:K262)</f>
        <v>2832335</v>
      </c>
      <c r="M262" s="219">
        <f t="shared" si="95"/>
        <v>91.662523218338691</v>
      </c>
      <c r="N262" s="219">
        <f t="shared" si="96"/>
        <v>109.19997347433063</v>
      </c>
      <c r="O262" s="219">
        <f t="shared" si="97"/>
        <v>104.1986979555618</v>
      </c>
      <c r="P262" s="219">
        <f t="shared" si="117"/>
        <v>104.00595907159223</v>
      </c>
    </row>
    <row r="263" spans="1:17" s="6" customFormat="1" ht="12.75" customHeight="1">
      <c r="A263" s="46" t="s">
        <v>282</v>
      </c>
      <c r="B263" s="47" t="s">
        <v>584</v>
      </c>
      <c r="C263" s="212" t="s">
        <v>1069</v>
      </c>
      <c r="D263" s="63"/>
      <c r="E263" s="63">
        <v>904841</v>
      </c>
      <c r="F263" s="63">
        <f t="shared" si="118"/>
        <v>904841</v>
      </c>
      <c r="G263" s="38"/>
      <c r="H263" s="38">
        <v>952712</v>
      </c>
      <c r="I263" s="85">
        <f t="shared" ref="I263:I266" si="120">SUM(G263:H263)</f>
        <v>952712</v>
      </c>
      <c r="J263" s="48"/>
      <c r="K263" s="63">
        <v>990614</v>
      </c>
      <c r="L263" s="63">
        <f t="shared" si="119"/>
        <v>990614</v>
      </c>
      <c r="M263" s="219" t="str">
        <f t="shared" si="95"/>
        <v/>
      </c>
      <c r="N263" s="219">
        <f t="shared" si="96"/>
        <v>109.47934498989325</v>
      </c>
      <c r="O263" s="219" t="str">
        <f t="shared" si="97"/>
        <v/>
      </c>
      <c r="P263" s="219">
        <f t="shared" si="117"/>
        <v>103.97832713348841</v>
      </c>
    </row>
    <row r="264" spans="1:17" s="6" customFormat="1" ht="12.75" customHeight="1">
      <c r="A264" s="46" t="s">
        <v>923</v>
      </c>
      <c r="B264" s="47" t="s">
        <v>585</v>
      </c>
      <c r="C264" s="212" t="s">
        <v>1070</v>
      </c>
      <c r="D264" s="63"/>
      <c r="E264" s="63">
        <v>565526</v>
      </c>
      <c r="F264" s="63">
        <f t="shared" si="118"/>
        <v>565526</v>
      </c>
      <c r="G264" s="38"/>
      <c r="H264" s="38">
        <v>535901</v>
      </c>
      <c r="I264" s="85">
        <f t="shared" si="120"/>
        <v>535901</v>
      </c>
      <c r="J264" s="48"/>
      <c r="K264" s="63">
        <v>619134</v>
      </c>
      <c r="L264" s="63">
        <f>SUM(J264:K264)</f>
        <v>619134</v>
      </c>
      <c r="M264" s="219" t="str">
        <f t="shared" si="95"/>
        <v/>
      </c>
      <c r="N264" s="219">
        <f t="shared" si="96"/>
        <v>109.47931660082826</v>
      </c>
      <c r="O264" s="219" t="str">
        <f t="shared" si="97"/>
        <v/>
      </c>
      <c r="P264" s="219">
        <f t="shared" si="117"/>
        <v>115.53141345136508</v>
      </c>
    </row>
    <row r="265" spans="1:17" s="6" customFormat="1" ht="12.75" customHeight="1">
      <c r="A265" s="46" t="s">
        <v>906</v>
      </c>
      <c r="B265" s="47" t="s">
        <v>905</v>
      </c>
      <c r="C265" s="212" t="s">
        <v>1071</v>
      </c>
      <c r="D265" s="63"/>
      <c r="E265" s="63">
        <v>56553</v>
      </c>
      <c r="F265" s="63">
        <f t="shared" si="118"/>
        <v>56553</v>
      </c>
      <c r="G265" s="38"/>
      <c r="H265" s="38">
        <v>119089</v>
      </c>
      <c r="I265" s="85">
        <f t="shared" si="120"/>
        <v>119089</v>
      </c>
      <c r="J265" s="48"/>
      <c r="K265" s="63">
        <v>61913</v>
      </c>
      <c r="L265" s="48">
        <f>SUM(J265:K265)</f>
        <v>61913</v>
      </c>
      <c r="M265" s="219" t="str">
        <f t="shared" si="95"/>
        <v/>
      </c>
      <c r="N265" s="219">
        <f t="shared" si="96"/>
        <v>109.47783495128462</v>
      </c>
      <c r="O265" s="219" t="str">
        <f t="shared" si="97"/>
        <v/>
      </c>
      <c r="P265" s="219">
        <f t="shared" si="117"/>
        <v>51.988848676200149</v>
      </c>
    </row>
    <row r="266" spans="1:17" s="6" customFormat="1" ht="12.75" customHeight="1">
      <c r="A266" s="46" t="s">
        <v>924</v>
      </c>
      <c r="B266" s="47" t="s">
        <v>925</v>
      </c>
      <c r="C266" s="212" t="s">
        <v>1072</v>
      </c>
      <c r="D266" s="63"/>
      <c r="E266" s="63">
        <v>1583473</v>
      </c>
      <c r="F266" s="48">
        <f t="shared" si="118"/>
        <v>1583473</v>
      </c>
      <c r="G266" s="38"/>
      <c r="H266" s="38">
        <v>1548157</v>
      </c>
      <c r="I266" s="85">
        <f t="shared" si="120"/>
        <v>1548157</v>
      </c>
      <c r="J266" s="48"/>
      <c r="K266" s="63">
        <v>1609747</v>
      </c>
      <c r="L266" s="63">
        <f>SUM(J266:K266)</f>
        <v>1609747</v>
      </c>
      <c r="M266" s="219" t="str">
        <f t="shared" si="95"/>
        <v/>
      </c>
      <c r="N266" s="219">
        <f t="shared" si="96"/>
        <v>101.6592641617508</v>
      </c>
      <c r="O266" s="219" t="str">
        <f t="shared" si="97"/>
        <v/>
      </c>
      <c r="P266" s="219">
        <f t="shared" si="117"/>
        <v>103.9782786887893</v>
      </c>
    </row>
    <row r="267" spans="1:17" s="6" customFormat="1" ht="26.25" customHeight="1">
      <c r="A267" s="46" t="s">
        <v>2375</v>
      </c>
      <c r="B267" s="47" t="s">
        <v>2374</v>
      </c>
      <c r="C267" s="212" t="s">
        <v>2387</v>
      </c>
      <c r="D267" s="63"/>
      <c r="E267" s="63"/>
      <c r="F267" s="48"/>
      <c r="G267" s="38"/>
      <c r="H267" s="38"/>
      <c r="I267" s="85"/>
      <c r="J267" s="48"/>
      <c r="K267" s="63">
        <v>123827</v>
      </c>
      <c r="L267" s="63">
        <f>SUM(J267:K267)</f>
        <v>123827</v>
      </c>
      <c r="M267" s="219" t="str">
        <f t="shared" si="95"/>
        <v/>
      </c>
      <c r="N267" s="219" t="str">
        <f t="shared" si="96"/>
        <v/>
      </c>
      <c r="O267" s="219" t="str">
        <f t="shared" si="97"/>
        <v/>
      </c>
      <c r="P267" s="219" t="str">
        <f t="shared" ref="P267" si="121">IF(I267&gt;0,IF(L267&gt;=0,L267/I267*100,""),"")</f>
        <v/>
      </c>
    </row>
    <row r="268" spans="1:17" s="6" customFormat="1" ht="6" customHeight="1">
      <c r="A268" s="46"/>
      <c r="B268" s="47"/>
      <c r="C268" s="212" t="s">
        <v>268</v>
      </c>
      <c r="D268" s="63"/>
      <c r="E268" s="63"/>
      <c r="F268" s="48"/>
      <c r="G268" s="38"/>
      <c r="H268" s="38"/>
      <c r="I268" s="85"/>
      <c r="J268" s="48"/>
      <c r="K268" s="63"/>
      <c r="L268" s="48"/>
      <c r="M268" s="219" t="str">
        <f t="shared" si="95"/>
        <v/>
      </c>
      <c r="N268" s="219" t="str">
        <f t="shared" si="96"/>
        <v/>
      </c>
      <c r="O268" s="219" t="str">
        <f t="shared" si="97"/>
        <v/>
      </c>
      <c r="P268" s="219" t="str">
        <f t="shared" si="117"/>
        <v/>
      </c>
    </row>
    <row r="269" spans="1:17" s="11" customFormat="1" ht="12.75">
      <c r="A269" s="58" t="s">
        <v>187</v>
      </c>
      <c r="B269" s="65" t="s">
        <v>265</v>
      </c>
      <c r="C269" s="308" t="s">
        <v>940</v>
      </c>
      <c r="D269" s="42">
        <f>SUM(D271:D284)</f>
        <v>21113000</v>
      </c>
      <c r="E269" s="42">
        <f>SUM(E271:E284)</f>
        <v>8822205</v>
      </c>
      <c r="F269" s="90">
        <f>SUM(D269:E269)</f>
        <v>29935205</v>
      </c>
      <c r="G269" s="55">
        <f>SUM(G271:G284)</f>
        <v>21469800</v>
      </c>
      <c r="H269" s="55">
        <f>SUM(H271:H284)</f>
        <v>9288942</v>
      </c>
      <c r="I269" s="60">
        <f t="shared" ref="I269:I284" si="122">SUM(G269:H269)</f>
        <v>30758742</v>
      </c>
      <c r="J269" s="90">
        <f>SUM(J271:J284)</f>
        <v>21932000</v>
      </c>
      <c r="K269" s="42">
        <f>SUM(K271:K284)</f>
        <v>10029965</v>
      </c>
      <c r="L269" s="90">
        <f>SUM(J269:K269)</f>
        <v>31961965</v>
      </c>
      <c r="M269" s="232">
        <f t="shared" si="95"/>
        <v>103.8791266044617</v>
      </c>
      <c r="N269" s="232">
        <f t="shared" si="96"/>
        <v>106.77048979621151</v>
      </c>
      <c r="O269" s="232">
        <f t="shared" si="97"/>
        <v>102.1527913627514</v>
      </c>
      <c r="P269" s="232">
        <f t="shared" si="117"/>
        <v>103.91180822674737</v>
      </c>
    </row>
    <row r="270" spans="1:17" s="3" customFormat="1" ht="12.75" customHeight="1">
      <c r="A270" s="80" t="s">
        <v>267</v>
      </c>
      <c r="B270" s="79"/>
      <c r="C270" s="302" t="s">
        <v>268</v>
      </c>
      <c r="D270" s="113">
        <f>SUM(D271:D283)</f>
        <v>21113000</v>
      </c>
      <c r="E270" s="113">
        <f>SUM(E271:E283)</f>
        <v>8822205</v>
      </c>
      <c r="F270" s="73">
        <f>SUM(D270:E270)</f>
        <v>29935205</v>
      </c>
      <c r="G270" s="187">
        <f>SUM(G271:G283)</f>
        <v>21154700</v>
      </c>
      <c r="H270" s="187">
        <f>SUM(H271:H283)</f>
        <v>9288942</v>
      </c>
      <c r="I270" s="194">
        <f t="shared" si="122"/>
        <v>30443642</v>
      </c>
      <c r="J270" s="73">
        <f>SUM(J271:J283)</f>
        <v>21932000</v>
      </c>
      <c r="K270" s="113">
        <f>SUM(K271:K283)</f>
        <v>10029965</v>
      </c>
      <c r="L270" s="73">
        <f>SUM(J270:K270)</f>
        <v>31961965</v>
      </c>
      <c r="M270" s="222">
        <f t="shared" si="95"/>
        <v>103.8791266044617</v>
      </c>
      <c r="N270" s="222">
        <f t="shared" si="96"/>
        <v>106.77048979621151</v>
      </c>
      <c r="O270" s="222">
        <f t="shared" si="97"/>
        <v>103.67436078034669</v>
      </c>
      <c r="P270" s="222">
        <f t="shared" si="117"/>
        <v>104.98732378997231</v>
      </c>
      <c r="Q270" s="14"/>
    </row>
    <row r="271" spans="1:17" s="3" customFormat="1" ht="12.75" customHeight="1">
      <c r="A271" s="36" t="s">
        <v>554</v>
      </c>
      <c r="B271" s="33">
        <v>0</v>
      </c>
      <c r="C271" s="211" t="s">
        <v>268</v>
      </c>
      <c r="D271" s="70"/>
      <c r="E271" s="70">
        <v>1300710</v>
      </c>
      <c r="F271" s="74">
        <f>SUM(D271:E271)</f>
        <v>1300710</v>
      </c>
      <c r="G271" s="84"/>
      <c r="H271" s="84">
        <v>1262344</v>
      </c>
      <c r="I271" s="112">
        <f t="shared" si="122"/>
        <v>1262344</v>
      </c>
      <c r="J271" s="74"/>
      <c r="K271" s="70">
        <v>1269224</v>
      </c>
      <c r="L271" s="74">
        <f>SUM(J271:K271)</f>
        <v>1269224</v>
      </c>
      <c r="M271" s="223" t="str">
        <f t="shared" ref="M271:M334" si="123">IF(D271&gt;0,IF(J271&gt;=0,J271/D271*100,""),"")</f>
        <v/>
      </c>
      <c r="N271" s="223">
        <f t="shared" ref="N271:N334" si="124">IF(F271&gt;0,IF(L271&gt;=0,L271/F271*100,""),"")</f>
        <v>97.579322062565836</v>
      </c>
      <c r="O271" s="223" t="str">
        <f t="shared" ref="O271:O334" si="125">IF(G271&gt;0,IF(J271&gt;=0,J271/G271*100,""),"")</f>
        <v/>
      </c>
      <c r="P271" s="223">
        <f t="shared" si="117"/>
        <v>100.54501783982812</v>
      </c>
    </row>
    <row r="272" spans="1:17" s="3" customFormat="1" ht="12.75" customHeight="1">
      <c r="A272" s="36" t="s">
        <v>189</v>
      </c>
      <c r="B272" s="47" t="s">
        <v>517</v>
      </c>
      <c r="C272" s="212" t="s">
        <v>1074</v>
      </c>
      <c r="D272" s="63">
        <v>51100</v>
      </c>
      <c r="E272" s="63">
        <v>1016816</v>
      </c>
      <c r="F272" s="74">
        <f t="shared" ref="F272:F276" si="126">SUM(D272:E272)</f>
        <v>1067916</v>
      </c>
      <c r="G272" s="38">
        <v>51100</v>
      </c>
      <c r="H272" s="84">
        <v>1033693</v>
      </c>
      <c r="I272" s="112">
        <f t="shared" si="122"/>
        <v>1084793</v>
      </c>
      <c r="J272" s="74">
        <v>10000</v>
      </c>
      <c r="K272" s="63">
        <v>1213502</v>
      </c>
      <c r="L272" s="74">
        <f t="shared" ref="L272:L276" si="127">SUM(J272:K272)</f>
        <v>1223502</v>
      </c>
      <c r="M272" s="223">
        <f t="shared" si="123"/>
        <v>19.569471624266143</v>
      </c>
      <c r="N272" s="223">
        <f t="shared" si="124"/>
        <v>114.56912341420112</v>
      </c>
      <c r="O272" s="223">
        <f t="shared" si="125"/>
        <v>19.569471624266143</v>
      </c>
      <c r="P272" s="223">
        <f t="shared" ref="P272:P285" si="128">IF(I272&gt;0,IF(L272&gt;=0,L272/I272*100,""),"")</f>
        <v>112.78667911758279</v>
      </c>
    </row>
    <row r="273" spans="1:16" s="12" customFormat="1" ht="12.75" customHeight="1">
      <c r="A273" s="36" t="s">
        <v>159</v>
      </c>
      <c r="B273" s="47" t="s">
        <v>518</v>
      </c>
      <c r="C273" s="212" t="s">
        <v>1075</v>
      </c>
      <c r="D273" s="63"/>
      <c r="E273" s="63">
        <v>2318656</v>
      </c>
      <c r="F273" s="74">
        <f t="shared" si="126"/>
        <v>2318656</v>
      </c>
      <c r="G273" s="38"/>
      <c r="H273" s="84">
        <v>2587804</v>
      </c>
      <c r="I273" s="112">
        <f t="shared" si="122"/>
        <v>2587804</v>
      </c>
      <c r="J273" s="74"/>
      <c r="K273" s="63">
        <v>2662275</v>
      </c>
      <c r="L273" s="74">
        <f t="shared" si="127"/>
        <v>2662275</v>
      </c>
      <c r="M273" s="223" t="str">
        <f t="shared" si="123"/>
        <v/>
      </c>
      <c r="N273" s="223">
        <f t="shared" si="124"/>
        <v>114.81974902702254</v>
      </c>
      <c r="O273" s="223" t="str">
        <f t="shared" si="125"/>
        <v/>
      </c>
      <c r="P273" s="223">
        <f t="shared" ref="P273:P284" si="129">IF(I273&gt;0,IF(L273&gt;=0,L273/I273*100,""),"")</f>
        <v>102.87776817718807</v>
      </c>
    </row>
    <row r="274" spans="1:16" s="12" customFormat="1" ht="12.75" customHeight="1">
      <c r="A274" s="36" t="s">
        <v>190</v>
      </c>
      <c r="B274" s="47" t="s">
        <v>519</v>
      </c>
      <c r="C274" s="212" t="s">
        <v>1076</v>
      </c>
      <c r="D274" s="63">
        <v>77940</v>
      </c>
      <c r="E274" s="118">
        <v>1300710</v>
      </c>
      <c r="F274" s="74">
        <f t="shared" si="126"/>
        <v>1378650</v>
      </c>
      <c r="G274" s="38">
        <v>72940</v>
      </c>
      <c r="H274" s="84">
        <v>1437404</v>
      </c>
      <c r="I274" s="112">
        <f t="shared" si="122"/>
        <v>1510344</v>
      </c>
      <c r="J274" s="74">
        <v>127126</v>
      </c>
      <c r="K274" s="118">
        <v>1535451</v>
      </c>
      <c r="L274" s="74">
        <f t="shared" si="127"/>
        <v>1662577</v>
      </c>
      <c r="M274" s="223">
        <f t="shared" si="123"/>
        <v>163.10751860405441</v>
      </c>
      <c r="N274" s="223">
        <f t="shared" si="124"/>
        <v>120.59456714902259</v>
      </c>
      <c r="O274" s="223">
        <f t="shared" si="125"/>
        <v>174.28845626542363</v>
      </c>
      <c r="P274" s="223">
        <f t="shared" si="129"/>
        <v>110.07935940421521</v>
      </c>
    </row>
    <row r="275" spans="1:16" s="12" customFormat="1" ht="12.75" customHeight="1">
      <c r="A275" s="36" t="s">
        <v>230</v>
      </c>
      <c r="B275" s="47" t="s">
        <v>520</v>
      </c>
      <c r="C275" s="212" t="s">
        <v>1077</v>
      </c>
      <c r="D275" s="63">
        <f>18065100+200000</f>
        <v>18265100</v>
      </c>
      <c r="E275" s="63">
        <v>972705</v>
      </c>
      <c r="F275" s="74">
        <f t="shared" si="126"/>
        <v>19237805</v>
      </c>
      <c r="G275" s="38">
        <v>18294600</v>
      </c>
      <c r="H275" s="84">
        <v>1031311</v>
      </c>
      <c r="I275" s="112">
        <f t="shared" si="122"/>
        <v>19325911</v>
      </c>
      <c r="J275" s="74">
        <v>18629850</v>
      </c>
      <c r="K275" s="63">
        <v>990614</v>
      </c>
      <c r="L275" s="74">
        <f t="shared" si="127"/>
        <v>19620464</v>
      </c>
      <c r="M275" s="223">
        <f t="shared" si="123"/>
        <v>101.99697784299018</v>
      </c>
      <c r="N275" s="223">
        <f t="shared" si="124"/>
        <v>101.9890990682149</v>
      </c>
      <c r="O275" s="223">
        <f t="shared" si="125"/>
        <v>101.83250795316651</v>
      </c>
      <c r="P275" s="223">
        <f t="shared" si="129"/>
        <v>101.52413513650144</v>
      </c>
    </row>
    <row r="276" spans="1:16" s="7" customFormat="1" ht="24">
      <c r="A276" s="46" t="s">
        <v>817</v>
      </c>
      <c r="B276" s="47" t="s">
        <v>515</v>
      </c>
      <c r="C276" s="212" t="s">
        <v>1078</v>
      </c>
      <c r="D276" s="63"/>
      <c r="E276" s="63">
        <v>1051878</v>
      </c>
      <c r="F276" s="74">
        <f t="shared" si="126"/>
        <v>1051878</v>
      </c>
      <c r="G276" s="38"/>
      <c r="H276" s="84">
        <v>1134918</v>
      </c>
      <c r="I276" s="112">
        <f t="shared" si="122"/>
        <v>1134918</v>
      </c>
      <c r="J276" s="74"/>
      <c r="K276" s="63">
        <v>1201119</v>
      </c>
      <c r="L276" s="74">
        <f t="shared" si="127"/>
        <v>1201119</v>
      </c>
      <c r="M276" s="223" t="str">
        <f t="shared" si="123"/>
        <v/>
      </c>
      <c r="N276" s="223">
        <f t="shared" si="124"/>
        <v>114.18805222658901</v>
      </c>
      <c r="O276" s="223" t="str">
        <f t="shared" si="125"/>
        <v/>
      </c>
      <c r="P276" s="223">
        <f t="shared" si="129"/>
        <v>105.833108647497</v>
      </c>
    </row>
    <row r="277" spans="1:16" s="7" customFormat="1" ht="12.75" customHeight="1">
      <c r="A277" s="36" t="s">
        <v>210</v>
      </c>
      <c r="B277" s="33" t="s">
        <v>420</v>
      </c>
      <c r="C277" s="211" t="s">
        <v>1079</v>
      </c>
      <c r="D277" s="63">
        <v>2600000</v>
      </c>
      <c r="E277" s="63">
        <v>135726</v>
      </c>
      <c r="F277" s="70">
        <f t="shared" ref="F277" si="130">SUM(D277:E277)</f>
        <v>2735726</v>
      </c>
      <c r="G277" s="38">
        <v>2522300</v>
      </c>
      <c r="H277" s="84">
        <v>51208</v>
      </c>
      <c r="I277" s="84">
        <f t="shared" si="122"/>
        <v>2573508</v>
      </c>
      <c r="J277" s="70">
        <v>2700000</v>
      </c>
      <c r="K277" s="63">
        <v>123827</v>
      </c>
      <c r="L277" s="70">
        <f t="shared" ref="L277:L284" si="131">SUM(J277:K277)</f>
        <v>2823827</v>
      </c>
      <c r="M277" s="223">
        <f t="shared" si="123"/>
        <v>103.84615384615385</v>
      </c>
      <c r="N277" s="223">
        <f t="shared" si="124"/>
        <v>103.22038829912059</v>
      </c>
      <c r="O277" s="223">
        <f t="shared" si="125"/>
        <v>107.04515719779566</v>
      </c>
      <c r="P277" s="223">
        <f t="shared" si="129"/>
        <v>109.72676206951758</v>
      </c>
    </row>
    <row r="278" spans="1:16" s="7" customFormat="1" ht="12.75" customHeight="1">
      <c r="A278" s="36" t="s">
        <v>119</v>
      </c>
      <c r="B278" s="47" t="s">
        <v>120</v>
      </c>
      <c r="C278" s="212" t="s">
        <v>1080</v>
      </c>
      <c r="D278" s="63">
        <v>101400</v>
      </c>
      <c r="E278" s="63">
        <v>384558</v>
      </c>
      <c r="F278" s="70">
        <f>SUM(D278:E278)</f>
        <v>485958</v>
      </c>
      <c r="G278" s="38">
        <v>186400</v>
      </c>
      <c r="H278" s="84">
        <v>450156</v>
      </c>
      <c r="I278" s="84">
        <f t="shared" si="122"/>
        <v>636556</v>
      </c>
      <c r="J278" s="70">
        <v>31000</v>
      </c>
      <c r="K278" s="63">
        <v>433394</v>
      </c>
      <c r="L278" s="70">
        <f>SUM(J278:K278)</f>
        <v>464394</v>
      </c>
      <c r="M278" s="223">
        <f t="shared" si="123"/>
        <v>30.57199211045365</v>
      </c>
      <c r="N278" s="223">
        <f t="shared" si="124"/>
        <v>95.562579482177469</v>
      </c>
      <c r="O278" s="223">
        <f t="shared" si="125"/>
        <v>16.630901287553648</v>
      </c>
      <c r="P278" s="223">
        <f t="shared" si="129"/>
        <v>72.954147003562923</v>
      </c>
    </row>
    <row r="279" spans="1:16" s="7" customFormat="1" ht="12.75" customHeight="1">
      <c r="A279" s="36" t="s">
        <v>121</v>
      </c>
      <c r="B279" s="47" t="s">
        <v>122</v>
      </c>
      <c r="C279" s="212" t="s">
        <v>1081</v>
      </c>
      <c r="D279" s="63"/>
      <c r="E279" s="63">
        <v>136857</v>
      </c>
      <c r="F279" s="70">
        <f>SUM(D279:E279)</f>
        <v>136857</v>
      </c>
      <c r="G279" s="38"/>
      <c r="H279" s="84">
        <v>114325</v>
      </c>
      <c r="I279" s="84">
        <f t="shared" si="122"/>
        <v>114325</v>
      </c>
      <c r="J279" s="70"/>
      <c r="K279" s="63">
        <v>241462</v>
      </c>
      <c r="L279" s="70">
        <f>SUM(J279:K279)</f>
        <v>241462</v>
      </c>
      <c r="M279" s="223" t="str">
        <f t="shared" si="123"/>
        <v/>
      </c>
      <c r="N279" s="223">
        <f t="shared" si="124"/>
        <v>176.43379585991218</v>
      </c>
      <c r="O279" s="223" t="str">
        <f t="shared" si="125"/>
        <v/>
      </c>
      <c r="P279" s="223">
        <f t="shared" si="129"/>
        <v>211.20664771484803</v>
      </c>
    </row>
    <row r="280" spans="1:16" s="7" customFormat="1" ht="12.75" customHeight="1">
      <c r="A280" s="36" t="s">
        <v>2356</v>
      </c>
      <c r="B280" s="47" t="s">
        <v>2355</v>
      </c>
      <c r="C280" s="212" t="s">
        <v>2365</v>
      </c>
      <c r="D280" s="63"/>
      <c r="E280" s="63"/>
      <c r="F280" s="70"/>
      <c r="G280" s="38"/>
      <c r="H280" s="84">
        <v>156007</v>
      </c>
      <c r="I280" s="84">
        <f t="shared" si="122"/>
        <v>156007</v>
      </c>
      <c r="J280" s="70">
        <v>5000</v>
      </c>
      <c r="K280" s="63">
        <v>359097</v>
      </c>
      <c r="L280" s="70">
        <f t="shared" ref="L280:L281" si="132">SUM(J280:K280)</f>
        <v>364097</v>
      </c>
      <c r="M280" s="223" t="str">
        <f t="shared" si="123"/>
        <v/>
      </c>
      <c r="N280" s="223" t="str">
        <f t="shared" si="124"/>
        <v/>
      </c>
      <c r="O280" s="223" t="str">
        <f t="shared" si="125"/>
        <v/>
      </c>
      <c r="P280" s="223">
        <f t="shared" si="129"/>
        <v>233.38504041485319</v>
      </c>
    </row>
    <row r="281" spans="1:16" s="7" customFormat="1" ht="12.75" customHeight="1">
      <c r="A281" s="36" t="s">
        <v>13</v>
      </c>
      <c r="B281" s="47" t="s">
        <v>10</v>
      </c>
      <c r="C281" s="212" t="s">
        <v>1082</v>
      </c>
      <c r="D281" s="63">
        <v>12460</v>
      </c>
      <c r="E281" s="63"/>
      <c r="F281" s="70">
        <f t="shared" ref="F281:F284" si="133">SUM(D281:E281)</f>
        <v>12460</v>
      </c>
      <c r="G281" s="38">
        <v>12460</v>
      </c>
      <c r="H281" s="84">
        <v>0</v>
      </c>
      <c r="I281" s="84">
        <f t="shared" si="122"/>
        <v>12460</v>
      </c>
      <c r="J281" s="70">
        <v>199024</v>
      </c>
      <c r="K281" s="63"/>
      <c r="L281" s="70">
        <f t="shared" si="132"/>
        <v>199024</v>
      </c>
      <c r="M281" s="223">
        <f t="shared" si="123"/>
        <v>1597.3033707865168</v>
      </c>
      <c r="N281" s="223">
        <f t="shared" si="124"/>
        <v>1597.3033707865168</v>
      </c>
      <c r="O281" s="223">
        <f t="shared" si="125"/>
        <v>1597.3033707865168</v>
      </c>
      <c r="P281" s="223">
        <f t="shared" si="129"/>
        <v>1597.3033707865168</v>
      </c>
    </row>
    <row r="282" spans="1:16" s="3" customFormat="1" ht="12.75" customHeight="1">
      <c r="A282" s="36" t="s">
        <v>641</v>
      </c>
      <c r="B282" s="47" t="s">
        <v>642</v>
      </c>
      <c r="C282" s="212" t="s">
        <v>1083</v>
      </c>
      <c r="D282" s="63"/>
      <c r="E282" s="63"/>
      <c r="F282" s="70">
        <f>SUM(D282:E282)</f>
        <v>0</v>
      </c>
      <c r="G282" s="38">
        <v>14900</v>
      </c>
      <c r="H282" s="84">
        <v>17863</v>
      </c>
      <c r="I282" s="84">
        <f>SUM(G282:H282)</f>
        <v>32763</v>
      </c>
      <c r="J282" s="70">
        <v>230000</v>
      </c>
      <c r="K282" s="63"/>
      <c r="L282" s="70">
        <f>SUM(J282:K282)</f>
        <v>230000</v>
      </c>
      <c r="M282" s="223" t="str">
        <f t="shared" si="123"/>
        <v/>
      </c>
      <c r="N282" s="223" t="str">
        <f t="shared" si="124"/>
        <v/>
      </c>
      <c r="O282" s="223">
        <f t="shared" si="125"/>
        <v>1543.6241610738255</v>
      </c>
      <c r="P282" s="223">
        <f t="shared" si="129"/>
        <v>702.01141531605776</v>
      </c>
    </row>
    <row r="283" spans="1:16" s="3" customFormat="1" ht="12.75" customHeight="1">
      <c r="A283" s="36" t="s">
        <v>188</v>
      </c>
      <c r="B283" s="212" t="s">
        <v>516</v>
      </c>
      <c r="C283" s="212" t="s">
        <v>1073</v>
      </c>
      <c r="D283" s="63">
        <v>5000</v>
      </c>
      <c r="E283" s="63">
        <v>203589</v>
      </c>
      <c r="F283" s="74">
        <f>SUM(D283:E283)</f>
        <v>208589</v>
      </c>
      <c r="G283" s="38"/>
      <c r="H283" s="84">
        <v>11909</v>
      </c>
      <c r="I283" s="112">
        <f>SUM(G283:H283)</f>
        <v>11909</v>
      </c>
      <c r="J283" s="74"/>
      <c r="K283" s="63"/>
      <c r="L283" s="74">
        <f>SUM(J283:K283)</f>
        <v>0</v>
      </c>
      <c r="M283" s="223">
        <f t="shared" si="123"/>
        <v>0</v>
      </c>
      <c r="N283" s="223">
        <f t="shared" si="124"/>
        <v>0</v>
      </c>
      <c r="O283" s="223" t="str">
        <f t="shared" si="125"/>
        <v/>
      </c>
      <c r="P283" s="223">
        <f t="shared" si="129"/>
        <v>0</v>
      </c>
    </row>
    <row r="284" spans="1:16" s="7" customFormat="1" ht="12.75" customHeight="1">
      <c r="A284" s="36" t="s">
        <v>791</v>
      </c>
      <c r="B284" s="212" t="s">
        <v>151</v>
      </c>
      <c r="C284" s="212" t="s">
        <v>1084</v>
      </c>
      <c r="D284" s="63"/>
      <c r="E284" s="63"/>
      <c r="F284" s="70">
        <f t="shared" si="133"/>
        <v>0</v>
      </c>
      <c r="G284" s="38">
        <v>315100</v>
      </c>
      <c r="H284" s="38"/>
      <c r="I284" s="84">
        <f t="shared" si="122"/>
        <v>315100</v>
      </c>
      <c r="J284" s="70"/>
      <c r="K284" s="63"/>
      <c r="L284" s="70">
        <f t="shared" si="131"/>
        <v>0</v>
      </c>
      <c r="M284" s="223" t="str">
        <f t="shared" si="123"/>
        <v/>
      </c>
      <c r="N284" s="223" t="str">
        <f t="shared" si="124"/>
        <v/>
      </c>
      <c r="O284" s="223">
        <f t="shared" si="125"/>
        <v>0</v>
      </c>
      <c r="P284" s="223">
        <f t="shared" si="129"/>
        <v>0</v>
      </c>
    </row>
    <row r="285" spans="1:16" s="7" customFormat="1" ht="6" customHeight="1">
      <c r="A285" s="36"/>
      <c r="B285" s="47"/>
      <c r="C285" s="212" t="s">
        <v>268</v>
      </c>
      <c r="D285" s="63"/>
      <c r="E285" s="63"/>
      <c r="F285" s="70"/>
      <c r="G285" s="38"/>
      <c r="H285" s="38"/>
      <c r="I285" s="84"/>
      <c r="J285" s="70"/>
      <c r="K285" s="63"/>
      <c r="L285" s="70"/>
      <c r="M285" s="223" t="str">
        <f t="shared" si="123"/>
        <v/>
      </c>
      <c r="N285" s="223" t="str">
        <f t="shared" si="124"/>
        <v/>
      </c>
      <c r="O285" s="223" t="str">
        <f t="shared" si="125"/>
        <v/>
      </c>
      <c r="P285" s="223" t="str">
        <f t="shared" si="128"/>
        <v/>
      </c>
    </row>
    <row r="286" spans="1:16" s="8" customFormat="1" ht="12.75">
      <c r="A286" s="58" t="s">
        <v>164</v>
      </c>
      <c r="B286" s="108" t="s">
        <v>265</v>
      </c>
      <c r="C286" s="314" t="s">
        <v>940</v>
      </c>
      <c r="D286" s="69">
        <f>SUM(D288:D301)</f>
        <v>34095600</v>
      </c>
      <c r="E286" s="69">
        <f>SUM(E288:E301)</f>
        <v>4637313</v>
      </c>
      <c r="F286" s="60">
        <f t="shared" ref="F286:F302" si="134">SUM(D286:E286)</f>
        <v>38732913</v>
      </c>
      <c r="G286" s="115">
        <f>SUM(G288:G301)</f>
        <v>100845888</v>
      </c>
      <c r="H286" s="115">
        <f>SUM(H288:H301)</f>
        <v>4905038</v>
      </c>
      <c r="I286" s="60">
        <f t="shared" ref="I286:I306" si="135">SUM(G286:H286)</f>
        <v>105750926</v>
      </c>
      <c r="J286" s="60">
        <f>SUM(J288:J301)</f>
        <v>55583900</v>
      </c>
      <c r="K286" s="69">
        <f>SUM(K288:K301)</f>
        <v>5448376</v>
      </c>
      <c r="L286" s="60">
        <f>SUM(J286:K286)</f>
        <v>61032276</v>
      </c>
      <c r="M286" s="231">
        <f t="shared" si="123"/>
        <v>163.02367460904046</v>
      </c>
      <c r="N286" s="231">
        <f t="shared" si="124"/>
        <v>157.57212993507613</v>
      </c>
      <c r="O286" s="231">
        <f t="shared" si="125"/>
        <v>55.117666275098884</v>
      </c>
      <c r="P286" s="231">
        <f t="shared" ref="P286:P297" si="136">IF(I286&gt;0,IF(L286&gt;=0,L286/I286*100,""),"")</f>
        <v>57.713230804239011</v>
      </c>
    </row>
    <row r="287" spans="1:16" s="8" customFormat="1" ht="12.75" customHeight="1">
      <c r="A287" s="46" t="s">
        <v>267</v>
      </c>
      <c r="B287" s="47"/>
      <c r="C287" s="212" t="s">
        <v>268</v>
      </c>
      <c r="D287" s="70">
        <f>SUM(D288:D299)</f>
        <v>34095600</v>
      </c>
      <c r="E287" s="70">
        <f>SUM(E288:E299)</f>
        <v>4637313</v>
      </c>
      <c r="F287" s="63">
        <f t="shared" si="134"/>
        <v>38732913</v>
      </c>
      <c r="G287" s="84">
        <f>SUM(G288:G299)</f>
        <v>53289918</v>
      </c>
      <c r="H287" s="84">
        <f>SUM(H288:H299)</f>
        <v>4905038</v>
      </c>
      <c r="I287" s="38">
        <f t="shared" si="135"/>
        <v>58194956</v>
      </c>
      <c r="J287" s="63">
        <f>SUM(J288:J299)</f>
        <v>55583900</v>
      </c>
      <c r="K287" s="70">
        <f>SUM(K288:K299)</f>
        <v>5448376</v>
      </c>
      <c r="L287" s="63">
        <f>SUM(J287:K287)</f>
        <v>61032276</v>
      </c>
      <c r="M287" s="218">
        <f t="shared" si="123"/>
        <v>163.02367460904046</v>
      </c>
      <c r="N287" s="218">
        <f t="shared" si="124"/>
        <v>157.57212993507613</v>
      </c>
      <c r="O287" s="218">
        <f t="shared" si="125"/>
        <v>104.30472045387647</v>
      </c>
      <c r="P287" s="218">
        <f t="shared" si="136"/>
        <v>104.87554282195866</v>
      </c>
    </row>
    <row r="288" spans="1:16" s="8" customFormat="1" ht="12.75" customHeight="1">
      <c r="A288" s="46" t="s">
        <v>646</v>
      </c>
      <c r="B288" s="47">
        <v>0</v>
      </c>
      <c r="C288" s="212" t="s">
        <v>268</v>
      </c>
      <c r="D288" s="70"/>
      <c r="E288" s="70">
        <v>571181</v>
      </c>
      <c r="F288" s="63">
        <f t="shared" si="134"/>
        <v>571181</v>
      </c>
      <c r="G288" s="84"/>
      <c r="H288" s="84">
        <v>601398</v>
      </c>
      <c r="I288" s="38">
        <f t="shared" si="135"/>
        <v>601398</v>
      </c>
      <c r="J288" s="63"/>
      <c r="K288" s="70">
        <v>631516</v>
      </c>
      <c r="L288" s="63">
        <f t="shared" ref="L288:L294" si="137">SUM(J288:K288)</f>
        <v>631516</v>
      </c>
      <c r="M288" s="218" t="str">
        <f t="shared" si="123"/>
        <v/>
      </c>
      <c r="N288" s="218">
        <f t="shared" si="124"/>
        <v>110.56320150705292</v>
      </c>
      <c r="O288" s="218" t="str">
        <f t="shared" si="125"/>
        <v/>
      </c>
      <c r="P288" s="218">
        <f t="shared" si="136"/>
        <v>105.00799803125385</v>
      </c>
    </row>
    <row r="289" spans="1:16" s="3" customFormat="1" ht="12.75" customHeight="1">
      <c r="A289" s="36" t="s">
        <v>165</v>
      </c>
      <c r="B289" s="33" t="s">
        <v>463</v>
      </c>
      <c r="C289" s="211" t="s">
        <v>1085</v>
      </c>
      <c r="D289" s="63">
        <v>10136250</v>
      </c>
      <c r="E289" s="63">
        <v>1187604</v>
      </c>
      <c r="F289" s="63">
        <f t="shared" si="134"/>
        <v>11323854</v>
      </c>
      <c r="G289" s="38">
        <v>27733335</v>
      </c>
      <c r="H289" s="84">
        <v>1321412</v>
      </c>
      <c r="I289" s="38">
        <f t="shared" si="135"/>
        <v>29054747</v>
      </c>
      <c r="J289" s="63">
        <v>25865400</v>
      </c>
      <c r="K289" s="63">
        <v>1424007</v>
      </c>
      <c r="L289" s="63">
        <f t="shared" si="137"/>
        <v>27289407</v>
      </c>
      <c r="M289" s="218">
        <f t="shared" si="123"/>
        <v>255.17721050684426</v>
      </c>
      <c r="N289" s="218">
        <f t="shared" si="124"/>
        <v>240.99045254380709</v>
      </c>
      <c r="O289" s="218">
        <f t="shared" si="125"/>
        <v>93.26465785669123</v>
      </c>
      <c r="P289" s="218">
        <f t="shared" si="136"/>
        <v>93.924090958355279</v>
      </c>
    </row>
    <row r="290" spans="1:16" s="3" customFormat="1" ht="12.75" customHeight="1">
      <c r="A290" s="36" t="s">
        <v>712</v>
      </c>
      <c r="B290" s="33" t="s">
        <v>464</v>
      </c>
      <c r="C290" s="211" t="s">
        <v>1086</v>
      </c>
      <c r="D290" s="63">
        <v>13370000</v>
      </c>
      <c r="E290" s="63">
        <v>791736</v>
      </c>
      <c r="F290" s="63">
        <f t="shared" si="134"/>
        <v>14161736</v>
      </c>
      <c r="G290" s="38">
        <v>14465000</v>
      </c>
      <c r="H290" s="84">
        <v>774079</v>
      </c>
      <c r="I290" s="38">
        <f t="shared" si="135"/>
        <v>15239079</v>
      </c>
      <c r="J290" s="63">
        <f>14628500+50000</f>
        <v>14678500</v>
      </c>
      <c r="K290" s="63">
        <v>829639</v>
      </c>
      <c r="L290" s="63">
        <f t="shared" si="137"/>
        <v>15508139</v>
      </c>
      <c r="M290" s="218">
        <f t="shared" si="123"/>
        <v>109.78683620044876</v>
      </c>
      <c r="N290" s="218">
        <f t="shared" si="124"/>
        <v>109.50733017477519</v>
      </c>
      <c r="O290" s="218">
        <f t="shared" si="125"/>
        <v>101.47597649498789</v>
      </c>
      <c r="P290" s="218">
        <f t="shared" si="136"/>
        <v>101.7655922644669</v>
      </c>
    </row>
    <row r="291" spans="1:16" s="3" customFormat="1" ht="24">
      <c r="A291" s="341" t="s">
        <v>2470</v>
      </c>
      <c r="B291" s="33"/>
      <c r="C291" s="211"/>
      <c r="D291" s="63"/>
      <c r="E291" s="63"/>
      <c r="F291" s="63"/>
      <c r="G291" s="38"/>
      <c r="H291" s="84"/>
      <c r="I291" s="38"/>
      <c r="J291" s="63"/>
      <c r="K291" s="63"/>
      <c r="L291" s="63">
        <f t="shared" si="137"/>
        <v>0</v>
      </c>
      <c r="M291" s="218" t="str">
        <f t="shared" si="123"/>
        <v/>
      </c>
      <c r="N291" s="218" t="str">
        <f t="shared" si="124"/>
        <v/>
      </c>
      <c r="O291" s="218" t="str">
        <f t="shared" si="125"/>
        <v/>
      </c>
      <c r="P291" s="218" t="str">
        <f t="shared" ref="P291:P296" si="138">IF(I291&gt;0,IF(L291&gt;=0,L291/I291*100,""),"")</f>
        <v/>
      </c>
    </row>
    <row r="292" spans="1:16" ht="12.75" customHeight="1">
      <c r="A292" s="36" t="s">
        <v>781</v>
      </c>
      <c r="B292" s="33" t="s">
        <v>465</v>
      </c>
      <c r="C292" s="211" t="s">
        <v>1087</v>
      </c>
      <c r="D292" s="112">
        <v>3770000</v>
      </c>
      <c r="E292" s="112">
        <v>350626</v>
      </c>
      <c r="F292" s="48">
        <f t="shared" si="134"/>
        <v>4120626</v>
      </c>
      <c r="G292" s="112">
        <v>4343643</v>
      </c>
      <c r="H292" s="84">
        <v>404903</v>
      </c>
      <c r="I292" s="85">
        <f t="shared" si="135"/>
        <v>4748546</v>
      </c>
      <c r="J292" s="48">
        <f>4250000+140000</f>
        <v>4390000</v>
      </c>
      <c r="K292" s="112">
        <v>321950</v>
      </c>
      <c r="L292" s="63">
        <f t="shared" si="137"/>
        <v>4711950</v>
      </c>
      <c r="M292" s="218">
        <f t="shared" si="123"/>
        <v>116.44562334217508</v>
      </c>
      <c r="N292" s="218">
        <f t="shared" si="124"/>
        <v>114.35034385552099</v>
      </c>
      <c r="O292" s="218">
        <f t="shared" si="125"/>
        <v>101.06723780015992</v>
      </c>
      <c r="P292" s="218">
        <f t="shared" si="138"/>
        <v>99.22932198614059</v>
      </c>
    </row>
    <row r="293" spans="1:16" ht="36">
      <c r="A293" s="341" t="s">
        <v>2467</v>
      </c>
      <c r="B293" s="33"/>
      <c r="C293" s="211"/>
      <c r="D293" s="84"/>
      <c r="E293" s="84"/>
      <c r="F293" s="63"/>
      <c r="G293" s="84"/>
      <c r="H293" s="84"/>
      <c r="I293" s="38"/>
      <c r="J293" s="63"/>
      <c r="K293" s="84"/>
      <c r="L293" s="63">
        <f t="shared" si="137"/>
        <v>0</v>
      </c>
      <c r="M293" s="218" t="str">
        <f t="shared" si="123"/>
        <v/>
      </c>
      <c r="N293" s="218" t="str">
        <f t="shared" si="124"/>
        <v/>
      </c>
      <c r="O293" s="218" t="str">
        <f t="shared" si="125"/>
        <v/>
      </c>
      <c r="P293" s="218" t="str">
        <f t="shared" si="138"/>
        <v/>
      </c>
    </row>
    <row r="294" spans="1:16" s="3" customFormat="1" ht="12.75" customHeight="1">
      <c r="A294" s="36" t="s">
        <v>173</v>
      </c>
      <c r="B294" s="33" t="s">
        <v>466</v>
      </c>
      <c r="C294" s="211" t="s">
        <v>1088</v>
      </c>
      <c r="D294" s="63">
        <v>6150000</v>
      </c>
      <c r="E294" s="63">
        <v>718218</v>
      </c>
      <c r="F294" s="63">
        <f t="shared" si="134"/>
        <v>6868218</v>
      </c>
      <c r="G294" s="38">
        <v>6177560</v>
      </c>
      <c r="H294" s="84">
        <v>850534</v>
      </c>
      <c r="I294" s="38">
        <f t="shared" si="135"/>
        <v>7028094</v>
      </c>
      <c r="J294" s="63">
        <v>6700000</v>
      </c>
      <c r="K294" s="63">
        <v>501498</v>
      </c>
      <c r="L294" s="63">
        <f t="shared" si="137"/>
        <v>7201498</v>
      </c>
      <c r="M294" s="218">
        <f t="shared" si="123"/>
        <v>108.9430894308943</v>
      </c>
      <c r="N294" s="218">
        <f t="shared" si="124"/>
        <v>104.85249594581884</v>
      </c>
      <c r="O294" s="218">
        <f t="shared" si="125"/>
        <v>108.45706071652886</v>
      </c>
      <c r="P294" s="218">
        <f t="shared" si="138"/>
        <v>102.46729767700889</v>
      </c>
    </row>
    <row r="295" spans="1:16" s="3" customFormat="1" ht="24">
      <c r="A295" s="36" t="s">
        <v>782</v>
      </c>
      <c r="B295" s="33" t="s">
        <v>633</v>
      </c>
      <c r="C295" s="211" t="s">
        <v>1089</v>
      </c>
      <c r="D295" s="63"/>
      <c r="E295" s="63">
        <v>226210</v>
      </c>
      <c r="F295" s="63">
        <f t="shared" si="134"/>
        <v>226210</v>
      </c>
      <c r="G295" s="38"/>
      <c r="H295" s="84">
        <v>238178</v>
      </c>
      <c r="I295" s="38">
        <f t="shared" si="135"/>
        <v>238178</v>
      </c>
      <c r="J295" s="63"/>
      <c r="K295" s="63">
        <v>247654</v>
      </c>
      <c r="L295" s="63">
        <f t="shared" ref="L295:L301" si="139">SUM(J295:K295)</f>
        <v>247654</v>
      </c>
      <c r="M295" s="218" t="str">
        <f t="shared" si="123"/>
        <v/>
      </c>
      <c r="N295" s="218">
        <f t="shared" si="124"/>
        <v>109.47968701648911</v>
      </c>
      <c r="O295" s="218" t="str">
        <f t="shared" si="125"/>
        <v/>
      </c>
      <c r="P295" s="218">
        <f t="shared" si="138"/>
        <v>103.97853706051777</v>
      </c>
    </row>
    <row r="296" spans="1:16" s="3" customFormat="1" ht="12.75" customHeight="1">
      <c r="A296" s="36" t="s">
        <v>780</v>
      </c>
      <c r="B296" s="33" t="s">
        <v>467</v>
      </c>
      <c r="C296" s="211" t="s">
        <v>1090</v>
      </c>
      <c r="D296" s="63">
        <v>300000</v>
      </c>
      <c r="E296" s="63">
        <v>791738</v>
      </c>
      <c r="F296" s="63">
        <f t="shared" si="134"/>
        <v>1091738</v>
      </c>
      <c r="G296" s="38">
        <v>230000</v>
      </c>
      <c r="H296" s="84">
        <v>714534</v>
      </c>
      <c r="I296" s="38">
        <f t="shared" si="135"/>
        <v>944534</v>
      </c>
      <c r="J296" s="63">
        <v>300000</v>
      </c>
      <c r="K296" s="63">
        <v>773917</v>
      </c>
      <c r="L296" s="63">
        <f t="shared" si="139"/>
        <v>1073917</v>
      </c>
      <c r="M296" s="218">
        <f t="shared" si="123"/>
        <v>100</v>
      </c>
      <c r="N296" s="218">
        <f t="shared" si="124"/>
        <v>98.367648648302065</v>
      </c>
      <c r="O296" s="218">
        <f t="shared" si="125"/>
        <v>130.43478260869566</v>
      </c>
      <c r="P296" s="218">
        <f t="shared" si="138"/>
        <v>113.69807757052683</v>
      </c>
    </row>
    <row r="297" spans="1:16" s="3" customFormat="1" ht="12.75" customHeight="1">
      <c r="A297" s="36" t="s">
        <v>13</v>
      </c>
      <c r="B297" s="33" t="s">
        <v>10</v>
      </c>
      <c r="C297" s="211" t="s">
        <v>1091</v>
      </c>
      <c r="D297" s="63">
        <v>369350</v>
      </c>
      <c r="E297" s="63"/>
      <c r="F297" s="63">
        <f t="shared" si="134"/>
        <v>369350</v>
      </c>
      <c r="G297" s="38">
        <v>329580</v>
      </c>
      <c r="H297" s="38"/>
      <c r="I297" s="38">
        <f t="shared" si="135"/>
        <v>329580</v>
      </c>
      <c r="J297" s="63">
        <v>1500000</v>
      </c>
      <c r="K297" s="63"/>
      <c r="L297" s="63">
        <f t="shared" si="139"/>
        <v>1500000</v>
      </c>
      <c r="M297" s="218">
        <f t="shared" si="123"/>
        <v>406.11885745228102</v>
      </c>
      <c r="N297" s="218">
        <f t="shared" si="124"/>
        <v>406.11885745228102</v>
      </c>
      <c r="O297" s="218">
        <f t="shared" si="125"/>
        <v>455.12470416894229</v>
      </c>
      <c r="P297" s="218">
        <f t="shared" si="136"/>
        <v>455.12470416894229</v>
      </c>
    </row>
    <row r="298" spans="1:16" s="3" customFormat="1" ht="12.75" customHeight="1">
      <c r="A298" s="36" t="s">
        <v>2400</v>
      </c>
      <c r="B298" s="33" t="s">
        <v>2399</v>
      </c>
      <c r="C298" s="211" t="s">
        <v>2407</v>
      </c>
      <c r="D298" s="63"/>
      <c r="E298" s="63"/>
      <c r="F298" s="63"/>
      <c r="G298" s="38"/>
      <c r="H298" s="38"/>
      <c r="I298" s="38"/>
      <c r="J298" s="63">
        <v>2150000</v>
      </c>
      <c r="K298" s="63">
        <v>718195</v>
      </c>
      <c r="L298" s="63">
        <f t="shared" si="139"/>
        <v>2868195</v>
      </c>
      <c r="M298" s="218" t="str">
        <f t="shared" si="123"/>
        <v/>
      </c>
      <c r="N298" s="218" t="str">
        <f t="shared" si="124"/>
        <v/>
      </c>
      <c r="O298" s="218" t="str">
        <f t="shared" si="125"/>
        <v/>
      </c>
      <c r="P298" s="218" t="str">
        <f t="shared" ref="P298:P299" si="140">IF(I298&gt;0,IF(L298&gt;=0,L298/I298*100,""),"")</f>
        <v/>
      </c>
    </row>
    <row r="299" spans="1:16" s="3" customFormat="1" ht="12.75" customHeight="1">
      <c r="A299" s="36" t="s">
        <v>2347</v>
      </c>
      <c r="B299" s="211" t="s">
        <v>2346</v>
      </c>
      <c r="C299" s="211" t="s">
        <v>2282</v>
      </c>
      <c r="D299" s="63"/>
      <c r="E299" s="63"/>
      <c r="F299" s="63"/>
      <c r="G299" s="38">
        <v>10800</v>
      </c>
      <c r="H299" s="38"/>
      <c r="I299" s="38">
        <f t="shared" si="135"/>
        <v>10800</v>
      </c>
      <c r="J299" s="63"/>
      <c r="K299" s="63"/>
      <c r="L299" s="63">
        <f t="shared" si="139"/>
        <v>0</v>
      </c>
      <c r="M299" s="218" t="str">
        <f t="shared" si="123"/>
        <v/>
      </c>
      <c r="N299" s="218" t="str">
        <f t="shared" si="124"/>
        <v/>
      </c>
      <c r="O299" s="218">
        <f t="shared" si="125"/>
        <v>0</v>
      </c>
      <c r="P299" s="218">
        <f t="shared" si="140"/>
        <v>0</v>
      </c>
    </row>
    <row r="300" spans="1:16" s="3" customFormat="1" ht="12.75" customHeight="1">
      <c r="A300" s="36" t="s">
        <v>792</v>
      </c>
      <c r="B300" s="211" t="s">
        <v>152</v>
      </c>
      <c r="C300" s="211" t="s">
        <v>1092</v>
      </c>
      <c r="D300" s="63"/>
      <c r="E300" s="63"/>
      <c r="F300" s="63">
        <f t="shared" si="134"/>
        <v>0</v>
      </c>
      <c r="G300" s="38">
        <v>401500</v>
      </c>
      <c r="H300" s="38"/>
      <c r="I300" s="38">
        <f t="shared" si="135"/>
        <v>401500</v>
      </c>
      <c r="J300" s="63"/>
      <c r="K300" s="63"/>
      <c r="L300" s="63">
        <f t="shared" si="139"/>
        <v>0</v>
      </c>
      <c r="M300" s="218" t="str">
        <f t="shared" si="123"/>
        <v/>
      </c>
      <c r="N300" s="218" t="str">
        <f t="shared" si="124"/>
        <v/>
      </c>
      <c r="O300" s="218">
        <f t="shared" si="125"/>
        <v>0</v>
      </c>
      <c r="P300" s="218">
        <f t="shared" ref="P300:P324" si="141">IF(I300&gt;0,IF(L300&gt;=0,L300/I300*100,""),"")</f>
        <v>0</v>
      </c>
    </row>
    <row r="301" spans="1:16" s="3" customFormat="1">
      <c r="A301" s="36" t="s">
        <v>791</v>
      </c>
      <c r="B301" s="211" t="s">
        <v>151</v>
      </c>
      <c r="C301" s="211" t="s">
        <v>1093</v>
      </c>
      <c r="D301" s="63"/>
      <c r="E301" s="63"/>
      <c r="F301" s="63">
        <f t="shared" si="134"/>
        <v>0</v>
      </c>
      <c r="G301" s="38">
        <v>47154470</v>
      </c>
      <c r="H301" s="38"/>
      <c r="I301" s="38">
        <f t="shared" si="135"/>
        <v>47154470</v>
      </c>
      <c r="J301" s="63"/>
      <c r="K301" s="63"/>
      <c r="L301" s="63">
        <f t="shared" si="139"/>
        <v>0</v>
      </c>
      <c r="M301" s="218" t="str">
        <f t="shared" si="123"/>
        <v/>
      </c>
      <c r="N301" s="218" t="str">
        <f t="shared" si="124"/>
        <v/>
      </c>
      <c r="O301" s="218">
        <f t="shared" si="125"/>
        <v>0</v>
      </c>
      <c r="P301" s="218">
        <f t="shared" si="141"/>
        <v>0</v>
      </c>
    </row>
    <row r="302" spans="1:16" s="3" customFormat="1" ht="6" customHeight="1">
      <c r="A302" s="36"/>
      <c r="B302" s="33"/>
      <c r="C302" s="211" t="s">
        <v>268</v>
      </c>
      <c r="D302" s="63"/>
      <c r="E302" s="63"/>
      <c r="F302" s="63">
        <f t="shared" si="134"/>
        <v>0</v>
      </c>
      <c r="G302" s="38"/>
      <c r="H302" s="38"/>
      <c r="I302" s="38">
        <f t="shared" si="135"/>
        <v>0</v>
      </c>
      <c r="J302" s="63"/>
      <c r="K302" s="63"/>
      <c r="L302" s="63">
        <f t="shared" ref="L302" si="142">SUM(J302:K302)</f>
        <v>0</v>
      </c>
      <c r="M302" s="218" t="str">
        <f t="shared" si="123"/>
        <v/>
      </c>
      <c r="N302" s="218" t="str">
        <f t="shared" si="124"/>
        <v/>
      </c>
      <c r="O302" s="218" t="str">
        <f t="shared" si="125"/>
        <v/>
      </c>
      <c r="P302" s="218" t="str">
        <f t="shared" si="141"/>
        <v/>
      </c>
    </row>
    <row r="303" spans="1:16" s="11" customFormat="1" ht="12.75">
      <c r="A303" s="58" t="s">
        <v>18</v>
      </c>
      <c r="B303" s="65" t="s">
        <v>265</v>
      </c>
      <c r="C303" s="308" t="s">
        <v>940</v>
      </c>
      <c r="D303" s="69">
        <f>SUM(D305:D306)</f>
        <v>600000</v>
      </c>
      <c r="E303" s="69">
        <f>SUM(E305:E306)</f>
        <v>5089734</v>
      </c>
      <c r="F303" s="90">
        <f>SUM(D303:E303)</f>
        <v>5689734</v>
      </c>
      <c r="G303" s="115">
        <f>SUM(G305:G306)</f>
        <v>600000</v>
      </c>
      <c r="H303" s="115">
        <f>SUM(H305:H306)</f>
        <v>5388777</v>
      </c>
      <c r="I303" s="60">
        <f t="shared" si="135"/>
        <v>5988777</v>
      </c>
      <c r="J303" s="90">
        <f>SUM(J305:J306)</f>
        <v>520000</v>
      </c>
      <c r="K303" s="69">
        <f>SUM(K305:K306)</f>
        <v>5819856</v>
      </c>
      <c r="L303" s="90">
        <f>SUM(J303:K303)</f>
        <v>6339856</v>
      </c>
      <c r="M303" s="227">
        <f t="shared" si="123"/>
        <v>86.666666666666671</v>
      </c>
      <c r="N303" s="227">
        <f t="shared" si="124"/>
        <v>111.42622836146646</v>
      </c>
      <c r="O303" s="227">
        <f t="shared" si="125"/>
        <v>86.666666666666671</v>
      </c>
      <c r="P303" s="227">
        <f t="shared" si="141"/>
        <v>105.86228206526975</v>
      </c>
    </row>
    <row r="304" spans="1:16" s="3" customFormat="1" hidden="1">
      <c r="A304" s="36" t="s">
        <v>267</v>
      </c>
      <c r="B304" s="33"/>
      <c r="C304" s="211" t="s">
        <v>268</v>
      </c>
      <c r="D304" s="113">
        <f>SUM(D305:D306)</f>
        <v>600000</v>
      </c>
      <c r="E304" s="113">
        <f>SUM(E305:E306)</f>
        <v>5089734</v>
      </c>
      <c r="F304" s="74">
        <f>SUM(D304:E304)</f>
        <v>5689734</v>
      </c>
      <c r="G304" s="187">
        <f>SUM(G305:G306)</f>
        <v>600000</v>
      </c>
      <c r="H304" s="187">
        <f>SUM(H305:H306)</f>
        <v>5388777</v>
      </c>
      <c r="I304" s="112">
        <f t="shared" si="135"/>
        <v>5988777</v>
      </c>
      <c r="J304" s="74">
        <f>SUM(J305:J306)</f>
        <v>520000</v>
      </c>
      <c r="K304" s="113">
        <f>SUM(K305:K306)</f>
        <v>5819856</v>
      </c>
      <c r="L304" s="74">
        <f>SUM(J304:K304)</f>
        <v>6339856</v>
      </c>
      <c r="M304" s="223">
        <f t="shared" si="123"/>
        <v>86.666666666666671</v>
      </c>
      <c r="N304" s="223">
        <f t="shared" si="124"/>
        <v>111.42622836146646</v>
      </c>
      <c r="O304" s="223">
        <f t="shared" si="125"/>
        <v>86.666666666666671</v>
      </c>
      <c r="P304" s="223">
        <f t="shared" si="141"/>
        <v>105.86228206526975</v>
      </c>
    </row>
    <row r="305" spans="1:16" s="3" customFormat="1" ht="12.75" customHeight="1">
      <c r="A305" s="36" t="s">
        <v>554</v>
      </c>
      <c r="B305" s="33">
        <v>0</v>
      </c>
      <c r="C305" s="211" t="s">
        <v>268</v>
      </c>
      <c r="D305" s="70"/>
      <c r="E305" s="70">
        <v>904842</v>
      </c>
      <c r="F305" s="74">
        <f>SUM(D305:E305)</f>
        <v>904842</v>
      </c>
      <c r="G305" s="84"/>
      <c r="H305" s="84">
        <v>893167</v>
      </c>
      <c r="I305" s="112">
        <f t="shared" si="135"/>
        <v>893167</v>
      </c>
      <c r="J305" s="74"/>
      <c r="K305" s="70">
        <v>990614</v>
      </c>
      <c r="L305" s="74">
        <f>SUM(J305:K305)</f>
        <v>990614</v>
      </c>
      <c r="M305" s="223" t="str">
        <f t="shared" si="123"/>
        <v/>
      </c>
      <c r="N305" s="223">
        <f t="shared" si="124"/>
        <v>109.47922399711774</v>
      </c>
      <c r="O305" s="223" t="str">
        <f t="shared" si="125"/>
        <v/>
      </c>
      <c r="P305" s="223">
        <f t="shared" si="141"/>
        <v>110.91027769722794</v>
      </c>
    </row>
    <row r="306" spans="1:16" s="3" customFormat="1" ht="12.75" customHeight="1">
      <c r="A306" s="354" t="s">
        <v>310</v>
      </c>
      <c r="B306" s="59" t="s">
        <v>542</v>
      </c>
      <c r="C306" s="310" t="s">
        <v>1094</v>
      </c>
      <c r="D306" s="67">
        <v>600000</v>
      </c>
      <c r="E306" s="67">
        <v>4184892</v>
      </c>
      <c r="F306" s="355">
        <f>SUM(D306:E306)</f>
        <v>4784892</v>
      </c>
      <c r="G306" s="61">
        <v>600000</v>
      </c>
      <c r="H306" s="356">
        <v>4495610</v>
      </c>
      <c r="I306" s="357">
        <f t="shared" si="135"/>
        <v>5095610</v>
      </c>
      <c r="J306" s="355">
        <v>520000</v>
      </c>
      <c r="K306" s="67">
        <v>4829242</v>
      </c>
      <c r="L306" s="355">
        <f>SUM(J306:K306)</f>
        <v>5349242</v>
      </c>
      <c r="M306" s="358">
        <f t="shared" si="123"/>
        <v>86.666666666666671</v>
      </c>
      <c r="N306" s="358">
        <f t="shared" si="124"/>
        <v>111.79441458657793</v>
      </c>
      <c r="O306" s="358">
        <f t="shared" si="125"/>
        <v>86.666666666666671</v>
      </c>
      <c r="P306" s="358">
        <f t="shared" si="141"/>
        <v>104.97746099093142</v>
      </c>
    </row>
    <row r="307" spans="1:16" s="3" customFormat="1" ht="6" customHeight="1">
      <c r="A307" s="80"/>
      <c r="B307" s="44"/>
      <c r="C307" s="304" t="s">
        <v>268</v>
      </c>
      <c r="D307" s="76"/>
      <c r="E307" s="76"/>
      <c r="F307" s="73"/>
      <c r="G307" s="116"/>
      <c r="H307" s="116"/>
      <c r="I307" s="194"/>
      <c r="J307" s="73"/>
      <c r="K307" s="76"/>
      <c r="L307" s="73"/>
      <c r="M307" s="222" t="str">
        <f t="shared" si="123"/>
        <v/>
      </c>
      <c r="N307" s="222" t="str">
        <f t="shared" si="124"/>
        <v/>
      </c>
      <c r="O307" s="222" t="str">
        <f t="shared" si="125"/>
        <v/>
      </c>
      <c r="P307" s="222" t="str">
        <f t="shared" si="141"/>
        <v/>
      </c>
    </row>
    <row r="308" spans="1:16" s="8" customFormat="1" ht="12.75">
      <c r="A308" s="58" t="s">
        <v>176</v>
      </c>
      <c r="B308" s="78" t="s">
        <v>265</v>
      </c>
      <c r="C308" s="301" t="s">
        <v>940</v>
      </c>
      <c r="D308" s="69">
        <f>SUM(D311:D315)</f>
        <v>3115000</v>
      </c>
      <c r="E308" s="69">
        <f>SUM(E310:E315)</f>
        <v>11762940</v>
      </c>
      <c r="F308" s="69">
        <f t="shared" ref="F308:F316" si="143">SUM(D308:E308)</f>
        <v>14877940</v>
      </c>
      <c r="G308" s="115">
        <f>SUM(G311:G315)</f>
        <v>2932721</v>
      </c>
      <c r="H308" s="115">
        <f>SUM(H310:H315)</f>
        <v>12087534</v>
      </c>
      <c r="I308" s="115">
        <f t="shared" ref="I308:I316" si="144">SUM(G308:H308)</f>
        <v>15020255</v>
      </c>
      <c r="J308" s="69">
        <f>SUM(J311:J315)</f>
        <v>2593800</v>
      </c>
      <c r="K308" s="69">
        <f>SUM(K310:K315)</f>
        <v>12877980</v>
      </c>
      <c r="L308" s="69">
        <f t="shared" ref="L308:L316" si="145">SUM(J308:K308)</f>
        <v>15471780</v>
      </c>
      <c r="M308" s="217">
        <f t="shared" si="123"/>
        <v>83.268057784911718</v>
      </c>
      <c r="N308" s="217">
        <f t="shared" si="124"/>
        <v>103.99141278967383</v>
      </c>
      <c r="O308" s="217">
        <f t="shared" si="125"/>
        <v>88.443462572812066</v>
      </c>
      <c r="P308" s="217">
        <f t="shared" si="141"/>
        <v>103.00610741961438</v>
      </c>
    </row>
    <row r="309" spans="1:16" s="3" customFormat="1" hidden="1">
      <c r="A309" s="46" t="s">
        <v>267</v>
      </c>
      <c r="B309" s="47"/>
      <c r="C309" s="212" t="s">
        <v>268</v>
      </c>
      <c r="D309" s="70">
        <f>SUM(D310:D314)</f>
        <v>3115000</v>
      </c>
      <c r="E309" s="70">
        <f>SUM(E310:E314)</f>
        <v>11762940</v>
      </c>
      <c r="F309" s="70">
        <f t="shared" si="143"/>
        <v>14877940</v>
      </c>
      <c r="G309" s="84">
        <f>SUM(G310:G314)</f>
        <v>2932721</v>
      </c>
      <c r="H309" s="84">
        <f>SUM(H310:H314)</f>
        <v>12087534</v>
      </c>
      <c r="I309" s="84">
        <f t="shared" si="144"/>
        <v>15020255</v>
      </c>
      <c r="J309" s="70">
        <f>SUM(J310:J314)</f>
        <v>2593800</v>
      </c>
      <c r="K309" s="70">
        <f>SUM(K310:K314)</f>
        <v>12877980</v>
      </c>
      <c r="L309" s="70">
        <f t="shared" si="145"/>
        <v>15471780</v>
      </c>
      <c r="M309" s="224">
        <f t="shared" si="123"/>
        <v>83.268057784911718</v>
      </c>
      <c r="N309" s="224">
        <f t="shared" si="124"/>
        <v>103.99141278967383</v>
      </c>
      <c r="O309" s="224">
        <f t="shared" si="125"/>
        <v>88.443462572812066</v>
      </c>
      <c r="P309" s="224">
        <f t="shared" si="141"/>
        <v>103.00610741961438</v>
      </c>
    </row>
    <row r="310" spans="1:16" s="3" customFormat="1" ht="12.75" customHeight="1">
      <c r="A310" s="36" t="s">
        <v>554</v>
      </c>
      <c r="B310" s="47">
        <v>0</v>
      </c>
      <c r="C310" s="212" t="s">
        <v>268</v>
      </c>
      <c r="D310" s="70"/>
      <c r="E310" s="70">
        <v>1583473</v>
      </c>
      <c r="F310" s="63">
        <f t="shared" si="143"/>
        <v>1583473</v>
      </c>
      <c r="G310" s="84"/>
      <c r="H310" s="84">
        <v>1607701</v>
      </c>
      <c r="I310" s="38">
        <f t="shared" si="144"/>
        <v>1607701</v>
      </c>
      <c r="J310" s="63"/>
      <c r="K310" s="70">
        <v>1702618</v>
      </c>
      <c r="L310" s="63">
        <f t="shared" si="145"/>
        <v>1702618</v>
      </c>
      <c r="M310" s="218" t="str">
        <f t="shared" si="123"/>
        <v/>
      </c>
      <c r="N310" s="218">
        <f t="shared" si="124"/>
        <v>107.52428364740037</v>
      </c>
      <c r="O310" s="218" t="str">
        <f t="shared" si="125"/>
        <v/>
      </c>
      <c r="P310" s="218">
        <f t="shared" si="141"/>
        <v>105.90389630907737</v>
      </c>
    </row>
    <row r="311" spans="1:16" s="3" customFormat="1" ht="12.75" customHeight="1">
      <c r="A311" s="46" t="s">
        <v>177</v>
      </c>
      <c r="B311" s="47" t="s">
        <v>580</v>
      </c>
      <c r="C311" s="212" t="s">
        <v>1095</v>
      </c>
      <c r="D311" s="63">
        <v>1877000</v>
      </c>
      <c r="E311" s="63">
        <v>5315944</v>
      </c>
      <c r="F311" s="63">
        <f t="shared" si="143"/>
        <v>7192944</v>
      </c>
      <c r="G311" s="38">
        <v>1877000</v>
      </c>
      <c r="H311" s="84">
        <v>5656728</v>
      </c>
      <c r="I311" s="38">
        <f t="shared" si="144"/>
        <v>7533728</v>
      </c>
      <c r="J311" s="63">
        <v>1027000</v>
      </c>
      <c r="K311" s="63">
        <v>6036553</v>
      </c>
      <c r="L311" s="63">
        <f t="shared" si="145"/>
        <v>7063553</v>
      </c>
      <c r="M311" s="218">
        <f t="shared" si="123"/>
        <v>54.714970697922219</v>
      </c>
      <c r="N311" s="218">
        <f t="shared" si="124"/>
        <v>98.201139894874757</v>
      </c>
      <c r="O311" s="218">
        <f t="shared" si="125"/>
        <v>54.714970697922219</v>
      </c>
      <c r="P311" s="218">
        <f t="shared" si="141"/>
        <v>93.759065896724707</v>
      </c>
    </row>
    <row r="312" spans="1:16" s="3" customFormat="1" ht="24">
      <c r="A312" s="46" t="s">
        <v>291</v>
      </c>
      <c r="B312" s="47" t="s">
        <v>581</v>
      </c>
      <c r="C312" s="212" t="s">
        <v>1096</v>
      </c>
      <c r="D312" s="63">
        <v>11000</v>
      </c>
      <c r="E312" s="63">
        <v>848289</v>
      </c>
      <c r="F312" s="63">
        <f t="shared" si="143"/>
        <v>859289</v>
      </c>
      <c r="G312" s="38">
        <v>21000</v>
      </c>
      <c r="H312" s="84">
        <v>714534</v>
      </c>
      <c r="I312" s="38">
        <f t="shared" si="144"/>
        <v>735534</v>
      </c>
      <c r="J312" s="63">
        <v>540000</v>
      </c>
      <c r="K312" s="63">
        <v>773917</v>
      </c>
      <c r="L312" s="63">
        <f t="shared" si="145"/>
        <v>1313917</v>
      </c>
      <c r="M312" s="218">
        <f t="shared" si="123"/>
        <v>4909.090909090909</v>
      </c>
      <c r="N312" s="218">
        <f t="shared" si="124"/>
        <v>152.90746186672934</v>
      </c>
      <c r="O312" s="218">
        <f t="shared" si="125"/>
        <v>2571.4285714285716</v>
      </c>
      <c r="P312" s="218">
        <f t="shared" si="141"/>
        <v>178.63443430215327</v>
      </c>
    </row>
    <row r="313" spans="1:16" s="3" customFormat="1" ht="24">
      <c r="A313" s="46" t="s">
        <v>232</v>
      </c>
      <c r="B313" s="47" t="s">
        <v>582</v>
      </c>
      <c r="C313" s="212" t="s">
        <v>1097</v>
      </c>
      <c r="D313" s="63"/>
      <c r="E313" s="63">
        <v>395868</v>
      </c>
      <c r="F313" s="63">
        <f t="shared" si="143"/>
        <v>395868</v>
      </c>
      <c r="G313" s="38"/>
      <c r="H313" s="84">
        <v>416812</v>
      </c>
      <c r="I313" s="38">
        <f t="shared" si="144"/>
        <v>416812</v>
      </c>
      <c r="J313" s="63"/>
      <c r="K313" s="63">
        <v>402437</v>
      </c>
      <c r="L313" s="63">
        <f t="shared" si="145"/>
        <v>402437</v>
      </c>
      <c r="M313" s="218" t="str">
        <f t="shared" si="123"/>
        <v/>
      </c>
      <c r="N313" s="218">
        <f t="shared" si="124"/>
        <v>101.65939151434316</v>
      </c>
      <c r="O313" s="218" t="str">
        <f t="shared" si="125"/>
        <v/>
      </c>
      <c r="P313" s="218">
        <f t="shared" si="141"/>
        <v>96.551202940414385</v>
      </c>
    </row>
    <row r="314" spans="1:16" s="3" customFormat="1" ht="24">
      <c r="A314" s="46" t="s">
        <v>52</v>
      </c>
      <c r="B314" s="47" t="s">
        <v>583</v>
      </c>
      <c r="C314" s="212" t="s">
        <v>1098</v>
      </c>
      <c r="D314" s="63">
        <v>1227000</v>
      </c>
      <c r="E314" s="63">
        <v>3619366</v>
      </c>
      <c r="F314" s="63">
        <f t="shared" si="143"/>
        <v>4846366</v>
      </c>
      <c r="G314" s="38">
        <v>1034721</v>
      </c>
      <c r="H314" s="84">
        <v>3691759</v>
      </c>
      <c r="I314" s="38">
        <f t="shared" si="144"/>
        <v>4726480</v>
      </c>
      <c r="J314" s="63">
        <v>1026800</v>
      </c>
      <c r="K314" s="63">
        <v>3962455</v>
      </c>
      <c r="L314" s="63">
        <f t="shared" si="145"/>
        <v>4989255</v>
      </c>
      <c r="M314" s="218">
        <f t="shared" si="123"/>
        <v>83.683781581092092</v>
      </c>
      <c r="N314" s="218">
        <f t="shared" si="124"/>
        <v>102.94837410133697</v>
      </c>
      <c r="O314" s="218">
        <f t="shared" si="125"/>
        <v>99.234479632673938</v>
      </c>
      <c r="P314" s="218">
        <f t="shared" si="141"/>
        <v>105.55963423097103</v>
      </c>
    </row>
    <row r="315" spans="1:16" s="3" customFormat="1" hidden="1">
      <c r="A315" s="46" t="s">
        <v>791</v>
      </c>
      <c r="B315" s="47" t="s">
        <v>151</v>
      </c>
      <c r="C315" s="212" t="s">
        <v>1099</v>
      </c>
      <c r="D315" s="63"/>
      <c r="E315" s="63"/>
      <c r="F315" s="63">
        <f t="shared" si="143"/>
        <v>0</v>
      </c>
      <c r="G315" s="38"/>
      <c r="H315" s="38"/>
      <c r="I315" s="38">
        <f t="shared" si="144"/>
        <v>0</v>
      </c>
      <c r="J315" s="63"/>
      <c r="K315" s="63"/>
      <c r="L315" s="63">
        <f t="shared" si="145"/>
        <v>0</v>
      </c>
      <c r="M315" s="218" t="str">
        <f t="shared" si="123"/>
        <v/>
      </c>
      <c r="N315" s="218" t="str">
        <f t="shared" si="124"/>
        <v/>
      </c>
      <c r="O315" s="218" t="str">
        <f t="shared" si="125"/>
        <v/>
      </c>
      <c r="P315" s="218" t="str">
        <f t="shared" si="141"/>
        <v/>
      </c>
    </row>
    <row r="316" spans="1:16" s="3" customFormat="1" ht="6" customHeight="1">
      <c r="A316" s="36"/>
      <c r="B316" s="33"/>
      <c r="C316" s="211" t="s">
        <v>268</v>
      </c>
      <c r="D316" s="63"/>
      <c r="E316" s="63"/>
      <c r="F316" s="63">
        <f t="shared" si="143"/>
        <v>0</v>
      </c>
      <c r="G316" s="38"/>
      <c r="H316" s="38"/>
      <c r="I316" s="38">
        <f t="shared" si="144"/>
        <v>0</v>
      </c>
      <c r="J316" s="63"/>
      <c r="K316" s="63"/>
      <c r="L316" s="63">
        <f t="shared" si="145"/>
        <v>0</v>
      </c>
      <c r="M316" s="218" t="str">
        <f t="shared" si="123"/>
        <v/>
      </c>
      <c r="N316" s="218" t="str">
        <f t="shared" si="124"/>
        <v/>
      </c>
      <c r="O316" s="218" t="str">
        <f t="shared" si="125"/>
        <v/>
      </c>
      <c r="P316" s="218" t="str">
        <f t="shared" si="141"/>
        <v/>
      </c>
    </row>
    <row r="317" spans="1:16" s="23" customFormat="1" ht="12.75">
      <c r="A317" s="72" t="s">
        <v>361</v>
      </c>
      <c r="B317" s="75" t="s">
        <v>265</v>
      </c>
      <c r="C317" s="307" t="s">
        <v>940</v>
      </c>
      <c r="D317" s="55">
        <f>SUM(D320:D329)</f>
        <v>4505559</v>
      </c>
      <c r="E317" s="55">
        <f>SUM(E319:E329)</f>
        <v>10179468</v>
      </c>
      <c r="F317" s="55">
        <f>SUM(F319:F329)</f>
        <v>14685027</v>
      </c>
      <c r="G317" s="55">
        <f>SUM(G320:G329)</f>
        <v>6814601</v>
      </c>
      <c r="H317" s="55">
        <f>SUM(H319:H329)</f>
        <v>10063021</v>
      </c>
      <c r="I317" s="55">
        <f>SUM(I319:I329)</f>
        <v>16877622</v>
      </c>
      <c r="J317" s="55">
        <f>SUM(J320:J329)</f>
        <v>6719632</v>
      </c>
      <c r="K317" s="55">
        <f>SUM(K319:K329)</f>
        <v>11268232</v>
      </c>
      <c r="L317" s="55">
        <f>SUM(L319:L329)</f>
        <v>17987864</v>
      </c>
      <c r="M317" s="221">
        <f t="shared" si="123"/>
        <v>149.14091680965669</v>
      </c>
      <c r="N317" s="221">
        <f t="shared" si="124"/>
        <v>122.49118779284504</v>
      </c>
      <c r="O317" s="221">
        <f t="shared" si="125"/>
        <v>98.606389427642199</v>
      </c>
      <c r="P317" s="221">
        <f t="shared" si="141"/>
        <v>106.57818974734712</v>
      </c>
    </row>
    <row r="318" spans="1:16" s="3" customFormat="1" ht="12.75" customHeight="1">
      <c r="A318" s="46" t="s">
        <v>267</v>
      </c>
      <c r="B318" s="47"/>
      <c r="C318" s="212" t="s">
        <v>268</v>
      </c>
      <c r="D318" s="63">
        <f>SUM(D319:D327)</f>
        <v>4505559</v>
      </c>
      <c r="E318" s="63">
        <f>SUM(E319:E327)</f>
        <v>10179468</v>
      </c>
      <c r="F318" s="63">
        <f>SUM(D318:E318)</f>
        <v>14685027</v>
      </c>
      <c r="G318" s="38">
        <f>SUM(G319:G327)</f>
        <v>4853829</v>
      </c>
      <c r="H318" s="38">
        <f>SUM(H319:H326)</f>
        <v>10063021</v>
      </c>
      <c r="I318" s="38">
        <f t="shared" ref="I318:I348" si="146">SUM(G318:H318)</f>
        <v>14916850</v>
      </c>
      <c r="J318" s="63">
        <f>SUM(J319:J327)</f>
        <v>6719632</v>
      </c>
      <c r="K318" s="63">
        <f>SUM(K319:K326)</f>
        <v>11268232</v>
      </c>
      <c r="L318" s="63">
        <f>SUM(J318:K318)</f>
        <v>17987864</v>
      </c>
      <c r="M318" s="218">
        <f t="shared" si="123"/>
        <v>149.14091680965669</v>
      </c>
      <c r="N318" s="218">
        <f t="shared" si="124"/>
        <v>122.49118779284504</v>
      </c>
      <c r="O318" s="218">
        <f t="shared" si="125"/>
        <v>138.4398173071198</v>
      </c>
      <c r="P318" s="218">
        <f t="shared" si="141"/>
        <v>120.58755032061059</v>
      </c>
    </row>
    <row r="319" spans="1:16" s="3" customFormat="1" ht="12.75" customHeight="1">
      <c r="A319" s="46" t="s">
        <v>554</v>
      </c>
      <c r="B319" s="47">
        <v>0</v>
      </c>
      <c r="C319" s="212" t="s">
        <v>268</v>
      </c>
      <c r="D319" s="63"/>
      <c r="E319" s="63">
        <v>1131052</v>
      </c>
      <c r="F319" s="63">
        <f>SUM(D319:E319)</f>
        <v>1131052</v>
      </c>
      <c r="G319" s="38"/>
      <c r="H319" s="38">
        <v>1071801</v>
      </c>
      <c r="I319" s="38">
        <f t="shared" si="146"/>
        <v>1071801</v>
      </c>
      <c r="J319" s="63"/>
      <c r="K319" s="63">
        <v>1238267</v>
      </c>
      <c r="L319" s="63">
        <f>SUM(J319:K319)</f>
        <v>1238267</v>
      </c>
      <c r="M319" s="218" t="str">
        <f t="shared" si="123"/>
        <v/>
      </c>
      <c r="N319" s="218">
        <f t="shared" si="124"/>
        <v>109.47922818756344</v>
      </c>
      <c r="O319" s="218" t="str">
        <f t="shared" si="125"/>
        <v/>
      </c>
      <c r="P319" s="218">
        <f t="shared" si="141"/>
        <v>115.53142794231393</v>
      </c>
    </row>
    <row r="320" spans="1:16" ht="12.75" customHeight="1">
      <c r="A320" s="36" t="s">
        <v>296</v>
      </c>
      <c r="B320" s="33" t="s">
        <v>576</v>
      </c>
      <c r="C320" s="211" t="s">
        <v>1100</v>
      </c>
      <c r="D320" s="112"/>
      <c r="E320" s="112">
        <v>7917364</v>
      </c>
      <c r="F320" s="63">
        <f>SUM(D320:E320)</f>
        <v>7917364</v>
      </c>
      <c r="G320" s="112"/>
      <c r="H320" s="38">
        <v>8157597</v>
      </c>
      <c r="I320" s="38">
        <f t="shared" si="146"/>
        <v>8157597</v>
      </c>
      <c r="J320" s="63"/>
      <c r="K320" s="112">
        <v>9039351</v>
      </c>
      <c r="L320" s="63">
        <f>SUM(J320:K320)</f>
        <v>9039351</v>
      </c>
      <c r="M320" s="218" t="str">
        <f t="shared" si="123"/>
        <v/>
      </c>
      <c r="N320" s="218">
        <f t="shared" si="124"/>
        <v>114.17121910777375</v>
      </c>
      <c r="O320" s="218" t="str">
        <f t="shared" si="125"/>
        <v/>
      </c>
      <c r="P320" s="218">
        <f t="shared" si="141"/>
        <v>110.80899191269194</v>
      </c>
    </row>
    <row r="321" spans="1:17" s="3" customFormat="1" ht="12.75" customHeight="1">
      <c r="A321" s="36" t="s">
        <v>286</v>
      </c>
      <c r="B321" s="33" t="s">
        <v>577</v>
      </c>
      <c r="C321" s="211" t="s">
        <v>1101</v>
      </c>
      <c r="D321" s="63">
        <v>3089800</v>
      </c>
      <c r="E321" s="63">
        <v>791736</v>
      </c>
      <c r="F321" s="63">
        <f t="shared" ref="F321:F324" si="147">SUM(D321:E321)</f>
        <v>3881536</v>
      </c>
      <c r="G321" s="38">
        <v>2394800</v>
      </c>
      <c r="H321" s="38">
        <v>476356</v>
      </c>
      <c r="I321" s="38">
        <f t="shared" si="146"/>
        <v>2871156</v>
      </c>
      <c r="J321" s="63">
        <v>4655000</v>
      </c>
      <c r="K321" s="63">
        <v>619134</v>
      </c>
      <c r="L321" s="63">
        <f t="shared" ref="L321:L324" si="148">SUM(J321:K321)</f>
        <v>5274134</v>
      </c>
      <c r="M321" s="218">
        <f t="shared" si="123"/>
        <v>150.65700045310376</v>
      </c>
      <c r="N321" s="218">
        <f t="shared" si="124"/>
        <v>135.87749798018106</v>
      </c>
      <c r="O321" s="218">
        <f t="shared" si="125"/>
        <v>194.37948889260065</v>
      </c>
      <c r="P321" s="218">
        <f t="shared" si="141"/>
        <v>183.69374565506018</v>
      </c>
    </row>
    <row r="322" spans="1:17" s="3" customFormat="1" ht="12.75" customHeight="1">
      <c r="A322" s="46" t="s">
        <v>252</v>
      </c>
      <c r="B322" s="47" t="s">
        <v>578</v>
      </c>
      <c r="C322" s="212" t="s">
        <v>1102</v>
      </c>
      <c r="D322" s="63">
        <v>602300</v>
      </c>
      <c r="E322" s="63">
        <v>226211</v>
      </c>
      <c r="F322" s="63">
        <f t="shared" si="147"/>
        <v>828511</v>
      </c>
      <c r="G322" s="38">
        <v>762600</v>
      </c>
      <c r="H322" s="38">
        <v>238178</v>
      </c>
      <c r="I322" s="38">
        <f t="shared" si="146"/>
        <v>1000778</v>
      </c>
      <c r="J322" s="63">
        <v>797000</v>
      </c>
      <c r="K322" s="63">
        <v>247653</v>
      </c>
      <c r="L322" s="63">
        <f t="shared" si="148"/>
        <v>1044653</v>
      </c>
      <c r="M322" s="218">
        <f t="shared" si="123"/>
        <v>132.32608334716917</v>
      </c>
      <c r="N322" s="218">
        <f t="shared" si="124"/>
        <v>126.0880060735464</v>
      </c>
      <c r="O322" s="218">
        <f t="shared" si="125"/>
        <v>104.51088381851561</v>
      </c>
      <c r="P322" s="218">
        <f t="shared" si="141"/>
        <v>104.38408917861904</v>
      </c>
    </row>
    <row r="323" spans="1:17" s="3" customFormat="1" ht="12.75" customHeight="1">
      <c r="A323" s="46" t="s">
        <v>287</v>
      </c>
      <c r="B323" s="47" t="s">
        <v>579</v>
      </c>
      <c r="C323" s="212" t="s">
        <v>1103</v>
      </c>
      <c r="D323" s="63">
        <v>505000</v>
      </c>
      <c r="E323" s="63">
        <v>113105</v>
      </c>
      <c r="F323" s="63">
        <f t="shared" si="147"/>
        <v>618105</v>
      </c>
      <c r="G323" s="38">
        <v>405000</v>
      </c>
      <c r="H323" s="38">
        <v>119089</v>
      </c>
      <c r="I323" s="38">
        <f t="shared" si="146"/>
        <v>524089</v>
      </c>
      <c r="J323" s="63">
        <v>545000</v>
      </c>
      <c r="K323" s="63">
        <v>123827</v>
      </c>
      <c r="L323" s="63">
        <f t="shared" si="148"/>
        <v>668827</v>
      </c>
      <c r="M323" s="218">
        <f t="shared" si="123"/>
        <v>107.92079207920793</v>
      </c>
      <c r="N323" s="218">
        <f t="shared" si="124"/>
        <v>108.20604913404681</v>
      </c>
      <c r="O323" s="218">
        <f t="shared" si="125"/>
        <v>134.5679012345679</v>
      </c>
      <c r="P323" s="218">
        <f t="shared" si="141"/>
        <v>127.61706504047976</v>
      </c>
    </row>
    <row r="324" spans="1:17" s="7" customFormat="1" ht="12.75" customHeight="1">
      <c r="A324" s="46" t="s">
        <v>13</v>
      </c>
      <c r="B324" s="33" t="s">
        <v>10</v>
      </c>
      <c r="C324" s="211" t="s">
        <v>1104</v>
      </c>
      <c r="D324" s="63">
        <v>234610</v>
      </c>
      <c r="E324" s="63"/>
      <c r="F324" s="63">
        <f t="shared" si="147"/>
        <v>234610</v>
      </c>
      <c r="G324" s="38">
        <v>234610</v>
      </c>
      <c r="H324" s="38"/>
      <c r="I324" s="38">
        <f t="shared" si="146"/>
        <v>234610</v>
      </c>
      <c r="J324" s="63">
        <v>658832</v>
      </c>
      <c r="K324" s="63"/>
      <c r="L324" s="63">
        <f t="shared" si="148"/>
        <v>658832</v>
      </c>
      <c r="M324" s="218">
        <f t="shared" si="123"/>
        <v>280.82008439537958</v>
      </c>
      <c r="N324" s="218">
        <f t="shared" si="124"/>
        <v>280.82008439537958</v>
      </c>
      <c r="O324" s="218">
        <f t="shared" si="125"/>
        <v>280.82008439537958</v>
      </c>
      <c r="P324" s="218">
        <f t="shared" si="141"/>
        <v>280.82008439537958</v>
      </c>
    </row>
    <row r="325" spans="1:17" s="3" customFormat="1" ht="12.75" customHeight="1">
      <c r="A325" s="57" t="s">
        <v>251</v>
      </c>
      <c r="B325" s="33" t="s">
        <v>682</v>
      </c>
      <c r="C325" s="211" t="s">
        <v>1106</v>
      </c>
      <c r="D325" s="63"/>
      <c r="E325" s="63"/>
      <c r="F325" s="63">
        <f>SUM(D325:E325)</f>
        <v>0</v>
      </c>
      <c r="G325" s="38"/>
      <c r="H325" s="38"/>
      <c r="I325" s="38">
        <f t="shared" si="146"/>
        <v>0</v>
      </c>
      <c r="J325" s="63"/>
      <c r="K325" s="63"/>
      <c r="L325" s="63">
        <f>SUM(J325:K325)</f>
        <v>0</v>
      </c>
      <c r="M325" s="218" t="str">
        <f t="shared" si="123"/>
        <v/>
      </c>
      <c r="N325" s="218" t="str">
        <f t="shared" si="124"/>
        <v/>
      </c>
      <c r="O325" s="218" t="str">
        <f t="shared" si="125"/>
        <v/>
      </c>
      <c r="P325" s="218" t="str">
        <f t="shared" ref="P325" si="149">IF(I325&gt;0,IF(L325&gt;=0,L325/I325*100,""),"")</f>
        <v/>
      </c>
    </row>
    <row r="326" spans="1:17" s="3" customFormat="1" ht="12.75" customHeight="1">
      <c r="A326" s="46" t="s">
        <v>651</v>
      </c>
      <c r="B326" s="33" t="s">
        <v>650</v>
      </c>
      <c r="C326" s="211" t="s">
        <v>1105</v>
      </c>
      <c r="D326" s="63">
        <v>73849</v>
      </c>
      <c r="E326" s="63"/>
      <c r="F326" s="63">
        <f>SUM(D326:E326)</f>
        <v>73849</v>
      </c>
      <c r="G326" s="38">
        <v>135121</v>
      </c>
      <c r="H326" s="38"/>
      <c r="I326" s="38">
        <f t="shared" si="146"/>
        <v>135121</v>
      </c>
      <c r="J326" s="63">
        <v>63800</v>
      </c>
      <c r="K326" s="63"/>
      <c r="L326" s="63">
        <f>SUM(J326:K326)</f>
        <v>63800</v>
      </c>
      <c r="M326" s="218">
        <f t="shared" si="123"/>
        <v>86.392503622256228</v>
      </c>
      <c r="N326" s="218">
        <f t="shared" si="124"/>
        <v>86.392503622256228</v>
      </c>
      <c r="O326" s="218">
        <f t="shared" si="125"/>
        <v>47.216938891808084</v>
      </c>
      <c r="P326" s="218">
        <f t="shared" ref="P326:P346" si="150">IF(I326&gt;0,IF(L326&gt;=0,L326/I326*100,""),"")</f>
        <v>47.216938891808084</v>
      </c>
    </row>
    <row r="327" spans="1:17" s="3" customFormat="1" ht="12.75" customHeight="1">
      <c r="A327" s="57" t="s">
        <v>2069</v>
      </c>
      <c r="B327" s="211" t="s">
        <v>2070</v>
      </c>
      <c r="C327" s="211" t="s">
        <v>2109</v>
      </c>
      <c r="D327" s="63"/>
      <c r="E327" s="63"/>
      <c r="F327" s="63"/>
      <c r="G327" s="38">
        <v>921698</v>
      </c>
      <c r="H327" s="38"/>
      <c r="I327" s="38">
        <f>SUM(G327:H327)</f>
        <v>921698</v>
      </c>
      <c r="J327" s="63"/>
      <c r="K327" s="63"/>
      <c r="L327" s="63"/>
      <c r="M327" s="218" t="str">
        <f t="shared" si="123"/>
        <v/>
      </c>
      <c r="N327" s="218" t="str">
        <f t="shared" si="124"/>
        <v/>
      </c>
      <c r="O327" s="218">
        <f t="shared" si="125"/>
        <v>0</v>
      </c>
      <c r="P327" s="218">
        <f>IF(I327&gt;0,IF(L327&gt;=0,L327/I327*100,""),"")</f>
        <v>0</v>
      </c>
    </row>
    <row r="328" spans="1:17" s="3" customFormat="1" ht="12.75" customHeight="1">
      <c r="A328" s="46" t="s">
        <v>792</v>
      </c>
      <c r="B328" s="211" t="s">
        <v>152</v>
      </c>
      <c r="C328" s="211" t="s">
        <v>1107</v>
      </c>
      <c r="D328" s="63"/>
      <c r="E328" s="63"/>
      <c r="F328" s="63">
        <f t="shared" ref="F328:F359" si="151">SUM(D328:E328)</f>
        <v>0</v>
      </c>
      <c r="G328" s="38">
        <v>35572</v>
      </c>
      <c r="H328" s="38"/>
      <c r="I328" s="38">
        <f t="shared" si="146"/>
        <v>35572</v>
      </c>
      <c r="J328" s="63"/>
      <c r="K328" s="63"/>
      <c r="L328" s="63">
        <f t="shared" ref="L328:L329" si="152">SUM(J328:K328)</f>
        <v>0</v>
      </c>
      <c r="M328" s="218" t="str">
        <f t="shared" si="123"/>
        <v/>
      </c>
      <c r="N328" s="218" t="str">
        <f t="shared" si="124"/>
        <v/>
      </c>
      <c r="O328" s="218">
        <f t="shared" si="125"/>
        <v>0</v>
      </c>
      <c r="P328" s="218">
        <f t="shared" si="150"/>
        <v>0</v>
      </c>
    </row>
    <row r="329" spans="1:17" s="3" customFormat="1" ht="12.75" customHeight="1">
      <c r="A329" s="46" t="s">
        <v>791</v>
      </c>
      <c r="B329" s="211" t="s">
        <v>151</v>
      </c>
      <c r="C329" s="211" t="s">
        <v>1108</v>
      </c>
      <c r="D329" s="63"/>
      <c r="E329" s="63"/>
      <c r="F329" s="63">
        <f t="shared" si="151"/>
        <v>0</v>
      </c>
      <c r="G329" s="38">
        <v>1925200</v>
      </c>
      <c r="H329" s="38"/>
      <c r="I329" s="38">
        <f t="shared" si="146"/>
        <v>1925200</v>
      </c>
      <c r="J329" s="63"/>
      <c r="K329" s="63"/>
      <c r="L329" s="63">
        <f t="shared" si="152"/>
        <v>0</v>
      </c>
      <c r="M329" s="218" t="str">
        <f t="shared" si="123"/>
        <v/>
      </c>
      <c r="N329" s="218" t="str">
        <f t="shared" si="124"/>
        <v/>
      </c>
      <c r="O329" s="218">
        <f t="shared" si="125"/>
        <v>0</v>
      </c>
      <c r="P329" s="218">
        <f t="shared" si="150"/>
        <v>0</v>
      </c>
    </row>
    <row r="330" spans="1:17" s="3" customFormat="1" ht="6" customHeight="1">
      <c r="A330" s="36"/>
      <c r="B330" s="33"/>
      <c r="C330" s="211" t="s">
        <v>268</v>
      </c>
      <c r="D330" s="63"/>
      <c r="E330" s="63"/>
      <c r="F330" s="63">
        <f t="shared" si="151"/>
        <v>0</v>
      </c>
      <c r="G330" s="38"/>
      <c r="H330" s="38"/>
      <c r="I330" s="38">
        <f t="shared" si="146"/>
        <v>0</v>
      </c>
      <c r="J330" s="63"/>
      <c r="K330" s="63"/>
      <c r="L330" s="63">
        <f t="shared" ref="L330:L342" si="153">SUM(J330:K330)</f>
        <v>0</v>
      </c>
      <c r="M330" s="218" t="str">
        <f t="shared" si="123"/>
        <v/>
      </c>
      <c r="N330" s="218" t="str">
        <f t="shared" si="124"/>
        <v/>
      </c>
      <c r="O330" s="218" t="str">
        <f t="shared" si="125"/>
        <v/>
      </c>
      <c r="P330" s="218" t="str">
        <f t="shared" si="150"/>
        <v/>
      </c>
    </row>
    <row r="331" spans="1:17" s="3" customFormat="1" ht="12.75">
      <c r="A331" s="58" t="s">
        <v>201</v>
      </c>
      <c r="B331" s="65" t="s">
        <v>265</v>
      </c>
      <c r="C331" s="308" t="s">
        <v>940</v>
      </c>
      <c r="D331" s="69">
        <f>SUM(D333:D358)</f>
        <v>8695000</v>
      </c>
      <c r="E331" s="69">
        <f>SUM(E333:E358)</f>
        <v>17305095</v>
      </c>
      <c r="F331" s="69">
        <f t="shared" si="151"/>
        <v>26000095</v>
      </c>
      <c r="G331" s="115">
        <f>SUM(G333:G358)</f>
        <v>9466080</v>
      </c>
      <c r="H331" s="115">
        <f>SUM(H333:H358)</f>
        <v>18667201</v>
      </c>
      <c r="I331" s="115">
        <f t="shared" si="146"/>
        <v>28133281</v>
      </c>
      <c r="J331" s="69">
        <f>SUM(J333:J358)</f>
        <v>8709371</v>
      </c>
      <c r="K331" s="69">
        <f>SUM(K333:K358)</f>
        <v>20028973</v>
      </c>
      <c r="L331" s="69">
        <f t="shared" si="153"/>
        <v>28738344</v>
      </c>
      <c r="M331" s="217">
        <f t="shared" si="123"/>
        <v>100.1652788959172</v>
      </c>
      <c r="N331" s="217">
        <f t="shared" si="124"/>
        <v>110.53168844190762</v>
      </c>
      <c r="O331" s="217">
        <f t="shared" si="125"/>
        <v>92.0060996737826</v>
      </c>
      <c r="P331" s="217">
        <f t="shared" si="150"/>
        <v>102.15070186801177</v>
      </c>
    </row>
    <row r="332" spans="1:17" s="3" customFormat="1" ht="12.75" customHeight="1">
      <c r="A332" s="36" t="s">
        <v>267</v>
      </c>
      <c r="B332" s="33"/>
      <c r="C332" s="211" t="s">
        <v>268</v>
      </c>
      <c r="D332" s="74">
        <f>SUM(D333:D356)</f>
        <v>8695000</v>
      </c>
      <c r="E332" s="74">
        <f>SUM(E333:E355)</f>
        <v>17305095</v>
      </c>
      <c r="F332" s="74">
        <f t="shared" si="151"/>
        <v>26000095</v>
      </c>
      <c r="G332" s="112">
        <f>SUM(G333:G357)</f>
        <v>7516080</v>
      </c>
      <c r="H332" s="112">
        <f>SUM(H333:H355)</f>
        <v>18667201</v>
      </c>
      <c r="I332" s="112">
        <f t="shared" si="146"/>
        <v>26183281</v>
      </c>
      <c r="J332" s="74">
        <f>SUM(J333:J357)</f>
        <v>8709371</v>
      </c>
      <c r="K332" s="74">
        <f>SUM(K333:K355)</f>
        <v>20028973</v>
      </c>
      <c r="L332" s="74">
        <f t="shared" si="153"/>
        <v>28738344</v>
      </c>
      <c r="M332" s="223">
        <f t="shared" si="123"/>
        <v>100.1652788959172</v>
      </c>
      <c r="N332" s="223">
        <f t="shared" si="124"/>
        <v>110.53168844190762</v>
      </c>
      <c r="O332" s="223">
        <f t="shared" si="125"/>
        <v>115.87650743472662</v>
      </c>
      <c r="P332" s="223">
        <f t="shared" si="150"/>
        <v>109.75837596518174</v>
      </c>
    </row>
    <row r="333" spans="1:17" s="3" customFormat="1" ht="12.75" customHeight="1">
      <c r="A333" s="36" t="s">
        <v>554</v>
      </c>
      <c r="B333" s="33">
        <v>0</v>
      </c>
      <c r="C333" s="211" t="s">
        <v>268</v>
      </c>
      <c r="D333" s="70"/>
      <c r="E333" s="70">
        <v>904842</v>
      </c>
      <c r="F333" s="74">
        <f t="shared" si="151"/>
        <v>904842</v>
      </c>
      <c r="G333" s="84"/>
      <c r="H333" s="84">
        <v>952711</v>
      </c>
      <c r="I333" s="112">
        <f t="shared" si="146"/>
        <v>952711</v>
      </c>
      <c r="J333" s="74"/>
      <c r="K333" s="70">
        <v>990614</v>
      </c>
      <c r="L333" s="74">
        <f t="shared" si="153"/>
        <v>990614</v>
      </c>
      <c r="M333" s="223" t="str">
        <f t="shared" si="123"/>
        <v/>
      </c>
      <c r="N333" s="223">
        <f t="shared" si="124"/>
        <v>109.47922399711774</v>
      </c>
      <c r="O333" s="223" t="str">
        <f t="shared" si="125"/>
        <v/>
      </c>
      <c r="P333" s="223">
        <f t="shared" si="150"/>
        <v>103.97843627290962</v>
      </c>
    </row>
    <row r="334" spans="1:17" s="3" customFormat="1" ht="12.75" customHeight="1">
      <c r="A334" s="36" t="s">
        <v>707</v>
      </c>
      <c r="B334" s="33" t="s">
        <v>708</v>
      </c>
      <c r="C334" s="211" t="s">
        <v>1109</v>
      </c>
      <c r="D334" s="70"/>
      <c r="E334" s="70">
        <v>565526</v>
      </c>
      <c r="F334" s="74">
        <f t="shared" si="151"/>
        <v>565526</v>
      </c>
      <c r="G334" s="84"/>
      <c r="H334" s="84">
        <v>714534</v>
      </c>
      <c r="I334" s="112">
        <f t="shared" si="146"/>
        <v>714534</v>
      </c>
      <c r="J334" s="74"/>
      <c r="K334" s="70">
        <v>619134</v>
      </c>
      <c r="L334" s="74">
        <f t="shared" si="153"/>
        <v>619134</v>
      </c>
      <c r="M334" s="223" t="str">
        <f t="shared" si="123"/>
        <v/>
      </c>
      <c r="N334" s="223">
        <f t="shared" si="124"/>
        <v>109.47931660082826</v>
      </c>
      <c r="O334" s="223" t="str">
        <f t="shared" si="125"/>
        <v/>
      </c>
      <c r="P334" s="223">
        <f t="shared" si="150"/>
        <v>86.648640932411894</v>
      </c>
    </row>
    <row r="335" spans="1:17" s="3" customFormat="1" ht="12.75" customHeight="1">
      <c r="A335" s="36" t="s">
        <v>276</v>
      </c>
      <c r="B335" s="33" t="s">
        <v>564</v>
      </c>
      <c r="C335" s="211" t="s">
        <v>1110</v>
      </c>
      <c r="D335" s="70">
        <v>7000000</v>
      </c>
      <c r="E335" s="70">
        <v>3845570</v>
      </c>
      <c r="F335" s="74">
        <f t="shared" si="151"/>
        <v>10845570</v>
      </c>
      <c r="G335" s="84">
        <v>5890000</v>
      </c>
      <c r="H335" s="84">
        <v>4049026</v>
      </c>
      <c r="I335" s="112">
        <f t="shared" si="146"/>
        <v>9939026</v>
      </c>
      <c r="J335" s="74">
        <v>7000000</v>
      </c>
      <c r="K335" s="70">
        <v>4210109</v>
      </c>
      <c r="L335" s="74">
        <f t="shared" si="153"/>
        <v>11210109</v>
      </c>
      <c r="M335" s="223">
        <f t="shared" ref="M335:M398" si="154">IF(D335&gt;0,IF(J335&gt;=0,J335/D335*100,""),"")</f>
        <v>100</v>
      </c>
      <c r="N335" s="223">
        <f t="shared" ref="N335:N398" si="155">IF(F335&gt;0,IF(L335&gt;=0,L335/F335*100,""),"")</f>
        <v>103.36117880388029</v>
      </c>
      <c r="O335" s="223">
        <f t="shared" ref="O335:O398" si="156">IF(G335&gt;0,IF(J335&gt;=0,J335/G335*100,""),"")</f>
        <v>118.84550084889642</v>
      </c>
      <c r="P335" s="223">
        <f t="shared" si="150"/>
        <v>112.78880848083102</v>
      </c>
    </row>
    <row r="336" spans="1:17" s="3" customFormat="1" ht="12.75" customHeight="1">
      <c r="A336" s="36" t="s">
        <v>725</v>
      </c>
      <c r="B336" s="33" t="s">
        <v>565</v>
      </c>
      <c r="C336" s="211" t="s">
        <v>1111</v>
      </c>
      <c r="D336" s="70"/>
      <c r="E336" s="70">
        <v>904841</v>
      </c>
      <c r="F336" s="74">
        <f t="shared" si="151"/>
        <v>904841</v>
      </c>
      <c r="G336" s="84"/>
      <c r="H336" s="84">
        <v>1071801</v>
      </c>
      <c r="I336" s="112">
        <f t="shared" si="146"/>
        <v>1071801</v>
      </c>
      <c r="J336" s="74"/>
      <c r="K336" s="70">
        <v>990614</v>
      </c>
      <c r="L336" s="74">
        <f t="shared" si="153"/>
        <v>990614</v>
      </c>
      <c r="M336" s="223" t="str">
        <f t="shared" si="154"/>
        <v/>
      </c>
      <c r="N336" s="223">
        <f t="shared" si="155"/>
        <v>109.47934498989325</v>
      </c>
      <c r="O336" s="223" t="str">
        <f t="shared" si="156"/>
        <v/>
      </c>
      <c r="P336" s="223">
        <f t="shared" si="150"/>
        <v>92.425179674211904</v>
      </c>
      <c r="Q336" s="14"/>
    </row>
    <row r="337" spans="1:16" s="3" customFormat="1" ht="12.75" customHeight="1">
      <c r="A337" s="36" t="s">
        <v>726</v>
      </c>
      <c r="B337" s="33" t="s">
        <v>566</v>
      </c>
      <c r="C337" s="211" t="s">
        <v>1112</v>
      </c>
      <c r="D337" s="70"/>
      <c r="E337" s="70">
        <v>848289</v>
      </c>
      <c r="F337" s="74">
        <f t="shared" si="151"/>
        <v>848289</v>
      </c>
      <c r="G337" s="84"/>
      <c r="H337" s="84">
        <v>893167</v>
      </c>
      <c r="I337" s="112">
        <f t="shared" si="146"/>
        <v>893167</v>
      </c>
      <c r="J337" s="74"/>
      <c r="K337" s="70">
        <v>928700</v>
      </c>
      <c r="L337" s="74">
        <f t="shared" si="153"/>
        <v>928700</v>
      </c>
      <c r="M337" s="223" t="str">
        <f t="shared" si="154"/>
        <v/>
      </c>
      <c r="N337" s="223">
        <f t="shared" si="155"/>
        <v>109.47919871647515</v>
      </c>
      <c r="O337" s="223" t="str">
        <f t="shared" si="156"/>
        <v/>
      </c>
      <c r="P337" s="223">
        <f t="shared" si="150"/>
        <v>103.97831536543558</v>
      </c>
    </row>
    <row r="338" spans="1:16" s="3" customFormat="1" ht="12.75" customHeight="1">
      <c r="A338" s="36" t="s">
        <v>371</v>
      </c>
      <c r="B338" s="33" t="s">
        <v>567</v>
      </c>
      <c r="C338" s="211" t="s">
        <v>1113</v>
      </c>
      <c r="D338" s="70">
        <v>60000</v>
      </c>
      <c r="E338" s="70">
        <v>1357262</v>
      </c>
      <c r="F338" s="74">
        <f t="shared" si="151"/>
        <v>1417262</v>
      </c>
      <c r="G338" s="84">
        <v>190000</v>
      </c>
      <c r="H338" s="84">
        <v>1518385</v>
      </c>
      <c r="I338" s="112">
        <f t="shared" si="146"/>
        <v>1708385</v>
      </c>
      <c r="J338" s="74">
        <v>80000</v>
      </c>
      <c r="K338" s="70">
        <v>1454964</v>
      </c>
      <c r="L338" s="74">
        <f t="shared" si="153"/>
        <v>1534964</v>
      </c>
      <c r="M338" s="223">
        <f t="shared" si="154"/>
        <v>133.33333333333331</v>
      </c>
      <c r="N338" s="223">
        <f t="shared" si="155"/>
        <v>108.30488646418235</v>
      </c>
      <c r="O338" s="223">
        <f t="shared" si="156"/>
        <v>42.105263157894733</v>
      </c>
      <c r="P338" s="223">
        <f t="shared" si="150"/>
        <v>89.848833840147265</v>
      </c>
    </row>
    <row r="339" spans="1:16" s="3" customFormat="1" ht="12.75" customHeight="1">
      <c r="A339" s="36" t="s">
        <v>2376</v>
      </c>
      <c r="B339" s="33" t="s">
        <v>568</v>
      </c>
      <c r="C339" s="211" t="s">
        <v>1114</v>
      </c>
      <c r="D339" s="70"/>
      <c r="E339" s="70">
        <v>2262103</v>
      </c>
      <c r="F339" s="74">
        <f t="shared" si="151"/>
        <v>2262103</v>
      </c>
      <c r="G339" s="84"/>
      <c r="H339" s="84">
        <v>2381780</v>
      </c>
      <c r="I339" s="112">
        <f t="shared" si="146"/>
        <v>2381780</v>
      </c>
      <c r="J339" s="74"/>
      <c r="K339" s="70">
        <v>2600361</v>
      </c>
      <c r="L339" s="74">
        <f t="shared" si="153"/>
        <v>2600361</v>
      </c>
      <c r="M339" s="223" t="str">
        <f t="shared" si="154"/>
        <v/>
      </c>
      <c r="N339" s="223">
        <f t="shared" si="155"/>
        <v>114.95325367589362</v>
      </c>
      <c r="O339" s="223" t="str">
        <f t="shared" si="156"/>
        <v/>
      </c>
      <c r="P339" s="223">
        <f t="shared" si="150"/>
        <v>109.17721200110842</v>
      </c>
    </row>
    <row r="340" spans="1:16" s="3" customFormat="1" ht="12.75" customHeight="1">
      <c r="A340" s="36" t="s">
        <v>194</v>
      </c>
      <c r="B340" s="33" t="s">
        <v>569</v>
      </c>
      <c r="C340" s="211" t="s">
        <v>1115</v>
      </c>
      <c r="D340" s="70">
        <v>65000</v>
      </c>
      <c r="E340" s="70">
        <v>678631</v>
      </c>
      <c r="F340" s="74">
        <f t="shared" si="151"/>
        <v>743631</v>
      </c>
      <c r="G340" s="84">
        <v>65000</v>
      </c>
      <c r="H340" s="84">
        <v>714534</v>
      </c>
      <c r="I340" s="112">
        <f t="shared" si="146"/>
        <v>779534</v>
      </c>
      <c r="J340" s="74">
        <v>60000</v>
      </c>
      <c r="K340" s="70">
        <v>742960</v>
      </c>
      <c r="L340" s="74">
        <f t="shared" si="153"/>
        <v>802960</v>
      </c>
      <c r="M340" s="223">
        <f t="shared" si="154"/>
        <v>92.307692307692307</v>
      </c>
      <c r="N340" s="223">
        <f t="shared" si="155"/>
        <v>107.97828492894999</v>
      </c>
      <c r="O340" s="223">
        <f t="shared" si="156"/>
        <v>92.307692307692307</v>
      </c>
      <c r="P340" s="223">
        <f t="shared" si="150"/>
        <v>103.00512870509817</v>
      </c>
    </row>
    <row r="341" spans="1:16" s="3" customFormat="1" ht="12.75" customHeight="1">
      <c r="A341" s="36" t="s">
        <v>664</v>
      </c>
      <c r="B341" s="33" t="s">
        <v>663</v>
      </c>
      <c r="C341" s="211" t="s">
        <v>1116</v>
      </c>
      <c r="D341" s="63">
        <v>421000</v>
      </c>
      <c r="E341" s="63">
        <v>702383</v>
      </c>
      <c r="F341" s="74">
        <f t="shared" si="151"/>
        <v>1123383</v>
      </c>
      <c r="G341" s="38">
        <v>351000</v>
      </c>
      <c r="H341" s="84">
        <v>738352</v>
      </c>
      <c r="I341" s="112">
        <f t="shared" si="146"/>
        <v>1089352</v>
      </c>
      <c r="J341" s="74">
        <v>420000</v>
      </c>
      <c r="K341" s="63">
        <v>801159</v>
      </c>
      <c r="L341" s="74">
        <f t="shared" si="153"/>
        <v>1221159</v>
      </c>
      <c r="M341" s="223">
        <f t="shared" si="154"/>
        <v>99.762470308788593</v>
      </c>
      <c r="N341" s="223">
        <f t="shared" si="155"/>
        <v>108.7037101326974</v>
      </c>
      <c r="O341" s="223">
        <f t="shared" si="156"/>
        <v>119.65811965811966</v>
      </c>
      <c r="P341" s="223">
        <f t="shared" si="150"/>
        <v>112.0995784649957</v>
      </c>
    </row>
    <row r="342" spans="1:16" s="3" customFormat="1" ht="12.75" customHeight="1">
      <c r="A342" s="36" t="s">
        <v>769</v>
      </c>
      <c r="B342" s="33" t="s">
        <v>770</v>
      </c>
      <c r="C342" s="211" t="s">
        <v>1117</v>
      </c>
      <c r="D342" s="70">
        <v>15000</v>
      </c>
      <c r="E342" s="70">
        <v>44112</v>
      </c>
      <c r="F342" s="74">
        <f t="shared" si="151"/>
        <v>59112</v>
      </c>
      <c r="G342" s="84">
        <v>15000</v>
      </c>
      <c r="H342" s="84">
        <v>47636</v>
      </c>
      <c r="I342" s="112">
        <f t="shared" si="146"/>
        <v>62636</v>
      </c>
      <c r="J342" s="74"/>
      <c r="K342" s="70">
        <v>3715</v>
      </c>
      <c r="L342" s="74">
        <f t="shared" si="153"/>
        <v>3715</v>
      </c>
      <c r="M342" s="223">
        <f t="shared" si="154"/>
        <v>0</v>
      </c>
      <c r="N342" s="223">
        <f t="shared" si="155"/>
        <v>6.2846799296251188</v>
      </c>
      <c r="O342" s="223">
        <f t="shared" si="156"/>
        <v>0</v>
      </c>
      <c r="P342" s="223">
        <f t="shared" si="150"/>
        <v>5.9310939395874573</v>
      </c>
    </row>
    <row r="343" spans="1:16" s="3" customFormat="1" ht="24">
      <c r="A343" s="36" t="s">
        <v>33</v>
      </c>
      <c r="B343" s="33" t="s">
        <v>570</v>
      </c>
      <c r="C343" s="211" t="s">
        <v>1118</v>
      </c>
      <c r="D343" s="70"/>
      <c r="E343" s="70">
        <v>1244157</v>
      </c>
      <c r="F343" s="74">
        <f t="shared" si="151"/>
        <v>1244157</v>
      </c>
      <c r="G343" s="84"/>
      <c r="H343" s="84">
        <v>1309979</v>
      </c>
      <c r="I343" s="112">
        <f t="shared" si="146"/>
        <v>1309979</v>
      </c>
      <c r="J343" s="74"/>
      <c r="K343" s="70">
        <v>1362094</v>
      </c>
      <c r="L343" s="74">
        <f t="shared" ref="L343:L355" si="157">SUM(J343:K343)</f>
        <v>1362094</v>
      </c>
      <c r="M343" s="223" t="str">
        <f t="shared" si="154"/>
        <v/>
      </c>
      <c r="N343" s="223">
        <f t="shared" si="155"/>
        <v>109.4792698992169</v>
      </c>
      <c r="O343" s="223" t="str">
        <f t="shared" si="156"/>
        <v/>
      </c>
      <c r="P343" s="223">
        <f t="shared" si="150"/>
        <v>103.978308049213</v>
      </c>
    </row>
    <row r="344" spans="1:16" s="7" customFormat="1" ht="12.75" customHeight="1">
      <c r="A344" s="46" t="s">
        <v>364</v>
      </c>
      <c r="B344" s="47" t="s">
        <v>572</v>
      </c>
      <c r="C344" s="212" t="s">
        <v>1119</v>
      </c>
      <c r="D344" s="63">
        <v>480000</v>
      </c>
      <c r="E344" s="63">
        <v>1638122</v>
      </c>
      <c r="F344" s="74">
        <f t="shared" si="151"/>
        <v>2118122</v>
      </c>
      <c r="G344" s="38">
        <v>480000</v>
      </c>
      <c r="H344" s="84">
        <v>1724409</v>
      </c>
      <c r="I344" s="112">
        <f t="shared" si="146"/>
        <v>2204409</v>
      </c>
      <c r="J344" s="74">
        <v>510000</v>
      </c>
      <c r="K344" s="63">
        <v>2040664</v>
      </c>
      <c r="L344" s="74">
        <f t="shared" si="157"/>
        <v>2550664</v>
      </c>
      <c r="M344" s="223">
        <f t="shared" si="154"/>
        <v>106.25</v>
      </c>
      <c r="N344" s="223">
        <f t="shared" si="155"/>
        <v>120.42101446470032</v>
      </c>
      <c r="O344" s="223">
        <f t="shared" si="156"/>
        <v>106.25</v>
      </c>
      <c r="P344" s="223">
        <f t="shared" si="150"/>
        <v>115.70738460966182</v>
      </c>
    </row>
    <row r="345" spans="1:16" s="3" customFormat="1" ht="12.75" customHeight="1">
      <c r="A345" s="36" t="s">
        <v>320</v>
      </c>
      <c r="B345" s="33" t="s">
        <v>573</v>
      </c>
      <c r="C345" s="211" t="s">
        <v>1120</v>
      </c>
      <c r="D345" s="63">
        <v>100000</v>
      </c>
      <c r="E345" s="63">
        <v>1017947</v>
      </c>
      <c r="F345" s="74">
        <f t="shared" si="151"/>
        <v>1117947</v>
      </c>
      <c r="G345" s="38">
        <v>100000</v>
      </c>
      <c r="H345" s="84">
        <v>1071801</v>
      </c>
      <c r="I345" s="112">
        <f t="shared" si="146"/>
        <v>1171801</v>
      </c>
      <c r="J345" s="74">
        <v>116000</v>
      </c>
      <c r="K345" s="63">
        <v>1362094</v>
      </c>
      <c r="L345" s="74">
        <f t="shared" si="157"/>
        <v>1478094</v>
      </c>
      <c r="M345" s="223">
        <f t="shared" si="154"/>
        <v>115.99999999999999</v>
      </c>
      <c r="N345" s="223">
        <f t="shared" si="155"/>
        <v>132.21503344970736</v>
      </c>
      <c r="O345" s="223">
        <f t="shared" si="156"/>
        <v>115.99999999999999</v>
      </c>
      <c r="P345" s="223">
        <f t="shared" si="150"/>
        <v>126.13865323548966</v>
      </c>
    </row>
    <row r="346" spans="1:16" s="3" customFormat="1" ht="12.75" customHeight="1">
      <c r="A346" s="36" t="s">
        <v>666</v>
      </c>
      <c r="B346" s="33" t="s">
        <v>665</v>
      </c>
      <c r="C346" s="211" t="s">
        <v>1121</v>
      </c>
      <c r="D346" s="63">
        <v>554000</v>
      </c>
      <c r="E346" s="63">
        <v>1911</v>
      </c>
      <c r="F346" s="74">
        <f t="shared" si="151"/>
        <v>555911</v>
      </c>
      <c r="G346" s="38">
        <v>312000</v>
      </c>
      <c r="H346" s="84">
        <v>2382</v>
      </c>
      <c r="I346" s="112">
        <f t="shared" si="146"/>
        <v>314382</v>
      </c>
      <c r="J346" s="74">
        <v>400000</v>
      </c>
      <c r="K346" s="63">
        <v>2477</v>
      </c>
      <c r="L346" s="74">
        <f t="shared" si="157"/>
        <v>402477</v>
      </c>
      <c r="M346" s="223">
        <f t="shared" si="154"/>
        <v>72.202166064981952</v>
      </c>
      <c r="N346" s="223">
        <f t="shared" si="155"/>
        <v>72.399538775091699</v>
      </c>
      <c r="O346" s="223">
        <f t="shared" si="156"/>
        <v>128.2051282051282</v>
      </c>
      <c r="P346" s="223">
        <f t="shared" si="150"/>
        <v>128.0216424604462</v>
      </c>
    </row>
    <row r="347" spans="1:16" s="3" customFormat="1" ht="24">
      <c r="A347" s="36" t="s">
        <v>849</v>
      </c>
      <c r="B347" s="33" t="s">
        <v>850</v>
      </c>
      <c r="C347" s="211" t="s">
        <v>1122</v>
      </c>
      <c r="D347" s="63"/>
      <c r="E347" s="63">
        <v>226210</v>
      </c>
      <c r="F347" s="74">
        <f t="shared" si="151"/>
        <v>226210</v>
      </c>
      <c r="G347" s="38"/>
      <c r="H347" s="84">
        <v>238178</v>
      </c>
      <c r="I347" s="112">
        <f t="shared" si="146"/>
        <v>238178</v>
      </c>
      <c r="J347" s="74"/>
      <c r="K347" s="63">
        <v>247653</v>
      </c>
      <c r="L347" s="74">
        <f t="shared" si="157"/>
        <v>247653</v>
      </c>
      <c r="M347" s="223" t="str">
        <f t="shared" si="154"/>
        <v/>
      </c>
      <c r="N347" s="223">
        <f t="shared" si="155"/>
        <v>109.47924494938333</v>
      </c>
      <c r="O347" s="223" t="str">
        <f t="shared" si="156"/>
        <v/>
      </c>
      <c r="P347" s="223">
        <f t="shared" ref="P347:P356" si="158">IF(I347&gt;0,IF(L347&gt;=0,L347/I347*100,""),"")</f>
        <v>103.97811720645905</v>
      </c>
    </row>
    <row r="348" spans="1:16" s="3" customFormat="1" ht="12.75" customHeight="1">
      <c r="A348" s="36" t="s">
        <v>916</v>
      </c>
      <c r="B348" s="33" t="s">
        <v>915</v>
      </c>
      <c r="C348" s="211" t="s">
        <v>1123</v>
      </c>
      <c r="D348" s="63"/>
      <c r="E348" s="63">
        <v>1017947</v>
      </c>
      <c r="F348" s="74">
        <f t="shared" si="151"/>
        <v>1017947</v>
      </c>
      <c r="G348" s="38"/>
      <c r="H348" s="84">
        <v>1190890</v>
      </c>
      <c r="I348" s="112">
        <f t="shared" si="146"/>
        <v>1190890</v>
      </c>
      <c r="J348" s="74"/>
      <c r="K348" s="63">
        <v>1114441</v>
      </c>
      <c r="L348" s="74">
        <f t="shared" si="157"/>
        <v>1114441</v>
      </c>
      <c r="M348" s="223" t="str">
        <f t="shared" si="154"/>
        <v/>
      </c>
      <c r="N348" s="223">
        <f t="shared" si="155"/>
        <v>109.47927544361346</v>
      </c>
      <c r="O348" s="223" t="str">
        <f t="shared" si="156"/>
        <v/>
      </c>
      <c r="P348" s="223">
        <f t="shared" si="158"/>
        <v>93.580515412842487</v>
      </c>
    </row>
    <row r="349" spans="1:16" s="3" customFormat="1" ht="12.75" customHeight="1">
      <c r="A349" s="36" t="s">
        <v>917</v>
      </c>
      <c r="B349" s="33" t="s">
        <v>918</v>
      </c>
      <c r="C349" s="211" t="s">
        <v>1124</v>
      </c>
      <c r="D349" s="63"/>
      <c r="E349" s="63">
        <v>22621</v>
      </c>
      <c r="F349" s="74">
        <f t="shared" si="151"/>
        <v>22621</v>
      </c>
      <c r="G349" s="38"/>
      <c r="H349" s="84">
        <v>23818</v>
      </c>
      <c r="I349" s="112">
        <f t="shared" ref="I349:I350" si="159">SUM(G349:H349)</f>
        <v>23818</v>
      </c>
      <c r="J349" s="74"/>
      <c r="K349" s="63">
        <v>37148</v>
      </c>
      <c r="L349" s="74">
        <f t="shared" si="157"/>
        <v>37148</v>
      </c>
      <c r="M349" s="223" t="str">
        <f t="shared" si="154"/>
        <v/>
      </c>
      <c r="N349" s="223">
        <f t="shared" si="155"/>
        <v>164.21908845762786</v>
      </c>
      <c r="O349" s="223" t="str">
        <f t="shared" si="156"/>
        <v/>
      </c>
      <c r="P349" s="223">
        <f t="shared" si="158"/>
        <v>155.96607607691661</v>
      </c>
    </row>
    <row r="350" spans="1:16" s="3" customFormat="1" ht="12.75" customHeight="1">
      <c r="A350" s="36" t="s">
        <v>919</v>
      </c>
      <c r="B350" s="33" t="s">
        <v>920</v>
      </c>
      <c r="C350" s="211" t="s">
        <v>1125</v>
      </c>
      <c r="D350" s="63"/>
      <c r="E350" s="63">
        <v>22621</v>
      </c>
      <c r="F350" s="74">
        <f t="shared" si="151"/>
        <v>22621</v>
      </c>
      <c r="G350" s="38"/>
      <c r="H350" s="84">
        <v>23818</v>
      </c>
      <c r="I350" s="112">
        <f t="shared" si="159"/>
        <v>23818</v>
      </c>
      <c r="J350" s="74"/>
      <c r="K350" s="63">
        <v>37148</v>
      </c>
      <c r="L350" s="74">
        <f t="shared" si="157"/>
        <v>37148</v>
      </c>
      <c r="M350" s="223" t="str">
        <f t="shared" si="154"/>
        <v/>
      </c>
      <c r="N350" s="223">
        <f t="shared" si="155"/>
        <v>164.21908845762786</v>
      </c>
      <c r="O350" s="223" t="str">
        <f t="shared" si="156"/>
        <v/>
      </c>
      <c r="P350" s="223">
        <f t="shared" si="158"/>
        <v>155.96607607691661</v>
      </c>
    </row>
    <row r="351" spans="1:16" s="3" customFormat="1" ht="24">
      <c r="A351" s="36" t="s">
        <v>2378</v>
      </c>
      <c r="B351" s="33" t="s">
        <v>2377</v>
      </c>
      <c r="C351" s="211" t="s">
        <v>2388</v>
      </c>
      <c r="D351" s="63"/>
      <c r="E351" s="63"/>
      <c r="F351" s="74"/>
      <c r="G351" s="38"/>
      <c r="H351" s="84"/>
      <c r="I351" s="112"/>
      <c r="J351" s="74"/>
      <c r="K351" s="63">
        <v>371480</v>
      </c>
      <c r="L351" s="74">
        <f t="shared" si="157"/>
        <v>371480</v>
      </c>
      <c r="M351" s="223" t="str">
        <f t="shared" si="154"/>
        <v/>
      </c>
      <c r="N351" s="223" t="str">
        <f t="shared" si="155"/>
        <v/>
      </c>
      <c r="O351" s="223" t="str">
        <f t="shared" si="156"/>
        <v/>
      </c>
      <c r="P351" s="223" t="str">
        <f t="shared" si="158"/>
        <v/>
      </c>
    </row>
    <row r="352" spans="1:16" s="3" customFormat="1" ht="12.75" customHeight="1">
      <c r="A352" s="36" t="s">
        <v>2380</v>
      </c>
      <c r="B352" s="33" t="s">
        <v>2379</v>
      </c>
      <c r="C352" s="211" t="s">
        <v>2389</v>
      </c>
      <c r="D352" s="63"/>
      <c r="E352" s="63"/>
      <c r="F352" s="74"/>
      <c r="G352" s="38"/>
      <c r="H352" s="84"/>
      <c r="I352" s="112"/>
      <c r="J352" s="74"/>
      <c r="K352" s="63">
        <v>37148</v>
      </c>
      <c r="L352" s="74">
        <f t="shared" si="157"/>
        <v>37148</v>
      </c>
      <c r="M352" s="223" t="str">
        <f t="shared" si="154"/>
        <v/>
      </c>
      <c r="N352" s="223" t="str">
        <f t="shared" si="155"/>
        <v/>
      </c>
      <c r="O352" s="223" t="str">
        <f t="shared" si="156"/>
        <v/>
      </c>
      <c r="P352" s="223" t="str">
        <f t="shared" si="158"/>
        <v/>
      </c>
    </row>
    <row r="353" spans="1:16" s="3" customFormat="1" ht="12.75" customHeight="1">
      <c r="A353" s="36" t="s">
        <v>2382</v>
      </c>
      <c r="B353" s="33" t="s">
        <v>2381</v>
      </c>
      <c r="C353" s="211" t="s">
        <v>2390</v>
      </c>
      <c r="D353" s="63"/>
      <c r="E353" s="63"/>
      <c r="F353" s="74"/>
      <c r="G353" s="38"/>
      <c r="H353" s="84"/>
      <c r="I353" s="112"/>
      <c r="J353" s="74"/>
      <c r="K353" s="63">
        <v>37148</v>
      </c>
      <c r="L353" s="74">
        <f t="shared" si="157"/>
        <v>37148</v>
      </c>
      <c r="M353" s="223" t="str">
        <f t="shared" si="154"/>
        <v/>
      </c>
      <c r="N353" s="223" t="str">
        <f t="shared" si="155"/>
        <v/>
      </c>
      <c r="O353" s="223" t="str">
        <f t="shared" si="156"/>
        <v/>
      </c>
      <c r="P353" s="223" t="str">
        <f t="shared" si="158"/>
        <v/>
      </c>
    </row>
    <row r="354" spans="1:16" s="3" customFormat="1" ht="12.75" customHeight="1">
      <c r="A354" s="36" t="s">
        <v>2384</v>
      </c>
      <c r="B354" s="33" t="s">
        <v>2383</v>
      </c>
      <c r="C354" s="211" t="s">
        <v>2391</v>
      </c>
      <c r="D354" s="63"/>
      <c r="E354" s="63"/>
      <c r="F354" s="74"/>
      <c r="G354" s="38"/>
      <c r="H354" s="84"/>
      <c r="I354" s="112"/>
      <c r="J354" s="74"/>
      <c r="K354" s="63">
        <v>37148</v>
      </c>
      <c r="L354" s="74">
        <f t="shared" si="157"/>
        <v>37148</v>
      </c>
      <c r="M354" s="223" t="str">
        <f t="shared" si="154"/>
        <v/>
      </c>
      <c r="N354" s="223" t="str">
        <f t="shared" si="155"/>
        <v/>
      </c>
      <c r="O354" s="223" t="str">
        <f t="shared" si="156"/>
        <v/>
      </c>
      <c r="P354" s="223" t="str">
        <f t="shared" si="158"/>
        <v/>
      </c>
    </row>
    <row r="355" spans="1:16" s="7" customFormat="1" ht="12.75" customHeight="1">
      <c r="A355" s="36" t="s">
        <v>372</v>
      </c>
      <c r="B355" s="33" t="s">
        <v>571</v>
      </c>
      <c r="C355" s="211" t="s">
        <v>1126</v>
      </c>
      <c r="D355" s="63"/>
      <c r="E355" s="63"/>
      <c r="F355" s="74">
        <f t="shared" si="151"/>
        <v>0</v>
      </c>
      <c r="G355" s="38"/>
      <c r="H355" s="38"/>
      <c r="I355" s="112">
        <f t="shared" ref="I355:I384" si="160">SUM(G355:H355)</f>
        <v>0</v>
      </c>
      <c r="J355" s="74">
        <v>123371</v>
      </c>
      <c r="K355" s="63"/>
      <c r="L355" s="74">
        <f t="shared" si="157"/>
        <v>123371</v>
      </c>
      <c r="M355" s="223" t="str">
        <f t="shared" si="154"/>
        <v/>
      </c>
      <c r="N355" s="223" t="str">
        <f t="shared" si="155"/>
        <v/>
      </c>
      <c r="O355" s="223" t="str">
        <f t="shared" si="156"/>
        <v/>
      </c>
      <c r="P355" s="223" t="str">
        <f t="shared" si="158"/>
        <v/>
      </c>
    </row>
    <row r="356" spans="1:16" s="7" customFormat="1" ht="12.75" customHeight="1">
      <c r="A356" s="46" t="s">
        <v>78</v>
      </c>
      <c r="B356" s="212" t="s">
        <v>807</v>
      </c>
      <c r="C356" s="212" t="s">
        <v>1127</v>
      </c>
      <c r="D356" s="63"/>
      <c r="E356" s="63"/>
      <c r="F356" s="74">
        <f t="shared" si="151"/>
        <v>0</v>
      </c>
      <c r="G356" s="38">
        <v>63080</v>
      </c>
      <c r="H356" s="38"/>
      <c r="I356" s="112">
        <f t="shared" si="160"/>
        <v>63080</v>
      </c>
      <c r="J356" s="74"/>
      <c r="K356" s="63"/>
      <c r="L356" s="74">
        <f t="shared" ref="L356" si="161">SUM(J356:K356)</f>
        <v>0</v>
      </c>
      <c r="M356" s="223" t="str">
        <f t="shared" si="154"/>
        <v/>
      </c>
      <c r="N356" s="223" t="str">
        <f t="shared" si="155"/>
        <v/>
      </c>
      <c r="O356" s="223">
        <f t="shared" si="156"/>
        <v>0</v>
      </c>
      <c r="P356" s="223">
        <f t="shared" si="158"/>
        <v>0</v>
      </c>
    </row>
    <row r="357" spans="1:16" s="7" customFormat="1" ht="12.75" customHeight="1">
      <c r="A357" s="46" t="s">
        <v>2069</v>
      </c>
      <c r="B357" s="212" t="s">
        <v>2070</v>
      </c>
      <c r="C357" s="212" t="s">
        <v>2281</v>
      </c>
      <c r="D357" s="63"/>
      <c r="E357" s="63"/>
      <c r="F357" s="74"/>
      <c r="G357" s="38">
        <v>50000</v>
      </c>
      <c r="H357" s="38"/>
      <c r="I357" s="112">
        <f t="shared" si="160"/>
        <v>50000</v>
      </c>
      <c r="J357" s="74"/>
      <c r="K357" s="63"/>
      <c r="L357" s="74"/>
      <c r="M357" s="223" t="str">
        <f t="shared" si="154"/>
        <v/>
      </c>
      <c r="N357" s="223" t="str">
        <f t="shared" si="155"/>
        <v/>
      </c>
      <c r="O357" s="223">
        <f t="shared" si="156"/>
        <v>0</v>
      </c>
      <c r="P357" s="223"/>
    </row>
    <row r="358" spans="1:16" s="7" customFormat="1" ht="12.75" customHeight="1">
      <c r="A358" s="46" t="s">
        <v>791</v>
      </c>
      <c r="B358" s="212" t="s">
        <v>151</v>
      </c>
      <c r="C358" s="212" t="s">
        <v>1128</v>
      </c>
      <c r="D358" s="63"/>
      <c r="E358" s="63"/>
      <c r="F358" s="74">
        <f t="shared" si="151"/>
        <v>0</v>
      </c>
      <c r="G358" s="38">
        <v>1950000</v>
      </c>
      <c r="H358" s="38"/>
      <c r="I358" s="112">
        <f t="shared" si="160"/>
        <v>1950000</v>
      </c>
      <c r="J358" s="74"/>
      <c r="K358" s="63"/>
      <c r="L358" s="74">
        <f t="shared" ref="L358:L359" si="162">SUM(J358:K358)</f>
        <v>0</v>
      </c>
      <c r="M358" s="223" t="str">
        <f t="shared" si="154"/>
        <v/>
      </c>
      <c r="N358" s="223" t="str">
        <f t="shared" si="155"/>
        <v/>
      </c>
      <c r="O358" s="223">
        <f t="shared" si="156"/>
        <v>0</v>
      </c>
      <c r="P358" s="223">
        <f t="shared" ref="P358:P384" si="163">IF(I358&gt;0,IF(L358&gt;=0,L358/I358*100,""),"")</f>
        <v>0</v>
      </c>
    </row>
    <row r="359" spans="1:16" s="7" customFormat="1" ht="6" customHeight="1">
      <c r="A359" s="46"/>
      <c r="B359" s="47"/>
      <c r="C359" s="212" t="s">
        <v>268</v>
      </c>
      <c r="D359" s="63"/>
      <c r="E359" s="63"/>
      <c r="F359" s="63">
        <f t="shared" si="151"/>
        <v>0</v>
      </c>
      <c r="G359" s="38"/>
      <c r="H359" s="38"/>
      <c r="I359" s="38">
        <f t="shared" si="160"/>
        <v>0</v>
      </c>
      <c r="J359" s="63"/>
      <c r="K359" s="63"/>
      <c r="L359" s="63">
        <f t="shared" si="162"/>
        <v>0</v>
      </c>
      <c r="M359" s="218" t="str">
        <f t="shared" si="154"/>
        <v/>
      </c>
      <c r="N359" s="218" t="str">
        <f t="shared" si="155"/>
        <v/>
      </c>
      <c r="O359" s="218" t="str">
        <f t="shared" si="156"/>
        <v/>
      </c>
      <c r="P359" s="218" t="str">
        <f t="shared" si="163"/>
        <v/>
      </c>
    </row>
    <row r="360" spans="1:16" s="24" customFormat="1" ht="12.75">
      <c r="A360" s="41" t="s">
        <v>53</v>
      </c>
      <c r="B360" s="78" t="s">
        <v>265</v>
      </c>
      <c r="C360" s="301" t="s">
        <v>940</v>
      </c>
      <c r="D360" s="42">
        <f>SUM(D362:D363)</f>
        <v>800000</v>
      </c>
      <c r="E360" s="42">
        <f>SUM(E362:E363)</f>
        <v>9500836</v>
      </c>
      <c r="F360" s="42">
        <f>SUM(D360:E360)</f>
        <v>10300836</v>
      </c>
      <c r="G360" s="55">
        <f>SUM(G362:G363)</f>
        <v>800000</v>
      </c>
      <c r="H360" s="55">
        <f>SUM(H362:H363)</f>
        <v>10211882</v>
      </c>
      <c r="I360" s="55">
        <f t="shared" si="160"/>
        <v>11011882</v>
      </c>
      <c r="J360" s="42">
        <f>SUM(J362:J363)</f>
        <v>550000</v>
      </c>
      <c r="K360" s="42">
        <f>SUM(K362:K363)</f>
        <v>10649099</v>
      </c>
      <c r="L360" s="42">
        <f>SUM(J360:K360)</f>
        <v>11199099</v>
      </c>
      <c r="M360" s="225">
        <f t="shared" si="154"/>
        <v>68.75</v>
      </c>
      <c r="N360" s="225">
        <f t="shared" si="155"/>
        <v>108.72029221705888</v>
      </c>
      <c r="O360" s="225">
        <f t="shared" si="156"/>
        <v>68.75</v>
      </c>
      <c r="P360" s="225">
        <f t="shared" si="163"/>
        <v>101.70013627098437</v>
      </c>
    </row>
    <row r="361" spans="1:16" s="6" customFormat="1" hidden="1">
      <c r="A361" s="43" t="s">
        <v>267</v>
      </c>
      <c r="B361" s="44" t="s">
        <v>268</v>
      </c>
      <c r="C361" s="304"/>
      <c r="D361" s="45">
        <f>SUM(D362:D363)</f>
        <v>800000</v>
      </c>
      <c r="E361" s="45">
        <f>SUM(E362:E363)</f>
        <v>9500836</v>
      </c>
      <c r="F361" s="63">
        <f>SUM(D361:E361)</f>
        <v>10300836</v>
      </c>
      <c r="G361" s="88">
        <f>SUM(G362:G363)</f>
        <v>800000</v>
      </c>
      <c r="H361" s="88">
        <f>SUM(H362:H363)</f>
        <v>10211882</v>
      </c>
      <c r="I361" s="38">
        <f t="shared" si="160"/>
        <v>11011882</v>
      </c>
      <c r="J361" s="63">
        <f>SUM(J362:J363)</f>
        <v>550000</v>
      </c>
      <c r="K361" s="45">
        <f>SUM(K362:K363)</f>
        <v>10649099</v>
      </c>
      <c r="L361" s="63">
        <f>SUM(J361:K361)</f>
        <v>11199099</v>
      </c>
      <c r="M361" s="218">
        <f t="shared" si="154"/>
        <v>68.75</v>
      </c>
      <c r="N361" s="218">
        <f t="shared" si="155"/>
        <v>108.72029221705888</v>
      </c>
      <c r="O361" s="218">
        <f t="shared" si="156"/>
        <v>68.75</v>
      </c>
      <c r="P361" s="218">
        <f t="shared" si="163"/>
        <v>101.70013627098437</v>
      </c>
    </row>
    <row r="362" spans="1:16" s="6" customFormat="1" ht="12.75" customHeight="1">
      <c r="A362" s="46" t="s">
        <v>554</v>
      </c>
      <c r="B362" s="47">
        <v>0</v>
      </c>
      <c r="C362" s="212" t="s">
        <v>268</v>
      </c>
      <c r="D362" s="63"/>
      <c r="E362" s="63">
        <v>1357262</v>
      </c>
      <c r="F362" s="63">
        <f>SUM(D362:E362)</f>
        <v>1357262</v>
      </c>
      <c r="G362" s="38"/>
      <c r="H362" s="38">
        <v>1429068</v>
      </c>
      <c r="I362" s="38">
        <f t="shared" si="160"/>
        <v>1429068</v>
      </c>
      <c r="J362" s="63"/>
      <c r="K362" s="63">
        <v>1485921</v>
      </c>
      <c r="L362" s="63">
        <f>SUM(J362:K362)</f>
        <v>1485921</v>
      </c>
      <c r="M362" s="218" t="str">
        <f t="shared" si="154"/>
        <v/>
      </c>
      <c r="N362" s="218">
        <f t="shared" si="155"/>
        <v>109.47930465893836</v>
      </c>
      <c r="O362" s="218" t="str">
        <f t="shared" si="156"/>
        <v/>
      </c>
      <c r="P362" s="218">
        <f t="shared" si="163"/>
        <v>103.97832713348841</v>
      </c>
    </row>
    <row r="363" spans="1:16" s="6" customFormat="1" ht="12.75" customHeight="1">
      <c r="A363" s="361" t="s">
        <v>269</v>
      </c>
      <c r="B363" s="59" t="s">
        <v>488</v>
      </c>
      <c r="C363" s="310" t="s">
        <v>1129</v>
      </c>
      <c r="D363" s="67">
        <v>800000</v>
      </c>
      <c r="E363" s="67">
        <v>8143574</v>
      </c>
      <c r="F363" s="67">
        <f>SUM(D363:E363)</f>
        <v>8943574</v>
      </c>
      <c r="G363" s="61">
        <v>800000</v>
      </c>
      <c r="H363" s="61">
        <v>8782814</v>
      </c>
      <c r="I363" s="61">
        <f t="shared" si="160"/>
        <v>9582814</v>
      </c>
      <c r="J363" s="67">
        <v>550000</v>
      </c>
      <c r="K363" s="67">
        <v>9163178</v>
      </c>
      <c r="L363" s="67">
        <f>SUM(J363:K363)</f>
        <v>9713178</v>
      </c>
      <c r="M363" s="273">
        <f t="shared" si="154"/>
        <v>68.75</v>
      </c>
      <c r="N363" s="273">
        <f t="shared" si="155"/>
        <v>108.60510574407949</v>
      </c>
      <c r="O363" s="273">
        <f t="shared" si="156"/>
        <v>68.75</v>
      </c>
      <c r="P363" s="273">
        <f t="shared" si="163"/>
        <v>101.36039372151021</v>
      </c>
    </row>
    <row r="364" spans="1:16" s="6" customFormat="1" ht="6" customHeight="1">
      <c r="A364" s="362"/>
      <c r="B364" s="44"/>
      <c r="C364" s="304" t="s">
        <v>268</v>
      </c>
      <c r="D364" s="76"/>
      <c r="E364" s="76"/>
      <c r="F364" s="76">
        <f>SUM(D364:E364)</f>
        <v>0</v>
      </c>
      <c r="G364" s="116"/>
      <c r="H364" s="116"/>
      <c r="I364" s="116">
        <f t="shared" si="160"/>
        <v>0</v>
      </c>
      <c r="J364" s="76"/>
      <c r="K364" s="76"/>
      <c r="L364" s="76">
        <f>SUM(J364:K364)</f>
        <v>0</v>
      </c>
      <c r="M364" s="226" t="str">
        <f t="shared" si="154"/>
        <v/>
      </c>
      <c r="N364" s="226" t="str">
        <f t="shared" si="155"/>
        <v/>
      </c>
      <c r="O364" s="226" t="str">
        <f t="shared" si="156"/>
        <v/>
      </c>
      <c r="P364" s="226" t="str">
        <f t="shared" si="163"/>
        <v/>
      </c>
    </row>
    <row r="365" spans="1:16" s="7" customFormat="1" ht="12.75">
      <c r="A365" s="58" t="s">
        <v>289</v>
      </c>
      <c r="B365" s="59" t="s">
        <v>265</v>
      </c>
      <c r="C365" s="310" t="s">
        <v>940</v>
      </c>
      <c r="D365" s="42">
        <f>SUM(D367:D370)</f>
        <v>142188125</v>
      </c>
      <c r="E365" s="42">
        <f>SUM(E367:E370)</f>
        <v>24091406</v>
      </c>
      <c r="F365" s="42">
        <f t="shared" ref="F365:F371" si="164">SUM(D365:E365)</f>
        <v>166279531</v>
      </c>
      <c r="G365" s="55">
        <f>SUM(G367:G369)</f>
        <v>142794345</v>
      </c>
      <c r="H365" s="55">
        <f>SUM(H367:H370)</f>
        <v>26497303</v>
      </c>
      <c r="I365" s="55">
        <f t="shared" si="160"/>
        <v>169291648</v>
      </c>
      <c r="J365" s="42">
        <f>SUM(J367:J370)</f>
        <v>149891937</v>
      </c>
      <c r="K365" s="42">
        <f>SUM(K367:K370)</f>
        <v>28232494</v>
      </c>
      <c r="L365" s="42">
        <f t="shared" ref="L365:L371" si="165">SUM(J365:K365)</f>
        <v>178124431</v>
      </c>
      <c r="M365" s="225">
        <f t="shared" si="154"/>
        <v>105.41804176684937</v>
      </c>
      <c r="N365" s="225">
        <f t="shared" si="155"/>
        <v>107.12348653425056</v>
      </c>
      <c r="O365" s="225">
        <f t="shared" si="156"/>
        <v>104.97049935695983</v>
      </c>
      <c r="P365" s="225">
        <f t="shared" si="163"/>
        <v>105.21749484061966</v>
      </c>
    </row>
    <row r="366" spans="1:16" s="7" customFormat="1" hidden="1">
      <c r="A366" s="80" t="s">
        <v>267</v>
      </c>
      <c r="B366" s="44"/>
      <c r="C366" s="304" t="s">
        <v>268</v>
      </c>
      <c r="D366" s="48">
        <f>SUM(D367:D370)</f>
        <v>142188125</v>
      </c>
      <c r="E366" s="116">
        <f>SUM(E367:E370)</f>
        <v>24091406</v>
      </c>
      <c r="F366" s="48">
        <f t="shared" si="164"/>
        <v>166279531</v>
      </c>
      <c r="G366" s="116">
        <f>SUM(G367:G369)</f>
        <v>142794345</v>
      </c>
      <c r="H366" s="116">
        <f>SUM(H367:H370)</f>
        <v>26497303</v>
      </c>
      <c r="I366" s="85">
        <f t="shared" si="160"/>
        <v>169291648</v>
      </c>
      <c r="J366" s="48">
        <f>SUM(J367:J370)</f>
        <v>149891937</v>
      </c>
      <c r="K366" s="116">
        <f>SUM(K367:K370)</f>
        <v>28232494</v>
      </c>
      <c r="L366" s="48">
        <f t="shared" si="165"/>
        <v>178124431</v>
      </c>
      <c r="M366" s="219">
        <f t="shared" si="154"/>
        <v>105.41804176684937</v>
      </c>
      <c r="N366" s="219">
        <f t="shared" si="155"/>
        <v>107.12348653425056</v>
      </c>
      <c r="O366" s="219">
        <f t="shared" si="156"/>
        <v>104.97049935695983</v>
      </c>
      <c r="P366" s="219">
        <f t="shared" si="163"/>
        <v>105.21749484061966</v>
      </c>
    </row>
    <row r="367" spans="1:16" s="7" customFormat="1" ht="12.75" customHeight="1">
      <c r="A367" s="36" t="s">
        <v>554</v>
      </c>
      <c r="B367" s="47">
        <v>0</v>
      </c>
      <c r="C367" s="212" t="s">
        <v>268</v>
      </c>
      <c r="D367" s="77"/>
      <c r="E367" s="38">
        <v>1017947</v>
      </c>
      <c r="F367" s="48">
        <f t="shared" si="164"/>
        <v>1017947</v>
      </c>
      <c r="G367" s="109"/>
      <c r="H367" s="38">
        <v>1071801</v>
      </c>
      <c r="I367" s="85">
        <f t="shared" si="160"/>
        <v>1071801</v>
      </c>
      <c r="J367" s="48"/>
      <c r="K367" s="38">
        <v>1114441</v>
      </c>
      <c r="L367" s="48">
        <f t="shared" si="165"/>
        <v>1114441</v>
      </c>
      <c r="M367" s="219" t="str">
        <f t="shared" si="154"/>
        <v/>
      </c>
      <c r="N367" s="219">
        <f t="shared" si="155"/>
        <v>109.47927544361346</v>
      </c>
      <c r="O367" s="219" t="str">
        <f t="shared" si="156"/>
        <v/>
      </c>
      <c r="P367" s="219">
        <f t="shared" si="163"/>
        <v>103.97835045871389</v>
      </c>
    </row>
    <row r="368" spans="1:16" s="7" customFormat="1" ht="24">
      <c r="A368" s="36" t="s">
        <v>359</v>
      </c>
      <c r="B368" s="47" t="s">
        <v>482</v>
      </c>
      <c r="C368" s="212" t="s">
        <v>1130</v>
      </c>
      <c r="D368" s="63">
        <v>141804731</v>
      </c>
      <c r="E368" s="63">
        <v>19001672</v>
      </c>
      <c r="F368" s="48">
        <f t="shared" si="164"/>
        <v>160806403</v>
      </c>
      <c r="G368" s="38">
        <v>141892951</v>
      </c>
      <c r="H368" s="38">
        <v>21138298</v>
      </c>
      <c r="I368" s="85">
        <f t="shared" si="160"/>
        <v>163031249</v>
      </c>
      <c r="J368" s="48">
        <v>149552201</v>
      </c>
      <c r="K368" s="63">
        <v>22660291</v>
      </c>
      <c r="L368" s="48">
        <f t="shared" si="165"/>
        <v>172212492</v>
      </c>
      <c r="M368" s="219">
        <f t="shared" si="154"/>
        <v>105.46347780173851</v>
      </c>
      <c r="N368" s="219">
        <f t="shared" si="155"/>
        <v>107.09305648730916</v>
      </c>
      <c r="O368" s="219">
        <f t="shared" si="156"/>
        <v>105.39790732803915</v>
      </c>
      <c r="P368" s="219">
        <f t="shared" si="163"/>
        <v>105.63158477673198</v>
      </c>
    </row>
    <row r="369" spans="1:16" s="7" customFormat="1" ht="24">
      <c r="A369" s="36" t="s">
        <v>349</v>
      </c>
      <c r="B369" s="47" t="s">
        <v>461</v>
      </c>
      <c r="C369" s="212" t="s">
        <v>1131</v>
      </c>
      <c r="D369" s="63">
        <v>383394</v>
      </c>
      <c r="E369" s="63">
        <v>3958682</v>
      </c>
      <c r="F369" s="48">
        <f t="shared" si="164"/>
        <v>4342076</v>
      </c>
      <c r="G369" s="38">
        <v>901394</v>
      </c>
      <c r="H369" s="38">
        <v>4168115</v>
      </c>
      <c r="I369" s="85">
        <f t="shared" si="160"/>
        <v>5069509</v>
      </c>
      <c r="J369" s="48">
        <v>339736</v>
      </c>
      <c r="K369" s="63">
        <v>4333935</v>
      </c>
      <c r="L369" s="48">
        <f t="shared" si="165"/>
        <v>4673671</v>
      </c>
      <c r="M369" s="219">
        <f t="shared" si="154"/>
        <v>88.612758676452941</v>
      </c>
      <c r="N369" s="219">
        <f t="shared" si="155"/>
        <v>107.63678480063454</v>
      </c>
      <c r="O369" s="219">
        <f t="shared" si="156"/>
        <v>37.690066718882086</v>
      </c>
      <c r="P369" s="219">
        <f t="shared" si="163"/>
        <v>92.191788198817676</v>
      </c>
    </row>
    <row r="370" spans="1:16" s="7" customFormat="1" ht="12.75" customHeight="1">
      <c r="A370" s="36" t="s">
        <v>904</v>
      </c>
      <c r="B370" s="47" t="s">
        <v>903</v>
      </c>
      <c r="C370" s="212" t="s">
        <v>1132</v>
      </c>
      <c r="D370" s="63"/>
      <c r="E370" s="63">
        <v>113105</v>
      </c>
      <c r="F370" s="48">
        <f t="shared" si="164"/>
        <v>113105</v>
      </c>
      <c r="G370" s="38"/>
      <c r="H370" s="38">
        <v>119089</v>
      </c>
      <c r="I370" s="85">
        <f t="shared" si="160"/>
        <v>119089</v>
      </c>
      <c r="J370" s="63"/>
      <c r="K370" s="63">
        <v>123827</v>
      </c>
      <c r="L370" s="48">
        <f t="shared" si="165"/>
        <v>123827</v>
      </c>
      <c r="M370" s="218" t="str">
        <f t="shared" si="154"/>
        <v/>
      </c>
      <c r="N370" s="218">
        <f t="shared" si="155"/>
        <v>109.47968701648911</v>
      </c>
      <c r="O370" s="218" t="str">
        <f t="shared" si="156"/>
        <v/>
      </c>
      <c r="P370" s="218">
        <f t="shared" si="163"/>
        <v>103.97853706051777</v>
      </c>
    </row>
    <row r="371" spans="1:16" s="7" customFormat="1" ht="6" customHeight="1">
      <c r="A371" s="36"/>
      <c r="B371" s="47"/>
      <c r="C371" s="212" t="s">
        <v>268</v>
      </c>
      <c r="D371" s="63"/>
      <c r="E371" s="63"/>
      <c r="F371" s="63">
        <f t="shared" si="164"/>
        <v>0</v>
      </c>
      <c r="G371" s="38"/>
      <c r="H371" s="38"/>
      <c r="I371" s="38">
        <f t="shared" si="160"/>
        <v>0</v>
      </c>
      <c r="J371" s="63"/>
      <c r="K371" s="63"/>
      <c r="L371" s="63">
        <f t="shared" si="165"/>
        <v>0</v>
      </c>
      <c r="M371" s="218" t="str">
        <f t="shared" si="154"/>
        <v/>
      </c>
      <c r="N371" s="218" t="str">
        <f t="shared" si="155"/>
        <v/>
      </c>
      <c r="O371" s="218" t="str">
        <f t="shared" si="156"/>
        <v/>
      </c>
      <c r="P371" s="218" t="str">
        <f t="shared" si="163"/>
        <v/>
      </c>
    </row>
    <row r="372" spans="1:16" s="26" customFormat="1" ht="12.75">
      <c r="A372" s="53" t="s">
        <v>54</v>
      </c>
      <c r="B372" s="54" t="s">
        <v>265</v>
      </c>
      <c r="C372" s="315" t="s">
        <v>940</v>
      </c>
      <c r="D372" s="60">
        <f>SUM(D374:D407)</f>
        <v>146908565</v>
      </c>
      <c r="E372" s="60">
        <f>SUM(E374:E407)</f>
        <v>12554677</v>
      </c>
      <c r="F372" s="55">
        <f>SUM(D372:E372)</f>
        <v>159463242</v>
      </c>
      <c r="G372" s="60">
        <f>SUM(G374:G407)</f>
        <v>191887508</v>
      </c>
      <c r="H372" s="60">
        <f>SUM(H374:H407)</f>
        <v>14058457</v>
      </c>
      <c r="I372" s="55">
        <f t="shared" si="160"/>
        <v>205945965</v>
      </c>
      <c r="J372" s="60">
        <f>SUM(J374:J407)</f>
        <v>87975798</v>
      </c>
      <c r="K372" s="60">
        <f>SUM(K374:K407)</f>
        <v>14859207</v>
      </c>
      <c r="L372" s="55">
        <f>SUM(J372:K372)</f>
        <v>102835005</v>
      </c>
      <c r="M372" s="221">
        <f t="shared" si="154"/>
        <v>59.88473034230509</v>
      </c>
      <c r="N372" s="221">
        <f t="shared" si="155"/>
        <v>64.488219172165088</v>
      </c>
      <c r="O372" s="221">
        <f t="shared" si="156"/>
        <v>45.847590036971035</v>
      </c>
      <c r="P372" s="221">
        <f t="shared" si="163"/>
        <v>49.933003057379636</v>
      </c>
    </row>
    <row r="373" spans="1:16" s="16" customFormat="1" ht="12.75" customHeight="1">
      <c r="A373" s="56" t="s">
        <v>267</v>
      </c>
      <c r="B373" s="33"/>
      <c r="C373" s="211" t="s">
        <v>268</v>
      </c>
      <c r="D373" s="38">
        <f>SUM(D374:D405)</f>
        <v>146908565</v>
      </c>
      <c r="E373" s="38">
        <f>SUM(E374:E405)</f>
        <v>12554677</v>
      </c>
      <c r="F373" s="38">
        <f>SUM(D373:E373)</f>
        <v>159463242</v>
      </c>
      <c r="G373" s="38">
        <f>SUM(G374:G405)</f>
        <v>191827702</v>
      </c>
      <c r="H373" s="38">
        <f>SUM(H374:H405)</f>
        <v>14058457</v>
      </c>
      <c r="I373" s="38">
        <f t="shared" si="160"/>
        <v>205886159</v>
      </c>
      <c r="J373" s="38">
        <f>SUM(J374:J405)</f>
        <v>87975798</v>
      </c>
      <c r="K373" s="38">
        <f>SUM(K374:K405)</f>
        <v>14859207</v>
      </c>
      <c r="L373" s="38">
        <f>SUM(J373:K373)</f>
        <v>102835005</v>
      </c>
      <c r="M373" s="228">
        <f t="shared" si="154"/>
        <v>59.88473034230509</v>
      </c>
      <c r="N373" s="228">
        <f t="shared" si="155"/>
        <v>64.488219172165088</v>
      </c>
      <c r="O373" s="228">
        <f t="shared" si="156"/>
        <v>45.861883910802412</v>
      </c>
      <c r="P373" s="228">
        <f t="shared" si="163"/>
        <v>49.947507641832303</v>
      </c>
    </row>
    <row r="374" spans="1:16" s="16" customFormat="1" ht="12.75" customHeight="1">
      <c r="A374" s="46" t="s">
        <v>554</v>
      </c>
      <c r="B374" s="47">
        <v>0</v>
      </c>
      <c r="C374" s="212" t="s">
        <v>268</v>
      </c>
      <c r="D374" s="38"/>
      <c r="E374" s="38">
        <v>1368573</v>
      </c>
      <c r="F374" s="38">
        <f t="shared" ref="F374:F400" si="166">SUM(D374:E374)</f>
        <v>1368573</v>
      </c>
      <c r="G374" s="38"/>
      <c r="H374" s="38">
        <v>1732745</v>
      </c>
      <c r="I374" s="38">
        <f t="shared" si="160"/>
        <v>1732745</v>
      </c>
      <c r="J374" s="38"/>
      <c r="K374" s="38">
        <v>1523068</v>
      </c>
      <c r="L374" s="38">
        <f t="shared" ref="L374:L400" si="167">SUM(J374:K374)</f>
        <v>1523068</v>
      </c>
      <c r="M374" s="228" t="str">
        <f t="shared" si="154"/>
        <v/>
      </c>
      <c r="N374" s="228">
        <f t="shared" si="155"/>
        <v>111.28876574358839</v>
      </c>
      <c r="O374" s="228" t="str">
        <f t="shared" si="156"/>
        <v/>
      </c>
      <c r="P374" s="228">
        <f t="shared" si="163"/>
        <v>87.899142689778358</v>
      </c>
    </row>
    <row r="375" spans="1:16" s="16" customFormat="1" ht="12.75" customHeight="1">
      <c r="A375" s="36" t="s">
        <v>124</v>
      </c>
      <c r="B375" s="33" t="s">
        <v>125</v>
      </c>
      <c r="C375" s="211" t="s">
        <v>1134</v>
      </c>
      <c r="D375" s="38">
        <f>588100+130000</f>
        <v>718100</v>
      </c>
      <c r="E375" s="38">
        <v>328005</v>
      </c>
      <c r="F375" s="38">
        <f t="shared" si="166"/>
        <v>1046105</v>
      </c>
      <c r="G375" s="38">
        <v>884275</v>
      </c>
      <c r="H375" s="38">
        <v>345358</v>
      </c>
      <c r="I375" s="38">
        <f t="shared" si="160"/>
        <v>1229633</v>
      </c>
      <c r="J375" s="38">
        <f>725000-200000</f>
        <v>525000</v>
      </c>
      <c r="K375" s="38">
        <v>421011</v>
      </c>
      <c r="L375" s="38">
        <f t="shared" si="167"/>
        <v>946011</v>
      </c>
      <c r="M375" s="228">
        <f t="shared" si="154"/>
        <v>73.109594763960445</v>
      </c>
      <c r="N375" s="228">
        <f t="shared" si="155"/>
        <v>90.431744423360954</v>
      </c>
      <c r="O375" s="228">
        <f t="shared" si="156"/>
        <v>59.370670888581046</v>
      </c>
      <c r="P375" s="228">
        <f t="shared" si="163"/>
        <v>76.934418643611551</v>
      </c>
    </row>
    <row r="376" spans="1:16" s="16" customFormat="1" ht="12.75" customHeight="1">
      <c r="A376" s="36" t="s">
        <v>326</v>
      </c>
      <c r="B376" s="33" t="s">
        <v>625</v>
      </c>
      <c r="C376" s="211" t="s">
        <v>1137</v>
      </c>
      <c r="D376" s="38">
        <v>3310000</v>
      </c>
      <c r="E376" s="38">
        <v>865255</v>
      </c>
      <c r="F376" s="38">
        <f t="shared" si="166"/>
        <v>4175255</v>
      </c>
      <c r="G376" s="38">
        <v>3714000</v>
      </c>
      <c r="H376" s="38">
        <v>911031</v>
      </c>
      <c r="I376" s="38">
        <f t="shared" si="160"/>
        <v>4625031</v>
      </c>
      <c r="J376" s="38">
        <f>3550000-506000</f>
        <v>3044000</v>
      </c>
      <c r="K376" s="38">
        <v>1046336</v>
      </c>
      <c r="L376" s="38">
        <f t="shared" si="167"/>
        <v>4090336</v>
      </c>
      <c r="M376" s="228">
        <f t="shared" si="154"/>
        <v>91.963746223564954</v>
      </c>
      <c r="N376" s="228">
        <f t="shared" si="155"/>
        <v>97.966136200064426</v>
      </c>
      <c r="O376" s="228">
        <f t="shared" si="156"/>
        <v>81.960150780829295</v>
      </c>
      <c r="P376" s="228">
        <f t="shared" si="163"/>
        <v>88.439104516272423</v>
      </c>
    </row>
    <row r="377" spans="1:16" s="16" customFormat="1" ht="12.75" customHeight="1">
      <c r="A377" s="36" t="s">
        <v>63</v>
      </c>
      <c r="B377" s="33" t="s">
        <v>630</v>
      </c>
      <c r="C377" s="211" t="s">
        <v>1139</v>
      </c>
      <c r="D377" s="38">
        <f>1760000+500000</f>
        <v>2260000</v>
      </c>
      <c r="E377" s="38">
        <v>1266778</v>
      </c>
      <c r="F377" s="38">
        <f t="shared" si="166"/>
        <v>3526778</v>
      </c>
      <c r="G377" s="38">
        <v>2359440</v>
      </c>
      <c r="H377" s="38">
        <v>1333797</v>
      </c>
      <c r="I377" s="38">
        <f t="shared" si="160"/>
        <v>3693237</v>
      </c>
      <c r="J377" s="38">
        <v>2139000</v>
      </c>
      <c r="K377" s="38">
        <v>1448773</v>
      </c>
      <c r="L377" s="38">
        <f t="shared" si="167"/>
        <v>3587773</v>
      </c>
      <c r="M377" s="228">
        <f t="shared" si="154"/>
        <v>94.646017699115049</v>
      </c>
      <c r="N377" s="228">
        <f t="shared" si="155"/>
        <v>101.72948226398147</v>
      </c>
      <c r="O377" s="228">
        <f t="shared" si="156"/>
        <v>90.657105075780692</v>
      </c>
      <c r="P377" s="228">
        <f t="shared" si="163"/>
        <v>97.144402051641961</v>
      </c>
    </row>
    <row r="378" spans="1:16" s="16" customFormat="1" ht="12.75" customHeight="1">
      <c r="A378" s="36" t="s">
        <v>690</v>
      </c>
      <c r="B378" s="33" t="s">
        <v>691</v>
      </c>
      <c r="C378" s="211" t="s">
        <v>1140</v>
      </c>
      <c r="D378" s="38">
        <v>2049000</v>
      </c>
      <c r="E378" s="38">
        <v>180968</v>
      </c>
      <c r="F378" s="38">
        <f t="shared" si="166"/>
        <v>2229968</v>
      </c>
      <c r="G378" s="38">
        <v>2049000</v>
      </c>
      <c r="H378" s="38">
        <v>190542</v>
      </c>
      <c r="I378" s="38">
        <f t="shared" si="160"/>
        <v>2239542</v>
      </c>
      <c r="J378" s="38">
        <v>2049000</v>
      </c>
      <c r="K378" s="38">
        <v>222888</v>
      </c>
      <c r="L378" s="38">
        <f t="shared" si="167"/>
        <v>2271888</v>
      </c>
      <c r="M378" s="228">
        <f t="shared" si="154"/>
        <v>100</v>
      </c>
      <c r="N378" s="228">
        <f t="shared" si="155"/>
        <v>101.87984760319431</v>
      </c>
      <c r="O378" s="228">
        <f t="shared" si="156"/>
        <v>100</v>
      </c>
      <c r="P378" s="228">
        <f t="shared" si="163"/>
        <v>101.44431316760303</v>
      </c>
    </row>
    <row r="379" spans="1:16" s="16" customFormat="1" ht="12.75" customHeight="1">
      <c r="A379" s="36" t="s">
        <v>317</v>
      </c>
      <c r="B379" s="33" t="s">
        <v>609</v>
      </c>
      <c r="C379" s="211" t="s">
        <v>1141</v>
      </c>
      <c r="D379" s="38">
        <f>19643370+150000</f>
        <v>19793370</v>
      </c>
      <c r="E379" s="38">
        <v>904842</v>
      </c>
      <c r="F379" s="38">
        <f t="shared" si="166"/>
        <v>20698212</v>
      </c>
      <c r="G379" s="38">
        <v>32121820</v>
      </c>
      <c r="H379" s="38">
        <v>952712</v>
      </c>
      <c r="I379" s="38">
        <f t="shared" si="160"/>
        <v>33074532</v>
      </c>
      <c r="J379" s="38">
        <f>18438936+13117780</f>
        <v>31556716</v>
      </c>
      <c r="K379" s="38">
        <v>1485921</v>
      </c>
      <c r="L379" s="38">
        <f t="shared" si="167"/>
        <v>33042637</v>
      </c>
      <c r="M379" s="228">
        <f t="shared" si="154"/>
        <v>159.43073867663767</v>
      </c>
      <c r="N379" s="228">
        <f t="shared" si="155"/>
        <v>159.64005489942804</v>
      </c>
      <c r="O379" s="228">
        <f t="shared" si="156"/>
        <v>98.240747255292504</v>
      </c>
      <c r="P379" s="228">
        <f t="shared" si="163"/>
        <v>99.903566284777668</v>
      </c>
    </row>
    <row r="380" spans="1:16" s="16" customFormat="1" ht="12.75" customHeight="1">
      <c r="A380" s="36" t="s">
        <v>402</v>
      </c>
      <c r="B380" s="33" t="s">
        <v>621</v>
      </c>
      <c r="C380" s="211" t="s">
        <v>1142</v>
      </c>
      <c r="D380" s="38">
        <v>1500000</v>
      </c>
      <c r="E380" s="38">
        <v>2239483</v>
      </c>
      <c r="F380" s="38">
        <f t="shared" si="166"/>
        <v>3739483</v>
      </c>
      <c r="G380" s="38">
        <v>1500000</v>
      </c>
      <c r="H380" s="38">
        <v>2357962</v>
      </c>
      <c r="I380" s="38">
        <f t="shared" si="160"/>
        <v>3857962</v>
      </c>
      <c r="J380" s="38">
        <v>1765000</v>
      </c>
      <c r="K380" s="38">
        <v>2451769</v>
      </c>
      <c r="L380" s="38">
        <f t="shared" si="167"/>
        <v>4216769</v>
      </c>
      <c r="M380" s="228">
        <f t="shared" si="154"/>
        <v>117.66666666666667</v>
      </c>
      <c r="N380" s="228">
        <f t="shared" si="155"/>
        <v>112.76342210941993</v>
      </c>
      <c r="O380" s="228">
        <f t="shared" si="156"/>
        <v>117.66666666666667</v>
      </c>
      <c r="P380" s="228">
        <f t="shared" si="163"/>
        <v>109.30042856824407</v>
      </c>
    </row>
    <row r="381" spans="1:16" s="16" customFormat="1" ht="12.75" customHeight="1">
      <c r="A381" s="36" t="s">
        <v>793</v>
      </c>
      <c r="B381" s="33" t="s">
        <v>794</v>
      </c>
      <c r="C381" s="211" t="s">
        <v>1143</v>
      </c>
      <c r="D381" s="38">
        <v>562975</v>
      </c>
      <c r="E381" s="38">
        <v>113105</v>
      </c>
      <c r="F381" s="38">
        <f t="shared" si="166"/>
        <v>676080</v>
      </c>
      <c r="G381" s="38">
        <v>562975</v>
      </c>
      <c r="H381" s="38">
        <v>714534</v>
      </c>
      <c r="I381" s="38">
        <f t="shared" si="160"/>
        <v>1277509</v>
      </c>
      <c r="J381" s="38">
        <v>840000</v>
      </c>
      <c r="K381" s="38">
        <v>123827</v>
      </c>
      <c r="L381" s="38">
        <f t="shared" si="167"/>
        <v>963827</v>
      </c>
      <c r="M381" s="228">
        <f t="shared" si="154"/>
        <v>149.20733602735467</v>
      </c>
      <c r="N381" s="228">
        <f t="shared" si="155"/>
        <v>142.56108744527273</v>
      </c>
      <c r="O381" s="228">
        <f t="shared" si="156"/>
        <v>149.20733602735467</v>
      </c>
      <c r="P381" s="228">
        <f t="shared" si="163"/>
        <v>75.4458089923437</v>
      </c>
    </row>
    <row r="382" spans="1:16" s="16" customFormat="1" ht="12.75" customHeight="1">
      <c r="A382" s="36" t="s">
        <v>399</v>
      </c>
      <c r="B382" s="33" t="s">
        <v>624</v>
      </c>
      <c r="C382" s="211" t="s">
        <v>1144</v>
      </c>
      <c r="D382" s="38">
        <v>1350000</v>
      </c>
      <c r="E382" s="38">
        <v>565526</v>
      </c>
      <c r="F382" s="38">
        <f t="shared" si="166"/>
        <v>1915526</v>
      </c>
      <c r="G382" s="38">
        <v>1350000</v>
      </c>
      <c r="H382" s="38">
        <v>726443</v>
      </c>
      <c r="I382" s="38">
        <f t="shared" si="160"/>
        <v>2076443</v>
      </c>
      <c r="J382" s="38">
        <v>1600000</v>
      </c>
      <c r="K382" s="38">
        <v>619134</v>
      </c>
      <c r="L382" s="38">
        <f t="shared" si="167"/>
        <v>2219134</v>
      </c>
      <c r="M382" s="228">
        <f t="shared" si="154"/>
        <v>118.5185185185185</v>
      </c>
      <c r="N382" s="228">
        <f t="shared" si="155"/>
        <v>115.84985011949721</v>
      </c>
      <c r="O382" s="228">
        <f t="shared" si="156"/>
        <v>118.5185185185185</v>
      </c>
      <c r="P382" s="228">
        <f t="shared" si="163"/>
        <v>106.87189583340357</v>
      </c>
    </row>
    <row r="383" spans="1:16" s="16" customFormat="1" ht="12.75" customHeight="1">
      <c r="A383" s="36" t="s">
        <v>34</v>
      </c>
      <c r="B383" s="33" t="s">
        <v>61</v>
      </c>
      <c r="C383" s="211" t="s">
        <v>1145</v>
      </c>
      <c r="D383" s="38">
        <v>1352080</v>
      </c>
      <c r="E383" s="38">
        <v>576836</v>
      </c>
      <c r="F383" s="38">
        <f t="shared" si="166"/>
        <v>1928916</v>
      </c>
      <c r="G383" s="38">
        <v>1431440</v>
      </c>
      <c r="H383" s="38">
        <v>774078</v>
      </c>
      <c r="I383" s="38">
        <f t="shared" si="160"/>
        <v>2205518</v>
      </c>
      <c r="J383" s="38">
        <v>1535000</v>
      </c>
      <c r="K383" s="38">
        <v>718195</v>
      </c>
      <c r="L383" s="38">
        <f t="shared" si="167"/>
        <v>2253195</v>
      </c>
      <c r="M383" s="228">
        <f t="shared" si="154"/>
        <v>113.52878527897758</v>
      </c>
      <c r="N383" s="228">
        <f t="shared" si="155"/>
        <v>116.81146301860734</v>
      </c>
      <c r="O383" s="228">
        <f t="shared" si="156"/>
        <v>107.23467277706366</v>
      </c>
      <c r="P383" s="228">
        <f t="shared" si="163"/>
        <v>102.161714390905</v>
      </c>
    </row>
    <row r="384" spans="1:16" s="16" customFormat="1" ht="12.75" customHeight="1">
      <c r="A384" s="36" t="s">
        <v>182</v>
      </c>
      <c r="B384" s="33" t="s">
        <v>617</v>
      </c>
      <c r="C384" s="211" t="s">
        <v>1146</v>
      </c>
      <c r="D384" s="38">
        <f>5378187+1000000</f>
        <v>6378187</v>
      </c>
      <c r="E384" s="38">
        <v>735184</v>
      </c>
      <c r="F384" s="38">
        <f t="shared" si="166"/>
        <v>7113371</v>
      </c>
      <c r="G384" s="38">
        <v>6962187</v>
      </c>
      <c r="H384" s="38">
        <v>238178</v>
      </c>
      <c r="I384" s="38">
        <f t="shared" si="160"/>
        <v>7200365</v>
      </c>
      <c r="J384" s="38">
        <v>12389586</v>
      </c>
      <c r="K384" s="38">
        <v>1380668</v>
      </c>
      <c r="L384" s="38">
        <f t="shared" si="167"/>
        <v>13770254</v>
      </c>
      <c r="M384" s="228">
        <f t="shared" si="154"/>
        <v>194.24933762525308</v>
      </c>
      <c r="N384" s="228">
        <f t="shared" si="155"/>
        <v>193.58267690522538</v>
      </c>
      <c r="O384" s="228">
        <f t="shared" si="156"/>
        <v>177.95537522907671</v>
      </c>
      <c r="P384" s="228">
        <f t="shared" si="163"/>
        <v>191.24383277792168</v>
      </c>
    </row>
    <row r="385" spans="1:16" s="16" customFormat="1" ht="12.75" customHeight="1">
      <c r="A385" s="36" t="s">
        <v>731</v>
      </c>
      <c r="B385" s="33" t="s">
        <v>732</v>
      </c>
      <c r="C385" s="211" t="s">
        <v>1148</v>
      </c>
      <c r="D385" s="38">
        <v>309600</v>
      </c>
      <c r="E385" s="38">
        <v>11311</v>
      </c>
      <c r="F385" s="38">
        <f t="shared" ref="F385:F399" si="168">SUM(D385:E385)</f>
        <v>320911</v>
      </c>
      <c r="G385" s="38">
        <v>309600</v>
      </c>
      <c r="H385" s="38">
        <v>11909</v>
      </c>
      <c r="I385" s="38">
        <f t="shared" ref="I385:I399" si="169">SUM(G385:H385)</f>
        <v>321509</v>
      </c>
      <c r="J385" s="38">
        <v>309600</v>
      </c>
      <c r="K385" s="38">
        <v>12383</v>
      </c>
      <c r="L385" s="38">
        <f t="shared" ref="L385:L399" si="170">SUM(J385:K385)</f>
        <v>321983</v>
      </c>
      <c r="M385" s="228">
        <f t="shared" si="154"/>
        <v>100</v>
      </c>
      <c r="N385" s="228">
        <f t="shared" si="155"/>
        <v>100.33404900424105</v>
      </c>
      <c r="O385" s="228">
        <f t="shared" si="156"/>
        <v>100</v>
      </c>
      <c r="P385" s="228">
        <f t="shared" ref="P385:P398" si="171">IF(I385&gt;0,IF(L385&gt;=0,L385/I385*100,""),"")</f>
        <v>100.14742977646038</v>
      </c>
    </row>
    <row r="386" spans="1:16" s="16" customFormat="1" ht="12.75" customHeight="1">
      <c r="A386" s="36" t="s">
        <v>218</v>
      </c>
      <c r="B386" s="33" t="s">
        <v>607</v>
      </c>
      <c r="C386" s="211" t="s">
        <v>1149</v>
      </c>
      <c r="D386" s="38">
        <f>2585000+1000000</f>
        <v>3585000</v>
      </c>
      <c r="E386" s="38">
        <v>593802</v>
      </c>
      <c r="F386" s="38">
        <f t="shared" si="168"/>
        <v>4178802</v>
      </c>
      <c r="G386" s="38">
        <v>3867440</v>
      </c>
      <c r="H386" s="38">
        <v>625217</v>
      </c>
      <c r="I386" s="38">
        <f t="shared" si="169"/>
        <v>4492657</v>
      </c>
      <c r="J386" s="38">
        <f>6290000-1000000</f>
        <v>5290000</v>
      </c>
      <c r="K386" s="38">
        <v>451967</v>
      </c>
      <c r="L386" s="38">
        <f t="shared" si="170"/>
        <v>5741967</v>
      </c>
      <c r="M386" s="228">
        <f t="shared" si="154"/>
        <v>147.55927475592748</v>
      </c>
      <c r="N386" s="228">
        <f t="shared" si="155"/>
        <v>137.4070128232924</v>
      </c>
      <c r="O386" s="228">
        <f t="shared" si="156"/>
        <v>136.78298822994023</v>
      </c>
      <c r="P386" s="228">
        <f t="shared" si="171"/>
        <v>127.80782062819395</v>
      </c>
    </row>
    <row r="387" spans="1:16" s="16" customFormat="1" ht="12.75" customHeight="1">
      <c r="A387" s="36" t="s">
        <v>166</v>
      </c>
      <c r="B387" s="33" t="s">
        <v>623</v>
      </c>
      <c r="C387" s="211" t="s">
        <v>1151</v>
      </c>
      <c r="D387" s="38">
        <v>3800000</v>
      </c>
      <c r="E387" s="38">
        <v>84829</v>
      </c>
      <c r="F387" s="38">
        <f t="shared" si="168"/>
        <v>3884829</v>
      </c>
      <c r="G387" s="38">
        <v>4110329</v>
      </c>
      <c r="H387" s="38">
        <v>89317</v>
      </c>
      <c r="I387" s="38">
        <f t="shared" si="169"/>
        <v>4199646</v>
      </c>
      <c r="J387" s="38">
        <v>5500000</v>
      </c>
      <c r="K387" s="38">
        <v>92870</v>
      </c>
      <c r="L387" s="38">
        <f t="shared" si="170"/>
        <v>5592870</v>
      </c>
      <c r="M387" s="228">
        <f t="shared" si="154"/>
        <v>144.73684210526315</v>
      </c>
      <c r="N387" s="228">
        <f t="shared" si="155"/>
        <v>143.96695453004494</v>
      </c>
      <c r="O387" s="228">
        <f t="shared" si="156"/>
        <v>133.80924008759396</v>
      </c>
      <c r="P387" s="228">
        <f t="shared" si="171"/>
        <v>133.17479616139073</v>
      </c>
    </row>
    <row r="388" spans="1:16" s="16" customFormat="1" ht="12.75" customHeight="1">
      <c r="A388" s="36" t="s">
        <v>126</v>
      </c>
      <c r="B388" s="33" t="s">
        <v>127</v>
      </c>
      <c r="C388" s="211" t="s">
        <v>1152</v>
      </c>
      <c r="D388" s="38">
        <v>1664000</v>
      </c>
      <c r="E388" s="38">
        <v>441110</v>
      </c>
      <c r="F388" s="38">
        <f t="shared" si="168"/>
        <v>2105110</v>
      </c>
      <c r="G388" s="38">
        <v>1845500</v>
      </c>
      <c r="H388" s="38">
        <v>11909</v>
      </c>
      <c r="I388" s="38">
        <f t="shared" si="169"/>
        <v>1857409</v>
      </c>
      <c r="J388" s="38">
        <f>2075800-500000</f>
        <v>1575800</v>
      </c>
      <c r="K388" s="38">
        <v>767726</v>
      </c>
      <c r="L388" s="38">
        <f t="shared" si="170"/>
        <v>2343526</v>
      </c>
      <c r="M388" s="228">
        <f t="shared" si="154"/>
        <v>94.699519230769241</v>
      </c>
      <c r="N388" s="228">
        <f t="shared" si="155"/>
        <v>111.32558393623135</v>
      </c>
      <c r="O388" s="228">
        <f t="shared" si="156"/>
        <v>85.386074234624772</v>
      </c>
      <c r="P388" s="228">
        <f t="shared" si="171"/>
        <v>126.17178015181364</v>
      </c>
    </row>
    <row r="389" spans="1:16" s="16" customFormat="1" ht="12.75" customHeight="1">
      <c r="A389" s="36" t="s">
        <v>339</v>
      </c>
      <c r="B389" s="33" t="s">
        <v>608</v>
      </c>
      <c r="C389" s="211" t="s">
        <v>1153</v>
      </c>
      <c r="D389" s="38">
        <v>3360000</v>
      </c>
      <c r="E389" s="38">
        <v>339316</v>
      </c>
      <c r="F389" s="38">
        <f t="shared" si="168"/>
        <v>3699316</v>
      </c>
      <c r="G389" s="38">
        <v>3334694</v>
      </c>
      <c r="H389" s="38">
        <v>416812</v>
      </c>
      <c r="I389" s="38">
        <f t="shared" si="169"/>
        <v>3751506</v>
      </c>
      <c r="J389" s="38">
        <v>5110000</v>
      </c>
      <c r="K389" s="38">
        <v>408628</v>
      </c>
      <c r="L389" s="38">
        <f t="shared" si="170"/>
        <v>5518628</v>
      </c>
      <c r="M389" s="228">
        <f t="shared" si="154"/>
        <v>152.08333333333331</v>
      </c>
      <c r="N389" s="228">
        <f t="shared" si="155"/>
        <v>149.17968619063632</v>
      </c>
      <c r="O389" s="228">
        <f t="shared" si="156"/>
        <v>153.23744847353311</v>
      </c>
      <c r="P389" s="228">
        <f t="shared" si="171"/>
        <v>147.10433623190261</v>
      </c>
    </row>
    <row r="390" spans="1:16" s="16" customFormat="1" ht="12.75" customHeight="1">
      <c r="A390" s="36" t="s">
        <v>82</v>
      </c>
      <c r="B390" s="33" t="s">
        <v>83</v>
      </c>
      <c r="C390" s="211" t="s">
        <v>1154</v>
      </c>
      <c r="D390" s="38">
        <v>1091000</v>
      </c>
      <c r="E390" s="38">
        <v>339315</v>
      </c>
      <c r="F390" s="38">
        <f t="shared" si="168"/>
        <v>1430315</v>
      </c>
      <c r="G390" s="38">
        <v>1318000</v>
      </c>
      <c r="H390" s="38">
        <v>476356</v>
      </c>
      <c r="I390" s="38">
        <f t="shared" si="169"/>
        <v>1794356</v>
      </c>
      <c r="J390" s="38">
        <v>500000</v>
      </c>
      <c r="K390" s="38">
        <v>458159</v>
      </c>
      <c r="L390" s="38">
        <f t="shared" si="170"/>
        <v>958159</v>
      </c>
      <c r="M390" s="228">
        <f t="shared" si="154"/>
        <v>45.829514207149401</v>
      </c>
      <c r="N390" s="228">
        <f t="shared" si="155"/>
        <v>66.989369474556298</v>
      </c>
      <c r="O390" s="228">
        <f t="shared" si="156"/>
        <v>37.936267071320188</v>
      </c>
      <c r="P390" s="228">
        <f t="shared" si="171"/>
        <v>53.398489485921409</v>
      </c>
    </row>
    <row r="391" spans="1:16" s="16" customFormat="1" ht="12.75" customHeight="1">
      <c r="A391" s="36" t="s">
        <v>818</v>
      </c>
      <c r="B391" s="33" t="s">
        <v>808</v>
      </c>
      <c r="C391" s="211" t="s">
        <v>1155</v>
      </c>
      <c r="D391" s="38">
        <v>78754</v>
      </c>
      <c r="E391" s="38">
        <v>28276</v>
      </c>
      <c r="F391" s="38">
        <f t="shared" si="168"/>
        <v>107030</v>
      </c>
      <c r="G391" s="38">
        <v>78754</v>
      </c>
      <c r="H391" s="38">
        <v>29772</v>
      </c>
      <c r="I391" s="38">
        <f t="shared" si="169"/>
        <v>108526</v>
      </c>
      <c r="J391" s="38">
        <v>41878</v>
      </c>
      <c r="K391" s="38">
        <v>30957</v>
      </c>
      <c r="L391" s="38">
        <f t="shared" si="170"/>
        <v>72835</v>
      </c>
      <c r="M391" s="228">
        <f t="shared" si="154"/>
        <v>53.175711709881398</v>
      </c>
      <c r="N391" s="228">
        <f t="shared" si="155"/>
        <v>68.051013734466963</v>
      </c>
      <c r="O391" s="228">
        <f t="shared" si="156"/>
        <v>53.175711709881398</v>
      </c>
      <c r="P391" s="228">
        <f t="shared" si="171"/>
        <v>67.112949892191736</v>
      </c>
    </row>
    <row r="392" spans="1:16" s="16" customFormat="1" ht="12.75" customHeight="1">
      <c r="A392" s="36" t="s">
        <v>869</v>
      </c>
      <c r="B392" s="33" t="s">
        <v>870</v>
      </c>
      <c r="C392" s="211" t="s">
        <v>1158</v>
      </c>
      <c r="D392" s="38">
        <f>8978330+50000</f>
        <v>9028330</v>
      </c>
      <c r="E392" s="38">
        <v>842634</v>
      </c>
      <c r="F392" s="38">
        <f t="shared" si="168"/>
        <v>9870964</v>
      </c>
      <c r="G392" s="38">
        <v>9004083</v>
      </c>
      <c r="H392" s="38">
        <v>887213</v>
      </c>
      <c r="I392" s="38">
        <f t="shared" si="169"/>
        <v>9891296</v>
      </c>
      <c r="J392" s="38">
        <f>10000000-1200000</f>
        <v>8800000</v>
      </c>
      <c r="K392" s="38">
        <v>922509</v>
      </c>
      <c r="L392" s="38">
        <f t="shared" si="170"/>
        <v>9722509</v>
      </c>
      <c r="M392" s="228">
        <f t="shared" si="154"/>
        <v>97.47096085322535</v>
      </c>
      <c r="N392" s="228">
        <f t="shared" si="155"/>
        <v>98.496043547519776</v>
      </c>
      <c r="O392" s="228">
        <f t="shared" si="156"/>
        <v>97.733439374115051</v>
      </c>
      <c r="P392" s="228">
        <f t="shared" si="171"/>
        <v>98.293580537878952</v>
      </c>
    </row>
    <row r="393" spans="1:16" s="16" customFormat="1" ht="12.75" customHeight="1">
      <c r="A393" s="36" t="s">
        <v>882</v>
      </c>
      <c r="B393" s="33" t="s">
        <v>881</v>
      </c>
      <c r="C393" s="211" t="s">
        <v>1159</v>
      </c>
      <c r="D393" s="38">
        <v>10000</v>
      </c>
      <c r="E393" s="38">
        <v>135726</v>
      </c>
      <c r="F393" s="38">
        <f t="shared" si="168"/>
        <v>145726</v>
      </c>
      <c r="G393" s="38">
        <v>10000</v>
      </c>
      <c r="H393" s="38">
        <v>142907</v>
      </c>
      <c r="I393" s="38">
        <f t="shared" si="169"/>
        <v>152907</v>
      </c>
      <c r="J393" s="38">
        <v>10000</v>
      </c>
      <c r="K393" s="38">
        <v>247653</v>
      </c>
      <c r="L393" s="38">
        <f t="shared" si="170"/>
        <v>257653</v>
      </c>
      <c r="M393" s="228">
        <f t="shared" si="154"/>
        <v>100</v>
      </c>
      <c r="N393" s="228">
        <f t="shared" si="155"/>
        <v>176.80647242084459</v>
      </c>
      <c r="O393" s="228">
        <f t="shared" si="156"/>
        <v>100</v>
      </c>
      <c r="P393" s="228">
        <f t="shared" si="171"/>
        <v>168.50307703375253</v>
      </c>
    </row>
    <row r="394" spans="1:16" s="16" customFormat="1" ht="12.75" customHeight="1">
      <c r="A394" s="36" t="s">
        <v>880</v>
      </c>
      <c r="B394" s="33" t="s">
        <v>879</v>
      </c>
      <c r="C394" s="211" t="s">
        <v>1160</v>
      </c>
      <c r="D394" s="38">
        <v>20000</v>
      </c>
      <c r="E394" s="38">
        <v>22621</v>
      </c>
      <c r="F394" s="38">
        <f t="shared" si="168"/>
        <v>42621</v>
      </c>
      <c r="G394" s="38">
        <v>20000</v>
      </c>
      <c r="H394" s="38">
        <v>23818</v>
      </c>
      <c r="I394" s="38">
        <f t="shared" si="169"/>
        <v>43818</v>
      </c>
      <c r="J394" s="38">
        <v>20000</v>
      </c>
      <c r="K394" s="38">
        <v>24765</v>
      </c>
      <c r="L394" s="38">
        <f t="shared" si="170"/>
        <v>44765</v>
      </c>
      <c r="M394" s="228">
        <f t="shared" si="154"/>
        <v>100</v>
      </c>
      <c r="N394" s="228">
        <f t="shared" si="155"/>
        <v>105.03038408296379</v>
      </c>
      <c r="O394" s="228">
        <f t="shared" si="156"/>
        <v>100</v>
      </c>
      <c r="P394" s="228">
        <f t="shared" si="171"/>
        <v>102.16121228718791</v>
      </c>
    </row>
    <row r="395" spans="1:16" s="16" customFormat="1" ht="12.75" customHeight="1">
      <c r="A395" s="36" t="s">
        <v>2347</v>
      </c>
      <c r="B395" s="33" t="s">
        <v>2346</v>
      </c>
      <c r="C395" s="211" t="s">
        <v>2279</v>
      </c>
      <c r="D395" s="38"/>
      <c r="E395" s="38"/>
      <c r="F395" s="38">
        <f>SUM(D395:E395)</f>
        <v>0</v>
      </c>
      <c r="G395" s="38">
        <v>7052000</v>
      </c>
      <c r="H395" s="38"/>
      <c r="I395" s="38">
        <f>SUM(G395:H395)</f>
        <v>7052000</v>
      </c>
      <c r="J395" s="38">
        <v>2262168</v>
      </c>
      <c r="K395" s="38"/>
      <c r="L395" s="38">
        <f>SUM(J395:K395)</f>
        <v>2262168</v>
      </c>
      <c r="M395" s="228" t="str">
        <f t="shared" si="154"/>
        <v/>
      </c>
      <c r="N395" s="228" t="str">
        <f t="shared" si="155"/>
        <v/>
      </c>
      <c r="O395" s="228">
        <f t="shared" si="156"/>
        <v>32.078389109472489</v>
      </c>
      <c r="P395" s="228">
        <f t="shared" ref="P395:P396" si="172">IF(I395&gt;0,IF(L395&gt;=0,L395/I395*100,""),"")</f>
        <v>32.078389109472489</v>
      </c>
    </row>
    <row r="396" spans="1:16" s="16" customFormat="1" ht="12.75" customHeight="1">
      <c r="A396" s="36" t="s">
        <v>641</v>
      </c>
      <c r="B396" s="33" t="s">
        <v>642</v>
      </c>
      <c r="C396" s="211" t="s">
        <v>2408</v>
      </c>
      <c r="D396" s="38"/>
      <c r="E396" s="38"/>
      <c r="F396" s="38"/>
      <c r="G396" s="38"/>
      <c r="H396" s="38"/>
      <c r="I396" s="38"/>
      <c r="J396" s="38">
        <v>105000</v>
      </c>
      <c r="K396" s="38"/>
      <c r="L396" s="38">
        <f>SUM(J396:K396)</f>
        <v>105000</v>
      </c>
      <c r="M396" s="228" t="str">
        <f t="shared" si="154"/>
        <v/>
      </c>
      <c r="N396" s="228" t="str">
        <f t="shared" si="155"/>
        <v/>
      </c>
      <c r="O396" s="228" t="str">
        <f t="shared" si="156"/>
        <v/>
      </c>
      <c r="P396" s="228" t="str">
        <f t="shared" si="172"/>
        <v/>
      </c>
    </row>
    <row r="397" spans="1:16" s="16" customFormat="1" ht="12.75" customHeight="1">
      <c r="A397" s="36" t="s">
        <v>14</v>
      </c>
      <c r="B397" s="33" t="s">
        <v>9</v>
      </c>
      <c r="C397" s="211" t="s">
        <v>1135</v>
      </c>
      <c r="D397" s="38">
        <v>854800</v>
      </c>
      <c r="E397" s="38"/>
      <c r="F397" s="38">
        <f>SUM(D397:E397)</f>
        <v>854800</v>
      </c>
      <c r="G397" s="38">
        <v>854800</v>
      </c>
      <c r="H397" s="38"/>
      <c r="I397" s="38">
        <f>SUM(G397:H397)</f>
        <v>854800</v>
      </c>
      <c r="J397" s="38">
        <v>596350</v>
      </c>
      <c r="K397" s="38"/>
      <c r="L397" s="38">
        <f>SUM(J397:K397)</f>
        <v>596350</v>
      </c>
      <c r="M397" s="228">
        <f t="shared" si="154"/>
        <v>69.764857276555929</v>
      </c>
      <c r="N397" s="228">
        <f t="shared" si="155"/>
        <v>69.764857276555929</v>
      </c>
      <c r="O397" s="228">
        <f t="shared" si="156"/>
        <v>69.764857276555929</v>
      </c>
      <c r="P397" s="228">
        <f>IF(I397&gt;0,IF(L397&gt;=0,L397/I397*100,""),"")</f>
        <v>69.764857276555929</v>
      </c>
    </row>
    <row r="398" spans="1:16" s="16" customFormat="1" ht="12.75" customHeight="1">
      <c r="A398" s="36" t="s">
        <v>651</v>
      </c>
      <c r="B398" s="33" t="s">
        <v>650</v>
      </c>
      <c r="C398" s="211" t="s">
        <v>1136</v>
      </c>
      <c r="D398" s="38">
        <v>470987</v>
      </c>
      <c r="E398" s="38"/>
      <c r="F398" s="38">
        <f t="shared" si="168"/>
        <v>470987</v>
      </c>
      <c r="G398" s="38">
        <v>528987</v>
      </c>
      <c r="H398" s="38"/>
      <c r="I398" s="38">
        <f t="shared" si="169"/>
        <v>528987</v>
      </c>
      <c r="J398" s="38">
        <v>411700</v>
      </c>
      <c r="K398" s="38"/>
      <c r="L398" s="38">
        <f t="shared" si="170"/>
        <v>411700</v>
      </c>
      <c r="M398" s="228">
        <f t="shared" si="154"/>
        <v>87.412179104731123</v>
      </c>
      <c r="N398" s="228">
        <f t="shared" si="155"/>
        <v>87.412179104731123</v>
      </c>
      <c r="O398" s="228">
        <f t="shared" si="156"/>
        <v>77.827999553864274</v>
      </c>
      <c r="P398" s="228">
        <f t="shared" si="171"/>
        <v>77.827999553864274</v>
      </c>
    </row>
    <row r="399" spans="1:16" s="16" customFormat="1" ht="12.75" customHeight="1">
      <c r="A399" s="36" t="s">
        <v>62</v>
      </c>
      <c r="B399" s="211" t="s">
        <v>4</v>
      </c>
      <c r="C399" s="211" t="s">
        <v>1138</v>
      </c>
      <c r="D399" s="38">
        <v>100000</v>
      </c>
      <c r="E399" s="38">
        <v>197934</v>
      </c>
      <c r="F399" s="38">
        <f t="shared" si="168"/>
        <v>297934</v>
      </c>
      <c r="G399" s="38">
        <v>100000</v>
      </c>
      <c r="H399" s="38">
        <v>208406</v>
      </c>
      <c r="I399" s="38">
        <f t="shared" si="169"/>
        <v>308406</v>
      </c>
      <c r="J399" s="38"/>
      <c r="K399" s="38"/>
      <c r="L399" s="38">
        <f t="shared" si="170"/>
        <v>0</v>
      </c>
      <c r="M399" s="228">
        <f t="shared" ref="M399:M462" si="173">IF(D399&gt;0,IF(J399&gt;=0,J399/D399*100,""),"")</f>
        <v>0</v>
      </c>
      <c r="N399" s="228">
        <f t="shared" ref="N399:N462" si="174">IF(F399&gt;0,IF(L399&gt;=0,L399/F399*100,""),"")</f>
        <v>0</v>
      </c>
      <c r="O399" s="228">
        <f t="shared" ref="O399:O462" si="175">IF(G399&gt;0,IF(J399&gt;=0,J399/G399*100,""),"")</f>
        <v>0</v>
      </c>
      <c r="P399" s="228">
        <f t="shared" ref="P399:P407" si="176">IF(I399&gt;0,IF(L399&gt;=0,L399/I399*100,""),"")</f>
        <v>0</v>
      </c>
    </row>
    <row r="400" spans="1:16" s="16" customFormat="1" ht="24">
      <c r="A400" s="36" t="s">
        <v>64</v>
      </c>
      <c r="B400" s="211" t="s">
        <v>622</v>
      </c>
      <c r="C400" s="211" t="s">
        <v>1147</v>
      </c>
      <c r="D400" s="38">
        <v>79446982</v>
      </c>
      <c r="E400" s="38">
        <v>226210</v>
      </c>
      <c r="F400" s="38">
        <f t="shared" si="166"/>
        <v>79673192</v>
      </c>
      <c r="G400" s="38">
        <v>81051313</v>
      </c>
      <c r="H400" s="38">
        <v>119089</v>
      </c>
      <c r="I400" s="38">
        <f t="shared" ref="I400:I407" si="177">SUM(G400:H400)</f>
        <v>81170402</v>
      </c>
      <c r="J400" s="38"/>
      <c r="K400" s="38"/>
      <c r="L400" s="38">
        <f t="shared" si="167"/>
        <v>0</v>
      </c>
      <c r="M400" s="228">
        <f t="shared" si="173"/>
        <v>0</v>
      </c>
      <c r="N400" s="228">
        <f t="shared" si="174"/>
        <v>0</v>
      </c>
      <c r="O400" s="228">
        <f t="shared" si="175"/>
        <v>0</v>
      </c>
      <c r="P400" s="228">
        <f t="shared" si="176"/>
        <v>0</v>
      </c>
    </row>
    <row r="401" spans="1:16" s="16" customFormat="1" ht="12.75" customHeight="1">
      <c r="A401" s="36" t="s">
        <v>217</v>
      </c>
      <c r="B401" s="211" t="s">
        <v>618</v>
      </c>
      <c r="C401" s="211" t="s">
        <v>1150</v>
      </c>
      <c r="D401" s="38">
        <v>2319880</v>
      </c>
      <c r="E401" s="38">
        <v>113105</v>
      </c>
      <c r="F401" s="38">
        <f t="shared" ref="F401:F406" si="178">SUM(D401:E401)</f>
        <v>2432985</v>
      </c>
      <c r="G401" s="38">
        <v>2397493</v>
      </c>
      <c r="H401" s="38">
        <v>178633</v>
      </c>
      <c r="I401" s="38">
        <f t="shared" si="177"/>
        <v>2576126</v>
      </c>
      <c r="J401" s="38"/>
      <c r="K401" s="38"/>
      <c r="L401" s="38">
        <f t="shared" ref="L401:L405" si="179">SUM(J401:K401)</f>
        <v>0</v>
      </c>
      <c r="M401" s="228">
        <f t="shared" si="173"/>
        <v>0</v>
      </c>
      <c r="N401" s="228">
        <f t="shared" si="174"/>
        <v>0</v>
      </c>
      <c r="O401" s="228">
        <f t="shared" si="175"/>
        <v>0</v>
      </c>
      <c r="P401" s="228">
        <f t="shared" si="176"/>
        <v>0</v>
      </c>
    </row>
    <row r="402" spans="1:16" s="16" customFormat="1" ht="12.75" customHeight="1">
      <c r="A402" s="36" t="s">
        <v>819</v>
      </c>
      <c r="B402" s="211" t="s">
        <v>647</v>
      </c>
      <c r="C402" s="211" t="s">
        <v>1156</v>
      </c>
      <c r="D402" s="38">
        <v>2600</v>
      </c>
      <c r="E402" s="38">
        <v>11311</v>
      </c>
      <c r="F402" s="38">
        <f t="shared" si="178"/>
        <v>13911</v>
      </c>
      <c r="G402" s="38">
        <v>6500</v>
      </c>
      <c r="H402" s="38">
        <v>535901</v>
      </c>
      <c r="I402" s="38">
        <f t="shared" si="177"/>
        <v>542401</v>
      </c>
      <c r="J402" s="38"/>
      <c r="K402" s="38"/>
      <c r="L402" s="38">
        <f t="shared" si="179"/>
        <v>0</v>
      </c>
      <c r="M402" s="228">
        <f t="shared" si="173"/>
        <v>0</v>
      </c>
      <c r="N402" s="228">
        <f t="shared" si="174"/>
        <v>0</v>
      </c>
      <c r="O402" s="228">
        <f t="shared" si="175"/>
        <v>0</v>
      </c>
      <c r="P402" s="228">
        <f t="shared" si="176"/>
        <v>0</v>
      </c>
    </row>
    <row r="403" spans="1:16" s="16" customFormat="1" ht="12.75" customHeight="1">
      <c r="A403" s="36" t="s">
        <v>871</v>
      </c>
      <c r="B403" s="211" t="s">
        <v>868</v>
      </c>
      <c r="C403" s="211" t="s">
        <v>1157</v>
      </c>
      <c r="D403" s="38">
        <v>990000</v>
      </c>
      <c r="E403" s="38">
        <v>11311</v>
      </c>
      <c r="F403" s="38">
        <f t="shared" si="178"/>
        <v>1001311</v>
      </c>
      <c r="G403" s="38">
        <v>990000</v>
      </c>
      <c r="H403" s="38">
        <v>11909</v>
      </c>
      <c r="I403" s="38">
        <f t="shared" si="177"/>
        <v>1001909</v>
      </c>
      <c r="J403" s="38"/>
      <c r="K403" s="38"/>
      <c r="L403" s="38">
        <f t="shared" si="179"/>
        <v>0</v>
      </c>
      <c r="M403" s="228">
        <f t="shared" si="173"/>
        <v>0</v>
      </c>
      <c r="N403" s="228">
        <f t="shared" si="174"/>
        <v>0</v>
      </c>
      <c r="O403" s="228">
        <f t="shared" si="175"/>
        <v>0</v>
      </c>
      <c r="P403" s="228">
        <f t="shared" si="176"/>
        <v>0</v>
      </c>
    </row>
    <row r="404" spans="1:16" s="16" customFormat="1" ht="12.75" customHeight="1">
      <c r="A404" s="36" t="s">
        <v>36</v>
      </c>
      <c r="B404" s="211" t="s">
        <v>11</v>
      </c>
      <c r="C404" s="211" t="s">
        <v>1133</v>
      </c>
      <c r="D404" s="38">
        <v>502920</v>
      </c>
      <c r="E404" s="38">
        <v>11311</v>
      </c>
      <c r="F404" s="38">
        <f>SUM(D404:E404)</f>
        <v>514231</v>
      </c>
      <c r="G404" s="38">
        <v>559613</v>
      </c>
      <c r="H404" s="38">
        <v>11909</v>
      </c>
      <c r="I404" s="38">
        <f>SUM(G404:H404)</f>
        <v>571522</v>
      </c>
      <c r="J404" s="38"/>
      <c r="K404" s="38"/>
      <c r="L404" s="38">
        <f t="shared" si="179"/>
        <v>0</v>
      </c>
      <c r="M404" s="228">
        <f t="shared" si="173"/>
        <v>0</v>
      </c>
      <c r="N404" s="228">
        <f t="shared" si="174"/>
        <v>0</v>
      </c>
      <c r="O404" s="228">
        <f t="shared" si="175"/>
        <v>0</v>
      </c>
      <c r="P404" s="228">
        <f t="shared" si="176"/>
        <v>0</v>
      </c>
    </row>
    <row r="405" spans="1:16" s="16" customFormat="1" ht="12.75" customHeight="1">
      <c r="A405" s="36" t="s">
        <v>2069</v>
      </c>
      <c r="B405" s="211" t="s">
        <v>2070</v>
      </c>
      <c r="C405" s="211" t="s">
        <v>2110</v>
      </c>
      <c r="D405" s="38"/>
      <c r="E405" s="38"/>
      <c r="F405" s="38">
        <f t="shared" si="178"/>
        <v>0</v>
      </c>
      <c r="G405" s="38">
        <v>21453459</v>
      </c>
      <c r="H405" s="38"/>
      <c r="I405" s="38">
        <f t="shared" si="177"/>
        <v>21453459</v>
      </c>
      <c r="J405" s="38"/>
      <c r="K405" s="38"/>
      <c r="L405" s="38">
        <f t="shared" si="179"/>
        <v>0</v>
      </c>
      <c r="M405" s="228" t="str">
        <f t="shared" si="173"/>
        <v/>
      </c>
      <c r="N405" s="228" t="str">
        <f t="shared" si="174"/>
        <v/>
      </c>
      <c r="O405" s="228">
        <f t="shared" si="175"/>
        <v>0</v>
      </c>
      <c r="P405" s="228">
        <f t="shared" si="176"/>
        <v>0</v>
      </c>
    </row>
    <row r="406" spans="1:16" s="16" customFormat="1" ht="12.75" customHeight="1">
      <c r="A406" s="36" t="s">
        <v>2092</v>
      </c>
      <c r="B406" s="211" t="s">
        <v>809</v>
      </c>
      <c r="C406" s="211" t="s">
        <v>2111</v>
      </c>
      <c r="D406" s="38"/>
      <c r="E406" s="38"/>
      <c r="F406" s="38">
        <f t="shared" si="178"/>
        <v>0</v>
      </c>
      <c r="G406" s="38">
        <v>5981</v>
      </c>
      <c r="H406" s="38"/>
      <c r="I406" s="38">
        <f t="shared" si="177"/>
        <v>5981</v>
      </c>
      <c r="J406" s="38"/>
      <c r="K406" s="38"/>
      <c r="L406" s="38"/>
      <c r="M406" s="228" t="str">
        <f t="shared" si="173"/>
        <v/>
      </c>
      <c r="N406" s="228" t="str">
        <f t="shared" si="174"/>
        <v/>
      </c>
      <c r="O406" s="228">
        <f t="shared" si="175"/>
        <v>0</v>
      </c>
      <c r="P406" s="228">
        <f t="shared" si="176"/>
        <v>0</v>
      </c>
    </row>
    <row r="407" spans="1:16" s="16" customFormat="1" ht="12.75" customHeight="1">
      <c r="A407" s="161" t="s">
        <v>791</v>
      </c>
      <c r="B407" s="211" t="s">
        <v>151</v>
      </c>
      <c r="C407" s="211" t="s">
        <v>1161</v>
      </c>
      <c r="D407" s="38"/>
      <c r="E407" s="38"/>
      <c r="F407" s="38">
        <f>SUM(D407:E407)</f>
        <v>0</v>
      </c>
      <c r="G407" s="38">
        <v>53825</v>
      </c>
      <c r="H407" s="38"/>
      <c r="I407" s="38">
        <f t="shared" si="177"/>
        <v>53825</v>
      </c>
      <c r="J407" s="38"/>
      <c r="K407" s="38"/>
      <c r="L407" s="38">
        <f>SUM(J407:K407)</f>
        <v>0</v>
      </c>
      <c r="M407" s="228" t="str">
        <f t="shared" si="173"/>
        <v/>
      </c>
      <c r="N407" s="228" t="str">
        <f t="shared" si="174"/>
        <v/>
      </c>
      <c r="O407" s="228">
        <f t="shared" si="175"/>
        <v>0</v>
      </c>
      <c r="P407" s="228">
        <f t="shared" si="176"/>
        <v>0</v>
      </c>
    </row>
    <row r="408" spans="1:16" s="16" customFormat="1" ht="6" customHeight="1">
      <c r="A408" s="161"/>
      <c r="B408" s="33"/>
      <c r="C408" s="211" t="s">
        <v>268</v>
      </c>
      <c r="D408" s="38"/>
      <c r="E408" s="38"/>
      <c r="F408" s="38"/>
      <c r="G408" s="38"/>
      <c r="H408" s="38"/>
      <c r="I408" s="38"/>
      <c r="J408" s="38"/>
      <c r="K408" s="38"/>
      <c r="L408" s="38"/>
      <c r="M408" s="228" t="str">
        <f t="shared" si="173"/>
        <v/>
      </c>
      <c r="N408" s="228" t="str">
        <f t="shared" si="174"/>
        <v/>
      </c>
      <c r="O408" s="228" t="str">
        <f t="shared" si="175"/>
        <v/>
      </c>
      <c r="P408" s="228" t="str">
        <f t="shared" ref="P408:P438" si="180">IF(I408&gt;0,IF(L408&gt;=0,L408/I408*100,""),"")</f>
        <v/>
      </c>
    </row>
    <row r="409" spans="1:16" s="8" customFormat="1" ht="12.75">
      <c r="A409" s="58" t="s">
        <v>202</v>
      </c>
      <c r="B409" s="65" t="s">
        <v>265</v>
      </c>
      <c r="C409" s="308" t="s">
        <v>940</v>
      </c>
      <c r="D409" s="60">
        <f>SUM(D411:D416)</f>
        <v>7755000</v>
      </c>
      <c r="E409" s="60">
        <f>SUM(E411:E416)</f>
        <v>21942408</v>
      </c>
      <c r="F409" s="69">
        <f t="shared" ref="F409:F418" si="181">SUM(D409:E409)</f>
        <v>29697408</v>
      </c>
      <c r="G409" s="60">
        <f>SUM(G411:G416)</f>
        <v>173266197</v>
      </c>
      <c r="H409" s="60">
        <f>SUM(H411:H416)</f>
        <v>22626910</v>
      </c>
      <c r="I409" s="115">
        <f t="shared" ref="I409:I426" si="182">SUM(G409:H409)</f>
        <v>195893107</v>
      </c>
      <c r="J409" s="69">
        <f>SUM(J411:J416)</f>
        <v>6397305</v>
      </c>
      <c r="K409" s="60">
        <f>SUM(K411:K416)</f>
        <v>24022385</v>
      </c>
      <c r="L409" s="69">
        <f t="shared" ref="L409:L418" si="183">SUM(J409:K409)</f>
        <v>30419690</v>
      </c>
      <c r="M409" s="217">
        <f t="shared" si="173"/>
        <v>82.492649903288211</v>
      </c>
      <c r="N409" s="217">
        <f t="shared" si="174"/>
        <v>102.43213818525845</v>
      </c>
      <c r="O409" s="217">
        <f t="shared" si="175"/>
        <v>3.6921829593801267</v>
      </c>
      <c r="P409" s="217">
        <f t="shared" si="180"/>
        <v>15.528718935475355</v>
      </c>
    </row>
    <row r="410" spans="1:16" s="3" customFormat="1" ht="12.75" customHeight="1">
      <c r="A410" s="36" t="s">
        <v>267</v>
      </c>
      <c r="B410" s="33"/>
      <c r="C410" s="211" t="s">
        <v>268</v>
      </c>
      <c r="D410" s="63">
        <f>SUM(D411:D415)</f>
        <v>7755000</v>
      </c>
      <c r="E410" s="63">
        <f>SUM(E411:E415)</f>
        <v>21942408</v>
      </c>
      <c r="F410" s="63">
        <f t="shared" si="181"/>
        <v>29697408</v>
      </c>
      <c r="G410" s="38">
        <f>SUM(G411:G415)</f>
        <v>13480657</v>
      </c>
      <c r="H410" s="38">
        <f>SUM(H411:H415)</f>
        <v>22626910</v>
      </c>
      <c r="I410" s="38">
        <f t="shared" si="182"/>
        <v>36107567</v>
      </c>
      <c r="J410" s="63">
        <f>SUM(J411:J415)</f>
        <v>6397305</v>
      </c>
      <c r="K410" s="63">
        <f>SUM(K411:K415)</f>
        <v>24022385</v>
      </c>
      <c r="L410" s="63">
        <f t="shared" si="183"/>
        <v>30419690</v>
      </c>
      <c r="M410" s="218">
        <f t="shared" si="173"/>
        <v>82.492649903288211</v>
      </c>
      <c r="N410" s="218">
        <f t="shared" si="174"/>
        <v>102.43213818525845</v>
      </c>
      <c r="O410" s="218">
        <f t="shared" si="175"/>
        <v>47.455439300918343</v>
      </c>
      <c r="P410" s="218">
        <f t="shared" si="180"/>
        <v>84.247409968110006</v>
      </c>
    </row>
    <row r="411" spans="1:16" s="3" customFormat="1" ht="12.75" customHeight="1">
      <c r="A411" s="36" t="s">
        <v>554</v>
      </c>
      <c r="B411" s="33">
        <v>0</v>
      </c>
      <c r="C411" s="211" t="s">
        <v>268</v>
      </c>
      <c r="D411" s="63"/>
      <c r="E411" s="63">
        <v>1391194</v>
      </c>
      <c r="F411" s="63">
        <f t="shared" si="181"/>
        <v>1391194</v>
      </c>
      <c r="G411" s="38"/>
      <c r="H411" s="38">
        <v>1464794</v>
      </c>
      <c r="I411" s="38">
        <f t="shared" si="182"/>
        <v>1464794</v>
      </c>
      <c r="J411" s="63"/>
      <c r="K411" s="63">
        <v>1523069</v>
      </c>
      <c r="L411" s="63">
        <f t="shared" si="183"/>
        <v>1523069</v>
      </c>
      <c r="M411" s="218" t="str">
        <f t="shared" si="173"/>
        <v/>
      </c>
      <c r="N411" s="218">
        <f t="shared" si="174"/>
        <v>109.47926744939957</v>
      </c>
      <c r="O411" s="218" t="str">
        <f t="shared" si="175"/>
        <v/>
      </c>
      <c r="P411" s="218">
        <f t="shared" si="180"/>
        <v>103.97837511622794</v>
      </c>
    </row>
    <row r="412" spans="1:16" s="3" customFormat="1" ht="12.75" customHeight="1">
      <c r="A412" s="36" t="s">
        <v>209</v>
      </c>
      <c r="B412" s="33" t="s">
        <v>546</v>
      </c>
      <c r="C412" s="211" t="s">
        <v>1162</v>
      </c>
      <c r="D412" s="63">
        <v>4117000</v>
      </c>
      <c r="E412" s="63">
        <v>13199377</v>
      </c>
      <c r="F412" s="63">
        <f t="shared" si="181"/>
        <v>17316377</v>
      </c>
      <c r="G412" s="38">
        <v>6783757</v>
      </c>
      <c r="H412" s="38">
        <v>13421331</v>
      </c>
      <c r="I412" s="38">
        <f t="shared" si="182"/>
        <v>20205088</v>
      </c>
      <c r="J412" s="63">
        <v>3844800</v>
      </c>
      <c r="K412" s="63">
        <v>14252456</v>
      </c>
      <c r="L412" s="63">
        <f t="shared" si="183"/>
        <v>18097256</v>
      </c>
      <c r="M412" s="218">
        <f t="shared" si="173"/>
        <v>93.388389604080643</v>
      </c>
      <c r="N412" s="218">
        <f t="shared" si="174"/>
        <v>104.50948255515573</v>
      </c>
      <c r="O412" s="218">
        <f t="shared" si="175"/>
        <v>56.676558432149029</v>
      </c>
      <c r="P412" s="218">
        <f t="shared" si="180"/>
        <v>89.567815789765433</v>
      </c>
    </row>
    <row r="413" spans="1:16" s="3" customFormat="1" ht="12.75" customHeight="1">
      <c r="A413" s="36" t="s">
        <v>207</v>
      </c>
      <c r="B413" s="33" t="s">
        <v>547</v>
      </c>
      <c r="C413" s="211" t="s">
        <v>1163</v>
      </c>
      <c r="D413" s="63">
        <v>501100</v>
      </c>
      <c r="E413" s="63">
        <v>4637313</v>
      </c>
      <c r="F413" s="63">
        <f t="shared" si="181"/>
        <v>5138413</v>
      </c>
      <c r="G413" s="38">
        <v>6189650</v>
      </c>
      <c r="H413" s="38">
        <v>4644471</v>
      </c>
      <c r="I413" s="38">
        <f t="shared" si="182"/>
        <v>10834121</v>
      </c>
      <c r="J413" s="63">
        <v>484605</v>
      </c>
      <c r="K413" s="63">
        <v>5089279</v>
      </c>
      <c r="L413" s="63">
        <f t="shared" si="183"/>
        <v>5573884</v>
      </c>
      <c r="M413" s="218">
        <f t="shared" si="173"/>
        <v>96.708241867890649</v>
      </c>
      <c r="N413" s="218">
        <f t="shared" si="174"/>
        <v>108.47481508395687</v>
      </c>
      <c r="O413" s="218">
        <f t="shared" si="175"/>
        <v>7.8292795230748098</v>
      </c>
      <c r="P413" s="218">
        <f t="shared" si="180"/>
        <v>51.447496294346351</v>
      </c>
    </row>
    <row r="414" spans="1:16" s="3" customFormat="1" ht="24">
      <c r="A414" s="36" t="s">
        <v>398</v>
      </c>
      <c r="B414" s="33" t="s">
        <v>549</v>
      </c>
      <c r="C414" s="211" t="s">
        <v>1164</v>
      </c>
      <c r="D414" s="63">
        <v>2994700</v>
      </c>
      <c r="E414" s="63">
        <v>1357262</v>
      </c>
      <c r="F414" s="63">
        <f t="shared" si="181"/>
        <v>4351962</v>
      </c>
      <c r="G414" s="38">
        <v>287500</v>
      </c>
      <c r="H414" s="38">
        <v>1429068</v>
      </c>
      <c r="I414" s="38">
        <f t="shared" si="182"/>
        <v>1716568</v>
      </c>
      <c r="J414" s="63">
        <f>2305900-500000</f>
        <v>1805900</v>
      </c>
      <c r="K414" s="63">
        <v>1424007</v>
      </c>
      <c r="L414" s="63">
        <f t="shared" si="183"/>
        <v>3229907</v>
      </c>
      <c r="M414" s="218">
        <f t="shared" si="173"/>
        <v>60.303202324105918</v>
      </c>
      <c r="N414" s="218">
        <f t="shared" si="174"/>
        <v>74.217261088217228</v>
      </c>
      <c r="O414" s="218">
        <f t="shared" si="175"/>
        <v>628.1391304347826</v>
      </c>
      <c r="P414" s="218">
        <f t="shared" si="180"/>
        <v>188.16073700546673</v>
      </c>
    </row>
    <row r="415" spans="1:16" s="3" customFormat="1" ht="24">
      <c r="A415" s="36" t="s">
        <v>315</v>
      </c>
      <c r="B415" s="33" t="s">
        <v>550</v>
      </c>
      <c r="C415" s="211" t="s">
        <v>1165</v>
      </c>
      <c r="D415" s="63">
        <v>142200</v>
      </c>
      <c r="E415" s="63">
        <v>1357262</v>
      </c>
      <c r="F415" s="63">
        <f t="shared" si="181"/>
        <v>1499462</v>
      </c>
      <c r="G415" s="38">
        <v>219750</v>
      </c>
      <c r="H415" s="38">
        <v>1667246</v>
      </c>
      <c r="I415" s="38">
        <f t="shared" si="182"/>
        <v>1886996</v>
      </c>
      <c r="J415" s="63">
        <v>262000</v>
      </c>
      <c r="K415" s="63">
        <v>1733574</v>
      </c>
      <c r="L415" s="63">
        <f t="shared" si="183"/>
        <v>1995574</v>
      </c>
      <c r="M415" s="218">
        <f t="shared" si="173"/>
        <v>184.24753867791844</v>
      </c>
      <c r="N415" s="218">
        <f t="shared" si="174"/>
        <v>133.08600017873079</v>
      </c>
      <c r="O415" s="218">
        <f t="shared" si="175"/>
        <v>119.22639362912399</v>
      </c>
      <c r="P415" s="218">
        <f t="shared" si="180"/>
        <v>105.75401325704983</v>
      </c>
    </row>
    <row r="416" spans="1:16" s="3" customFormat="1" ht="12.75" customHeight="1">
      <c r="A416" s="36" t="s">
        <v>791</v>
      </c>
      <c r="B416" s="211" t="s">
        <v>151</v>
      </c>
      <c r="C416" s="211" t="s">
        <v>1166</v>
      </c>
      <c r="D416" s="63"/>
      <c r="E416" s="63"/>
      <c r="F416" s="63">
        <f t="shared" si="181"/>
        <v>0</v>
      </c>
      <c r="G416" s="38">
        <v>159785540</v>
      </c>
      <c r="H416" s="38"/>
      <c r="I416" s="38">
        <f t="shared" si="182"/>
        <v>159785540</v>
      </c>
      <c r="J416" s="63"/>
      <c r="K416" s="63"/>
      <c r="L416" s="63">
        <f t="shared" si="183"/>
        <v>0</v>
      </c>
      <c r="M416" s="218" t="str">
        <f t="shared" si="173"/>
        <v/>
      </c>
      <c r="N416" s="218" t="str">
        <f t="shared" si="174"/>
        <v/>
      </c>
      <c r="O416" s="218">
        <f t="shared" si="175"/>
        <v>0</v>
      </c>
      <c r="P416" s="218">
        <f t="shared" si="180"/>
        <v>0</v>
      </c>
    </row>
    <row r="417" spans="1:16" s="3" customFormat="1" ht="6" customHeight="1">
      <c r="A417" s="81"/>
      <c r="B417" s="82"/>
      <c r="C417" s="303" t="s">
        <v>268</v>
      </c>
      <c r="D417" s="48"/>
      <c r="E417" s="48"/>
      <c r="F417" s="48">
        <f t="shared" si="181"/>
        <v>0</v>
      </c>
      <c r="G417" s="85"/>
      <c r="H417" s="85"/>
      <c r="I417" s="85">
        <f t="shared" si="182"/>
        <v>0</v>
      </c>
      <c r="J417" s="48"/>
      <c r="K417" s="48"/>
      <c r="L417" s="48">
        <f t="shared" si="183"/>
        <v>0</v>
      </c>
      <c r="M417" s="219" t="str">
        <f t="shared" si="173"/>
        <v/>
      </c>
      <c r="N417" s="219" t="str">
        <f t="shared" si="174"/>
        <v/>
      </c>
      <c r="O417" s="219" t="str">
        <f t="shared" si="175"/>
        <v/>
      </c>
      <c r="P417" s="219" t="str">
        <f t="shared" si="180"/>
        <v/>
      </c>
    </row>
    <row r="418" spans="1:16" s="3" customFormat="1" ht="12.75">
      <c r="A418" s="58" t="s">
        <v>325</v>
      </c>
      <c r="B418" s="65" t="s">
        <v>265</v>
      </c>
      <c r="C418" s="308" t="s">
        <v>940</v>
      </c>
      <c r="D418" s="42">
        <f>SUM(D421:D426)</f>
        <v>9985060</v>
      </c>
      <c r="E418" s="42">
        <f>SUM(E420:E426)</f>
        <v>2488315</v>
      </c>
      <c r="F418" s="60">
        <f t="shared" si="181"/>
        <v>12473375</v>
      </c>
      <c r="G418" s="55">
        <f>SUM(G421:G426)</f>
        <v>27600</v>
      </c>
      <c r="H418" s="55">
        <f>SUM(H420:H426)</f>
        <v>0</v>
      </c>
      <c r="I418" s="60">
        <f t="shared" si="182"/>
        <v>27600</v>
      </c>
      <c r="J418" s="60">
        <f>SUM(J421:J426)</f>
        <v>0</v>
      </c>
      <c r="K418" s="42">
        <f>SUM(K420:K426)</f>
        <v>0</v>
      </c>
      <c r="L418" s="60">
        <f t="shared" si="183"/>
        <v>0</v>
      </c>
      <c r="M418" s="231">
        <f t="shared" si="173"/>
        <v>0</v>
      </c>
      <c r="N418" s="231">
        <f t="shared" si="174"/>
        <v>0</v>
      </c>
      <c r="O418" s="231">
        <f t="shared" si="175"/>
        <v>0</v>
      </c>
      <c r="P418" s="231">
        <f t="shared" si="180"/>
        <v>0</v>
      </c>
    </row>
    <row r="419" spans="1:16" s="3" customFormat="1" hidden="1">
      <c r="A419" s="36" t="s">
        <v>267</v>
      </c>
      <c r="B419" s="47"/>
      <c r="C419" s="212" t="s">
        <v>268</v>
      </c>
      <c r="D419" s="63">
        <f>SUM(D421:D426)</f>
        <v>9985060</v>
      </c>
      <c r="E419" s="63">
        <f>SUM(E420:E426)</f>
        <v>2488315</v>
      </c>
      <c r="F419" s="63">
        <f>SUM(D419:E419)</f>
        <v>12473375</v>
      </c>
      <c r="G419" s="38">
        <f>SUM(G421:G426)</f>
        <v>27600</v>
      </c>
      <c r="H419" s="38">
        <f>SUM(H420:H426)</f>
        <v>0</v>
      </c>
      <c r="I419" s="38">
        <f t="shared" si="182"/>
        <v>27600</v>
      </c>
      <c r="J419" s="63">
        <f>SUM(J421:J426)</f>
        <v>0</v>
      </c>
      <c r="K419" s="63">
        <f>SUM(K420:K426)</f>
        <v>0</v>
      </c>
      <c r="L419" s="63">
        <f t="shared" ref="L419:L426" si="184">SUM(J419:K419)</f>
        <v>0</v>
      </c>
      <c r="M419" s="218">
        <f t="shared" si="173"/>
        <v>0</v>
      </c>
      <c r="N419" s="218">
        <f t="shared" si="174"/>
        <v>0</v>
      </c>
      <c r="O419" s="218">
        <f t="shared" si="175"/>
        <v>0</v>
      </c>
      <c r="P419" s="218">
        <f t="shared" si="180"/>
        <v>0</v>
      </c>
    </row>
    <row r="420" spans="1:16" s="3" customFormat="1" ht="12.75" customHeight="1">
      <c r="A420" s="36" t="s">
        <v>554</v>
      </c>
      <c r="B420" s="47">
        <v>0</v>
      </c>
      <c r="C420" s="212" t="s">
        <v>268</v>
      </c>
      <c r="D420" s="63"/>
      <c r="E420" s="63">
        <v>424145</v>
      </c>
      <c r="F420" s="63">
        <f t="shared" ref="F420:F426" si="185">SUM(D420:E420)</f>
        <v>424145</v>
      </c>
      <c r="G420" s="38"/>
      <c r="H420" s="38"/>
      <c r="I420" s="38">
        <f t="shared" si="182"/>
        <v>0</v>
      </c>
      <c r="J420" s="63"/>
      <c r="K420" s="63"/>
      <c r="L420" s="63">
        <f t="shared" si="184"/>
        <v>0</v>
      </c>
      <c r="M420" s="218" t="str">
        <f t="shared" si="173"/>
        <v/>
      </c>
      <c r="N420" s="218">
        <f t="shared" si="174"/>
        <v>0</v>
      </c>
      <c r="O420" s="218" t="str">
        <f t="shared" si="175"/>
        <v/>
      </c>
      <c r="P420" s="218" t="str">
        <f t="shared" si="180"/>
        <v/>
      </c>
    </row>
    <row r="421" spans="1:16" s="3" customFormat="1" ht="12.75" customHeight="1">
      <c r="A421" s="354" t="s">
        <v>318</v>
      </c>
      <c r="B421" s="59" t="s">
        <v>612</v>
      </c>
      <c r="C421" s="310" t="s">
        <v>1167</v>
      </c>
      <c r="D421" s="67">
        <f>3056000+45000</f>
        <v>3101000</v>
      </c>
      <c r="E421" s="67">
        <v>791736</v>
      </c>
      <c r="F421" s="67">
        <f t="shared" si="185"/>
        <v>3892736</v>
      </c>
      <c r="G421" s="61">
        <v>23000</v>
      </c>
      <c r="H421" s="61"/>
      <c r="I421" s="61">
        <f t="shared" si="182"/>
        <v>23000</v>
      </c>
      <c r="J421" s="67"/>
      <c r="K421" s="67"/>
      <c r="L421" s="67">
        <f t="shared" si="184"/>
        <v>0</v>
      </c>
      <c r="M421" s="273">
        <f t="shared" si="173"/>
        <v>0</v>
      </c>
      <c r="N421" s="273">
        <f t="shared" si="174"/>
        <v>0</v>
      </c>
      <c r="O421" s="273">
        <f t="shared" si="175"/>
        <v>0</v>
      </c>
      <c r="P421" s="273">
        <f t="shared" si="180"/>
        <v>0</v>
      </c>
    </row>
    <row r="422" spans="1:16" s="3" customFormat="1" ht="12.75" customHeight="1">
      <c r="A422" s="43" t="s">
        <v>393</v>
      </c>
      <c r="B422" s="44" t="s">
        <v>614</v>
      </c>
      <c r="C422" s="304" t="s">
        <v>1169</v>
      </c>
      <c r="D422" s="76">
        <v>190000</v>
      </c>
      <c r="E422" s="76">
        <v>56553</v>
      </c>
      <c r="F422" s="76">
        <f>SUM(D422:E422)</f>
        <v>246553</v>
      </c>
      <c r="G422" s="116">
        <v>4600</v>
      </c>
      <c r="H422" s="116"/>
      <c r="I422" s="116">
        <f>SUM(G422:H422)</f>
        <v>4600</v>
      </c>
      <c r="J422" s="76"/>
      <c r="K422" s="76"/>
      <c r="L422" s="76">
        <f>SUM(J422:K422)</f>
        <v>0</v>
      </c>
      <c r="M422" s="226">
        <f t="shared" si="173"/>
        <v>0</v>
      </c>
      <c r="N422" s="226">
        <f t="shared" si="174"/>
        <v>0</v>
      </c>
      <c r="O422" s="226">
        <f t="shared" si="175"/>
        <v>0</v>
      </c>
      <c r="P422" s="226">
        <f>IF(I422&gt;0,IF(L422&gt;=0,L422/I422*100,""),"")</f>
        <v>0</v>
      </c>
    </row>
    <row r="423" spans="1:16" s="3" customFormat="1" ht="12.75" customHeight="1">
      <c r="A423" s="36" t="s">
        <v>319</v>
      </c>
      <c r="B423" s="47" t="s">
        <v>613</v>
      </c>
      <c r="C423" s="212" t="s">
        <v>1168</v>
      </c>
      <c r="D423" s="63">
        <v>6452000</v>
      </c>
      <c r="E423" s="63">
        <v>876565</v>
      </c>
      <c r="F423" s="63">
        <f t="shared" si="185"/>
        <v>7328565</v>
      </c>
      <c r="G423" s="38"/>
      <c r="H423" s="38"/>
      <c r="I423" s="38">
        <f t="shared" si="182"/>
        <v>0</v>
      </c>
      <c r="J423" s="63"/>
      <c r="K423" s="63"/>
      <c r="L423" s="63">
        <f t="shared" si="184"/>
        <v>0</v>
      </c>
      <c r="M423" s="218">
        <f t="shared" si="173"/>
        <v>0</v>
      </c>
      <c r="N423" s="218">
        <f t="shared" si="174"/>
        <v>0</v>
      </c>
      <c r="O423" s="218" t="str">
        <f t="shared" si="175"/>
        <v/>
      </c>
      <c r="P423" s="218" t="str">
        <f t="shared" si="180"/>
        <v/>
      </c>
    </row>
    <row r="424" spans="1:16" s="3" customFormat="1" ht="12.75" customHeight="1">
      <c r="A424" s="46" t="s">
        <v>148</v>
      </c>
      <c r="B424" s="47" t="s">
        <v>771</v>
      </c>
      <c r="C424" s="212" t="s">
        <v>1170</v>
      </c>
      <c r="D424" s="63">
        <v>2000</v>
      </c>
      <c r="E424" s="63">
        <v>339316</v>
      </c>
      <c r="F424" s="63">
        <f t="shared" si="185"/>
        <v>341316</v>
      </c>
      <c r="G424" s="38"/>
      <c r="H424" s="38"/>
      <c r="I424" s="38">
        <f t="shared" si="182"/>
        <v>0</v>
      </c>
      <c r="J424" s="63"/>
      <c r="K424" s="63"/>
      <c r="L424" s="63">
        <f t="shared" si="184"/>
        <v>0</v>
      </c>
      <c r="M424" s="218">
        <f t="shared" si="173"/>
        <v>0</v>
      </c>
      <c r="N424" s="218">
        <f t="shared" si="174"/>
        <v>0</v>
      </c>
      <c r="O424" s="218" t="str">
        <f t="shared" si="175"/>
        <v/>
      </c>
      <c r="P424" s="218" t="str">
        <f t="shared" si="180"/>
        <v/>
      </c>
    </row>
    <row r="425" spans="1:16" s="3" customFormat="1" ht="12.75" customHeight="1">
      <c r="A425" s="46" t="s">
        <v>651</v>
      </c>
      <c r="B425" s="33" t="s">
        <v>650</v>
      </c>
      <c r="C425" s="211" t="s">
        <v>1171</v>
      </c>
      <c r="D425" s="63">
        <v>170000</v>
      </c>
      <c r="E425" s="63"/>
      <c r="F425" s="63">
        <f t="shared" si="185"/>
        <v>170000</v>
      </c>
      <c r="G425" s="38"/>
      <c r="H425" s="38"/>
      <c r="I425" s="38">
        <f t="shared" si="182"/>
        <v>0</v>
      </c>
      <c r="J425" s="63"/>
      <c r="K425" s="63"/>
      <c r="L425" s="63">
        <f t="shared" si="184"/>
        <v>0</v>
      </c>
      <c r="M425" s="218">
        <f t="shared" si="173"/>
        <v>0</v>
      </c>
      <c r="N425" s="218">
        <f t="shared" si="174"/>
        <v>0</v>
      </c>
      <c r="O425" s="218" t="str">
        <f t="shared" si="175"/>
        <v/>
      </c>
      <c r="P425" s="218" t="str">
        <f t="shared" si="180"/>
        <v/>
      </c>
    </row>
    <row r="426" spans="1:16" s="3" customFormat="1" ht="12.75" customHeight="1">
      <c r="A426" s="46" t="s">
        <v>14</v>
      </c>
      <c r="B426" s="47" t="s">
        <v>9</v>
      </c>
      <c r="C426" s="212" t="s">
        <v>1172</v>
      </c>
      <c r="D426" s="63">
        <v>70060</v>
      </c>
      <c r="E426" s="63"/>
      <c r="F426" s="63">
        <f t="shared" si="185"/>
        <v>70060</v>
      </c>
      <c r="G426" s="38"/>
      <c r="H426" s="38"/>
      <c r="I426" s="38">
        <f t="shared" si="182"/>
        <v>0</v>
      </c>
      <c r="J426" s="63"/>
      <c r="K426" s="63"/>
      <c r="L426" s="63">
        <f t="shared" si="184"/>
        <v>0</v>
      </c>
      <c r="M426" s="218">
        <f t="shared" si="173"/>
        <v>0</v>
      </c>
      <c r="N426" s="218">
        <f t="shared" si="174"/>
        <v>0</v>
      </c>
      <c r="O426" s="218" t="str">
        <f t="shared" si="175"/>
        <v/>
      </c>
      <c r="P426" s="218" t="str">
        <f t="shared" si="180"/>
        <v/>
      </c>
    </row>
    <row r="427" spans="1:16" s="7" customFormat="1" ht="6" customHeight="1">
      <c r="A427" s="46"/>
      <c r="B427" s="33"/>
      <c r="C427" s="211" t="s">
        <v>268</v>
      </c>
      <c r="D427" s="63"/>
      <c r="E427" s="63"/>
      <c r="F427" s="63"/>
      <c r="G427" s="38"/>
      <c r="H427" s="38"/>
      <c r="I427" s="38"/>
      <c r="J427" s="63"/>
      <c r="K427" s="63"/>
      <c r="L427" s="63"/>
      <c r="M427" s="218" t="str">
        <f t="shared" si="173"/>
        <v/>
      </c>
      <c r="N427" s="218" t="str">
        <f t="shared" si="174"/>
        <v/>
      </c>
      <c r="O427" s="218" t="str">
        <f t="shared" si="175"/>
        <v/>
      </c>
      <c r="P427" s="218" t="str">
        <f t="shared" si="180"/>
        <v/>
      </c>
    </row>
    <row r="428" spans="1:16" s="8" customFormat="1" ht="12.75">
      <c r="A428" s="58" t="s">
        <v>212</v>
      </c>
      <c r="B428" s="65" t="s">
        <v>265</v>
      </c>
      <c r="C428" s="308" t="s">
        <v>940</v>
      </c>
      <c r="D428" s="90">
        <f>SUM(D430:D439)</f>
        <v>555331</v>
      </c>
      <c r="E428" s="90">
        <f>SUM(E430:E438)</f>
        <v>15156096</v>
      </c>
      <c r="F428" s="90">
        <f t="shared" ref="F428:F438" si="186">SUM(D428:E428)</f>
        <v>15711427</v>
      </c>
      <c r="G428" s="60">
        <f>SUM(G430:G439)</f>
        <v>1135746</v>
      </c>
      <c r="H428" s="60">
        <f>SUM(H430:H438)</f>
        <v>16684369</v>
      </c>
      <c r="I428" s="60">
        <f t="shared" ref="I428:I450" si="187">SUM(G428:H428)</f>
        <v>17820115</v>
      </c>
      <c r="J428" s="90">
        <f>SUM(J430:J439)</f>
        <v>731354</v>
      </c>
      <c r="K428" s="90">
        <f>SUM(K430:K438)</f>
        <v>16592781</v>
      </c>
      <c r="L428" s="90">
        <f t="shared" ref="L428:L429" si="188">SUM(J428:K428)</f>
        <v>17324135</v>
      </c>
      <c r="M428" s="227">
        <f t="shared" si="173"/>
        <v>131.69695190796119</v>
      </c>
      <c r="N428" s="227">
        <f t="shared" si="174"/>
        <v>110.26455458183398</v>
      </c>
      <c r="O428" s="227">
        <f t="shared" si="175"/>
        <v>64.394151509228294</v>
      </c>
      <c r="P428" s="227">
        <f t="shared" si="180"/>
        <v>97.216740744939074</v>
      </c>
    </row>
    <row r="429" spans="1:16" s="10" customFormat="1" ht="12.75" hidden="1">
      <c r="A429" s="36" t="s">
        <v>267</v>
      </c>
      <c r="B429" s="44"/>
      <c r="C429" s="304" t="s">
        <v>268</v>
      </c>
      <c r="D429" s="76">
        <f>SUM(D430:D439)</f>
        <v>555331</v>
      </c>
      <c r="E429" s="76">
        <f>SUM(E430:E438)</f>
        <v>15156096</v>
      </c>
      <c r="F429" s="63">
        <f t="shared" si="186"/>
        <v>15711427</v>
      </c>
      <c r="G429" s="116">
        <f>SUM(G430:G439)</f>
        <v>1135746</v>
      </c>
      <c r="H429" s="116">
        <f>SUM(H430:H438)</f>
        <v>16684369</v>
      </c>
      <c r="I429" s="38">
        <f t="shared" si="187"/>
        <v>17820115</v>
      </c>
      <c r="J429" s="76">
        <f>SUM(J430:J439)</f>
        <v>731354</v>
      </c>
      <c r="K429" s="76">
        <f>SUM(K430:K438)</f>
        <v>16592781</v>
      </c>
      <c r="L429" s="63">
        <f t="shared" si="188"/>
        <v>17324135</v>
      </c>
      <c r="M429" s="218">
        <f t="shared" si="173"/>
        <v>131.69695190796119</v>
      </c>
      <c r="N429" s="218">
        <f t="shared" si="174"/>
        <v>110.26455458183398</v>
      </c>
      <c r="O429" s="218">
        <f t="shared" si="175"/>
        <v>64.394151509228294</v>
      </c>
      <c r="P429" s="218">
        <f t="shared" si="180"/>
        <v>97.216740744939074</v>
      </c>
    </row>
    <row r="430" spans="1:16" s="10" customFormat="1" ht="12.75" customHeight="1">
      <c r="A430" s="36" t="s">
        <v>554</v>
      </c>
      <c r="B430" s="47">
        <v>0</v>
      </c>
      <c r="C430" s="212" t="s">
        <v>268</v>
      </c>
      <c r="D430" s="63"/>
      <c r="E430" s="63">
        <v>791736</v>
      </c>
      <c r="F430" s="63">
        <f t="shared" si="186"/>
        <v>791736</v>
      </c>
      <c r="G430" s="38"/>
      <c r="H430" s="38">
        <v>833623</v>
      </c>
      <c r="I430" s="38">
        <f t="shared" si="187"/>
        <v>833623</v>
      </c>
      <c r="J430" s="63"/>
      <c r="K430" s="63">
        <v>990614</v>
      </c>
      <c r="L430" s="63">
        <f t="shared" ref="L430:L451" si="189">SUM(J430:K430)</f>
        <v>990614</v>
      </c>
      <c r="M430" s="218" t="str">
        <f t="shared" si="173"/>
        <v/>
      </c>
      <c r="N430" s="218">
        <f t="shared" si="174"/>
        <v>125.11923166307962</v>
      </c>
      <c r="O430" s="218" t="str">
        <f t="shared" si="175"/>
        <v/>
      </c>
      <c r="P430" s="218">
        <f t="shared" si="180"/>
        <v>118.83237386684388</v>
      </c>
    </row>
    <row r="431" spans="1:16" ht="12.75" customHeight="1">
      <c r="A431" s="36" t="s">
        <v>240</v>
      </c>
      <c r="B431" s="33" t="s">
        <v>587</v>
      </c>
      <c r="C431" s="211" t="s">
        <v>1173</v>
      </c>
      <c r="D431" s="84">
        <v>142691</v>
      </c>
      <c r="E431" s="112">
        <v>7578048</v>
      </c>
      <c r="F431" s="63">
        <f t="shared" si="186"/>
        <v>7720739</v>
      </c>
      <c r="G431" s="84">
        <v>79611</v>
      </c>
      <c r="H431" s="38">
        <v>8782814</v>
      </c>
      <c r="I431" s="38">
        <f t="shared" si="187"/>
        <v>8862425</v>
      </c>
      <c r="J431" s="63">
        <v>142850</v>
      </c>
      <c r="K431" s="112">
        <v>8172564</v>
      </c>
      <c r="L431" s="63">
        <f t="shared" si="189"/>
        <v>8315414</v>
      </c>
      <c r="M431" s="218">
        <f t="shared" si="173"/>
        <v>100.1114295926162</v>
      </c>
      <c r="N431" s="218">
        <f t="shared" si="174"/>
        <v>107.70230673514543</v>
      </c>
      <c r="O431" s="218">
        <f t="shared" si="175"/>
        <v>179.43500270063183</v>
      </c>
      <c r="P431" s="218">
        <f t="shared" si="180"/>
        <v>93.827750305362244</v>
      </c>
    </row>
    <row r="432" spans="1:16" s="9" customFormat="1" ht="12.75" customHeight="1">
      <c r="A432" s="36" t="s">
        <v>213</v>
      </c>
      <c r="B432" s="33" t="s">
        <v>588</v>
      </c>
      <c r="C432" s="211" t="s">
        <v>1174</v>
      </c>
      <c r="D432" s="63">
        <v>100000</v>
      </c>
      <c r="E432" s="48">
        <v>1131052</v>
      </c>
      <c r="F432" s="63">
        <f t="shared" si="186"/>
        <v>1231052</v>
      </c>
      <c r="G432" s="38">
        <v>100000</v>
      </c>
      <c r="H432" s="38">
        <v>1190890</v>
      </c>
      <c r="I432" s="38">
        <f t="shared" si="187"/>
        <v>1290890</v>
      </c>
      <c r="J432" s="63">
        <v>20000</v>
      </c>
      <c r="K432" s="48">
        <v>1362094</v>
      </c>
      <c r="L432" s="63">
        <f t="shared" si="189"/>
        <v>1382094</v>
      </c>
      <c r="M432" s="218">
        <f t="shared" si="173"/>
        <v>20</v>
      </c>
      <c r="N432" s="218">
        <f t="shared" si="174"/>
        <v>112.26934361830369</v>
      </c>
      <c r="O432" s="218">
        <f t="shared" si="175"/>
        <v>20</v>
      </c>
      <c r="P432" s="218">
        <f t="shared" si="180"/>
        <v>107.06520307694691</v>
      </c>
    </row>
    <row r="433" spans="1:16" s="3" customFormat="1" ht="12.75" customHeight="1">
      <c r="A433" s="36" t="s">
        <v>192</v>
      </c>
      <c r="B433" s="33" t="s">
        <v>589</v>
      </c>
      <c r="C433" s="211" t="s">
        <v>1175</v>
      </c>
      <c r="D433" s="63">
        <v>212640</v>
      </c>
      <c r="E433" s="48">
        <v>226210</v>
      </c>
      <c r="F433" s="63">
        <f t="shared" si="186"/>
        <v>438850</v>
      </c>
      <c r="G433" s="38">
        <v>265860</v>
      </c>
      <c r="H433" s="38">
        <v>238178</v>
      </c>
      <c r="I433" s="38">
        <f t="shared" si="187"/>
        <v>504038</v>
      </c>
      <c r="J433" s="63">
        <v>409004</v>
      </c>
      <c r="K433" s="48">
        <v>247653</v>
      </c>
      <c r="L433" s="63">
        <f t="shared" si="189"/>
        <v>656657</v>
      </c>
      <c r="M433" s="218">
        <f t="shared" si="173"/>
        <v>192.34574868322048</v>
      </c>
      <c r="N433" s="218">
        <f t="shared" si="174"/>
        <v>149.63130910333825</v>
      </c>
      <c r="O433" s="218">
        <f t="shared" si="175"/>
        <v>153.84187166177688</v>
      </c>
      <c r="P433" s="218">
        <f t="shared" si="180"/>
        <v>130.27926465861702</v>
      </c>
    </row>
    <row r="434" spans="1:16" s="3" customFormat="1" ht="24">
      <c r="A434" s="36" t="s">
        <v>193</v>
      </c>
      <c r="B434" s="33" t="s">
        <v>590</v>
      </c>
      <c r="C434" s="211" t="s">
        <v>1176</v>
      </c>
      <c r="D434" s="63">
        <v>3000</v>
      </c>
      <c r="E434" s="48">
        <v>226210</v>
      </c>
      <c r="F434" s="63">
        <f t="shared" si="186"/>
        <v>229210</v>
      </c>
      <c r="G434" s="38">
        <v>3000</v>
      </c>
      <c r="H434" s="38">
        <v>238178</v>
      </c>
      <c r="I434" s="38">
        <f t="shared" si="187"/>
        <v>241178</v>
      </c>
      <c r="J434" s="63">
        <v>1000</v>
      </c>
      <c r="K434" s="48">
        <v>247653</v>
      </c>
      <c r="L434" s="63">
        <f t="shared" si="189"/>
        <v>248653</v>
      </c>
      <c r="M434" s="218">
        <f t="shared" si="173"/>
        <v>33.333333333333329</v>
      </c>
      <c r="N434" s="218">
        <f t="shared" si="174"/>
        <v>108.48261419658829</v>
      </c>
      <c r="O434" s="218">
        <f t="shared" si="175"/>
        <v>33.333333333333329</v>
      </c>
      <c r="P434" s="218">
        <f t="shared" si="180"/>
        <v>103.09937058935724</v>
      </c>
    </row>
    <row r="435" spans="1:16" s="3" customFormat="1" ht="12.75" customHeight="1">
      <c r="A435" s="36" t="s">
        <v>241</v>
      </c>
      <c r="B435" s="33" t="s">
        <v>591</v>
      </c>
      <c r="C435" s="211" t="s">
        <v>1177</v>
      </c>
      <c r="D435" s="63">
        <v>86000</v>
      </c>
      <c r="E435" s="48">
        <v>1922789</v>
      </c>
      <c r="F435" s="63">
        <f t="shared" si="186"/>
        <v>2008789</v>
      </c>
      <c r="G435" s="38">
        <v>86000</v>
      </c>
      <c r="H435" s="38">
        <v>2024513</v>
      </c>
      <c r="I435" s="38">
        <f t="shared" si="187"/>
        <v>2110513</v>
      </c>
      <c r="J435" s="63">
        <v>69500</v>
      </c>
      <c r="K435" s="48">
        <v>2105054</v>
      </c>
      <c r="L435" s="63">
        <f t="shared" si="189"/>
        <v>2174554</v>
      </c>
      <c r="M435" s="218">
        <f t="shared" si="173"/>
        <v>80.813953488372093</v>
      </c>
      <c r="N435" s="218">
        <f t="shared" si="174"/>
        <v>108.25198664468991</v>
      </c>
      <c r="O435" s="218">
        <f t="shared" si="175"/>
        <v>80.813953488372093</v>
      </c>
      <c r="P435" s="218">
        <f t="shared" si="180"/>
        <v>103.03438074060666</v>
      </c>
    </row>
    <row r="436" spans="1:16" ht="12.75" customHeight="1">
      <c r="A436" s="36" t="s">
        <v>242</v>
      </c>
      <c r="B436" s="33" t="s">
        <v>592</v>
      </c>
      <c r="C436" s="211" t="s">
        <v>1178</v>
      </c>
      <c r="D436" s="84">
        <v>10000</v>
      </c>
      <c r="E436" s="112">
        <v>1357263</v>
      </c>
      <c r="F436" s="63">
        <f t="shared" si="186"/>
        <v>1367263</v>
      </c>
      <c r="G436" s="84">
        <v>60000</v>
      </c>
      <c r="H436" s="38">
        <v>1399296</v>
      </c>
      <c r="I436" s="38">
        <f t="shared" si="187"/>
        <v>1459296</v>
      </c>
      <c r="J436" s="63">
        <v>8000</v>
      </c>
      <c r="K436" s="112">
        <v>1485921</v>
      </c>
      <c r="L436" s="63">
        <f t="shared" si="189"/>
        <v>1493921</v>
      </c>
      <c r="M436" s="218">
        <f t="shared" si="173"/>
        <v>80</v>
      </c>
      <c r="N436" s="218">
        <f t="shared" si="174"/>
        <v>109.26361643663289</v>
      </c>
      <c r="O436" s="218">
        <f t="shared" si="175"/>
        <v>13.333333333333334</v>
      </c>
      <c r="P436" s="218">
        <f t="shared" si="180"/>
        <v>102.3727194482819</v>
      </c>
    </row>
    <row r="437" spans="1:16" s="3" customFormat="1" ht="12.75" customHeight="1">
      <c r="A437" s="36" t="s">
        <v>322</v>
      </c>
      <c r="B437" s="33" t="s">
        <v>593</v>
      </c>
      <c r="C437" s="211" t="s">
        <v>1179</v>
      </c>
      <c r="D437" s="63"/>
      <c r="E437" s="48">
        <v>1131052</v>
      </c>
      <c r="F437" s="63">
        <f t="shared" si="186"/>
        <v>1131052</v>
      </c>
      <c r="G437" s="38"/>
      <c r="H437" s="38">
        <v>1190890</v>
      </c>
      <c r="I437" s="38">
        <f t="shared" si="187"/>
        <v>1190890</v>
      </c>
      <c r="J437" s="63"/>
      <c r="K437" s="48">
        <v>1114441</v>
      </c>
      <c r="L437" s="63">
        <f t="shared" si="189"/>
        <v>1114441</v>
      </c>
      <c r="M437" s="218" t="str">
        <f t="shared" si="173"/>
        <v/>
      </c>
      <c r="N437" s="218">
        <f t="shared" si="174"/>
        <v>98.531367258092459</v>
      </c>
      <c r="O437" s="218" t="str">
        <f t="shared" si="175"/>
        <v/>
      </c>
      <c r="P437" s="218">
        <f t="shared" si="180"/>
        <v>93.580515412842487</v>
      </c>
    </row>
    <row r="438" spans="1:16" s="3" customFormat="1" ht="12.75" customHeight="1">
      <c r="A438" s="36" t="s">
        <v>216</v>
      </c>
      <c r="B438" s="33" t="s">
        <v>594</v>
      </c>
      <c r="C438" s="211" t="s">
        <v>1180</v>
      </c>
      <c r="D438" s="119">
        <v>1000</v>
      </c>
      <c r="E438" s="120">
        <v>791736</v>
      </c>
      <c r="F438" s="63">
        <f t="shared" si="186"/>
        <v>792736</v>
      </c>
      <c r="G438" s="117">
        <v>1000</v>
      </c>
      <c r="H438" s="38">
        <v>785987</v>
      </c>
      <c r="I438" s="38">
        <f t="shared" si="187"/>
        <v>786987</v>
      </c>
      <c r="J438" s="63">
        <v>1000</v>
      </c>
      <c r="K438" s="120">
        <v>866787</v>
      </c>
      <c r="L438" s="63">
        <f t="shared" si="189"/>
        <v>867787</v>
      </c>
      <c r="M438" s="218">
        <f t="shared" si="173"/>
        <v>100</v>
      </c>
      <c r="N438" s="218">
        <f t="shared" si="174"/>
        <v>109.46733843297139</v>
      </c>
      <c r="O438" s="218">
        <f t="shared" si="175"/>
        <v>100</v>
      </c>
      <c r="P438" s="218">
        <f t="shared" si="180"/>
        <v>110.26700568116119</v>
      </c>
    </row>
    <row r="439" spans="1:16" s="3" customFormat="1" ht="12.75" customHeight="1">
      <c r="A439" s="36" t="s">
        <v>2069</v>
      </c>
      <c r="B439" s="33" t="s">
        <v>2070</v>
      </c>
      <c r="C439" s="211" t="s">
        <v>2230</v>
      </c>
      <c r="D439" s="119"/>
      <c r="E439" s="119"/>
      <c r="F439" s="63"/>
      <c r="G439" s="117">
        <v>540275</v>
      </c>
      <c r="H439" s="117"/>
      <c r="I439" s="38">
        <f t="shared" si="187"/>
        <v>540275</v>
      </c>
      <c r="J439" s="63">
        <v>80000</v>
      </c>
      <c r="K439" s="119"/>
      <c r="L439" s="63">
        <f t="shared" si="189"/>
        <v>80000</v>
      </c>
      <c r="M439" s="218" t="str">
        <f t="shared" si="173"/>
        <v/>
      </c>
      <c r="N439" s="218" t="str">
        <f t="shared" si="174"/>
        <v/>
      </c>
      <c r="O439" s="218">
        <f t="shared" si="175"/>
        <v>14.807274073388552</v>
      </c>
      <c r="P439" s="218">
        <f t="shared" ref="P439:P469" si="190">IF(I439&gt;0,IF(L439&gt;=0,L439/I439*100,""),"")</f>
        <v>14.807274073388552</v>
      </c>
    </row>
    <row r="440" spans="1:16" s="3" customFormat="1" ht="6" customHeight="1">
      <c r="A440" s="46"/>
      <c r="B440" s="47"/>
      <c r="C440" s="212" t="s">
        <v>268</v>
      </c>
      <c r="D440" s="63"/>
      <c r="E440" s="63"/>
      <c r="F440" s="63">
        <f t="shared" ref="F440:F450" si="191">SUM(D440:E440)</f>
        <v>0</v>
      </c>
      <c r="G440" s="38"/>
      <c r="H440" s="38"/>
      <c r="I440" s="38">
        <f t="shared" si="187"/>
        <v>0</v>
      </c>
      <c r="J440" s="63"/>
      <c r="K440" s="63"/>
      <c r="L440" s="63">
        <f t="shared" si="189"/>
        <v>0</v>
      </c>
      <c r="M440" s="218" t="str">
        <f t="shared" si="173"/>
        <v/>
      </c>
      <c r="N440" s="218" t="str">
        <f t="shared" si="174"/>
        <v/>
      </c>
      <c r="O440" s="218" t="str">
        <f t="shared" si="175"/>
        <v/>
      </c>
      <c r="P440" s="218" t="str">
        <f t="shared" si="190"/>
        <v/>
      </c>
    </row>
    <row r="441" spans="1:16" s="23" customFormat="1" ht="12.75" customHeight="1">
      <c r="A441" s="72" t="s">
        <v>79</v>
      </c>
      <c r="B441" s="75" t="s">
        <v>265</v>
      </c>
      <c r="C441" s="307" t="s">
        <v>940</v>
      </c>
      <c r="D441" s="55">
        <f>SUM(D443:D451)</f>
        <v>1500000</v>
      </c>
      <c r="E441" s="55">
        <f>SUM(E443:E451)</f>
        <v>4863523</v>
      </c>
      <c r="F441" s="55">
        <f t="shared" si="191"/>
        <v>6363523</v>
      </c>
      <c r="G441" s="55">
        <f>SUM(G443:G451)</f>
        <v>1824729</v>
      </c>
      <c r="H441" s="55">
        <f>SUM(H443:H450)</f>
        <v>5120827</v>
      </c>
      <c r="I441" s="55">
        <f t="shared" si="187"/>
        <v>6945556</v>
      </c>
      <c r="J441" s="55">
        <f>SUM(J443:J451)</f>
        <v>1750000</v>
      </c>
      <c r="K441" s="55">
        <f>SUM(K443:K450)</f>
        <v>5696029</v>
      </c>
      <c r="L441" s="55">
        <f t="shared" si="189"/>
        <v>7446029</v>
      </c>
      <c r="M441" s="221">
        <f t="shared" si="173"/>
        <v>116.66666666666667</v>
      </c>
      <c r="N441" s="221">
        <f t="shared" si="174"/>
        <v>117.01111161223115</v>
      </c>
      <c r="O441" s="221">
        <f t="shared" si="175"/>
        <v>95.904652142866141</v>
      </c>
      <c r="P441" s="221">
        <f t="shared" si="190"/>
        <v>107.20565783358454</v>
      </c>
    </row>
    <row r="442" spans="1:16" s="23" customFormat="1" hidden="1">
      <c r="A442" s="99" t="s">
        <v>267</v>
      </c>
      <c r="B442" s="37"/>
      <c r="C442" s="316" t="s">
        <v>268</v>
      </c>
      <c r="D442" s="63">
        <f>SUM(D443:D450)</f>
        <v>1500000</v>
      </c>
      <c r="E442" s="38">
        <f>SUM(E443:E450)</f>
        <v>4863523</v>
      </c>
      <c r="F442" s="63">
        <f t="shared" si="191"/>
        <v>6363523</v>
      </c>
      <c r="G442" s="38">
        <f>SUM(G443:G450)</f>
        <v>1824729</v>
      </c>
      <c r="H442" s="38">
        <f>SUM(H443:H450)</f>
        <v>5120827</v>
      </c>
      <c r="I442" s="38">
        <f t="shared" si="187"/>
        <v>6945556</v>
      </c>
      <c r="J442" s="38">
        <f>SUM(J443:J450)</f>
        <v>1750000</v>
      </c>
      <c r="K442" s="38">
        <f>SUM(K443:K450)</f>
        <v>5696029</v>
      </c>
      <c r="L442" s="63">
        <f t="shared" si="189"/>
        <v>7446029</v>
      </c>
      <c r="M442" s="218">
        <f t="shared" si="173"/>
        <v>116.66666666666667</v>
      </c>
      <c r="N442" s="218">
        <f t="shared" si="174"/>
        <v>117.01111161223115</v>
      </c>
      <c r="O442" s="218">
        <f t="shared" si="175"/>
        <v>95.904652142866141</v>
      </c>
      <c r="P442" s="218">
        <f t="shared" si="190"/>
        <v>107.20565783358454</v>
      </c>
    </row>
    <row r="443" spans="1:16" s="23" customFormat="1" ht="12.75" customHeight="1">
      <c r="A443" s="36" t="s">
        <v>554</v>
      </c>
      <c r="B443" s="33">
        <v>0</v>
      </c>
      <c r="C443" s="211" t="s">
        <v>268</v>
      </c>
      <c r="D443" s="109"/>
      <c r="E443" s="38">
        <v>791736</v>
      </c>
      <c r="F443" s="63">
        <f t="shared" si="191"/>
        <v>791736</v>
      </c>
      <c r="G443" s="109"/>
      <c r="H443" s="38">
        <v>595445</v>
      </c>
      <c r="I443" s="38">
        <f t="shared" si="187"/>
        <v>595445</v>
      </c>
      <c r="J443" s="63"/>
      <c r="K443" s="38">
        <v>742960</v>
      </c>
      <c r="L443" s="63">
        <f t="shared" si="189"/>
        <v>742960</v>
      </c>
      <c r="M443" s="218" t="str">
        <f t="shared" si="173"/>
        <v/>
      </c>
      <c r="N443" s="218">
        <f t="shared" si="174"/>
        <v>93.839360594945788</v>
      </c>
      <c r="O443" s="218" t="str">
        <f t="shared" si="175"/>
        <v/>
      </c>
      <c r="P443" s="218">
        <f t="shared" si="190"/>
        <v>124.77390858937434</v>
      </c>
    </row>
    <row r="444" spans="1:16" s="7" customFormat="1" ht="12.75" customHeight="1">
      <c r="A444" s="100" t="s">
        <v>275</v>
      </c>
      <c r="B444" s="47" t="s">
        <v>477</v>
      </c>
      <c r="C444" s="212" t="s">
        <v>1181</v>
      </c>
      <c r="D444" s="63">
        <v>926550</v>
      </c>
      <c r="E444" s="63">
        <v>1131052</v>
      </c>
      <c r="F444" s="63">
        <f t="shared" si="191"/>
        <v>2057602</v>
      </c>
      <c r="G444" s="38">
        <v>1151279</v>
      </c>
      <c r="H444" s="38">
        <v>1071801</v>
      </c>
      <c r="I444" s="38">
        <f t="shared" si="187"/>
        <v>2223080</v>
      </c>
      <c r="J444" s="63">
        <v>1155070</v>
      </c>
      <c r="K444" s="63">
        <v>1238267</v>
      </c>
      <c r="L444" s="63">
        <f t="shared" si="189"/>
        <v>2393337</v>
      </c>
      <c r="M444" s="218">
        <f t="shared" si="173"/>
        <v>124.66353677621282</v>
      </c>
      <c r="N444" s="218">
        <f t="shared" si="174"/>
        <v>116.31680956764234</v>
      </c>
      <c r="O444" s="218">
        <f t="shared" si="175"/>
        <v>100.32928595066876</v>
      </c>
      <c r="P444" s="218">
        <f t="shared" si="190"/>
        <v>107.65860877701208</v>
      </c>
    </row>
    <row r="445" spans="1:16" s="7" customFormat="1" ht="12.75" customHeight="1">
      <c r="A445" s="100" t="s">
        <v>936</v>
      </c>
      <c r="B445" s="47" t="s">
        <v>479</v>
      </c>
      <c r="C445" s="212" t="s">
        <v>1182</v>
      </c>
      <c r="D445" s="63">
        <v>250</v>
      </c>
      <c r="E445" s="63">
        <v>1017947</v>
      </c>
      <c r="F445" s="63">
        <f t="shared" si="191"/>
        <v>1018197</v>
      </c>
      <c r="G445" s="38">
        <v>250</v>
      </c>
      <c r="H445" s="38">
        <v>1190890</v>
      </c>
      <c r="I445" s="38">
        <f t="shared" si="187"/>
        <v>1191140</v>
      </c>
      <c r="J445" s="63">
        <v>89800</v>
      </c>
      <c r="K445" s="63">
        <v>1238267</v>
      </c>
      <c r="L445" s="63">
        <f t="shared" si="189"/>
        <v>1328067</v>
      </c>
      <c r="M445" s="218">
        <f t="shared" si="173"/>
        <v>35920</v>
      </c>
      <c r="N445" s="218">
        <f t="shared" si="174"/>
        <v>130.43320693343233</v>
      </c>
      <c r="O445" s="218">
        <f t="shared" si="175"/>
        <v>35920</v>
      </c>
      <c r="P445" s="218">
        <f t="shared" si="190"/>
        <v>111.49545813254529</v>
      </c>
    </row>
    <row r="446" spans="1:16" s="7" customFormat="1" ht="12.75" customHeight="1">
      <c r="A446" s="46" t="s">
        <v>316</v>
      </c>
      <c r="B446" s="47" t="s">
        <v>627</v>
      </c>
      <c r="C446" s="212" t="s">
        <v>1183</v>
      </c>
      <c r="D446" s="63">
        <v>191600</v>
      </c>
      <c r="E446" s="63">
        <v>791736</v>
      </c>
      <c r="F446" s="63">
        <f t="shared" si="191"/>
        <v>983336</v>
      </c>
      <c r="G446" s="38">
        <v>216600</v>
      </c>
      <c r="H446" s="38">
        <v>952712</v>
      </c>
      <c r="I446" s="38">
        <f t="shared" si="187"/>
        <v>1169312</v>
      </c>
      <c r="J446" s="63">
        <v>283750</v>
      </c>
      <c r="K446" s="63">
        <v>1114441</v>
      </c>
      <c r="L446" s="63">
        <f t="shared" si="189"/>
        <v>1398191</v>
      </c>
      <c r="M446" s="218">
        <f t="shared" si="173"/>
        <v>148.09498956158663</v>
      </c>
      <c r="N446" s="218">
        <f t="shared" si="174"/>
        <v>142.18852965822467</v>
      </c>
      <c r="O446" s="218">
        <f t="shared" si="175"/>
        <v>131.00184672206834</v>
      </c>
      <c r="P446" s="218">
        <f t="shared" si="190"/>
        <v>119.57381776634466</v>
      </c>
    </row>
    <row r="447" spans="1:16" s="7" customFormat="1" ht="12.75" customHeight="1">
      <c r="A447" s="46" t="s">
        <v>937</v>
      </c>
      <c r="B447" s="47" t="s">
        <v>628</v>
      </c>
      <c r="C447" s="212" t="s">
        <v>1184</v>
      </c>
      <c r="D447" s="63">
        <v>331600</v>
      </c>
      <c r="E447" s="63">
        <v>452421</v>
      </c>
      <c r="F447" s="63">
        <f t="shared" si="191"/>
        <v>784021</v>
      </c>
      <c r="G447" s="38">
        <v>406600</v>
      </c>
      <c r="H447" s="38">
        <v>595445</v>
      </c>
      <c r="I447" s="38">
        <f t="shared" si="187"/>
        <v>1002045</v>
      </c>
      <c r="J447" s="63">
        <v>146000</v>
      </c>
      <c r="K447" s="63">
        <v>619134</v>
      </c>
      <c r="L447" s="63">
        <f t="shared" si="189"/>
        <v>765134</v>
      </c>
      <c r="M447" s="218">
        <f t="shared" si="173"/>
        <v>44.028950542822678</v>
      </c>
      <c r="N447" s="218">
        <f t="shared" si="174"/>
        <v>97.591008404111619</v>
      </c>
      <c r="O447" s="218">
        <f t="shared" si="175"/>
        <v>35.907525823905559</v>
      </c>
      <c r="P447" s="218">
        <f t="shared" si="190"/>
        <v>76.357249424926025</v>
      </c>
    </row>
    <row r="448" spans="1:16" s="7" customFormat="1" ht="12.75" customHeight="1">
      <c r="A448" s="46" t="s">
        <v>80</v>
      </c>
      <c r="B448" s="47" t="s">
        <v>81</v>
      </c>
      <c r="C448" s="212" t="s">
        <v>1185</v>
      </c>
      <c r="D448" s="63"/>
      <c r="E448" s="63">
        <v>282763</v>
      </c>
      <c r="F448" s="63">
        <f t="shared" si="191"/>
        <v>282763</v>
      </c>
      <c r="G448" s="38"/>
      <c r="H448" s="38">
        <v>357267</v>
      </c>
      <c r="I448" s="38">
        <f t="shared" si="187"/>
        <v>357267</v>
      </c>
      <c r="J448" s="63"/>
      <c r="K448" s="63">
        <v>371480</v>
      </c>
      <c r="L448" s="63">
        <f t="shared" si="189"/>
        <v>371480</v>
      </c>
      <c r="M448" s="218" t="str">
        <f t="shared" si="173"/>
        <v/>
      </c>
      <c r="N448" s="218">
        <f t="shared" si="174"/>
        <v>131.3750384597702</v>
      </c>
      <c r="O448" s="218" t="str">
        <f t="shared" si="175"/>
        <v/>
      </c>
      <c r="P448" s="218">
        <f t="shared" si="190"/>
        <v>103.97825715781195</v>
      </c>
    </row>
    <row r="449" spans="1:17" s="7" customFormat="1" ht="24">
      <c r="A449" s="46" t="s">
        <v>897</v>
      </c>
      <c r="B449" s="47" t="s">
        <v>898</v>
      </c>
      <c r="C449" s="212" t="s">
        <v>1186</v>
      </c>
      <c r="D449" s="63">
        <v>50000</v>
      </c>
      <c r="E449" s="63">
        <v>226210</v>
      </c>
      <c r="F449" s="63">
        <f t="shared" si="191"/>
        <v>276210</v>
      </c>
      <c r="G449" s="38">
        <v>50000</v>
      </c>
      <c r="H449" s="38">
        <v>238178</v>
      </c>
      <c r="I449" s="38">
        <f t="shared" si="187"/>
        <v>288178</v>
      </c>
      <c r="J449" s="63">
        <v>75380</v>
      </c>
      <c r="K449" s="63">
        <v>247653</v>
      </c>
      <c r="L449" s="63">
        <f t="shared" si="189"/>
        <v>323033</v>
      </c>
      <c r="M449" s="218">
        <f t="shared" si="173"/>
        <v>150.76</v>
      </c>
      <c r="N449" s="218">
        <f t="shared" si="174"/>
        <v>116.95195684442996</v>
      </c>
      <c r="O449" s="218">
        <f t="shared" si="175"/>
        <v>150.76</v>
      </c>
      <c r="P449" s="218">
        <f t="shared" si="190"/>
        <v>112.0949552012992</v>
      </c>
    </row>
    <row r="450" spans="1:17" s="7" customFormat="1" ht="12.75" customHeight="1">
      <c r="A450" s="46" t="s">
        <v>899</v>
      </c>
      <c r="B450" s="47" t="s">
        <v>900</v>
      </c>
      <c r="C450" s="212" t="s">
        <v>1187</v>
      </c>
      <c r="D450" s="63"/>
      <c r="E450" s="63">
        <v>169658</v>
      </c>
      <c r="F450" s="63">
        <f t="shared" si="191"/>
        <v>169658</v>
      </c>
      <c r="G450" s="38"/>
      <c r="H450" s="38">
        <v>119089</v>
      </c>
      <c r="I450" s="38">
        <f t="shared" si="187"/>
        <v>119089</v>
      </c>
      <c r="J450" s="63"/>
      <c r="K450" s="63">
        <v>123827</v>
      </c>
      <c r="L450" s="63">
        <f t="shared" si="189"/>
        <v>123827</v>
      </c>
      <c r="M450" s="218" t="str">
        <f t="shared" si="173"/>
        <v/>
      </c>
      <c r="N450" s="218">
        <f t="shared" si="174"/>
        <v>72.986242912211623</v>
      </c>
      <c r="O450" s="218" t="str">
        <f t="shared" si="175"/>
        <v/>
      </c>
      <c r="P450" s="218">
        <f t="shared" si="190"/>
        <v>103.97853706051777</v>
      </c>
    </row>
    <row r="451" spans="1:17" s="7" customFormat="1" hidden="1">
      <c r="A451" s="46" t="s">
        <v>791</v>
      </c>
      <c r="B451" s="47" t="s">
        <v>151</v>
      </c>
      <c r="C451" s="212" t="s">
        <v>1188</v>
      </c>
      <c r="D451" s="63"/>
      <c r="E451" s="63"/>
      <c r="F451" s="63"/>
      <c r="G451" s="38"/>
      <c r="H451" s="38"/>
      <c r="I451" s="38"/>
      <c r="J451" s="63"/>
      <c r="K451" s="63"/>
      <c r="L451" s="63">
        <f t="shared" si="189"/>
        <v>0</v>
      </c>
      <c r="M451" s="218" t="str">
        <f t="shared" si="173"/>
        <v/>
      </c>
      <c r="N451" s="218" t="str">
        <f t="shared" si="174"/>
        <v/>
      </c>
      <c r="O451" s="218" t="str">
        <f t="shared" si="175"/>
        <v/>
      </c>
      <c r="P451" s="218" t="str">
        <f t="shared" si="190"/>
        <v/>
      </c>
    </row>
    <row r="452" spans="1:17" s="3" customFormat="1" ht="6" customHeight="1">
      <c r="A452" s="36"/>
      <c r="B452" s="33"/>
      <c r="C452" s="211" t="s">
        <v>268</v>
      </c>
      <c r="D452" s="63"/>
      <c r="E452" s="63"/>
      <c r="F452" s="63"/>
      <c r="G452" s="38"/>
      <c r="H452" s="38"/>
      <c r="I452" s="38"/>
      <c r="J452" s="63"/>
      <c r="K452" s="63"/>
      <c r="L452" s="63"/>
      <c r="M452" s="218" t="str">
        <f t="shared" si="173"/>
        <v/>
      </c>
      <c r="N452" s="218" t="str">
        <f t="shared" si="174"/>
        <v/>
      </c>
      <c r="O452" s="218" t="str">
        <f t="shared" si="175"/>
        <v/>
      </c>
      <c r="P452" s="218" t="str">
        <f t="shared" si="190"/>
        <v/>
      </c>
    </row>
    <row r="453" spans="1:17" s="8" customFormat="1" ht="12.75">
      <c r="A453" s="58" t="s">
        <v>406</v>
      </c>
      <c r="B453" s="78" t="s">
        <v>265</v>
      </c>
      <c r="C453" s="301" t="s">
        <v>940</v>
      </c>
      <c r="D453" s="42">
        <f>SUM(D456:D458)</f>
        <v>0</v>
      </c>
      <c r="E453" s="42">
        <f>SUM(E455:E458)</f>
        <v>1696578</v>
      </c>
      <c r="F453" s="42">
        <f t="shared" ref="F453:F463" si="192">SUM(D453:E453)</f>
        <v>1696578</v>
      </c>
      <c r="G453" s="55">
        <f>SUM(G456:G458)</f>
        <v>0</v>
      </c>
      <c r="H453" s="55">
        <f>SUM(H455:H458)</f>
        <v>1518385</v>
      </c>
      <c r="I453" s="55">
        <f t="shared" ref="I453:I463" si="193">SUM(G453:H453)</f>
        <v>1518385</v>
      </c>
      <c r="J453" s="42">
        <f>SUM(J456:J458)</f>
        <v>65000</v>
      </c>
      <c r="K453" s="42">
        <f>SUM(K455:K458)</f>
        <v>1950271</v>
      </c>
      <c r="L453" s="42">
        <f t="shared" ref="L453:L463" si="194">SUM(J453:K453)</f>
        <v>2015271</v>
      </c>
      <c r="M453" s="225" t="str">
        <f t="shared" si="173"/>
        <v/>
      </c>
      <c r="N453" s="225">
        <f t="shared" si="174"/>
        <v>118.78445906996318</v>
      </c>
      <c r="O453" s="225" t="str">
        <f t="shared" si="175"/>
        <v/>
      </c>
      <c r="P453" s="225">
        <f t="shared" si="190"/>
        <v>132.72463834929874</v>
      </c>
    </row>
    <row r="454" spans="1:17" s="8" customFormat="1" ht="12.75" hidden="1">
      <c r="A454" s="80" t="s">
        <v>267</v>
      </c>
      <c r="B454" s="162"/>
      <c r="C454" s="317" t="s">
        <v>268</v>
      </c>
      <c r="D454" s="111">
        <f>SUM(D455:D458)</f>
        <v>0</v>
      </c>
      <c r="E454" s="116">
        <f>SUM(E455:E458)</f>
        <v>1696578</v>
      </c>
      <c r="F454" s="63">
        <f t="shared" si="192"/>
        <v>1696578</v>
      </c>
      <c r="G454" s="193">
        <f>SUM(G455:G458)</f>
        <v>0</v>
      </c>
      <c r="H454" s="116">
        <f>SUM(H455:H458)</f>
        <v>1518385</v>
      </c>
      <c r="I454" s="38">
        <f t="shared" si="193"/>
        <v>1518385</v>
      </c>
      <c r="J454" s="63">
        <f>SUM(J455:J458)</f>
        <v>65000</v>
      </c>
      <c r="K454" s="116">
        <f>SUM(K455:K458)</f>
        <v>1950271</v>
      </c>
      <c r="L454" s="63">
        <f t="shared" si="194"/>
        <v>2015271</v>
      </c>
      <c r="M454" s="218" t="str">
        <f t="shared" si="173"/>
        <v/>
      </c>
      <c r="N454" s="218">
        <f t="shared" si="174"/>
        <v>118.78445906996318</v>
      </c>
      <c r="O454" s="218" t="str">
        <f t="shared" si="175"/>
        <v/>
      </c>
      <c r="P454" s="218">
        <f t="shared" si="190"/>
        <v>132.72463834929874</v>
      </c>
    </row>
    <row r="455" spans="1:17" s="8" customFormat="1" ht="12.75" customHeight="1">
      <c r="A455" s="36" t="s">
        <v>554</v>
      </c>
      <c r="B455" s="33">
        <v>0</v>
      </c>
      <c r="C455" s="211" t="s">
        <v>268</v>
      </c>
      <c r="D455" s="77"/>
      <c r="E455" s="38">
        <v>192279</v>
      </c>
      <c r="F455" s="63">
        <f t="shared" si="192"/>
        <v>192279</v>
      </c>
      <c r="G455" s="109"/>
      <c r="H455" s="38">
        <v>209055</v>
      </c>
      <c r="I455" s="38">
        <f t="shared" si="193"/>
        <v>209055</v>
      </c>
      <c r="J455" s="63"/>
      <c r="K455" s="38">
        <v>210506</v>
      </c>
      <c r="L455" s="63">
        <f t="shared" si="194"/>
        <v>210506</v>
      </c>
      <c r="M455" s="218" t="str">
        <f t="shared" si="173"/>
        <v/>
      </c>
      <c r="N455" s="218">
        <f t="shared" si="174"/>
        <v>109.47945433458672</v>
      </c>
      <c r="O455" s="218" t="str">
        <f t="shared" si="175"/>
        <v/>
      </c>
      <c r="P455" s="218">
        <f t="shared" si="190"/>
        <v>100.69407572170005</v>
      </c>
    </row>
    <row r="456" spans="1:17" ht="24">
      <c r="A456" s="36" t="s">
        <v>311</v>
      </c>
      <c r="B456" s="33" t="s">
        <v>595</v>
      </c>
      <c r="C456" s="211" t="s">
        <v>1189</v>
      </c>
      <c r="D456" s="112"/>
      <c r="E456" s="112">
        <v>1244157</v>
      </c>
      <c r="F456" s="63">
        <f t="shared" si="192"/>
        <v>1244157</v>
      </c>
      <c r="G456" s="112"/>
      <c r="H456" s="38">
        <v>1078289</v>
      </c>
      <c r="I456" s="38">
        <f t="shared" si="193"/>
        <v>1078289</v>
      </c>
      <c r="J456" s="63">
        <v>65000</v>
      </c>
      <c r="K456" s="112">
        <v>1516877</v>
      </c>
      <c r="L456" s="63">
        <f t="shared" si="194"/>
        <v>1581877</v>
      </c>
      <c r="M456" s="218" t="str">
        <f t="shared" si="173"/>
        <v/>
      </c>
      <c r="N456" s="218">
        <f t="shared" si="174"/>
        <v>127.14448417683619</v>
      </c>
      <c r="O456" s="218" t="str">
        <f t="shared" si="175"/>
        <v/>
      </c>
      <c r="P456" s="218">
        <f t="shared" si="190"/>
        <v>146.7025073982949</v>
      </c>
      <c r="Q456" s="31"/>
    </row>
    <row r="457" spans="1:17" s="3" customFormat="1" ht="12.75" customHeight="1">
      <c r="A457" s="36" t="s">
        <v>115</v>
      </c>
      <c r="B457" s="33" t="s">
        <v>487</v>
      </c>
      <c r="C457" s="211" t="s">
        <v>1190</v>
      </c>
      <c r="D457" s="63"/>
      <c r="E457" s="63">
        <v>169658</v>
      </c>
      <c r="F457" s="63">
        <f t="shared" si="192"/>
        <v>169658</v>
      </c>
      <c r="G457" s="38"/>
      <c r="H457" s="38">
        <v>85028</v>
      </c>
      <c r="I457" s="38">
        <f t="shared" si="193"/>
        <v>85028</v>
      </c>
      <c r="J457" s="63"/>
      <c r="K457" s="63">
        <v>123827</v>
      </c>
      <c r="L457" s="63">
        <f t="shared" si="194"/>
        <v>123827</v>
      </c>
      <c r="M457" s="218" t="str">
        <f t="shared" si="173"/>
        <v/>
      </c>
      <c r="N457" s="218">
        <f t="shared" si="174"/>
        <v>72.986242912211623</v>
      </c>
      <c r="O457" s="218" t="str">
        <f t="shared" si="175"/>
        <v/>
      </c>
      <c r="P457" s="218">
        <f t="shared" si="190"/>
        <v>145.63085101378371</v>
      </c>
      <c r="Q457" s="28"/>
    </row>
    <row r="458" spans="1:17" s="3" customFormat="1" ht="12.75" customHeight="1">
      <c r="A458" s="36" t="s">
        <v>59</v>
      </c>
      <c r="B458" s="33" t="s">
        <v>60</v>
      </c>
      <c r="C458" s="211" t="s">
        <v>1191</v>
      </c>
      <c r="D458" s="63"/>
      <c r="E458" s="63">
        <v>90484</v>
      </c>
      <c r="F458" s="63">
        <f t="shared" si="192"/>
        <v>90484</v>
      </c>
      <c r="G458" s="38"/>
      <c r="H458" s="38">
        <v>146013</v>
      </c>
      <c r="I458" s="38">
        <f t="shared" si="193"/>
        <v>146013</v>
      </c>
      <c r="J458" s="63"/>
      <c r="K458" s="63">
        <v>99061</v>
      </c>
      <c r="L458" s="63">
        <f t="shared" si="194"/>
        <v>99061</v>
      </c>
      <c r="M458" s="218" t="str">
        <f t="shared" si="173"/>
        <v/>
      </c>
      <c r="N458" s="218">
        <f t="shared" si="174"/>
        <v>109.47902391583042</v>
      </c>
      <c r="O458" s="218" t="str">
        <f t="shared" si="175"/>
        <v/>
      </c>
      <c r="P458" s="218">
        <f t="shared" si="190"/>
        <v>67.843959099532242</v>
      </c>
      <c r="Q458" s="28"/>
    </row>
    <row r="459" spans="1:17" s="7" customFormat="1" ht="6" customHeight="1">
      <c r="A459" s="39"/>
      <c r="B459" s="40"/>
      <c r="C459" s="306" t="s">
        <v>268</v>
      </c>
      <c r="D459" s="63"/>
      <c r="E459" s="63"/>
      <c r="F459" s="63">
        <f t="shared" si="192"/>
        <v>0</v>
      </c>
      <c r="G459" s="38"/>
      <c r="H459" s="38"/>
      <c r="I459" s="38">
        <f t="shared" si="193"/>
        <v>0</v>
      </c>
      <c r="J459" s="63"/>
      <c r="K459" s="63"/>
      <c r="L459" s="63">
        <f t="shared" si="194"/>
        <v>0</v>
      </c>
      <c r="M459" s="218" t="str">
        <f t="shared" si="173"/>
        <v/>
      </c>
      <c r="N459" s="218" t="str">
        <f t="shared" si="174"/>
        <v/>
      </c>
      <c r="O459" s="218" t="str">
        <f t="shared" si="175"/>
        <v/>
      </c>
      <c r="P459" s="218" t="str">
        <f t="shared" si="190"/>
        <v/>
      </c>
    </row>
    <row r="460" spans="1:17" s="3" customFormat="1" ht="12.75">
      <c r="A460" s="58" t="s">
        <v>367</v>
      </c>
      <c r="B460" s="182" t="s">
        <v>265</v>
      </c>
      <c r="C460" s="318" t="s">
        <v>940</v>
      </c>
      <c r="D460" s="42"/>
      <c r="E460" s="42">
        <f>SUM(E462:E463)</f>
        <v>4184892</v>
      </c>
      <c r="F460" s="42">
        <f t="shared" si="192"/>
        <v>4184892</v>
      </c>
      <c r="G460" s="55"/>
      <c r="H460" s="55">
        <f>SUM(H462:H463)</f>
        <v>4525382</v>
      </c>
      <c r="I460" s="55">
        <f t="shared" si="193"/>
        <v>4525382</v>
      </c>
      <c r="J460" s="42"/>
      <c r="K460" s="42">
        <f>SUM(K462:K463)</f>
        <v>4612546</v>
      </c>
      <c r="L460" s="42">
        <f t="shared" si="194"/>
        <v>4612546</v>
      </c>
      <c r="M460" s="225" t="str">
        <f t="shared" si="173"/>
        <v/>
      </c>
      <c r="N460" s="225">
        <f t="shared" si="174"/>
        <v>110.21899728834101</v>
      </c>
      <c r="O460" s="225" t="str">
        <f t="shared" si="175"/>
        <v/>
      </c>
      <c r="P460" s="225">
        <f t="shared" si="190"/>
        <v>101.9261136407932</v>
      </c>
    </row>
    <row r="461" spans="1:17" s="3" customFormat="1" hidden="1">
      <c r="A461" s="36" t="s">
        <v>267</v>
      </c>
      <c r="B461" s="33"/>
      <c r="C461" s="211" t="s">
        <v>268</v>
      </c>
      <c r="D461" s="77"/>
      <c r="E461" s="38">
        <f>SUM(E462:E463)</f>
        <v>4184892</v>
      </c>
      <c r="F461" s="63">
        <f t="shared" si="192"/>
        <v>4184892</v>
      </c>
      <c r="G461" s="109"/>
      <c r="H461" s="38">
        <f>SUM(H462:H463)</f>
        <v>4525382</v>
      </c>
      <c r="I461" s="38">
        <f t="shared" si="193"/>
        <v>4525382</v>
      </c>
      <c r="J461" s="63"/>
      <c r="K461" s="38">
        <f>SUM(K462:K463)</f>
        <v>4612546</v>
      </c>
      <c r="L461" s="63">
        <f t="shared" si="194"/>
        <v>4612546</v>
      </c>
      <c r="M461" s="218" t="str">
        <f t="shared" si="173"/>
        <v/>
      </c>
      <c r="N461" s="218">
        <f t="shared" si="174"/>
        <v>110.21899728834101</v>
      </c>
      <c r="O461" s="218" t="str">
        <f t="shared" si="175"/>
        <v/>
      </c>
      <c r="P461" s="218">
        <f t="shared" si="190"/>
        <v>101.9261136407932</v>
      </c>
    </row>
    <row r="462" spans="1:17" s="3" customFormat="1" ht="12.75" customHeight="1">
      <c r="A462" s="36" t="s">
        <v>554</v>
      </c>
      <c r="B462" s="33">
        <v>0</v>
      </c>
      <c r="C462" s="211" t="s">
        <v>268</v>
      </c>
      <c r="D462" s="77"/>
      <c r="E462" s="38">
        <v>367592</v>
      </c>
      <c r="F462" s="63">
        <f t="shared" si="192"/>
        <v>367592</v>
      </c>
      <c r="G462" s="109"/>
      <c r="H462" s="38">
        <v>387039</v>
      </c>
      <c r="I462" s="38">
        <f t="shared" si="193"/>
        <v>387039</v>
      </c>
      <c r="J462" s="63"/>
      <c r="K462" s="38">
        <v>402437</v>
      </c>
      <c r="L462" s="63">
        <f t="shared" si="194"/>
        <v>402437</v>
      </c>
      <c r="M462" s="218" t="str">
        <f t="shared" si="173"/>
        <v/>
      </c>
      <c r="N462" s="218">
        <f t="shared" si="174"/>
        <v>109.47925961391978</v>
      </c>
      <c r="O462" s="218" t="str">
        <f t="shared" si="175"/>
        <v/>
      </c>
      <c r="P462" s="218">
        <f t="shared" si="190"/>
        <v>103.97841044442551</v>
      </c>
    </row>
    <row r="463" spans="1:17" s="3" customFormat="1" ht="12.75" customHeight="1">
      <c r="A463" s="36" t="s">
        <v>283</v>
      </c>
      <c r="B463" s="33" t="s">
        <v>555</v>
      </c>
      <c r="C463" s="211" t="s">
        <v>1192</v>
      </c>
      <c r="D463" s="63"/>
      <c r="E463" s="63">
        <v>3817300</v>
      </c>
      <c r="F463" s="63">
        <f t="shared" si="192"/>
        <v>3817300</v>
      </c>
      <c r="G463" s="38"/>
      <c r="H463" s="38">
        <v>4138343</v>
      </c>
      <c r="I463" s="38">
        <f t="shared" si="193"/>
        <v>4138343</v>
      </c>
      <c r="J463" s="63"/>
      <c r="K463" s="63">
        <v>4210109</v>
      </c>
      <c r="L463" s="63">
        <f t="shared" si="194"/>
        <v>4210109</v>
      </c>
      <c r="M463" s="218" t="str">
        <f t="shared" ref="M463:M526" si="195">IF(D463&gt;0,IF(J463&gt;=0,J463/D463*100,""),"")</f>
        <v/>
      </c>
      <c r="N463" s="218">
        <f t="shared" ref="N463:N526" si="196">IF(F463&gt;0,IF(L463&gt;=0,L463/F463*100,""),"")</f>
        <v>110.29023131532757</v>
      </c>
      <c r="O463" s="218" t="str">
        <f t="shared" ref="O463:O526" si="197">IF(G463&gt;0,IF(J463&gt;=0,J463/G463*100,""),"")</f>
        <v/>
      </c>
      <c r="P463" s="218">
        <f t="shared" si="190"/>
        <v>101.73417234869125</v>
      </c>
    </row>
    <row r="464" spans="1:17" s="3" customFormat="1">
      <c r="A464" s="36"/>
      <c r="B464" s="33"/>
      <c r="C464" s="211" t="s">
        <v>268</v>
      </c>
      <c r="D464" s="63"/>
      <c r="E464" s="63"/>
      <c r="F464" s="63"/>
      <c r="G464" s="38"/>
      <c r="H464" s="38"/>
      <c r="I464" s="38"/>
      <c r="J464" s="63"/>
      <c r="K464" s="63"/>
      <c r="L464" s="63"/>
      <c r="M464" s="218" t="str">
        <f t="shared" si="195"/>
        <v/>
      </c>
      <c r="N464" s="218" t="str">
        <f t="shared" si="196"/>
        <v/>
      </c>
      <c r="O464" s="218" t="str">
        <f t="shared" si="197"/>
        <v/>
      </c>
      <c r="P464" s="218" t="str">
        <f t="shared" si="190"/>
        <v/>
      </c>
    </row>
    <row r="465" spans="1:16" s="3" customFormat="1" ht="12.75" thickBot="1">
      <c r="A465" s="176" t="s">
        <v>40</v>
      </c>
      <c r="B465" s="33"/>
      <c r="C465" s="211" t="s">
        <v>268</v>
      </c>
      <c r="D465" s="63"/>
      <c r="E465" s="63"/>
      <c r="F465" s="63"/>
      <c r="G465" s="38"/>
      <c r="H465" s="38"/>
      <c r="I465" s="38"/>
      <c r="J465" s="63"/>
      <c r="K465" s="63"/>
      <c r="L465" s="63"/>
      <c r="M465" s="218" t="str">
        <f t="shared" si="195"/>
        <v/>
      </c>
      <c r="N465" s="218" t="str">
        <f t="shared" si="196"/>
        <v/>
      </c>
      <c r="O465" s="218" t="str">
        <f t="shared" si="197"/>
        <v/>
      </c>
      <c r="P465" s="218" t="str">
        <f t="shared" si="190"/>
        <v/>
      </c>
    </row>
    <row r="466" spans="1:16" s="3" customFormat="1" ht="12.75" thickTop="1">
      <c r="A466" s="122"/>
      <c r="B466" s="123"/>
      <c r="C466" s="319" t="s">
        <v>268</v>
      </c>
      <c r="D466" s="124"/>
      <c r="E466" s="124"/>
      <c r="F466" s="124"/>
      <c r="G466" s="258"/>
      <c r="H466" s="258"/>
      <c r="I466" s="258"/>
      <c r="J466" s="124"/>
      <c r="K466" s="124"/>
      <c r="L466" s="124"/>
      <c r="M466" s="233" t="str">
        <f t="shared" si="195"/>
        <v/>
      </c>
      <c r="N466" s="233" t="str">
        <f t="shared" si="196"/>
        <v/>
      </c>
      <c r="O466" s="233" t="str">
        <f t="shared" si="197"/>
        <v/>
      </c>
      <c r="P466" s="233" t="str">
        <f t="shared" si="190"/>
        <v/>
      </c>
    </row>
    <row r="467" spans="1:16" s="3" customFormat="1" ht="12.75">
      <c r="A467" s="58" t="s">
        <v>297</v>
      </c>
      <c r="B467" s="59" t="s">
        <v>265</v>
      </c>
      <c r="C467" s="310" t="s">
        <v>940</v>
      </c>
      <c r="D467" s="42">
        <f>SUM(D469:D471)</f>
        <v>1317000</v>
      </c>
      <c r="E467" s="42">
        <f>SUM(E469:E469)</f>
        <v>0</v>
      </c>
      <c r="F467" s="60">
        <f>SUM(D467:E467)</f>
        <v>1317000</v>
      </c>
      <c r="G467" s="55">
        <f>SUM(G469:G471)</f>
        <v>1387800</v>
      </c>
      <c r="H467" s="55">
        <f>SUM(H469:H469)</f>
        <v>0</v>
      </c>
      <c r="I467" s="60">
        <f t="shared" ref="I467:I489" si="198">SUM(G467:H467)</f>
        <v>1387800</v>
      </c>
      <c r="J467" s="60">
        <f>SUM(J469:J471)</f>
        <v>1602250</v>
      </c>
      <c r="K467" s="42">
        <f>SUM(K469:K469)</f>
        <v>0</v>
      </c>
      <c r="L467" s="60">
        <f>SUM(J467:K467)</f>
        <v>1602250</v>
      </c>
      <c r="M467" s="231">
        <f t="shared" si="195"/>
        <v>121.65907365223994</v>
      </c>
      <c r="N467" s="231">
        <f t="shared" si="196"/>
        <v>121.65907365223994</v>
      </c>
      <c r="O467" s="231">
        <f t="shared" si="197"/>
        <v>115.45251477158092</v>
      </c>
      <c r="P467" s="231">
        <f t="shared" si="190"/>
        <v>115.45251477158092</v>
      </c>
    </row>
    <row r="468" spans="1:16" s="3" customFormat="1" hidden="1">
      <c r="A468" s="36" t="s">
        <v>267</v>
      </c>
      <c r="B468" s="47"/>
      <c r="C468" s="212" t="s">
        <v>268</v>
      </c>
      <c r="D468" s="38">
        <f>SUM(D469:D471)</f>
        <v>1317000</v>
      </c>
      <c r="E468" s="77"/>
      <c r="F468" s="38">
        <f t="shared" ref="F468:F472" si="199">SUM(D468:E468)</f>
        <v>1317000</v>
      </c>
      <c r="G468" s="38">
        <f>SUM(G469:G471)</f>
        <v>1387800</v>
      </c>
      <c r="H468" s="109"/>
      <c r="I468" s="38">
        <f t="shared" si="198"/>
        <v>1387800</v>
      </c>
      <c r="J468" s="38">
        <f>SUM(J469:J471)</f>
        <v>1602250</v>
      </c>
      <c r="K468" s="77"/>
      <c r="L468" s="38">
        <f t="shared" ref="L468" si="200">SUM(J468:K468)</f>
        <v>1602250</v>
      </c>
      <c r="M468" s="228">
        <f t="shared" si="195"/>
        <v>121.65907365223994</v>
      </c>
      <c r="N468" s="228">
        <f t="shared" si="196"/>
        <v>121.65907365223994</v>
      </c>
      <c r="O468" s="228">
        <f t="shared" si="197"/>
        <v>115.45251477158092</v>
      </c>
      <c r="P468" s="228">
        <f t="shared" si="190"/>
        <v>115.45251477158092</v>
      </c>
    </row>
    <row r="469" spans="1:16" s="3" customFormat="1" ht="12.75" customHeight="1">
      <c r="A469" s="46" t="s">
        <v>196</v>
      </c>
      <c r="B469" s="47" t="s">
        <v>416</v>
      </c>
      <c r="C469" s="212" t="s">
        <v>1193</v>
      </c>
      <c r="D469" s="63">
        <v>1291000</v>
      </c>
      <c r="E469" s="63"/>
      <c r="F469" s="38">
        <f t="shared" si="199"/>
        <v>1291000</v>
      </c>
      <c r="G469" s="38">
        <v>1358400</v>
      </c>
      <c r="H469" s="38"/>
      <c r="I469" s="38">
        <f t="shared" si="198"/>
        <v>1358400</v>
      </c>
      <c r="J469" s="38">
        <v>1602250</v>
      </c>
      <c r="K469" s="63"/>
      <c r="L469" s="38">
        <f t="shared" ref="L469:L472" si="201">SUM(J469:K469)</f>
        <v>1602250</v>
      </c>
      <c r="M469" s="228">
        <f t="shared" si="195"/>
        <v>124.10921766072811</v>
      </c>
      <c r="N469" s="228">
        <f t="shared" si="196"/>
        <v>124.10921766072811</v>
      </c>
      <c r="O469" s="228">
        <f t="shared" si="197"/>
        <v>117.95126619552414</v>
      </c>
      <c r="P469" s="228">
        <f t="shared" si="190"/>
        <v>117.95126619552414</v>
      </c>
    </row>
    <row r="470" spans="1:16" s="3" customFormat="1" ht="12.75" customHeight="1">
      <c r="A470" s="46" t="s">
        <v>2069</v>
      </c>
      <c r="B470" s="212" t="s">
        <v>2070</v>
      </c>
      <c r="C470" s="212" t="s">
        <v>2112</v>
      </c>
      <c r="D470" s="63"/>
      <c r="E470" s="63"/>
      <c r="F470" s="38"/>
      <c r="G470" s="38">
        <v>3400</v>
      </c>
      <c r="H470" s="38"/>
      <c r="I470" s="38">
        <f t="shared" si="198"/>
        <v>3400</v>
      </c>
      <c r="J470" s="38"/>
      <c r="K470" s="63"/>
      <c r="L470" s="38"/>
      <c r="M470" s="228" t="str">
        <f t="shared" si="195"/>
        <v/>
      </c>
      <c r="N470" s="228" t="str">
        <f t="shared" si="196"/>
        <v/>
      </c>
      <c r="O470" s="228">
        <f t="shared" si="197"/>
        <v>0</v>
      </c>
      <c r="P470" s="228">
        <f t="shared" ref="P470" si="202">IF(I470&gt;0,IF(L470&gt;=0,L470/I470*100,""),"")</f>
        <v>0</v>
      </c>
    </row>
    <row r="471" spans="1:16" s="3" customFormat="1" ht="12.75" customHeight="1">
      <c r="A471" s="46" t="s">
        <v>651</v>
      </c>
      <c r="B471" s="212" t="s">
        <v>650</v>
      </c>
      <c r="C471" s="212" t="s">
        <v>1194</v>
      </c>
      <c r="D471" s="63">
        <v>26000</v>
      </c>
      <c r="E471" s="63"/>
      <c r="F471" s="38">
        <f t="shared" si="199"/>
        <v>26000</v>
      </c>
      <c r="G471" s="38">
        <v>26000</v>
      </c>
      <c r="H471" s="38"/>
      <c r="I471" s="38">
        <f t="shared" si="198"/>
        <v>26000</v>
      </c>
      <c r="J471" s="38"/>
      <c r="K471" s="63"/>
      <c r="L471" s="38">
        <f t="shared" si="201"/>
        <v>0</v>
      </c>
      <c r="M471" s="228">
        <f t="shared" si="195"/>
        <v>0</v>
      </c>
      <c r="N471" s="228">
        <f t="shared" si="196"/>
        <v>0</v>
      </c>
      <c r="O471" s="228">
        <f t="shared" si="197"/>
        <v>0</v>
      </c>
      <c r="P471" s="228">
        <f>IF(I471&gt;0,IF(L471&gt;=0,L471/I471*100,""),"")</f>
        <v>0</v>
      </c>
    </row>
    <row r="472" spans="1:16" s="3" customFormat="1" ht="6" customHeight="1">
      <c r="A472" s="46"/>
      <c r="B472" s="47"/>
      <c r="C472" s="212" t="s">
        <v>268</v>
      </c>
      <c r="D472" s="63"/>
      <c r="E472" s="63"/>
      <c r="F472" s="38">
        <f t="shared" si="199"/>
        <v>0</v>
      </c>
      <c r="G472" s="38"/>
      <c r="H472" s="38"/>
      <c r="I472" s="38">
        <f t="shared" si="198"/>
        <v>0</v>
      </c>
      <c r="J472" s="38"/>
      <c r="K472" s="63"/>
      <c r="L472" s="38">
        <f t="shared" si="201"/>
        <v>0</v>
      </c>
      <c r="M472" s="228" t="str">
        <f t="shared" si="195"/>
        <v/>
      </c>
      <c r="N472" s="228" t="str">
        <f t="shared" si="196"/>
        <v/>
      </c>
      <c r="O472" s="228" t="str">
        <f t="shared" si="197"/>
        <v/>
      </c>
      <c r="P472" s="228" t="str">
        <f>IF(I472&gt;0,IF(L472&gt;=0,L472/I472*100,""),"")</f>
        <v/>
      </c>
    </row>
    <row r="473" spans="1:16" s="3" customFormat="1" ht="12.75">
      <c r="A473" s="58" t="s">
        <v>298</v>
      </c>
      <c r="B473" s="59" t="s">
        <v>265</v>
      </c>
      <c r="C473" s="310" t="s">
        <v>940</v>
      </c>
      <c r="D473" s="42">
        <f>SUM(D475:D477)</f>
        <v>1179000</v>
      </c>
      <c r="E473" s="90"/>
      <c r="F473" s="60">
        <f>SUM(D473:E473)</f>
        <v>1179000</v>
      </c>
      <c r="G473" s="55">
        <f>SUM(G475:G477)</f>
        <v>1232500</v>
      </c>
      <c r="H473" s="60"/>
      <c r="I473" s="60">
        <f t="shared" si="198"/>
        <v>1232500</v>
      </c>
      <c r="J473" s="42">
        <f>SUM(J475:J477)</f>
        <v>1317500</v>
      </c>
      <c r="K473" s="90"/>
      <c r="L473" s="60">
        <f>SUM(J473:K473)</f>
        <v>1317500</v>
      </c>
      <c r="M473" s="231">
        <f t="shared" si="195"/>
        <v>111.74724342663274</v>
      </c>
      <c r="N473" s="231">
        <f t="shared" si="196"/>
        <v>111.74724342663274</v>
      </c>
      <c r="O473" s="231">
        <f t="shared" si="197"/>
        <v>106.89655172413792</v>
      </c>
      <c r="P473" s="231">
        <f>IF(I473&gt;0,IF(L473&gt;=0,L473/I473*100,""),"")</f>
        <v>106.89655172413792</v>
      </c>
    </row>
    <row r="474" spans="1:16" s="3" customFormat="1" hidden="1">
      <c r="A474" s="36" t="s">
        <v>267</v>
      </c>
      <c r="B474" s="47"/>
      <c r="C474" s="212" t="s">
        <v>268</v>
      </c>
      <c r="D474" s="38">
        <f>SUM(D475:D476)</f>
        <v>1179000</v>
      </c>
      <c r="E474" s="77"/>
      <c r="F474" s="38">
        <f t="shared" ref="F474:F477" si="203">SUM(D474:E474)</f>
        <v>1179000</v>
      </c>
      <c r="G474" s="38">
        <f>SUM(G475:G476)</f>
        <v>1232500</v>
      </c>
      <c r="H474" s="109"/>
      <c r="I474" s="38">
        <f t="shared" si="198"/>
        <v>1232500</v>
      </c>
      <c r="J474" s="38">
        <f>SUM(J475:J476)</f>
        <v>1317500</v>
      </c>
      <c r="K474" s="77"/>
      <c r="L474" s="38">
        <f t="shared" ref="L474" si="204">SUM(J474:K474)</f>
        <v>1317500</v>
      </c>
      <c r="M474" s="228">
        <f t="shared" si="195"/>
        <v>111.74724342663274</v>
      </c>
      <c r="N474" s="228">
        <f t="shared" si="196"/>
        <v>111.74724342663274</v>
      </c>
      <c r="O474" s="228">
        <f t="shared" si="197"/>
        <v>106.89655172413792</v>
      </c>
      <c r="P474" s="228">
        <f>IF(I474&gt;0,IF(L474&gt;=0,L474/I474*100,""),"")</f>
        <v>106.89655172413792</v>
      </c>
    </row>
    <row r="475" spans="1:16" s="3" customFormat="1" ht="12.75" customHeight="1">
      <c r="A475" s="46" t="s">
        <v>196</v>
      </c>
      <c r="B475" s="47" t="s">
        <v>416</v>
      </c>
      <c r="C475" s="212" t="s">
        <v>1195</v>
      </c>
      <c r="D475" s="63">
        <v>1179000</v>
      </c>
      <c r="E475" s="63"/>
      <c r="F475" s="38">
        <f t="shared" si="203"/>
        <v>1179000</v>
      </c>
      <c r="G475" s="38">
        <v>1230600</v>
      </c>
      <c r="H475" s="38"/>
      <c r="I475" s="38">
        <f t="shared" si="198"/>
        <v>1230600</v>
      </c>
      <c r="J475" s="38">
        <v>1317500</v>
      </c>
      <c r="K475" s="63"/>
      <c r="L475" s="38">
        <f t="shared" ref="L475:L477" si="205">SUM(J475:K475)</f>
        <v>1317500</v>
      </c>
      <c r="M475" s="228">
        <f t="shared" si="195"/>
        <v>111.74724342663274</v>
      </c>
      <c r="N475" s="228">
        <f t="shared" si="196"/>
        <v>111.74724342663274</v>
      </c>
      <c r="O475" s="228">
        <f t="shared" si="197"/>
        <v>107.0615959694458</v>
      </c>
      <c r="P475" s="228">
        <f>IF(I475&gt;0,IF(L475&gt;=0,L475/I475*100,""),"")</f>
        <v>107.0615959694458</v>
      </c>
    </row>
    <row r="476" spans="1:16" s="3" customFormat="1" ht="12.75" customHeight="1">
      <c r="A476" s="46" t="s">
        <v>2069</v>
      </c>
      <c r="B476" s="212" t="s">
        <v>2070</v>
      </c>
      <c r="C476" s="212" t="s">
        <v>2113</v>
      </c>
      <c r="D476" s="63"/>
      <c r="E476" s="63"/>
      <c r="F476" s="38"/>
      <c r="G476" s="38">
        <v>1900</v>
      </c>
      <c r="H476" s="38"/>
      <c r="I476" s="38">
        <f t="shared" si="198"/>
        <v>1900</v>
      </c>
      <c r="J476" s="38"/>
      <c r="K476" s="63"/>
      <c r="L476" s="38"/>
      <c r="M476" s="228" t="str">
        <f t="shared" si="195"/>
        <v/>
      </c>
      <c r="N476" s="228" t="str">
        <f t="shared" si="196"/>
        <v/>
      </c>
      <c r="O476" s="228">
        <f t="shared" si="197"/>
        <v>0</v>
      </c>
      <c r="P476" s="228"/>
    </row>
    <row r="477" spans="1:16" s="3" customFormat="1" ht="6" customHeight="1">
      <c r="A477" s="46"/>
      <c r="B477" s="47"/>
      <c r="C477" s="212" t="s">
        <v>268</v>
      </c>
      <c r="D477" s="63"/>
      <c r="E477" s="63"/>
      <c r="F477" s="38">
        <f t="shared" si="203"/>
        <v>0</v>
      </c>
      <c r="G477" s="38"/>
      <c r="H477" s="38"/>
      <c r="I477" s="38">
        <f t="shared" si="198"/>
        <v>0</v>
      </c>
      <c r="J477" s="38"/>
      <c r="K477" s="63"/>
      <c r="L477" s="38">
        <f t="shared" si="205"/>
        <v>0</v>
      </c>
      <c r="M477" s="228" t="str">
        <f t="shared" si="195"/>
        <v/>
      </c>
      <c r="N477" s="228" t="str">
        <f t="shared" si="196"/>
        <v/>
      </c>
      <c r="O477" s="228" t="str">
        <f t="shared" si="197"/>
        <v/>
      </c>
      <c r="P477" s="228" t="str">
        <f>IF(I477&gt;0,IF(L477&gt;=0,L477/I477*100,""),"")</f>
        <v/>
      </c>
    </row>
    <row r="478" spans="1:16" s="3" customFormat="1" ht="12.75">
      <c r="A478" s="58" t="s">
        <v>299</v>
      </c>
      <c r="B478" s="59" t="s">
        <v>265</v>
      </c>
      <c r="C478" s="310" t="s">
        <v>940</v>
      </c>
      <c r="D478" s="90">
        <f>SUM(D480:D483)</f>
        <v>2004000</v>
      </c>
      <c r="E478" s="90">
        <f>SUM(E480:E483)</f>
        <v>0</v>
      </c>
      <c r="F478" s="60">
        <f>SUM(D478:E478)</f>
        <v>2004000</v>
      </c>
      <c r="G478" s="60">
        <f>SUM(G480:G483)</f>
        <v>2131891</v>
      </c>
      <c r="H478" s="60">
        <f>SUM(H480:H483)</f>
        <v>0</v>
      </c>
      <c r="I478" s="60">
        <f t="shared" si="198"/>
        <v>2131891</v>
      </c>
      <c r="J478" s="60">
        <f>SUM(J480:J483)</f>
        <v>2266950</v>
      </c>
      <c r="K478" s="90">
        <f>SUM(K480:K483)</f>
        <v>0</v>
      </c>
      <c r="L478" s="60">
        <f>SUM(J478:K478)</f>
        <v>2266950</v>
      </c>
      <c r="M478" s="231">
        <f t="shared" si="195"/>
        <v>113.12125748502994</v>
      </c>
      <c r="N478" s="231">
        <f t="shared" si="196"/>
        <v>113.12125748502994</v>
      </c>
      <c r="O478" s="231">
        <f t="shared" si="197"/>
        <v>106.33517379640891</v>
      </c>
      <c r="P478" s="231">
        <f>IF(I478&gt;0,IF(L478&gt;=0,L478/I478*100,""),"")</f>
        <v>106.33517379640891</v>
      </c>
    </row>
    <row r="479" spans="1:16" s="16" customFormat="1" hidden="1">
      <c r="A479" s="56" t="s">
        <v>267</v>
      </c>
      <c r="B479" s="33"/>
      <c r="C479" s="211" t="s">
        <v>268</v>
      </c>
      <c r="D479" s="38">
        <f>SUM(D480:D482)</f>
        <v>2004000</v>
      </c>
      <c r="E479" s="38">
        <f>SUM(E480)</f>
        <v>0</v>
      </c>
      <c r="F479" s="38">
        <f t="shared" ref="F479:F488" si="206">SUM(D479:E479)</f>
        <v>2004000</v>
      </c>
      <c r="G479" s="38">
        <f>SUM(G480:G482)</f>
        <v>2131891</v>
      </c>
      <c r="H479" s="38">
        <f>SUM(H480)</f>
        <v>0</v>
      </c>
      <c r="I479" s="38">
        <f t="shared" si="198"/>
        <v>2131891</v>
      </c>
      <c r="J479" s="38">
        <f>SUM(J480:J482)</f>
        <v>2266950</v>
      </c>
      <c r="K479" s="38">
        <f>SUM(K480)</f>
        <v>0</v>
      </c>
      <c r="L479" s="38">
        <f t="shared" ref="L479:L480" si="207">SUM(J479:K479)</f>
        <v>2266950</v>
      </c>
      <c r="M479" s="228">
        <f t="shared" si="195"/>
        <v>113.12125748502994</v>
      </c>
      <c r="N479" s="228">
        <f t="shared" si="196"/>
        <v>113.12125748502994</v>
      </c>
      <c r="O479" s="228">
        <f t="shared" si="197"/>
        <v>106.33517379640891</v>
      </c>
      <c r="P479" s="228">
        <f>IF(I479&gt;0,IF(L479&gt;=0,L479/I479*100,""),"")</f>
        <v>106.33517379640891</v>
      </c>
    </row>
    <row r="480" spans="1:16" s="3" customFormat="1" ht="12.75" customHeight="1">
      <c r="A480" s="46" t="s">
        <v>196</v>
      </c>
      <c r="B480" s="47" t="s">
        <v>416</v>
      </c>
      <c r="C480" s="212" t="s">
        <v>1196</v>
      </c>
      <c r="D480" s="63">
        <v>2004000</v>
      </c>
      <c r="E480" s="63"/>
      <c r="F480" s="38">
        <f t="shared" si="206"/>
        <v>2004000</v>
      </c>
      <c r="G480" s="38">
        <v>2117391</v>
      </c>
      <c r="H480" s="38"/>
      <c r="I480" s="38">
        <f t="shared" si="198"/>
        <v>2117391</v>
      </c>
      <c r="J480" s="38">
        <v>2266950</v>
      </c>
      <c r="K480" s="63"/>
      <c r="L480" s="38">
        <f t="shared" si="207"/>
        <v>2266950</v>
      </c>
      <c r="M480" s="228">
        <f t="shared" si="195"/>
        <v>113.12125748502994</v>
      </c>
      <c r="N480" s="228">
        <f t="shared" si="196"/>
        <v>113.12125748502994</v>
      </c>
      <c r="O480" s="228">
        <f t="shared" si="197"/>
        <v>107.06336241157159</v>
      </c>
      <c r="P480" s="228">
        <f>IF(I480&gt;0,IF(L480&gt;=0,L480/I480*100,""),"")</f>
        <v>107.06336241157159</v>
      </c>
    </row>
    <row r="481" spans="1:16" s="3" customFormat="1" ht="12.75" customHeight="1">
      <c r="A481" s="46" t="s">
        <v>2069</v>
      </c>
      <c r="B481" s="211" t="s">
        <v>2070</v>
      </c>
      <c r="C481" s="212" t="s">
        <v>2114</v>
      </c>
      <c r="D481" s="63"/>
      <c r="E481" s="63"/>
      <c r="F481" s="38"/>
      <c r="G481" s="38">
        <v>9500</v>
      </c>
      <c r="H481" s="38"/>
      <c r="I481" s="38">
        <f t="shared" si="198"/>
        <v>9500</v>
      </c>
      <c r="J481" s="38"/>
      <c r="K481" s="63"/>
      <c r="L481" s="38"/>
      <c r="M481" s="228" t="str">
        <f t="shared" si="195"/>
        <v/>
      </c>
      <c r="N481" s="228" t="str">
        <f t="shared" si="196"/>
        <v/>
      </c>
      <c r="O481" s="228">
        <f t="shared" si="197"/>
        <v>0</v>
      </c>
      <c r="P481" s="228"/>
    </row>
    <row r="482" spans="1:16" s="3" customFormat="1" ht="12.75" customHeight="1">
      <c r="A482" s="46" t="s">
        <v>651</v>
      </c>
      <c r="B482" s="211" t="s">
        <v>650</v>
      </c>
      <c r="C482" s="211" t="s">
        <v>1197</v>
      </c>
      <c r="D482" s="63"/>
      <c r="E482" s="63"/>
      <c r="F482" s="38">
        <f t="shared" si="206"/>
        <v>0</v>
      </c>
      <c r="G482" s="38">
        <v>5000</v>
      </c>
      <c r="H482" s="38"/>
      <c r="I482" s="38">
        <f t="shared" si="198"/>
        <v>5000</v>
      </c>
      <c r="J482" s="38"/>
      <c r="K482" s="63"/>
      <c r="L482" s="38">
        <f t="shared" ref="L482:L486" si="208">SUM(J482:K482)</f>
        <v>0</v>
      </c>
      <c r="M482" s="228" t="str">
        <f t="shared" si="195"/>
        <v/>
      </c>
      <c r="N482" s="228" t="str">
        <f t="shared" si="196"/>
        <v/>
      </c>
      <c r="O482" s="228">
        <f t="shared" si="197"/>
        <v>0</v>
      </c>
      <c r="P482" s="228">
        <f t="shared" ref="P482:P488" si="209">IF(I482&gt;0,IF(L482&gt;=0,L482/I482*100,""),"")</f>
        <v>0</v>
      </c>
    </row>
    <row r="483" spans="1:16" s="3" customFormat="1" hidden="1">
      <c r="A483" s="46" t="s">
        <v>791</v>
      </c>
      <c r="B483" s="33" t="s">
        <v>151</v>
      </c>
      <c r="C483" s="211" t="s">
        <v>1198</v>
      </c>
      <c r="D483" s="63"/>
      <c r="E483" s="63"/>
      <c r="F483" s="38">
        <f t="shared" si="206"/>
        <v>0</v>
      </c>
      <c r="G483" s="38"/>
      <c r="H483" s="38"/>
      <c r="I483" s="38">
        <f t="shared" si="198"/>
        <v>0</v>
      </c>
      <c r="J483" s="38"/>
      <c r="K483" s="63"/>
      <c r="L483" s="38">
        <f t="shared" si="208"/>
        <v>0</v>
      </c>
      <c r="M483" s="228" t="str">
        <f t="shared" si="195"/>
        <v/>
      </c>
      <c r="N483" s="228" t="str">
        <f t="shared" si="196"/>
        <v/>
      </c>
      <c r="O483" s="228" t="str">
        <f t="shared" si="197"/>
        <v/>
      </c>
      <c r="P483" s="228" t="str">
        <f t="shared" si="209"/>
        <v/>
      </c>
    </row>
    <row r="484" spans="1:16" s="16" customFormat="1" ht="6" customHeight="1">
      <c r="A484" s="36"/>
      <c r="B484" s="33"/>
      <c r="C484" s="211" t="s">
        <v>268</v>
      </c>
      <c r="D484" s="38"/>
      <c r="E484" s="38"/>
      <c r="F484" s="38">
        <f t="shared" si="206"/>
        <v>0</v>
      </c>
      <c r="G484" s="38"/>
      <c r="H484" s="38"/>
      <c r="I484" s="38">
        <f t="shared" si="198"/>
        <v>0</v>
      </c>
      <c r="J484" s="38"/>
      <c r="K484" s="38"/>
      <c r="L484" s="38">
        <f t="shared" si="208"/>
        <v>0</v>
      </c>
      <c r="M484" s="228" t="str">
        <f t="shared" si="195"/>
        <v/>
      </c>
      <c r="N484" s="228" t="str">
        <f t="shared" si="196"/>
        <v/>
      </c>
      <c r="O484" s="228" t="str">
        <f t="shared" si="197"/>
        <v/>
      </c>
      <c r="P484" s="228" t="str">
        <f t="shared" si="209"/>
        <v/>
      </c>
    </row>
    <row r="485" spans="1:16" s="3" customFormat="1" ht="12.75">
      <c r="A485" s="58" t="s">
        <v>300</v>
      </c>
      <c r="B485" s="59" t="s">
        <v>265</v>
      </c>
      <c r="C485" s="310" t="s">
        <v>940</v>
      </c>
      <c r="D485" s="42">
        <f>SUM(D487:D488)</f>
        <v>2619000</v>
      </c>
      <c r="E485" s="42">
        <f>SUM(E487:E488)</f>
        <v>0</v>
      </c>
      <c r="F485" s="60">
        <f t="shared" si="206"/>
        <v>2619000</v>
      </c>
      <c r="G485" s="55">
        <f>SUM(G487:G489)</f>
        <v>2739000</v>
      </c>
      <c r="H485" s="55">
        <f>SUM(H487:H488)</f>
        <v>0</v>
      </c>
      <c r="I485" s="60">
        <f t="shared" si="198"/>
        <v>2739000</v>
      </c>
      <c r="J485" s="42">
        <f>SUM(J487:J489)</f>
        <v>2770000</v>
      </c>
      <c r="K485" s="42">
        <f>SUM(K487:K488)</f>
        <v>0</v>
      </c>
      <c r="L485" s="60">
        <f t="shared" si="208"/>
        <v>2770000</v>
      </c>
      <c r="M485" s="231">
        <f t="shared" si="195"/>
        <v>105.76555937380681</v>
      </c>
      <c r="N485" s="231">
        <f t="shared" si="196"/>
        <v>105.76555937380681</v>
      </c>
      <c r="O485" s="231">
        <f t="shared" si="197"/>
        <v>101.13179992698065</v>
      </c>
      <c r="P485" s="231">
        <f t="shared" si="209"/>
        <v>101.13179992698065</v>
      </c>
    </row>
    <row r="486" spans="1:16" s="3" customFormat="1" ht="12.75" customHeight="1">
      <c r="A486" s="36" t="s">
        <v>267</v>
      </c>
      <c r="B486" s="47"/>
      <c r="C486" s="212" t="s">
        <v>268</v>
      </c>
      <c r="D486" s="77">
        <f>SUM(D487:D488)</f>
        <v>2619000</v>
      </c>
      <c r="E486" s="77"/>
      <c r="F486" s="38">
        <f t="shared" si="206"/>
        <v>2619000</v>
      </c>
      <c r="G486" s="109">
        <f>SUM(G487:G488)</f>
        <v>2725500</v>
      </c>
      <c r="H486" s="109"/>
      <c r="I486" s="38">
        <f t="shared" si="198"/>
        <v>2725500</v>
      </c>
      <c r="J486" s="77">
        <f>SUM(J487:J488)</f>
        <v>2770000</v>
      </c>
      <c r="K486" s="77"/>
      <c r="L486" s="38">
        <f t="shared" si="208"/>
        <v>2770000</v>
      </c>
      <c r="M486" s="228">
        <f t="shared" si="195"/>
        <v>105.76555937380681</v>
      </c>
      <c r="N486" s="228">
        <f t="shared" si="196"/>
        <v>105.76555937380681</v>
      </c>
      <c r="O486" s="228">
        <f t="shared" si="197"/>
        <v>101.63272793982756</v>
      </c>
      <c r="P486" s="228">
        <f t="shared" si="209"/>
        <v>101.63272793982756</v>
      </c>
    </row>
    <row r="487" spans="1:16" s="3" customFormat="1" ht="12.75" customHeight="1">
      <c r="A487" s="46" t="s">
        <v>196</v>
      </c>
      <c r="B487" s="47" t="s">
        <v>416</v>
      </c>
      <c r="C487" s="212" t="s">
        <v>1199</v>
      </c>
      <c r="D487" s="63">
        <v>2589000</v>
      </c>
      <c r="E487" s="63"/>
      <c r="F487" s="38">
        <f t="shared" si="206"/>
        <v>2589000</v>
      </c>
      <c r="G487" s="38">
        <v>2675500</v>
      </c>
      <c r="H487" s="38"/>
      <c r="I487" s="38">
        <f t="shared" si="198"/>
        <v>2675500</v>
      </c>
      <c r="J487" s="38">
        <v>2720000</v>
      </c>
      <c r="K487" s="63"/>
      <c r="L487" s="38">
        <f t="shared" ref="L487:L488" si="210">SUM(J487:K487)</f>
        <v>2720000</v>
      </c>
      <c r="M487" s="228">
        <f t="shared" si="195"/>
        <v>105.05986867516415</v>
      </c>
      <c r="N487" s="228">
        <f t="shared" si="196"/>
        <v>105.05986867516415</v>
      </c>
      <c r="O487" s="228">
        <f t="shared" si="197"/>
        <v>101.66324051579143</v>
      </c>
      <c r="P487" s="228">
        <f t="shared" si="209"/>
        <v>101.66324051579143</v>
      </c>
    </row>
    <row r="488" spans="1:16" s="3" customFormat="1" ht="12.75" customHeight="1">
      <c r="A488" s="36" t="s">
        <v>651</v>
      </c>
      <c r="B488" s="33" t="s">
        <v>650</v>
      </c>
      <c r="C488" s="211" t="s">
        <v>1200</v>
      </c>
      <c r="D488" s="63">
        <v>30000</v>
      </c>
      <c r="E488" s="63"/>
      <c r="F488" s="38">
        <f t="shared" si="206"/>
        <v>30000</v>
      </c>
      <c r="G488" s="38">
        <v>50000</v>
      </c>
      <c r="H488" s="38"/>
      <c r="I488" s="38">
        <f t="shared" si="198"/>
        <v>50000</v>
      </c>
      <c r="J488" s="38">
        <v>50000</v>
      </c>
      <c r="K488" s="63"/>
      <c r="L488" s="38">
        <f t="shared" si="210"/>
        <v>50000</v>
      </c>
      <c r="M488" s="228">
        <f t="shared" si="195"/>
        <v>166.66666666666669</v>
      </c>
      <c r="N488" s="228">
        <f t="shared" si="196"/>
        <v>166.66666666666669</v>
      </c>
      <c r="O488" s="228">
        <f t="shared" si="197"/>
        <v>100</v>
      </c>
      <c r="P488" s="228">
        <f t="shared" si="209"/>
        <v>100</v>
      </c>
    </row>
    <row r="489" spans="1:16" s="3" customFormat="1" ht="12.75" customHeight="1">
      <c r="A489" s="354" t="s">
        <v>791</v>
      </c>
      <c r="B489" s="311" t="s">
        <v>151</v>
      </c>
      <c r="C489" s="311" t="s">
        <v>2231</v>
      </c>
      <c r="D489" s="67"/>
      <c r="E489" s="67"/>
      <c r="F489" s="61"/>
      <c r="G489" s="61">
        <v>13500</v>
      </c>
      <c r="H489" s="61"/>
      <c r="I489" s="61">
        <f t="shared" si="198"/>
        <v>13500</v>
      </c>
      <c r="J489" s="61"/>
      <c r="K489" s="67"/>
      <c r="L489" s="61"/>
      <c r="M489" s="363" t="str">
        <f t="shared" si="195"/>
        <v/>
      </c>
      <c r="N489" s="363" t="str">
        <f t="shared" si="196"/>
        <v/>
      </c>
      <c r="O489" s="363">
        <f t="shared" si="197"/>
        <v>0</v>
      </c>
      <c r="P489" s="363"/>
    </row>
    <row r="490" spans="1:16" s="16" customFormat="1" ht="6" customHeight="1">
      <c r="A490" s="80"/>
      <c r="B490" s="79"/>
      <c r="C490" s="302" t="s">
        <v>268</v>
      </c>
      <c r="D490" s="76"/>
      <c r="E490" s="116"/>
      <c r="F490" s="116"/>
      <c r="G490" s="116"/>
      <c r="H490" s="116"/>
      <c r="I490" s="116"/>
      <c r="J490" s="116"/>
      <c r="K490" s="116"/>
      <c r="L490" s="116"/>
      <c r="M490" s="234" t="str">
        <f t="shared" si="195"/>
        <v/>
      </c>
      <c r="N490" s="234" t="str">
        <f t="shared" si="196"/>
        <v/>
      </c>
      <c r="O490" s="234" t="str">
        <f t="shared" si="197"/>
        <v/>
      </c>
      <c r="P490" s="234" t="str">
        <f>IF(I490&gt;0,IF(L490&gt;=0,L490/I490*100,""),"")</f>
        <v/>
      </c>
    </row>
    <row r="491" spans="1:16" s="3" customFormat="1" ht="12.75">
      <c r="A491" s="58" t="s">
        <v>301</v>
      </c>
      <c r="B491" s="59" t="s">
        <v>265</v>
      </c>
      <c r="C491" s="310" t="s">
        <v>940</v>
      </c>
      <c r="D491" s="42">
        <f>SUM(D493:D494)</f>
        <v>1539000</v>
      </c>
      <c r="E491" s="90"/>
      <c r="F491" s="60">
        <f>SUM(D491:E491)</f>
        <v>1539000</v>
      </c>
      <c r="G491" s="55">
        <f>SUM(G493:G494)</f>
        <v>1647400</v>
      </c>
      <c r="H491" s="60"/>
      <c r="I491" s="60">
        <f t="shared" ref="I491:I500" si="211">SUM(G491:H491)</f>
        <v>1647400</v>
      </c>
      <c r="J491" s="60">
        <f>SUM(J493:J494)</f>
        <v>1742500</v>
      </c>
      <c r="K491" s="90"/>
      <c r="L491" s="60">
        <f>SUM(J491:K491)</f>
        <v>1742500</v>
      </c>
      <c r="M491" s="231">
        <f t="shared" si="195"/>
        <v>113.22287199480181</v>
      </c>
      <c r="N491" s="231">
        <f t="shared" si="196"/>
        <v>113.22287199480181</v>
      </c>
      <c r="O491" s="231">
        <f t="shared" si="197"/>
        <v>105.77273279106471</v>
      </c>
      <c r="P491" s="231">
        <f>IF(I491&gt;0,IF(L491&gt;=0,L491/I491*100,""),"")</f>
        <v>105.77273279106471</v>
      </c>
    </row>
    <row r="492" spans="1:16" s="3" customFormat="1" hidden="1">
      <c r="A492" s="36" t="s">
        <v>267</v>
      </c>
      <c r="B492" s="47"/>
      <c r="C492" s="212" t="s">
        <v>268</v>
      </c>
      <c r="D492" s="38">
        <f>SUM(D493:D494)</f>
        <v>1539000</v>
      </c>
      <c r="E492" s="77"/>
      <c r="F492" s="38">
        <f t="shared" ref="F492:F495" si="212">SUM(D492:E492)</f>
        <v>1539000</v>
      </c>
      <c r="G492" s="38">
        <f>SUM(G493:G494)</f>
        <v>1647400</v>
      </c>
      <c r="H492" s="109"/>
      <c r="I492" s="38">
        <f t="shared" si="211"/>
        <v>1647400</v>
      </c>
      <c r="J492" s="38">
        <f>SUM(J493:J494)</f>
        <v>1742500</v>
      </c>
      <c r="K492" s="77"/>
      <c r="L492" s="38">
        <f t="shared" ref="L492" si="213">SUM(J492:K492)</f>
        <v>1742500</v>
      </c>
      <c r="M492" s="228">
        <f t="shared" si="195"/>
        <v>113.22287199480181</v>
      </c>
      <c r="N492" s="228">
        <f t="shared" si="196"/>
        <v>113.22287199480181</v>
      </c>
      <c r="O492" s="228">
        <f t="shared" si="197"/>
        <v>105.77273279106471</v>
      </c>
      <c r="P492" s="228">
        <f>IF(I492&gt;0,IF(L492&gt;=0,L492/I492*100,""),"")</f>
        <v>105.77273279106471</v>
      </c>
    </row>
    <row r="493" spans="1:16" s="3" customFormat="1" ht="12.75" customHeight="1">
      <c r="A493" s="46" t="s">
        <v>196</v>
      </c>
      <c r="B493" s="47" t="s">
        <v>416</v>
      </c>
      <c r="C493" s="212" t="s">
        <v>1201</v>
      </c>
      <c r="D493" s="63">
        <v>1539000</v>
      </c>
      <c r="E493" s="63"/>
      <c r="F493" s="38">
        <f t="shared" si="212"/>
        <v>1539000</v>
      </c>
      <c r="G493" s="38">
        <v>1645400</v>
      </c>
      <c r="H493" s="38"/>
      <c r="I493" s="38">
        <f t="shared" si="211"/>
        <v>1645400</v>
      </c>
      <c r="J493" s="38">
        <v>1742500</v>
      </c>
      <c r="K493" s="63"/>
      <c r="L493" s="38">
        <f t="shared" ref="L493:L495" si="214">SUM(J493:K493)</f>
        <v>1742500</v>
      </c>
      <c r="M493" s="228">
        <f t="shared" si="195"/>
        <v>113.22287199480181</v>
      </c>
      <c r="N493" s="228">
        <f t="shared" si="196"/>
        <v>113.22287199480181</v>
      </c>
      <c r="O493" s="228">
        <f t="shared" si="197"/>
        <v>105.90130059559985</v>
      </c>
      <c r="P493" s="228">
        <f>IF(I493&gt;0,IF(L493&gt;=0,L493/I493*100,""),"")</f>
        <v>105.90130059559985</v>
      </c>
    </row>
    <row r="494" spans="1:16" s="3" customFormat="1" ht="12.75" customHeight="1">
      <c r="A494" s="46" t="s">
        <v>2069</v>
      </c>
      <c r="B494" s="212" t="s">
        <v>2070</v>
      </c>
      <c r="C494" s="212" t="s">
        <v>2115</v>
      </c>
      <c r="D494" s="63"/>
      <c r="E494" s="63"/>
      <c r="F494" s="38"/>
      <c r="G494" s="38">
        <v>2000</v>
      </c>
      <c r="H494" s="38"/>
      <c r="I494" s="38">
        <f t="shared" si="211"/>
        <v>2000</v>
      </c>
      <c r="J494" s="38"/>
      <c r="K494" s="63"/>
      <c r="L494" s="38"/>
      <c r="M494" s="228" t="str">
        <f t="shared" si="195"/>
        <v/>
      </c>
      <c r="N494" s="228" t="str">
        <f t="shared" si="196"/>
        <v/>
      </c>
      <c r="O494" s="228">
        <f t="shared" si="197"/>
        <v>0</v>
      </c>
      <c r="P494" s="228"/>
    </row>
    <row r="495" spans="1:16" s="16" customFormat="1" ht="6" customHeight="1">
      <c r="A495" s="36"/>
      <c r="B495" s="33"/>
      <c r="C495" s="211" t="s">
        <v>268</v>
      </c>
      <c r="D495" s="38"/>
      <c r="E495" s="38"/>
      <c r="F495" s="38">
        <f t="shared" si="212"/>
        <v>0</v>
      </c>
      <c r="G495" s="38"/>
      <c r="H495" s="38"/>
      <c r="I495" s="38">
        <f t="shared" si="211"/>
        <v>0</v>
      </c>
      <c r="J495" s="38"/>
      <c r="K495" s="38"/>
      <c r="L495" s="38">
        <f t="shared" si="214"/>
        <v>0</v>
      </c>
      <c r="M495" s="228" t="str">
        <f t="shared" si="195"/>
        <v/>
      </c>
      <c r="N495" s="228" t="str">
        <f t="shared" si="196"/>
        <v/>
      </c>
      <c r="O495" s="228" t="str">
        <f t="shared" si="197"/>
        <v/>
      </c>
      <c r="P495" s="228" t="str">
        <f t="shared" ref="P495:P508" si="215">IF(I495&gt;0,IF(L495&gt;=0,L495/I495*100,""),"")</f>
        <v/>
      </c>
    </row>
    <row r="496" spans="1:16" s="3" customFormat="1" ht="12.75">
      <c r="A496" s="58" t="s">
        <v>407</v>
      </c>
      <c r="B496" s="59" t="s">
        <v>265</v>
      </c>
      <c r="C496" s="310" t="s">
        <v>940</v>
      </c>
      <c r="D496" s="42">
        <f>SUM(D498:D500)</f>
        <v>2577000</v>
      </c>
      <c r="E496" s="42">
        <f>SUM(E498:E500)</f>
        <v>0</v>
      </c>
      <c r="F496" s="42">
        <f>SUM(D496:E496)</f>
        <v>2577000</v>
      </c>
      <c r="G496" s="55">
        <f>SUM(G498:G500)</f>
        <v>2718300</v>
      </c>
      <c r="H496" s="55">
        <f>SUM(H498:H500)</f>
        <v>0</v>
      </c>
      <c r="I496" s="55">
        <f t="shared" si="211"/>
        <v>2718300</v>
      </c>
      <c r="J496" s="42">
        <f>SUM(J498:J500)</f>
        <v>2348000</v>
      </c>
      <c r="K496" s="42">
        <f>SUM(K498:K500)</f>
        <v>0</v>
      </c>
      <c r="L496" s="42">
        <f>SUM(J496:K496)</f>
        <v>2348000</v>
      </c>
      <c r="M496" s="225">
        <f t="shared" si="195"/>
        <v>91.113698098564228</v>
      </c>
      <c r="N496" s="225">
        <f t="shared" si="196"/>
        <v>91.113698098564228</v>
      </c>
      <c r="O496" s="225">
        <f t="shared" si="197"/>
        <v>86.377515358864002</v>
      </c>
      <c r="P496" s="225">
        <f t="shared" si="215"/>
        <v>86.377515358864002</v>
      </c>
    </row>
    <row r="497" spans="1:16" s="16" customFormat="1" hidden="1">
      <c r="A497" s="56" t="s">
        <v>267</v>
      </c>
      <c r="B497" s="33"/>
      <c r="C497" s="211" t="s">
        <v>268</v>
      </c>
      <c r="D497" s="38">
        <f>SUM(D498:D499)</f>
        <v>2577000</v>
      </c>
      <c r="E497" s="38">
        <f>SUM(E498:E499)</f>
        <v>0</v>
      </c>
      <c r="F497" s="38">
        <f t="shared" ref="F497:F498" si="216">SUM(D497:E497)</f>
        <v>2577000</v>
      </c>
      <c r="G497" s="38">
        <f>SUM(G498:G499)</f>
        <v>2718300</v>
      </c>
      <c r="H497" s="38">
        <f>SUM(H498:H499)</f>
        <v>0</v>
      </c>
      <c r="I497" s="38">
        <f t="shared" si="211"/>
        <v>2718300</v>
      </c>
      <c r="J497" s="38">
        <f>SUM(J498:J499)</f>
        <v>2348000</v>
      </c>
      <c r="K497" s="38">
        <f>SUM(K498:K499)</f>
        <v>0</v>
      </c>
      <c r="L497" s="38">
        <f t="shared" ref="L497:L498" si="217">SUM(J497:K497)</f>
        <v>2348000</v>
      </c>
      <c r="M497" s="228">
        <f t="shared" si="195"/>
        <v>91.113698098564228</v>
      </c>
      <c r="N497" s="228">
        <f t="shared" si="196"/>
        <v>91.113698098564228</v>
      </c>
      <c r="O497" s="228">
        <f t="shared" si="197"/>
        <v>86.377515358864002</v>
      </c>
      <c r="P497" s="228">
        <f t="shared" si="215"/>
        <v>86.377515358864002</v>
      </c>
    </row>
    <row r="498" spans="1:16" s="3" customFormat="1" ht="12.75" customHeight="1">
      <c r="A498" s="46" t="s">
        <v>196</v>
      </c>
      <c r="B498" s="47" t="s">
        <v>416</v>
      </c>
      <c r="C498" s="212" t="s">
        <v>1202</v>
      </c>
      <c r="D498" s="63">
        <f>2389000+50000+50000</f>
        <v>2489000</v>
      </c>
      <c r="E498" s="63"/>
      <c r="F498" s="63">
        <f t="shared" si="216"/>
        <v>2489000</v>
      </c>
      <c r="G498" s="38">
        <v>2621300</v>
      </c>
      <c r="H498" s="38"/>
      <c r="I498" s="38">
        <f t="shared" si="211"/>
        <v>2621300</v>
      </c>
      <c r="J498" s="63">
        <v>2210000</v>
      </c>
      <c r="K498" s="63"/>
      <c r="L498" s="63">
        <f t="shared" si="217"/>
        <v>2210000</v>
      </c>
      <c r="M498" s="218">
        <f t="shared" si="195"/>
        <v>88.790678987545206</v>
      </c>
      <c r="N498" s="218">
        <f t="shared" si="196"/>
        <v>88.790678987545206</v>
      </c>
      <c r="O498" s="218">
        <f t="shared" si="197"/>
        <v>84.309312173349099</v>
      </c>
      <c r="P498" s="218">
        <f t="shared" si="215"/>
        <v>84.309312173349099</v>
      </c>
    </row>
    <row r="499" spans="1:16" s="3" customFormat="1" ht="12.75" customHeight="1">
      <c r="A499" s="46" t="s">
        <v>651</v>
      </c>
      <c r="B499" s="33" t="s">
        <v>650</v>
      </c>
      <c r="C499" s="211" t="s">
        <v>1203</v>
      </c>
      <c r="D499" s="63">
        <v>88000</v>
      </c>
      <c r="E499" s="63"/>
      <c r="F499" s="63">
        <f>SUM(D499:E499)</f>
        <v>88000</v>
      </c>
      <c r="G499" s="38">
        <v>97000</v>
      </c>
      <c r="H499" s="38"/>
      <c r="I499" s="38">
        <f t="shared" si="211"/>
        <v>97000</v>
      </c>
      <c r="J499" s="63">
        <v>138000</v>
      </c>
      <c r="K499" s="63"/>
      <c r="L499" s="63">
        <f>SUM(J499:K499)</f>
        <v>138000</v>
      </c>
      <c r="M499" s="218">
        <f t="shared" si="195"/>
        <v>156.81818181818181</v>
      </c>
      <c r="N499" s="218">
        <f t="shared" si="196"/>
        <v>156.81818181818181</v>
      </c>
      <c r="O499" s="218">
        <f t="shared" si="197"/>
        <v>142.26804123711341</v>
      </c>
      <c r="P499" s="218">
        <f t="shared" si="215"/>
        <v>142.26804123711341</v>
      </c>
    </row>
    <row r="500" spans="1:16" s="3" customFormat="1" hidden="1">
      <c r="A500" s="46" t="s">
        <v>791</v>
      </c>
      <c r="B500" s="33" t="s">
        <v>151</v>
      </c>
      <c r="C500" s="211" t="s">
        <v>1204</v>
      </c>
      <c r="D500" s="63"/>
      <c r="E500" s="63"/>
      <c r="F500" s="63">
        <f>SUM(D500:E500)</f>
        <v>0</v>
      </c>
      <c r="G500" s="38"/>
      <c r="H500" s="38"/>
      <c r="I500" s="38">
        <f t="shared" si="211"/>
        <v>0</v>
      </c>
      <c r="J500" s="63"/>
      <c r="K500" s="63"/>
      <c r="L500" s="63">
        <f>SUM(J500:K500)</f>
        <v>0</v>
      </c>
      <c r="M500" s="218" t="str">
        <f t="shared" si="195"/>
        <v/>
      </c>
      <c r="N500" s="218" t="str">
        <f t="shared" si="196"/>
        <v/>
      </c>
      <c r="O500" s="218" t="str">
        <f t="shared" si="197"/>
        <v/>
      </c>
      <c r="P500" s="218" t="str">
        <f t="shared" si="215"/>
        <v/>
      </c>
    </row>
    <row r="501" spans="1:16" s="3" customFormat="1" ht="6" customHeight="1">
      <c r="A501" s="46"/>
      <c r="B501" s="47"/>
      <c r="C501" s="212" t="s">
        <v>268</v>
      </c>
      <c r="D501" s="63"/>
      <c r="E501" s="63"/>
      <c r="F501" s="63"/>
      <c r="G501" s="38"/>
      <c r="H501" s="38"/>
      <c r="I501" s="38"/>
      <c r="J501" s="63"/>
      <c r="K501" s="63"/>
      <c r="L501" s="63"/>
      <c r="M501" s="218" t="str">
        <f t="shared" si="195"/>
        <v/>
      </c>
      <c r="N501" s="218" t="str">
        <f t="shared" si="196"/>
        <v/>
      </c>
      <c r="O501" s="218" t="str">
        <f t="shared" si="197"/>
        <v/>
      </c>
      <c r="P501" s="218" t="str">
        <f t="shared" si="215"/>
        <v/>
      </c>
    </row>
    <row r="502" spans="1:16" s="3" customFormat="1" ht="12.75">
      <c r="A502" s="58" t="s">
        <v>302</v>
      </c>
      <c r="B502" s="59" t="s">
        <v>265</v>
      </c>
      <c r="C502" s="310" t="s">
        <v>940</v>
      </c>
      <c r="D502" s="42">
        <f>SUM(D504:D504)</f>
        <v>2613000</v>
      </c>
      <c r="E502" s="90"/>
      <c r="F502" s="42">
        <f>SUM(D502:E502)</f>
        <v>2613000</v>
      </c>
      <c r="G502" s="55">
        <f>SUM(G504:G504)</f>
        <v>2699100</v>
      </c>
      <c r="H502" s="60"/>
      <c r="I502" s="55">
        <f>SUM(G502:H502)</f>
        <v>2699100</v>
      </c>
      <c r="J502" s="42">
        <f>SUM(J504:J504)</f>
        <v>2550000</v>
      </c>
      <c r="K502" s="90"/>
      <c r="L502" s="42">
        <f>SUM(J502:K502)</f>
        <v>2550000</v>
      </c>
      <c r="M502" s="225">
        <f t="shared" si="195"/>
        <v>97.588978185993113</v>
      </c>
      <c r="N502" s="225">
        <f t="shared" si="196"/>
        <v>97.588978185993113</v>
      </c>
      <c r="O502" s="225">
        <f t="shared" si="197"/>
        <v>94.475936423252193</v>
      </c>
      <c r="P502" s="225">
        <f t="shared" si="215"/>
        <v>94.475936423252193</v>
      </c>
    </row>
    <row r="503" spans="1:16" s="3" customFormat="1" hidden="1">
      <c r="A503" s="36" t="s">
        <v>267</v>
      </c>
      <c r="B503" s="47"/>
      <c r="C503" s="212" t="s">
        <v>268</v>
      </c>
      <c r="D503" s="38">
        <f>SUM(D504:D504)</f>
        <v>2613000</v>
      </c>
      <c r="E503" s="77"/>
      <c r="F503" s="63">
        <f>SUM(D503:E503)</f>
        <v>2613000</v>
      </c>
      <c r="G503" s="38">
        <f>SUM(G504:G504)</f>
        <v>2699100</v>
      </c>
      <c r="H503" s="109"/>
      <c r="I503" s="38">
        <f>SUM(G503:H503)</f>
        <v>2699100</v>
      </c>
      <c r="J503" s="63">
        <f>SUM(J504:J504)</f>
        <v>2550000</v>
      </c>
      <c r="K503" s="77"/>
      <c r="L503" s="63">
        <f>SUM(J503:K503)</f>
        <v>2550000</v>
      </c>
      <c r="M503" s="218">
        <f t="shared" si="195"/>
        <v>97.588978185993113</v>
      </c>
      <c r="N503" s="218">
        <f t="shared" si="196"/>
        <v>97.588978185993113</v>
      </c>
      <c r="O503" s="218">
        <f t="shared" si="197"/>
        <v>94.475936423252193</v>
      </c>
      <c r="P503" s="218">
        <f t="shared" si="215"/>
        <v>94.475936423252193</v>
      </c>
    </row>
    <row r="504" spans="1:16" s="3" customFormat="1" ht="12.75" customHeight="1">
      <c r="A504" s="46" t="s">
        <v>196</v>
      </c>
      <c r="B504" s="47" t="s">
        <v>416</v>
      </c>
      <c r="C504" s="212" t="s">
        <v>1205</v>
      </c>
      <c r="D504" s="63">
        <v>2613000</v>
      </c>
      <c r="E504" s="63"/>
      <c r="F504" s="63">
        <f>SUM(D504:E504)</f>
        <v>2613000</v>
      </c>
      <c r="G504" s="38">
        <v>2699100</v>
      </c>
      <c r="H504" s="38"/>
      <c r="I504" s="38">
        <f>SUM(G504:H504)</f>
        <v>2699100</v>
      </c>
      <c r="J504" s="63">
        <v>2550000</v>
      </c>
      <c r="K504" s="63"/>
      <c r="L504" s="63">
        <f>SUM(J504:K504)</f>
        <v>2550000</v>
      </c>
      <c r="M504" s="218">
        <f t="shared" si="195"/>
        <v>97.588978185993113</v>
      </c>
      <c r="N504" s="218">
        <f t="shared" si="196"/>
        <v>97.588978185993113</v>
      </c>
      <c r="O504" s="218">
        <f t="shared" si="197"/>
        <v>94.475936423252193</v>
      </c>
      <c r="P504" s="218">
        <f t="shared" si="215"/>
        <v>94.475936423252193</v>
      </c>
    </row>
    <row r="505" spans="1:16" s="3" customFormat="1" ht="6" customHeight="1">
      <c r="A505" s="46"/>
      <c r="B505" s="47"/>
      <c r="C505" s="212" t="s">
        <v>268</v>
      </c>
      <c r="D505" s="63"/>
      <c r="E505" s="63"/>
      <c r="F505" s="63"/>
      <c r="G505" s="38"/>
      <c r="H505" s="38"/>
      <c r="I505" s="38"/>
      <c r="J505" s="63"/>
      <c r="K505" s="63"/>
      <c r="L505" s="63"/>
      <c r="M505" s="218" t="str">
        <f t="shared" si="195"/>
        <v/>
      </c>
      <c r="N505" s="218" t="str">
        <f t="shared" si="196"/>
        <v/>
      </c>
      <c r="O505" s="218" t="str">
        <f t="shared" si="197"/>
        <v/>
      </c>
      <c r="P505" s="218" t="str">
        <f t="shared" si="215"/>
        <v/>
      </c>
    </row>
    <row r="506" spans="1:16" s="3" customFormat="1" ht="12.75">
      <c r="A506" s="58" t="s">
        <v>408</v>
      </c>
      <c r="B506" s="59" t="s">
        <v>265</v>
      </c>
      <c r="C506" s="310" t="s">
        <v>940</v>
      </c>
      <c r="D506" s="42">
        <f>SUM(D508:D508)</f>
        <v>2117000</v>
      </c>
      <c r="E506" s="90">
        <f>SUM(E508:E508)</f>
        <v>0</v>
      </c>
      <c r="F506" s="42">
        <f>SUM(D506:E506)</f>
        <v>2117000</v>
      </c>
      <c r="G506" s="55">
        <f>SUM(G508:G509)</f>
        <v>2239600</v>
      </c>
      <c r="H506" s="60">
        <f>SUM(H508:H508)</f>
        <v>0</v>
      </c>
      <c r="I506" s="55">
        <f>SUM(G506:H506)</f>
        <v>2239600</v>
      </c>
      <c r="J506" s="42">
        <f>SUM(J508:J509)</f>
        <v>2099500</v>
      </c>
      <c r="K506" s="90">
        <f>SUM(K508:K508)</f>
        <v>0</v>
      </c>
      <c r="L506" s="42">
        <f>SUM(J506:K506)</f>
        <v>2099500</v>
      </c>
      <c r="M506" s="225">
        <f t="shared" si="195"/>
        <v>99.173358526216347</v>
      </c>
      <c r="N506" s="225">
        <f t="shared" si="196"/>
        <v>99.173358526216347</v>
      </c>
      <c r="O506" s="225">
        <f t="shared" si="197"/>
        <v>93.744418646186816</v>
      </c>
      <c r="P506" s="225">
        <f t="shared" si="215"/>
        <v>93.744418646186816</v>
      </c>
    </row>
    <row r="507" spans="1:16" s="3" customFormat="1" hidden="1">
      <c r="A507" s="36" t="s">
        <v>267</v>
      </c>
      <c r="B507" s="47"/>
      <c r="C507" s="212" t="s">
        <v>268</v>
      </c>
      <c r="D507" s="38">
        <f>SUM(D508:D509)</f>
        <v>2117000</v>
      </c>
      <c r="E507" s="77"/>
      <c r="F507" s="63">
        <f>SUM(D507:E507)</f>
        <v>2117000</v>
      </c>
      <c r="G507" s="38">
        <f>SUM(G508:G509)</f>
        <v>2239600</v>
      </c>
      <c r="H507" s="109"/>
      <c r="I507" s="38">
        <f>SUM(G507:H507)</f>
        <v>2239600</v>
      </c>
      <c r="J507" s="38">
        <f>SUM(J508:J509)</f>
        <v>2099500</v>
      </c>
      <c r="K507" s="77"/>
      <c r="L507" s="63">
        <f>SUM(J507:K507)</f>
        <v>2099500</v>
      </c>
      <c r="M507" s="218">
        <f t="shared" si="195"/>
        <v>99.173358526216347</v>
      </c>
      <c r="N507" s="218">
        <f t="shared" si="196"/>
        <v>99.173358526216347</v>
      </c>
      <c r="O507" s="218">
        <f t="shared" si="197"/>
        <v>93.744418646186816</v>
      </c>
      <c r="P507" s="218">
        <f t="shared" si="215"/>
        <v>93.744418646186816</v>
      </c>
    </row>
    <row r="508" spans="1:16" s="3" customFormat="1" ht="12.75" customHeight="1">
      <c r="A508" s="46" t="s">
        <v>196</v>
      </c>
      <c r="B508" s="47" t="s">
        <v>416</v>
      </c>
      <c r="C508" s="212" t="s">
        <v>1206</v>
      </c>
      <c r="D508" s="63">
        <v>2117000</v>
      </c>
      <c r="E508" s="63"/>
      <c r="F508" s="63">
        <f>SUM(D508:E508)</f>
        <v>2117000</v>
      </c>
      <c r="G508" s="38">
        <v>2227600</v>
      </c>
      <c r="H508" s="38"/>
      <c r="I508" s="38">
        <f>SUM(G508:H508)</f>
        <v>2227600</v>
      </c>
      <c r="J508" s="63">
        <v>2099500</v>
      </c>
      <c r="K508" s="63"/>
      <c r="L508" s="63">
        <f>SUM(J508:K508)</f>
        <v>2099500</v>
      </c>
      <c r="M508" s="218">
        <f t="shared" si="195"/>
        <v>99.173358526216347</v>
      </c>
      <c r="N508" s="218">
        <f t="shared" si="196"/>
        <v>99.173358526216347</v>
      </c>
      <c r="O508" s="218">
        <f t="shared" si="197"/>
        <v>94.249416412282272</v>
      </c>
      <c r="P508" s="218">
        <f t="shared" si="215"/>
        <v>94.249416412282272</v>
      </c>
    </row>
    <row r="509" spans="1:16" s="3" customFormat="1" ht="12.75" customHeight="1">
      <c r="A509" s="46" t="s">
        <v>2069</v>
      </c>
      <c r="B509" s="212" t="s">
        <v>2070</v>
      </c>
      <c r="C509" s="212" t="s">
        <v>2116</v>
      </c>
      <c r="D509" s="63"/>
      <c r="E509" s="63"/>
      <c r="F509" s="63"/>
      <c r="G509" s="38">
        <v>12000</v>
      </c>
      <c r="H509" s="38"/>
      <c r="I509" s="38">
        <f>SUM(G509:H509)</f>
        <v>12000</v>
      </c>
      <c r="J509" s="63"/>
      <c r="K509" s="63"/>
      <c r="L509" s="63"/>
      <c r="M509" s="218" t="str">
        <f t="shared" si="195"/>
        <v/>
      </c>
      <c r="N509" s="218" t="str">
        <f t="shared" si="196"/>
        <v/>
      </c>
      <c r="O509" s="218">
        <f t="shared" si="197"/>
        <v>0</v>
      </c>
      <c r="P509" s="218"/>
    </row>
    <row r="510" spans="1:16" s="3" customFormat="1" ht="6" customHeight="1">
      <c r="A510" s="46"/>
      <c r="B510" s="47"/>
      <c r="C510" s="212" t="s">
        <v>268</v>
      </c>
      <c r="D510" s="63"/>
      <c r="E510" s="63"/>
      <c r="F510" s="63"/>
      <c r="G510" s="38"/>
      <c r="H510" s="38"/>
      <c r="I510" s="38"/>
      <c r="J510" s="63"/>
      <c r="K510" s="63"/>
      <c r="L510" s="63"/>
      <c r="M510" s="218" t="str">
        <f t="shared" si="195"/>
        <v/>
      </c>
      <c r="N510" s="218" t="str">
        <f t="shared" si="196"/>
        <v/>
      </c>
      <c r="O510" s="218" t="str">
        <f t="shared" si="197"/>
        <v/>
      </c>
      <c r="P510" s="218" t="str">
        <f>IF(I510&gt;0,IF(L510&gt;=0,L510/I510*100,""),"")</f>
        <v/>
      </c>
    </row>
    <row r="511" spans="1:16" s="11" customFormat="1" ht="12.75">
      <c r="A511" s="58" t="s">
        <v>369</v>
      </c>
      <c r="B511" s="65" t="s">
        <v>265</v>
      </c>
      <c r="C511" s="308" t="s">
        <v>940</v>
      </c>
      <c r="D511" s="90">
        <f>SUM(D513:D515)</f>
        <v>2829000</v>
      </c>
      <c r="E511" s="90">
        <f>SUM(E513:E515)</f>
        <v>0</v>
      </c>
      <c r="F511" s="42">
        <f t="shared" ref="F511:F515" si="218">SUM(D511:E511)</f>
        <v>2829000</v>
      </c>
      <c r="G511" s="60">
        <f>SUM(G513:G515)</f>
        <v>2858000</v>
      </c>
      <c r="H511" s="60">
        <f>SUM(H513:H515)</f>
        <v>0</v>
      </c>
      <c r="I511" s="55">
        <f t="shared" ref="I511:I515" si="219">SUM(G511:H511)</f>
        <v>2858000</v>
      </c>
      <c r="J511" s="42">
        <f>SUM(J513:J515)</f>
        <v>2864500</v>
      </c>
      <c r="K511" s="90">
        <f>SUM(K513:K515)</f>
        <v>0</v>
      </c>
      <c r="L511" s="42">
        <f t="shared" ref="L511:L515" si="220">SUM(J511:K511)</f>
        <v>2864500</v>
      </c>
      <c r="M511" s="225">
        <f t="shared" si="195"/>
        <v>101.25486037469071</v>
      </c>
      <c r="N511" s="225">
        <f t="shared" si="196"/>
        <v>101.25486037469071</v>
      </c>
      <c r="O511" s="225">
        <f t="shared" si="197"/>
        <v>100.22743177046887</v>
      </c>
      <c r="P511" s="225">
        <f>IF(I511&gt;0,IF(L511&gt;=0,L511/I511*100,""),"")</f>
        <v>100.22743177046887</v>
      </c>
    </row>
    <row r="512" spans="1:16" s="16" customFormat="1" ht="12.75" customHeight="1">
      <c r="A512" s="56" t="s">
        <v>267</v>
      </c>
      <c r="B512" s="33"/>
      <c r="C512" s="211" t="s">
        <v>268</v>
      </c>
      <c r="D512" s="38">
        <f>SUM(D513:D514)</f>
        <v>2829000</v>
      </c>
      <c r="E512" s="38">
        <f>SUM(E513:E514)</f>
        <v>0</v>
      </c>
      <c r="F512" s="38">
        <f t="shared" si="218"/>
        <v>2829000</v>
      </c>
      <c r="G512" s="38">
        <f>SUM(G513:G514)</f>
        <v>2714800</v>
      </c>
      <c r="H512" s="38">
        <f>SUM(H513:H514)</f>
        <v>0</v>
      </c>
      <c r="I512" s="38">
        <f t="shared" si="219"/>
        <v>2714800</v>
      </c>
      <c r="J512" s="38">
        <f>SUM(J513:J514)</f>
        <v>2864500</v>
      </c>
      <c r="K512" s="38">
        <f>SUM(K513:K514)</f>
        <v>0</v>
      </c>
      <c r="L512" s="38">
        <f t="shared" si="220"/>
        <v>2864500</v>
      </c>
      <c r="M512" s="228">
        <f t="shared" si="195"/>
        <v>101.25486037469071</v>
      </c>
      <c r="N512" s="228">
        <f t="shared" si="196"/>
        <v>101.25486037469071</v>
      </c>
      <c r="O512" s="228">
        <f t="shared" si="197"/>
        <v>105.51421835862678</v>
      </c>
      <c r="P512" s="228">
        <f>IF(I512&gt;0,IF(L512&gt;=0,L512/I512*100,""),"")</f>
        <v>105.51421835862678</v>
      </c>
    </row>
    <row r="513" spans="1:16" s="7" customFormat="1" ht="12.75" customHeight="1">
      <c r="A513" s="46" t="s">
        <v>196</v>
      </c>
      <c r="B513" s="47" t="s">
        <v>416</v>
      </c>
      <c r="C513" s="212" t="s">
        <v>1207</v>
      </c>
      <c r="D513" s="63">
        <v>2829000</v>
      </c>
      <c r="E513" s="63"/>
      <c r="F513" s="63">
        <f t="shared" si="218"/>
        <v>2829000</v>
      </c>
      <c r="G513" s="38">
        <v>2708600</v>
      </c>
      <c r="H513" s="38"/>
      <c r="I513" s="38">
        <f t="shared" si="219"/>
        <v>2708600</v>
      </c>
      <c r="J513" s="63">
        <v>2864500</v>
      </c>
      <c r="K513" s="63"/>
      <c r="L513" s="63">
        <f t="shared" si="220"/>
        <v>2864500</v>
      </c>
      <c r="M513" s="218">
        <f t="shared" si="195"/>
        <v>101.25486037469071</v>
      </c>
      <c r="N513" s="218">
        <f t="shared" si="196"/>
        <v>101.25486037469071</v>
      </c>
      <c r="O513" s="218">
        <f t="shared" si="197"/>
        <v>105.75574097319648</v>
      </c>
      <c r="P513" s="218">
        <f>IF(I513&gt;0,IF(L513&gt;=0,L513/I513*100,""),"")</f>
        <v>105.75574097319648</v>
      </c>
    </row>
    <row r="514" spans="1:16" s="7" customFormat="1" ht="12.75" customHeight="1">
      <c r="A514" s="46" t="s">
        <v>2069</v>
      </c>
      <c r="B514" s="211" t="s">
        <v>2070</v>
      </c>
      <c r="C514" s="212" t="s">
        <v>2117</v>
      </c>
      <c r="D514" s="63"/>
      <c r="E514" s="63"/>
      <c r="F514" s="63"/>
      <c r="G514" s="38">
        <v>6200</v>
      </c>
      <c r="H514" s="38"/>
      <c r="I514" s="38">
        <f t="shared" si="219"/>
        <v>6200</v>
      </c>
      <c r="J514" s="63"/>
      <c r="K514" s="63"/>
      <c r="L514" s="63"/>
      <c r="M514" s="218" t="str">
        <f t="shared" si="195"/>
        <v/>
      </c>
      <c r="N514" s="218" t="str">
        <f t="shared" si="196"/>
        <v/>
      </c>
      <c r="O514" s="218">
        <f t="shared" si="197"/>
        <v>0</v>
      </c>
      <c r="P514" s="218"/>
    </row>
    <row r="515" spans="1:16" s="7" customFormat="1" ht="12.75" customHeight="1">
      <c r="A515" s="46" t="s">
        <v>791</v>
      </c>
      <c r="B515" s="211" t="s">
        <v>151</v>
      </c>
      <c r="C515" s="211" t="s">
        <v>1208</v>
      </c>
      <c r="D515" s="63"/>
      <c r="E515" s="63"/>
      <c r="F515" s="63">
        <f t="shared" si="218"/>
        <v>0</v>
      </c>
      <c r="G515" s="38">
        <v>143200</v>
      </c>
      <c r="H515" s="38"/>
      <c r="I515" s="38">
        <f t="shared" si="219"/>
        <v>143200</v>
      </c>
      <c r="J515" s="63"/>
      <c r="K515" s="63"/>
      <c r="L515" s="63">
        <f t="shared" si="220"/>
        <v>0</v>
      </c>
      <c r="M515" s="218" t="str">
        <f t="shared" si="195"/>
        <v/>
      </c>
      <c r="N515" s="218" t="str">
        <f t="shared" si="196"/>
        <v/>
      </c>
      <c r="O515" s="218">
        <f t="shared" si="197"/>
        <v>0</v>
      </c>
      <c r="P515" s="218">
        <f t="shared" ref="P515:P519" si="221">IF(I515&gt;0,IF(L515&gt;=0,L515/I515*100,""),"")</f>
        <v>0</v>
      </c>
    </row>
    <row r="516" spans="1:16" s="7" customFormat="1" ht="6" customHeight="1">
      <c r="A516" s="46"/>
      <c r="B516" s="47"/>
      <c r="C516" s="212" t="s">
        <v>268</v>
      </c>
      <c r="D516" s="63"/>
      <c r="E516" s="63"/>
      <c r="F516" s="63"/>
      <c r="G516" s="38"/>
      <c r="H516" s="38"/>
      <c r="I516" s="38"/>
      <c r="J516" s="63"/>
      <c r="K516" s="63"/>
      <c r="L516" s="63"/>
      <c r="M516" s="218" t="str">
        <f t="shared" si="195"/>
        <v/>
      </c>
      <c r="N516" s="218" t="str">
        <f t="shared" si="196"/>
        <v/>
      </c>
      <c r="O516" s="218" t="str">
        <f t="shared" si="197"/>
        <v/>
      </c>
      <c r="P516" s="218" t="str">
        <f t="shared" si="221"/>
        <v/>
      </c>
    </row>
    <row r="517" spans="1:16" s="3" customFormat="1" ht="12.75">
      <c r="A517" s="58" t="s">
        <v>409</v>
      </c>
      <c r="B517" s="66" t="s">
        <v>265</v>
      </c>
      <c r="C517" s="311" t="s">
        <v>940</v>
      </c>
      <c r="D517" s="90">
        <f>SUM(D519:D522)</f>
        <v>2807000</v>
      </c>
      <c r="E517" s="42">
        <f>SUM(E519:E523)</f>
        <v>0</v>
      </c>
      <c r="F517" s="42">
        <f t="shared" ref="F517:F522" si="222">SUM(D517:E517)</f>
        <v>2807000</v>
      </c>
      <c r="G517" s="60">
        <f>SUM(G519:G523)</f>
        <v>2945400</v>
      </c>
      <c r="H517" s="55">
        <f>SUM(H519:H523)</f>
        <v>0</v>
      </c>
      <c r="I517" s="55">
        <f t="shared" ref="I517:I522" si="223">SUM(G517:H517)</f>
        <v>2945400</v>
      </c>
      <c r="J517" s="42">
        <f>SUM(J519:J523)</f>
        <v>2754400</v>
      </c>
      <c r="K517" s="42">
        <f>SUM(K519:K523)</f>
        <v>0</v>
      </c>
      <c r="L517" s="42">
        <f t="shared" ref="L517:L522" si="224">SUM(J517:K517)</f>
        <v>2754400</v>
      </c>
      <c r="M517" s="225">
        <f t="shared" si="195"/>
        <v>98.126113288208046</v>
      </c>
      <c r="N517" s="225">
        <f t="shared" si="196"/>
        <v>98.126113288208046</v>
      </c>
      <c r="O517" s="225">
        <f t="shared" si="197"/>
        <v>93.51531201195084</v>
      </c>
      <c r="P517" s="225">
        <f t="shared" si="221"/>
        <v>93.51531201195084</v>
      </c>
    </row>
    <row r="518" spans="1:16" s="16" customFormat="1" hidden="1">
      <c r="A518" s="80" t="s">
        <v>267</v>
      </c>
      <c r="B518" s="79"/>
      <c r="C518" s="302" t="s">
        <v>268</v>
      </c>
      <c r="D518" s="116">
        <f>SUM(D519:D521)</f>
        <v>2807000</v>
      </c>
      <c r="E518" s="116">
        <f>SUM(E519:E521)</f>
        <v>0</v>
      </c>
      <c r="F518" s="116">
        <f t="shared" si="222"/>
        <v>2807000</v>
      </c>
      <c r="G518" s="116">
        <f>SUM(G519:G521)</f>
        <v>2945400</v>
      </c>
      <c r="H518" s="116">
        <f>SUM(H519:H521)</f>
        <v>0</v>
      </c>
      <c r="I518" s="116">
        <f t="shared" si="223"/>
        <v>2945400</v>
      </c>
      <c r="J518" s="116">
        <f>SUM(J519:J521)</f>
        <v>2754400</v>
      </c>
      <c r="K518" s="116">
        <f>SUM(K519:K521)</f>
        <v>0</v>
      </c>
      <c r="L518" s="116">
        <f t="shared" si="224"/>
        <v>2754400</v>
      </c>
      <c r="M518" s="234">
        <f t="shared" si="195"/>
        <v>98.126113288208046</v>
      </c>
      <c r="N518" s="234">
        <f t="shared" si="196"/>
        <v>98.126113288208046</v>
      </c>
      <c r="O518" s="234">
        <f t="shared" si="197"/>
        <v>93.51531201195084</v>
      </c>
      <c r="P518" s="234">
        <f t="shared" si="221"/>
        <v>93.51531201195084</v>
      </c>
    </row>
    <row r="519" spans="1:16" s="3" customFormat="1" ht="12.75" customHeight="1">
      <c r="A519" s="46" t="s">
        <v>196</v>
      </c>
      <c r="B519" s="47" t="s">
        <v>416</v>
      </c>
      <c r="C519" s="212" t="s">
        <v>1209</v>
      </c>
      <c r="D519" s="63">
        <v>2762000</v>
      </c>
      <c r="E519" s="63"/>
      <c r="F519" s="63">
        <f t="shared" si="222"/>
        <v>2762000</v>
      </c>
      <c r="G519" s="38">
        <v>2871000</v>
      </c>
      <c r="H519" s="38"/>
      <c r="I519" s="38">
        <f t="shared" si="223"/>
        <v>2871000</v>
      </c>
      <c r="J519" s="63">
        <v>2689400</v>
      </c>
      <c r="K519" s="63"/>
      <c r="L519" s="63">
        <f t="shared" si="224"/>
        <v>2689400</v>
      </c>
      <c r="M519" s="218">
        <f t="shared" si="195"/>
        <v>97.3714699493121</v>
      </c>
      <c r="N519" s="218">
        <f t="shared" si="196"/>
        <v>97.3714699493121</v>
      </c>
      <c r="O519" s="218">
        <f t="shared" si="197"/>
        <v>93.674677812608849</v>
      </c>
      <c r="P519" s="218">
        <f t="shared" si="221"/>
        <v>93.674677812608849</v>
      </c>
    </row>
    <row r="520" spans="1:16" s="3" customFormat="1" ht="12.75" customHeight="1">
      <c r="A520" s="46" t="s">
        <v>651</v>
      </c>
      <c r="B520" s="33" t="s">
        <v>650</v>
      </c>
      <c r="C520" s="211" t="s">
        <v>1210</v>
      </c>
      <c r="D520" s="63">
        <v>45000</v>
      </c>
      <c r="E520" s="63"/>
      <c r="F520" s="63">
        <f>SUM(D520:E520)</f>
        <v>45000</v>
      </c>
      <c r="G520" s="38">
        <v>65000</v>
      </c>
      <c r="H520" s="38"/>
      <c r="I520" s="38">
        <f>SUM(G520:H520)</f>
        <v>65000</v>
      </c>
      <c r="J520" s="63">
        <v>65000</v>
      </c>
      <c r="K520" s="63"/>
      <c r="L520" s="63">
        <f>SUM(J520:K520)</f>
        <v>65000</v>
      </c>
      <c r="M520" s="218">
        <f t="shared" si="195"/>
        <v>144.44444444444443</v>
      </c>
      <c r="N520" s="218">
        <f t="shared" si="196"/>
        <v>144.44444444444443</v>
      </c>
      <c r="O520" s="218">
        <f t="shared" si="197"/>
        <v>100</v>
      </c>
      <c r="P520" s="218">
        <f>IF(I520&gt;0,IF(L520&gt;=0,L520/I520*100,""),"")</f>
        <v>100</v>
      </c>
    </row>
    <row r="521" spans="1:16" s="3" customFormat="1" ht="12.75" customHeight="1">
      <c r="A521" s="46" t="s">
        <v>2069</v>
      </c>
      <c r="B521" s="212" t="s">
        <v>2070</v>
      </c>
      <c r="C521" s="212" t="s">
        <v>2118</v>
      </c>
      <c r="D521" s="63"/>
      <c r="E521" s="63"/>
      <c r="F521" s="63"/>
      <c r="G521" s="38">
        <v>9400</v>
      </c>
      <c r="H521" s="38"/>
      <c r="I521" s="38">
        <f t="shared" si="223"/>
        <v>9400</v>
      </c>
      <c r="J521" s="63"/>
      <c r="K521" s="63"/>
      <c r="L521" s="63"/>
      <c r="M521" s="218" t="str">
        <f t="shared" si="195"/>
        <v/>
      </c>
      <c r="N521" s="218" t="str">
        <f t="shared" si="196"/>
        <v/>
      </c>
      <c r="O521" s="218">
        <f t="shared" si="197"/>
        <v>0</v>
      </c>
      <c r="P521" s="218"/>
    </row>
    <row r="522" spans="1:16" s="3" customFormat="1" hidden="1">
      <c r="A522" s="46" t="s">
        <v>791</v>
      </c>
      <c r="B522" s="33" t="s">
        <v>151</v>
      </c>
      <c r="C522" s="211" t="s">
        <v>1211</v>
      </c>
      <c r="D522" s="63"/>
      <c r="E522" s="63"/>
      <c r="F522" s="63">
        <f t="shared" si="222"/>
        <v>0</v>
      </c>
      <c r="G522" s="38"/>
      <c r="H522" s="38"/>
      <c r="I522" s="38">
        <f t="shared" si="223"/>
        <v>0</v>
      </c>
      <c r="J522" s="63"/>
      <c r="K522" s="63"/>
      <c r="L522" s="63">
        <f t="shared" si="224"/>
        <v>0</v>
      </c>
      <c r="M522" s="218" t="str">
        <f t="shared" si="195"/>
        <v/>
      </c>
      <c r="N522" s="218" t="str">
        <f t="shared" si="196"/>
        <v/>
      </c>
      <c r="O522" s="218" t="str">
        <f t="shared" si="197"/>
        <v/>
      </c>
      <c r="P522" s="218" t="str">
        <f t="shared" ref="P522:P531" si="225">IF(I522&gt;0,IF(L522&gt;=0,L522/I522*100,""),"")</f>
        <v/>
      </c>
    </row>
    <row r="523" spans="1:16" s="3" customFormat="1" ht="6" customHeight="1">
      <c r="A523" s="46"/>
      <c r="B523" s="47"/>
      <c r="C523" s="212" t="s">
        <v>268</v>
      </c>
      <c r="D523" s="63"/>
      <c r="E523" s="63"/>
      <c r="F523" s="63"/>
      <c r="G523" s="38"/>
      <c r="H523" s="38"/>
      <c r="I523" s="38"/>
      <c r="J523" s="63"/>
      <c r="K523" s="63"/>
      <c r="L523" s="63"/>
      <c r="M523" s="218" t="str">
        <f t="shared" si="195"/>
        <v/>
      </c>
      <c r="N523" s="218" t="str">
        <f t="shared" si="196"/>
        <v/>
      </c>
      <c r="O523" s="218" t="str">
        <f t="shared" si="197"/>
        <v/>
      </c>
      <c r="P523" s="218" t="str">
        <f t="shared" si="225"/>
        <v/>
      </c>
    </row>
    <row r="524" spans="1:16" s="11" customFormat="1" ht="12.75">
      <c r="A524" s="58" t="s">
        <v>273</v>
      </c>
      <c r="B524" s="65" t="s">
        <v>265</v>
      </c>
      <c r="C524" s="308" t="s">
        <v>940</v>
      </c>
      <c r="D524" s="42">
        <f>SUM(D526:D528)</f>
        <v>3220000</v>
      </c>
      <c r="E524" s="42">
        <f>SUM(E526:E528)</f>
        <v>0</v>
      </c>
      <c r="F524" s="42">
        <f>SUM(D524:E524)</f>
        <v>3220000</v>
      </c>
      <c r="G524" s="55">
        <f>SUM(G526:G528)</f>
        <v>3367200</v>
      </c>
      <c r="H524" s="55">
        <f>SUM(H526:H528)</f>
        <v>0</v>
      </c>
      <c r="I524" s="55">
        <f>SUM(G524:H524)</f>
        <v>3367200</v>
      </c>
      <c r="J524" s="42">
        <f>SUM(J526:J528)</f>
        <v>3483425</v>
      </c>
      <c r="K524" s="42">
        <f>SUM(K526:K528)</f>
        <v>0</v>
      </c>
      <c r="L524" s="42">
        <f>SUM(J524:K524)</f>
        <v>3483425</v>
      </c>
      <c r="M524" s="225">
        <f t="shared" si="195"/>
        <v>108.180900621118</v>
      </c>
      <c r="N524" s="225">
        <f t="shared" si="196"/>
        <v>108.180900621118</v>
      </c>
      <c r="O524" s="225">
        <f t="shared" si="197"/>
        <v>103.45168092183417</v>
      </c>
      <c r="P524" s="225">
        <f t="shared" si="225"/>
        <v>103.45168092183417</v>
      </c>
    </row>
    <row r="525" spans="1:16" s="11" customFormat="1" hidden="1">
      <c r="A525" s="36" t="s">
        <v>267</v>
      </c>
      <c r="B525" s="92"/>
      <c r="C525" s="312" t="s">
        <v>268</v>
      </c>
      <c r="D525" s="38">
        <f>SUM(D526:D527)</f>
        <v>3220000</v>
      </c>
      <c r="E525" s="77"/>
      <c r="F525" s="63">
        <f>SUM(D525:E525)</f>
        <v>3220000</v>
      </c>
      <c r="G525" s="38">
        <f>SUM(G526:G527)</f>
        <v>3367200</v>
      </c>
      <c r="H525" s="109"/>
      <c r="I525" s="38">
        <f>SUM(G525:H525)</f>
        <v>3367200</v>
      </c>
      <c r="J525" s="63">
        <f>SUM(J526:J527)</f>
        <v>3483425</v>
      </c>
      <c r="K525" s="77"/>
      <c r="L525" s="63">
        <f>SUM(J525:K525)</f>
        <v>3483425</v>
      </c>
      <c r="M525" s="218">
        <f t="shared" si="195"/>
        <v>108.180900621118</v>
      </c>
      <c r="N525" s="218">
        <f t="shared" si="196"/>
        <v>108.180900621118</v>
      </c>
      <c r="O525" s="218">
        <f t="shared" si="197"/>
        <v>103.45168092183417</v>
      </c>
      <c r="P525" s="218">
        <f t="shared" si="225"/>
        <v>103.45168092183417</v>
      </c>
    </row>
    <row r="526" spans="1:16" s="7" customFormat="1" ht="12.75" customHeight="1">
      <c r="A526" s="46" t="s">
        <v>196</v>
      </c>
      <c r="B526" s="47" t="s">
        <v>416</v>
      </c>
      <c r="C526" s="212" t="s">
        <v>1212</v>
      </c>
      <c r="D526" s="63">
        <v>3193000</v>
      </c>
      <c r="E526" s="63"/>
      <c r="F526" s="63">
        <f>SUM(D526:E526)</f>
        <v>3193000</v>
      </c>
      <c r="G526" s="38">
        <v>3340200</v>
      </c>
      <c r="H526" s="38"/>
      <c r="I526" s="38">
        <f>SUM(G526:H526)</f>
        <v>3340200</v>
      </c>
      <c r="J526" s="63">
        <v>3468425</v>
      </c>
      <c r="K526" s="63"/>
      <c r="L526" s="63">
        <f>SUM(J526:K526)</f>
        <v>3468425</v>
      </c>
      <c r="M526" s="218">
        <f t="shared" si="195"/>
        <v>108.62590040714062</v>
      </c>
      <c r="N526" s="218">
        <f t="shared" si="196"/>
        <v>108.62590040714062</v>
      </c>
      <c r="O526" s="218">
        <f t="shared" si="197"/>
        <v>103.83884198550986</v>
      </c>
      <c r="P526" s="218">
        <f t="shared" si="225"/>
        <v>103.83884198550986</v>
      </c>
    </row>
    <row r="527" spans="1:16" s="7" customFormat="1" ht="12.75" customHeight="1">
      <c r="A527" s="46" t="s">
        <v>651</v>
      </c>
      <c r="B527" s="47" t="s">
        <v>650</v>
      </c>
      <c r="C527" s="212" t="s">
        <v>1213</v>
      </c>
      <c r="D527" s="63">
        <v>27000</v>
      </c>
      <c r="E527" s="63"/>
      <c r="F527" s="63">
        <f>SUM(D527:E527)</f>
        <v>27000</v>
      </c>
      <c r="G527" s="38">
        <v>27000</v>
      </c>
      <c r="H527" s="38"/>
      <c r="I527" s="38">
        <f>SUM(G527:H527)</f>
        <v>27000</v>
      </c>
      <c r="J527" s="63">
        <v>15000</v>
      </c>
      <c r="K527" s="63"/>
      <c r="L527" s="63">
        <f>SUM(J527:K527)</f>
        <v>15000</v>
      </c>
      <c r="M527" s="218">
        <f t="shared" ref="M527:M590" si="226">IF(D527&gt;0,IF(J527&gt;=0,J527/D527*100,""),"")</f>
        <v>55.555555555555557</v>
      </c>
      <c r="N527" s="218">
        <f t="shared" ref="N527:N590" si="227">IF(F527&gt;0,IF(L527&gt;=0,L527/F527*100,""),"")</f>
        <v>55.555555555555557</v>
      </c>
      <c r="O527" s="218">
        <f t="shared" ref="O527:O590" si="228">IF(G527&gt;0,IF(J527&gt;=0,J527/G527*100,""),"")</f>
        <v>55.555555555555557</v>
      </c>
      <c r="P527" s="218">
        <f t="shared" si="225"/>
        <v>55.555555555555557</v>
      </c>
    </row>
    <row r="528" spans="1:16" s="7" customFormat="1" ht="6" customHeight="1">
      <c r="A528" s="46"/>
      <c r="B528" s="47"/>
      <c r="C528" s="212" t="s">
        <v>268</v>
      </c>
      <c r="D528" s="63"/>
      <c r="E528" s="63"/>
      <c r="F528" s="63"/>
      <c r="G528" s="38"/>
      <c r="H528" s="38"/>
      <c r="I528" s="38"/>
      <c r="J528" s="63"/>
      <c r="K528" s="63"/>
      <c r="L528" s="63"/>
      <c r="M528" s="218" t="str">
        <f t="shared" si="226"/>
        <v/>
      </c>
      <c r="N528" s="218" t="str">
        <f t="shared" si="227"/>
        <v/>
      </c>
      <c r="O528" s="218" t="str">
        <f t="shared" si="228"/>
        <v/>
      </c>
      <c r="P528" s="218" t="str">
        <f t="shared" si="225"/>
        <v/>
      </c>
    </row>
    <row r="529" spans="1:16" s="7" customFormat="1" ht="12.75">
      <c r="A529" s="58" t="s">
        <v>410</v>
      </c>
      <c r="B529" s="66" t="s">
        <v>265</v>
      </c>
      <c r="C529" s="311" t="s">
        <v>940</v>
      </c>
      <c r="D529" s="42">
        <f>SUM(D531:D535)</f>
        <v>3293000</v>
      </c>
      <c r="E529" s="90">
        <f>SUM(E531:E535)</f>
        <v>0</v>
      </c>
      <c r="F529" s="42">
        <f>SUM(D529:E529)</f>
        <v>3293000</v>
      </c>
      <c r="G529" s="55">
        <f>SUM(G531:G535)</f>
        <v>3532900</v>
      </c>
      <c r="H529" s="60">
        <f>SUM(H531:H535)</f>
        <v>0</v>
      </c>
      <c r="I529" s="55">
        <f t="shared" ref="I529:I534" si="229">SUM(G529:H529)</f>
        <v>3532900</v>
      </c>
      <c r="J529" s="42">
        <f>SUM(J531:J535)</f>
        <v>3315000</v>
      </c>
      <c r="K529" s="90">
        <f>SUM(K531:K535)</f>
        <v>0</v>
      </c>
      <c r="L529" s="42">
        <f>SUM(J529:K529)</f>
        <v>3315000</v>
      </c>
      <c r="M529" s="225">
        <f t="shared" si="226"/>
        <v>100.66808381415122</v>
      </c>
      <c r="N529" s="225">
        <f t="shared" si="227"/>
        <v>100.66808381415122</v>
      </c>
      <c r="O529" s="225">
        <f t="shared" si="228"/>
        <v>93.832262447281266</v>
      </c>
      <c r="P529" s="225">
        <f t="shared" si="225"/>
        <v>93.832262447281266</v>
      </c>
    </row>
    <row r="530" spans="1:16" s="7" customFormat="1" ht="12.75" customHeight="1">
      <c r="A530" s="43" t="s">
        <v>267</v>
      </c>
      <c r="B530" s="79"/>
      <c r="C530" s="302" t="s">
        <v>268</v>
      </c>
      <c r="D530" s="76">
        <f>SUM(D531:D533)</f>
        <v>3293000</v>
      </c>
      <c r="E530" s="76"/>
      <c r="F530" s="76">
        <f>SUM(D530:E530)</f>
        <v>3293000</v>
      </c>
      <c r="G530" s="116">
        <f>SUM(G531:G533)</f>
        <v>3520400</v>
      </c>
      <c r="H530" s="116"/>
      <c r="I530" s="116">
        <f t="shared" si="229"/>
        <v>3520400</v>
      </c>
      <c r="J530" s="76">
        <f>SUM(J531:J533)</f>
        <v>3315000</v>
      </c>
      <c r="K530" s="76"/>
      <c r="L530" s="76">
        <f>SUM(J530:K530)</f>
        <v>3315000</v>
      </c>
      <c r="M530" s="226">
        <f t="shared" si="226"/>
        <v>100.66808381415122</v>
      </c>
      <c r="N530" s="226">
        <f t="shared" si="227"/>
        <v>100.66808381415122</v>
      </c>
      <c r="O530" s="226">
        <f t="shared" si="228"/>
        <v>94.16543574593797</v>
      </c>
      <c r="P530" s="226">
        <f t="shared" si="225"/>
        <v>94.16543574593797</v>
      </c>
    </row>
    <row r="531" spans="1:16" s="7" customFormat="1" ht="12.75" customHeight="1">
      <c r="A531" s="46" t="s">
        <v>196</v>
      </c>
      <c r="B531" s="47" t="s">
        <v>416</v>
      </c>
      <c r="C531" s="212" t="s">
        <v>1214</v>
      </c>
      <c r="D531" s="63">
        <v>3243000</v>
      </c>
      <c r="E531" s="63"/>
      <c r="F531" s="63">
        <f>SUM(D531:E531)</f>
        <v>3243000</v>
      </c>
      <c r="G531" s="38">
        <v>3460900</v>
      </c>
      <c r="H531" s="38"/>
      <c r="I531" s="38">
        <f t="shared" si="229"/>
        <v>3460900</v>
      </c>
      <c r="J531" s="63">
        <v>3315000</v>
      </c>
      <c r="K531" s="63"/>
      <c r="L531" s="63">
        <f>SUM(J531:K531)</f>
        <v>3315000</v>
      </c>
      <c r="M531" s="218">
        <f t="shared" si="226"/>
        <v>102.22016651248845</v>
      </c>
      <c r="N531" s="218">
        <f t="shared" si="227"/>
        <v>102.22016651248845</v>
      </c>
      <c r="O531" s="218">
        <f t="shared" si="228"/>
        <v>95.784333554855678</v>
      </c>
      <c r="P531" s="218">
        <f t="shared" si="225"/>
        <v>95.784333554855678</v>
      </c>
    </row>
    <row r="532" spans="1:16" s="7" customFormat="1" ht="12.75" customHeight="1">
      <c r="A532" s="46" t="s">
        <v>2069</v>
      </c>
      <c r="B532" s="212" t="s">
        <v>2070</v>
      </c>
      <c r="C532" s="212" t="s">
        <v>2119</v>
      </c>
      <c r="D532" s="63"/>
      <c r="E532" s="63"/>
      <c r="F532" s="63"/>
      <c r="G532" s="38">
        <v>9500</v>
      </c>
      <c r="H532" s="38"/>
      <c r="I532" s="38">
        <f t="shared" si="229"/>
        <v>9500</v>
      </c>
      <c r="J532" s="63"/>
      <c r="K532" s="63"/>
      <c r="L532" s="63"/>
      <c r="M532" s="218" t="str">
        <f t="shared" si="226"/>
        <v/>
      </c>
      <c r="N532" s="218" t="str">
        <f t="shared" si="227"/>
        <v/>
      </c>
      <c r="O532" s="218">
        <f t="shared" si="228"/>
        <v>0</v>
      </c>
      <c r="P532" s="218"/>
    </row>
    <row r="533" spans="1:16" s="7" customFormat="1" ht="12.75" customHeight="1">
      <c r="A533" s="46" t="s">
        <v>651</v>
      </c>
      <c r="B533" s="212" t="s">
        <v>650</v>
      </c>
      <c r="C533" s="212" t="s">
        <v>1215</v>
      </c>
      <c r="D533" s="63">
        <v>50000</v>
      </c>
      <c r="E533" s="63"/>
      <c r="F533" s="63">
        <f>SUM(D533:E533)</f>
        <v>50000</v>
      </c>
      <c r="G533" s="38">
        <v>50000</v>
      </c>
      <c r="H533" s="38"/>
      <c r="I533" s="38">
        <f t="shared" si="229"/>
        <v>50000</v>
      </c>
      <c r="J533" s="63"/>
      <c r="K533" s="63"/>
      <c r="L533" s="63">
        <f>SUM(J533:K533)</f>
        <v>0</v>
      </c>
      <c r="M533" s="218">
        <f t="shared" si="226"/>
        <v>0</v>
      </c>
      <c r="N533" s="218">
        <f t="shared" si="227"/>
        <v>0</v>
      </c>
      <c r="O533" s="218">
        <f t="shared" si="228"/>
        <v>0</v>
      </c>
      <c r="P533" s="218">
        <f t="shared" ref="P533:P538" si="230">IF(I533&gt;0,IF(L533&gt;=0,L533/I533*100,""),"")</f>
        <v>0</v>
      </c>
    </row>
    <row r="534" spans="1:16" s="7" customFormat="1" ht="12.75" customHeight="1">
      <c r="A534" s="46" t="s">
        <v>791</v>
      </c>
      <c r="B534" s="212" t="s">
        <v>151</v>
      </c>
      <c r="C534" s="212" t="s">
        <v>1216</v>
      </c>
      <c r="D534" s="63"/>
      <c r="E534" s="63"/>
      <c r="F534" s="63">
        <f>SUM(D534:E534)</f>
        <v>0</v>
      </c>
      <c r="G534" s="38">
        <v>12500</v>
      </c>
      <c r="H534" s="38"/>
      <c r="I534" s="38">
        <f t="shared" si="229"/>
        <v>12500</v>
      </c>
      <c r="J534" s="63"/>
      <c r="K534" s="63"/>
      <c r="L534" s="63">
        <f>SUM(J534:K534)</f>
        <v>0</v>
      </c>
      <c r="M534" s="218" t="str">
        <f t="shared" si="226"/>
        <v/>
      </c>
      <c r="N534" s="218" t="str">
        <f t="shared" si="227"/>
        <v/>
      </c>
      <c r="O534" s="218">
        <f t="shared" si="228"/>
        <v>0</v>
      </c>
      <c r="P534" s="218">
        <f t="shared" si="230"/>
        <v>0</v>
      </c>
    </row>
    <row r="535" spans="1:16" s="7" customFormat="1" ht="6" customHeight="1">
      <c r="A535" s="46"/>
      <c r="B535" s="47"/>
      <c r="C535" s="212" t="s">
        <v>268</v>
      </c>
      <c r="D535" s="63"/>
      <c r="E535" s="63"/>
      <c r="F535" s="63"/>
      <c r="G535" s="38"/>
      <c r="H535" s="38"/>
      <c r="I535" s="38"/>
      <c r="J535" s="63"/>
      <c r="K535" s="63"/>
      <c r="L535" s="63"/>
      <c r="M535" s="218" t="str">
        <f t="shared" si="226"/>
        <v/>
      </c>
      <c r="N535" s="218" t="str">
        <f t="shared" si="227"/>
        <v/>
      </c>
      <c r="O535" s="218" t="str">
        <f t="shared" si="228"/>
        <v/>
      </c>
      <c r="P535" s="218" t="str">
        <f t="shared" si="230"/>
        <v/>
      </c>
    </row>
    <row r="536" spans="1:16" s="7" customFormat="1" ht="12.75">
      <c r="A536" s="58" t="s">
        <v>411</v>
      </c>
      <c r="B536" s="66" t="s">
        <v>265</v>
      </c>
      <c r="C536" s="311" t="s">
        <v>940</v>
      </c>
      <c r="D536" s="42">
        <f>SUM(D538:D542)</f>
        <v>2903000</v>
      </c>
      <c r="E536" s="90">
        <f>SUM(E538:E542)</f>
        <v>0</v>
      </c>
      <c r="F536" s="42">
        <f>SUM(D536:E536)</f>
        <v>2903000</v>
      </c>
      <c r="G536" s="55">
        <f>SUM(G538:G542)</f>
        <v>3020700</v>
      </c>
      <c r="H536" s="60">
        <f>SUM(H538:H542)</f>
        <v>0</v>
      </c>
      <c r="I536" s="55">
        <f t="shared" ref="I536:I541" si="231">SUM(G536:H536)</f>
        <v>3020700</v>
      </c>
      <c r="J536" s="42">
        <f>SUM(J538:J542)</f>
        <v>2850750</v>
      </c>
      <c r="K536" s="90">
        <f>SUM(K538:K542)</f>
        <v>0</v>
      </c>
      <c r="L536" s="42">
        <f>SUM(J536:K536)</f>
        <v>2850750</v>
      </c>
      <c r="M536" s="225">
        <f t="shared" si="226"/>
        <v>98.200137788494658</v>
      </c>
      <c r="N536" s="225">
        <f t="shared" si="227"/>
        <v>98.200137788494658</v>
      </c>
      <c r="O536" s="225">
        <f t="shared" si="228"/>
        <v>94.373820637600559</v>
      </c>
      <c r="P536" s="225">
        <f t="shared" si="230"/>
        <v>94.373820637600559</v>
      </c>
    </row>
    <row r="537" spans="1:16" s="7" customFormat="1" ht="12.75" customHeight="1">
      <c r="A537" s="46" t="s">
        <v>267</v>
      </c>
      <c r="B537" s="33"/>
      <c r="C537" s="211" t="s">
        <v>268</v>
      </c>
      <c r="D537" s="63">
        <f>SUM(D538:D540)</f>
        <v>2903000</v>
      </c>
      <c r="E537" s="63"/>
      <c r="F537" s="63">
        <f>SUM(D537:E537)</f>
        <v>2903000</v>
      </c>
      <c r="G537" s="38">
        <f>SUM(G538:G540)</f>
        <v>2930700</v>
      </c>
      <c r="H537" s="38"/>
      <c r="I537" s="38">
        <f t="shared" si="231"/>
        <v>2930700</v>
      </c>
      <c r="J537" s="63">
        <f>SUM(J538:J540)</f>
        <v>2850750</v>
      </c>
      <c r="K537" s="63"/>
      <c r="L537" s="63">
        <f>SUM(J537:K537)</f>
        <v>2850750</v>
      </c>
      <c r="M537" s="218">
        <f t="shared" si="226"/>
        <v>98.200137788494658</v>
      </c>
      <c r="N537" s="218">
        <f t="shared" si="227"/>
        <v>98.200137788494658</v>
      </c>
      <c r="O537" s="218">
        <f t="shared" si="228"/>
        <v>97.271982802743366</v>
      </c>
      <c r="P537" s="218">
        <f t="shared" si="230"/>
        <v>97.271982802743366</v>
      </c>
    </row>
    <row r="538" spans="1:16" s="7" customFormat="1" ht="12.75" customHeight="1">
      <c r="A538" s="46" t="s">
        <v>196</v>
      </c>
      <c r="B538" s="47" t="s">
        <v>416</v>
      </c>
      <c r="C538" s="212" t="s">
        <v>1217</v>
      </c>
      <c r="D538" s="63">
        <v>2873000</v>
      </c>
      <c r="E538" s="63"/>
      <c r="F538" s="63">
        <f>SUM(D538:E538)</f>
        <v>2873000</v>
      </c>
      <c r="G538" s="38">
        <v>2874500</v>
      </c>
      <c r="H538" s="38"/>
      <c r="I538" s="38">
        <f t="shared" si="231"/>
        <v>2874500</v>
      </c>
      <c r="J538" s="63">
        <v>2800750</v>
      </c>
      <c r="K538" s="63"/>
      <c r="L538" s="63">
        <f>SUM(J538:K538)</f>
        <v>2800750</v>
      </c>
      <c r="M538" s="218">
        <f t="shared" si="226"/>
        <v>97.485207100591722</v>
      </c>
      <c r="N538" s="218">
        <f t="shared" si="227"/>
        <v>97.485207100591722</v>
      </c>
      <c r="O538" s="218">
        <f t="shared" si="228"/>
        <v>97.434336406331539</v>
      </c>
      <c r="P538" s="218">
        <f t="shared" si="230"/>
        <v>97.434336406331539</v>
      </c>
    </row>
    <row r="539" spans="1:16" s="7" customFormat="1" ht="12.75" customHeight="1">
      <c r="A539" s="46" t="s">
        <v>651</v>
      </c>
      <c r="B539" s="47" t="s">
        <v>650</v>
      </c>
      <c r="C539" s="212" t="s">
        <v>1218</v>
      </c>
      <c r="D539" s="63">
        <v>30000</v>
      </c>
      <c r="E539" s="63"/>
      <c r="F539" s="63">
        <f>SUM(D539:E539)</f>
        <v>30000</v>
      </c>
      <c r="G539" s="38">
        <v>50000</v>
      </c>
      <c r="H539" s="38"/>
      <c r="I539" s="38">
        <f>SUM(G539:H539)</f>
        <v>50000</v>
      </c>
      <c r="J539" s="63">
        <v>50000</v>
      </c>
      <c r="K539" s="63"/>
      <c r="L539" s="63">
        <f>SUM(J539:K539)</f>
        <v>50000</v>
      </c>
      <c r="M539" s="218">
        <f t="shared" si="226"/>
        <v>166.66666666666669</v>
      </c>
      <c r="N539" s="218">
        <f t="shared" si="227"/>
        <v>166.66666666666669</v>
      </c>
      <c r="O539" s="218">
        <f t="shared" si="228"/>
        <v>100</v>
      </c>
      <c r="P539" s="218">
        <f>IF(I539&gt;0,IF(L539&gt;=0,L539/I539*100,""),"")</f>
        <v>100</v>
      </c>
    </row>
    <row r="540" spans="1:16" s="7" customFormat="1" ht="12.75" customHeight="1">
      <c r="A540" s="46" t="s">
        <v>2069</v>
      </c>
      <c r="B540" s="212" t="s">
        <v>2070</v>
      </c>
      <c r="C540" s="212" t="s">
        <v>2120</v>
      </c>
      <c r="D540" s="63"/>
      <c r="E540" s="63"/>
      <c r="F540" s="63"/>
      <c r="G540" s="38">
        <v>6200</v>
      </c>
      <c r="H540" s="38"/>
      <c r="I540" s="38">
        <f t="shared" si="231"/>
        <v>6200</v>
      </c>
      <c r="J540" s="63"/>
      <c r="K540" s="63"/>
      <c r="L540" s="63"/>
      <c r="M540" s="218" t="str">
        <f t="shared" si="226"/>
        <v/>
      </c>
      <c r="N540" s="218" t="str">
        <f t="shared" si="227"/>
        <v/>
      </c>
      <c r="O540" s="218">
        <f t="shared" si="228"/>
        <v>0</v>
      </c>
      <c r="P540" s="218"/>
    </row>
    <row r="541" spans="1:16" s="7" customFormat="1" ht="12.75" customHeight="1">
      <c r="A541" s="46" t="s">
        <v>791</v>
      </c>
      <c r="B541" s="212" t="s">
        <v>151</v>
      </c>
      <c r="C541" s="212" t="s">
        <v>1219</v>
      </c>
      <c r="D541" s="63"/>
      <c r="E541" s="63"/>
      <c r="F541" s="63"/>
      <c r="G541" s="38">
        <v>90000</v>
      </c>
      <c r="H541" s="38"/>
      <c r="I541" s="38">
        <f t="shared" si="231"/>
        <v>90000</v>
      </c>
      <c r="J541" s="63"/>
      <c r="K541" s="63"/>
      <c r="L541" s="63"/>
      <c r="M541" s="218" t="str">
        <f t="shared" si="226"/>
        <v/>
      </c>
      <c r="N541" s="218" t="str">
        <f t="shared" si="227"/>
        <v/>
      </c>
      <c r="O541" s="218">
        <f t="shared" si="228"/>
        <v>0</v>
      </c>
      <c r="P541" s="218">
        <f t="shared" ref="P541:P545" si="232">IF(I541&gt;0,IF(L541&gt;=0,L541/I541*100,""),"")</f>
        <v>0</v>
      </c>
    </row>
    <row r="542" spans="1:16" s="7" customFormat="1" ht="6" customHeight="1">
      <c r="A542" s="46"/>
      <c r="B542" s="47"/>
      <c r="C542" s="212" t="s">
        <v>268</v>
      </c>
      <c r="D542" s="63"/>
      <c r="E542" s="63"/>
      <c r="F542" s="63"/>
      <c r="G542" s="38"/>
      <c r="H542" s="38"/>
      <c r="I542" s="38"/>
      <c r="J542" s="63"/>
      <c r="K542" s="63"/>
      <c r="L542" s="63"/>
      <c r="M542" s="218" t="str">
        <f t="shared" si="226"/>
        <v/>
      </c>
      <c r="N542" s="218" t="str">
        <f t="shared" si="227"/>
        <v/>
      </c>
      <c r="O542" s="218" t="str">
        <f t="shared" si="228"/>
        <v/>
      </c>
      <c r="P542" s="218" t="str">
        <f t="shared" si="232"/>
        <v/>
      </c>
    </row>
    <row r="543" spans="1:16" s="7" customFormat="1" ht="12.75">
      <c r="A543" s="58" t="s">
        <v>412</v>
      </c>
      <c r="B543" s="66" t="s">
        <v>265</v>
      </c>
      <c r="C543" s="311" t="s">
        <v>940</v>
      </c>
      <c r="D543" s="42">
        <f>SUM(D545:D548)</f>
        <v>3100000</v>
      </c>
      <c r="E543" s="90">
        <f>SUM(E545:E549)</f>
        <v>0</v>
      </c>
      <c r="F543" s="42">
        <f t="shared" ref="F543:F548" si="233">SUM(D543:E543)</f>
        <v>3100000</v>
      </c>
      <c r="G543" s="55">
        <f>SUM(G545:G549)</f>
        <v>3234800</v>
      </c>
      <c r="H543" s="60">
        <f>SUM(H545:H549)</f>
        <v>0</v>
      </c>
      <c r="I543" s="55">
        <f t="shared" ref="I543:I548" si="234">SUM(G543:H543)</f>
        <v>3234800</v>
      </c>
      <c r="J543" s="42">
        <f>SUM(J545:J549)</f>
        <v>2926200</v>
      </c>
      <c r="K543" s="90">
        <f>SUM(K545:K549)</f>
        <v>0</v>
      </c>
      <c r="L543" s="42">
        <f t="shared" ref="L543:L548" si="235">SUM(J543:K543)</f>
        <v>2926200</v>
      </c>
      <c r="M543" s="225">
        <f t="shared" si="226"/>
        <v>94.393548387096772</v>
      </c>
      <c r="N543" s="225">
        <f t="shared" si="227"/>
        <v>94.393548387096772</v>
      </c>
      <c r="O543" s="225">
        <f t="shared" si="228"/>
        <v>90.459997526895023</v>
      </c>
      <c r="P543" s="225">
        <f t="shared" si="232"/>
        <v>90.459997526895023</v>
      </c>
    </row>
    <row r="544" spans="1:16" s="16" customFormat="1" ht="12.75" customHeight="1">
      <c r="A544" s="56" t="s">
        <v>267</v>
      </c>
      <c r="B544" s="33"/>
      <c r="C544" s="211" t="s">
        <v>268</v>
      </c>
      <c r="D544" s="38">
        <f>SUM(D545:D547)</f>
        <v>3100000</v>
      </c>
      <c r="E544" s="38">
        <f>SUM(E545:E547)</f>
        <v>0</v>
      </c>
      <c r="F544" s="38">
        <f t="shared" si="233"/>
        <v>3100000</v>
      </c>
      <c r="G544" s="38">
        <f>SUM(G545:G547)</f>
        <v>3114800</v>
      </c>
      <c r="H544" s="38">
        <f>SUM(H545:H547)</f>
        <v>0</v>
      </c>
      <c r="I544" s="38">
        <f t="shared" si="234"/>
        <v>3114800</v>
      </c>
      <c r="J544" s="38">
        <f>SUM(J545:J547)</f>
        <v>2926200</v>
      </c>
      <c r="K544" s="38">
        <f>SUM(K545:K547)</f>
        <v>0</v>
      </c>
      <c r="L544" s="38">
        <f t="shared" si="235"/>
        <v>2926200</v>
      </c>
      <c r="M544" s="228">
        <f t="shared" si="226"/>
        <v>94.393548387096772</v>
      </c>
      <c r="N544" s="228">
        <f t="shared" si="227"/>
        <v>94.393548387096772</v>
      </c>
      <c r="O544" s="228">
        <f t="shared" si="228"/>
        <v>93.945036599460636</v>
      </c>
      <c r="P544" s="228">
        <f t="shared" si="232"/>
        <v>93.945036599460636</v>
      </c>
    </row>
    <row r="545" spans="1:16" s="7" customFormat="1" ht="12.75" customHeight="1">
      <c r="A545" s="46" t="s">
        <v>196</v>
      </c>
      <c r="B545" s="47" t="s">
        <v>416</v>
      </c>
      <c r="C545" s="212" t="s">
        <v>1220</v>
      </c>
      <c r="D545" s="63">
        <v>3050000</v>
      </c>
      <c r="E545" s="63"/>
      <c r="F545" s="63">
        <f t="shared" si="233"/>
        <v>3050000</v>
      </c>
      <c r="G545" s="38">
        <v>3054000</v>
      </c>
      <c r="H545" s="38"/>
      <c r="I545" s="38">
        <f t="shared" si="234"/>
        <v>3054000</v>
      </c>
      <c r="J545" s="63">
        <v>2866200</v>
      </c>
      <c r="K545" s="63"/>
      <c r="L545" s="63">
        <f t="shared" si="235"/>
        <v>2866200</v>
      </c>
      <c r="M545" s="218">
        <f t="shared" si="226"/>
        <v>93.973770491803279</v>
      </c>
      <c r="N545" s="218">
        <f t="shared" si="227"/>
        <v>93.973770491803279</v>
      </c>
      <c r="O545" s="218">
        <f t="shared" si="228"/>
        <v>93.850687622789792</v>
      </c>
      <c r="P545" s="218">
        <f t="shared" si="232"/>
        <v>93.850687622789792</v>
      </c>
    </row>
    <row r="546" spans="1:16" s="7" customFormat="1" ht="12.75" customHeight="1">
      <c r="A546" s="46" t="s">
        <v>651</v>
      </c>
      <c r="B546" s="47" t="s">
        <v>650</v>
      </c>
      <c r="C546" s="212" t="s">
        <v>1221</v>
      </c>
      <c r="D546" s="63">
        <v>50000</v>
      </c>
      <c r="E546" s="63"/>
      <c r="F546" s="63">
        <f>SUM(D546:E546)</f>
        <v>50000</v>
      </c>
      <c r="G546" s="38">
        <v>50000</v>
      </c>
      <c r="H546" s="38"/>
      <c r="I546" s="38">
        <f>SUM(G546:H546)</f>
        <v>50000</v>
      </c>
      <c r="J546" s="63">
        <v>60000</v>
      </c>
      <c r="K546" s="63"/>
      <c r="L546" s="63">
        <f>SUM(J546:K546)</f>
        <v>60000</v>
      </c>
      <c r="M546" s="218">
        <f t="shared" si="226"/>
        <v>120</v>
      </c>
      <c r="N546" s="218">
        <f t="shared" si="227"/>
        <v>120</v>
      </c>
      <c r="O546" s="218">
        <f t="shared" si="228"/>
        <v>120</v>
      </c>
      <c r="P546" s="218">
        <f>IF(I546&gt;0,IF(L546&gt;=0,L546/I546*100,""),"")</f>
        <v>120</v>
      </c>
    </row>
    <row r="547" spans="1:16" s="7" customFormat="1" ht="12.75" customHeight="1">
      <c r="A547" s="46" t="s">
        <v>2069</v>
      </c>
      <c r="B547" s="212" t="s">
        <v>2070</v>
      </c>
      <c r="C547" s="212" t="s">
        <v>2121</v>
      </c>
      <c r="D547" s="63"/>
      <c r="E547" s="63"/>
      <c r="F547" s="63"/>
      <c r="G547" s="38">
        <v>10800</v>
      </c>
      <c r="H547" s="38"/>
      <c r="I547" s="38">
        <f t="shared" si="234"/>
        <v>10800</v>
      </c>
      <c r="J547" s="63"/>
      <c r="K547" s="63"/>
      <c r="L547" s="63"/>
      <c r="M547" s="218" t="str">
        <f t="shared" si="226"/>
        <v/>
      </c>
      <c r="N547" s="218" t="str">
        <f t="shared" si="227"/>
        <v/>
      </c>
      <c r="O547" s="218">
        <f t="shared" si="228"/>
        <v>0</v>
      </c>
      <c r="P547" s="218">
        <f t="shared" ref="P547:P548" si="236">IF(I547&gt;0,IF(L547&gt;=0,L547/I547*100,""),"")</f>
        <v>0</v>
      </c>
    </row>
    <row r="548" spans="1:16" s="7" customFormat="1" ht="12.75" customHeight="1">
      <c r="A548" s="46" t="s">
        <v>791</v>
      </c>
      <c r="B548" s="212" t="s">
        <v>151</v>
      </c>
      <c r="C548" s="212" t="s">
        <v>1222</v>
      </c>
      <c r="D548" s="63"/>
      <c r="E548" s="63"/>
      <c r="F548" s="63">
        <f t="shared" si="233"/>
        <v>0</v>
      </c>
      <c r="G548" s="38">
        <v>120000</v>
      </c>
      <c r="H548" s="38"/>
      <c r="I548" s="38">
        <f t="shared" si="234"/>
        <v>120000</v>
      </c>
      <c r="J548" s="63"/>
      <c r="K548" s="63"/>
      <c r="L548" s="63">
        <f t="shared" si="235"/>
        <v>0</v>
      </c>
      <c r="M548" s="218" t="str">
        <f t="shared" si="226"/>
        <v/>
      </c>
      <c r="N548" s="218" t="str">
        <f t="shared" si="227"/>
        <v/>
      </c>
      <c r="O548" s="218">
        <f t="shared" si="228"/>
        <v>0</v>
      </c>
      <c r="P548" s="218">
        <f t="shared" si="236"/>
        <v>0</v>
      </c>
    </row>
    <row r="549" spans="1:16" s="7" customFormat="1" ht="6" customHeight="1">
      <c r="A549" s="46"/>
      <c r="B549" s="47"/>
      <c r="C549" s="212" t="s">
        <v>268</v>
      </c>
      <c r="D549" s="63"/>
      <c r="E549" s="63"/>
      <c r="F549" s="63"/>
      <c r="G549" s="38"/>
      <c r="H549" s="38"/>
      <c r="I549" s="38"/>
      <c r="J549" s="63"/>
      <c r="K549" s="63"/>
      <c r="L549" s="63"/>
      <c r="M549" s="218" t="str">
        <f t="shared" si="226"/>
        <v/>
      </c>
      <c r="N549" s="218" t="str">
        <f t="shared" si="227"/>
        <v/>
      </c>
      <c r="O549" s="218" t="str">
        <f t="shared" si="228"/>
        <v/>
      </c>
      <c r="P549" s="218" t="str">
        <f t="shared" ref="P549:P552" si="237">IF(I549&gt;0,IF(L549&gt;=0,L549/I549*100,""),"")</f>
        <v/>
      </c>
    </row>
    <row r="550" spans="1:16" s="11" customFormat="1" ht="12.75">
      <c r="A550" s="58" t="s">
        <v>370</v>
      </c>
      <c r="B550" s="65" t="s">
        <v>265</v>
      </c>
      <c r="C550" s="308" t="s">
        <v>940</v>
      </c>
      <c r="D550" s="90">
        <f>SUM(D552:D554)</f>
        <v>2579000</v>
      </c>
      <c r="E550" s="90">
        <f>SUM(E552:E552)</f>
        <v>0</v>
      </c>
      <c r="F550" s="42">
        <f>SUM(D550:E550)</f>
        <v>2579000</v>
      </c>
      <c r="G550" s="60">
        <f>SUM(G552:G554)</f>
        <v>2698200</v>
      </c>
      <c r="H550" s="60">
        <f>SUM(H552:H552)</f>
        <v>0</v>
      </c>
      <c r="I550" s="55">
        <f>SUM(G550:H550)</f>
        <v>2698200</v>
      </c>
      <c r="J550" s="90">
        <f>SUM(J552:J554)</f>
        <v>2652500</v>
      </c>
      <c r="K550" s="90">
        <f>SUM(K552:K552)</f>
        <v>0</v>
      </c>
      <c r="L550" s="42">
        <f>SUM(J550:K550)</f>
        <v>2652500</v>
      </c>
      <c r="M550" s="225">
        <f t="shared" si="226"/>
        <v>102.84994183792166</v>
      </c>
      <c r="N550" s="225">
        <f t="shared" si="227"/>
        <v>102.84994183792166</v>
      </c>
      <c r="O550" s="225">
        <f t="shared" si="228"/>
        <v>98.306278259580466</v>
      </c>
      <c r="P550" s="225">
        <f t="shared" si="237"/>
        <v>98.306278259580466</v>
      </c>
    </row>
    <row r="551" spans="1:16" s="11" customFormat="1" hidden="1">
      <c r="A551" s="36" t="s">
        <v>267</v>
      </c>
      <c r="B551" s="92"/>
      <c r="C551" s="312" t="s">
        <v>268</v>
      </c>
      <c r="D551" s="38">
        <f>SUM(D552:D554)</f>
        <v>2579000</v>
      </c>
      <c r="E551" s="77"/>
      <c r="F551" s="63">
        <f>SUM(D551:E551)</f>
        <v>2579000</v>
      </c>
      <c r="G551" s="38">
        <f>SUM(G552:G554)</f>
        <v>2698200</v>
      </c>
      <c r="H551" s="109"/>
      <c r="I551" s="38">
        <f>SUM(G551:H551)</f>
        <v>2698200</v>
      </c>
      <c r="J551" s="38">
        <f>SUM(J552:J554)</f>
        <v>2652500</v>
      </c>
      <c r="K551" s="77"/>
      <c r="L551" s="63">
        <f>SUM(J551:K551)</f>
        <v>2652500</v>
      </c>
      <c r="M551" s="218">
        <f t="shared" si="226"/>
        <v>102.84994183792166</v>
      </c>
      <c r="N551" s="218">
        <f t="shared" si="227"/>
        <v>102.84994183792166</v>
      </c>
      <c r="O551" s="218">
        <f t="shared" si="228"/>
        <v>98.306278259580466</v>
      </c>
      <c r="P551" s="218">
        <f t="shared" si="237"/>
        <v>98.306278259580466</v>
      </c>
    </row>
    <row r="552" spans="1:16" s="7" customFormat="1" ht="12.75" customHeight="1">
      <c r="A552" s="46" t="s">
        <v>196</v>
      </c>
      <c r="B552" s="47" t="s">
        <v>416</v>
      </c>
      <c r="C552" s="212" t="s">
        <v>1223</v>
      </c>
      <c r="D552" s="63">
        <v>2579000</v>
      </c>
      <c r="E552" s="63"/>
      <c r="F552" s="63">
        <f>SUM(D552:E552)</f>
        <v>2579000</v>
      </c>
      <c r="G552" s="38">
        <v>2693200</v>
      </c>
      <c r="H552" s="38"/>
      <c r="I552" s="38">
        <f>SUM(G552:H552)</f>
        <v>2693200</v>
      </c>
      <c r="J552" s="63">
        <v>2592500</v>
      </c>
      <c r="K552" s="63"/>
      <c r="L552" s="63">
        <f>SUM(J552:K552)</f>
        <v>2592500</v>
      </c>
      <c r="M552" s="218">
        <f t="shared" si="226"/>
        <v>100.52345870492438</v>
      </c>
      <c r="N552" s="218">
        <f t="shared" si="227"/>
        <v>100.52345870492438</v>
      </c>
      <c r="O552" s="218">
        <f t="shared" si="228"/>
        <v>96.260953512550131</v>
      </c>
      <c r="P552" s="218">
        <f t="shared" si="237"/>
        <v>96.260953512550131</v>
      </c>
    </row>
    <row r="553" spans="1:16" s="7" customFormat="1" ht="12.75" customHeight="1">
      <c r="A553" s="46" t="s">
        <v>651</v>
      </c>
      <c r="B553" s="47" t="s">
        <v>650</v>
      </c>
      <c r="C553" s="212" t="s">
        <v>2409</v>
      </c>
      <c r="D553" s="63"/>
      <c r="E553" s="63"/>
      <c r="F553" s="63"/>
      <c r="G553" s="38"/>
      <c r="H553" s="38"/>
      <c r="I553" s="38"/>
      <c r="J553" s="63">
        <v>60000</v>
      </c>
      <c r="K553" s="63"/>
      <c r="L553" s="63">
        <f>SUM(J553:K553)</f>
        <v>60000</v>
      </c>
      <c r="M553" s="218" t="str">
        <f t="shared" si="226"/>
        <v/>
      </c>
      <c r="N553" s="218" t="str">
        <f t="shared" si="227"/>
        <v/>
      </c>
      <c r="O553" s="218" t="str">
        <f t="shared" si="228"/>
        <v/>
      </c>
      <c r="P553" s="218" t="str">
        <f t="shared" ref="P553:P554" si="238">IF(I553&gt;0,IF(L553&gt;=0,L553/I553*100,""),"")</f>
        <v/>
      </c>
    </row>
    <row r="554" spans="1:16" s="7" customFormat="1" ht="12.75" customHeight="1">
      <c r="A554" s="46" t="s">
        <v>2069</v>
      </c>
      <c r="B554" s="212" t="s">
        <v>2070</v>
      </c>
      <c r="C554" s="212" t="s">
        <v>2122</v>
      </c>
      <c r="D554" s="63"/>
      <c r="E554" s="63"/>
      <c r="F554" s="63"/>
      <c r="G554" s="38">
        <v>5000</v>
      </c>
      <c r="H554" s="38"/>
      <c r="I554" s="38">
        <f>SUM(G554:H554)</f>
        <v>5000</v>
      </c>
      <c r="J554" s="63"/>
      <c r="K554" s="63"/>
      <c r="L554" s="63"/>
      <c r="M554" s="218" t="str">
        <f t="shared" si="226"/>
        <v/>
      </c>
      <c r="N554" s="218" t="str">
        <f t="shared" si="227"/>
        <v/>
      </c>
      <c r="O554" s="218">
        <f t="shared" si="228"/>
        <v>0</v>
      </c>
      <c r="P554" s="218">
        <f t="shared" si="238"/>
        <v>0</v>
      </c>
    </row>
    <row r="555" spans="1:16" s="7" customFormat="1" ht="6" customHeight="1">
      <c r="A555" s="46"/>
      <c r="B555" s="47"/>
      <c r="C555" s="212" t="s">
        <v>268</v>
      </c>
      <c r="D555" s="63"/>
      <c r="E555" s="63"/>
      <c r="F555" s="63"/>
      <c r="G555" s="38"/>
      <c r="H555" s="38"/>
      <c r="I555" s="38"/>
      <c r="J555" s="63"/>
      <c r="K555" s="63"/>
      <c r="L555" s="63"/>
      <c r="M555" s="218" t="str">
        <f t="shared" si="226"/>
        <v/>
      </c>
      <c r="N555" s="218" t="str">
        <f t="shared" si="227"/>
        <v/>
      </c>
      <c r="O555" s="218" t="str">
        <f t="shared" si="228"/>
        <v/>
      </c>
      <c r="P555" s="218" t="str">
        <f>IF(I555&gt;0,IF(L555&gt;=0,L555/I555*100,""),"")</f>
        <v/>
      </c>
    </row>
    <row r="556" spans="1:16" s="11" customFormat="1" ht="12.75">
      <c r="A556" s="58" t="s">
        <v>303</v>
      </c>
      <c r="B556" s="65" t="s">
        <v>265</v>
      </c>
      <c r="C556" s="308" t="s">
        <v>940</v>
      </c>
      <c r="D556" s="90">
        <f>SUM(D558:D558)</f>
        <v>2569000</v>
      </c>
      <c r="E556" s="90">
        <f>SUM(E558:E558)</f>
        <v>0</v>
      </c>
      <c r="F556" s="42">
        <f>SUM(D556:E556)</f>
        <v>2569000</v>
      </c>
      <c r="G556" s="60">
        <f>SUM(G558:G560)</f>
        <v>2746000</v>
      </c>
      <c r="H556" s="60">
        <f>SUM(H558:H558)</f>
        <v>0</v>
      </c>
      <c r="I556" s="55">
        <f>SUM(G556:H556)</f>
        <v>2746000</v>
      </c>
      <c r="J556" s="90">
        <f>SUM(J558:J560)</f>
        <v>2360500</v>
      </c>
      <c r="K556" s="90">
        <f>SUM(K558:K558)</f>
        <v>0</v>
      </c>
      <c r="L556" s="42">
        <f>SUM(J556:K556)</f>
        <v>2360500</v>
      </c>
      <c r="M556" s="225">
        <f t="shared" si="226"/>
        <v>91.884001557026082</v>
      </c>
      <c r="N556" s="225">
        <f t="shared" si="227"/>
        <v>91.884001557026082</v>
      </c>
      <c r="O556" s="225">
        <f t="shared" si="228"/>
        <v>85.961398397669342</v>
      </c>
      <c r="P556" s="225">
        <f>IF(I556&gt;0,IF(L556&gt;=0,L556/I556*100,""),"")</f>
        <v>85.961398397669342</v>
      </c>
    </row>
    <row r="557" spans="1:16" s="11" customFormat="1" ht="12.75" customHeight="1">
      <c r="A557" s="36" t="s">
        <v>267</v>
      </c>
      <c r="B557" s="92"/>
      <c r="C557" s="312" t="s">
        <v>268</v>
      </c>
      <c r="D557" s="38">
        <f>SUM(D558:D558)</f>
        <v>2569000</v>
      </c>
      <c r="E557" s="77"/>
      <c r="F557" s="63">
        <f>SUM(D557:E557)</f>
        <v>2569000</v>
      </c>
      <c r="G557" s="38">
        <f>SUM(G558:G558)</f>
        <v>2666000</v>
      </c>
      <c r="H557" s="109"/>
      <c r="I557" s="38">
        <f>SUM(G557:H557)</f>
        <v>2666000</v>
      </c>
      <c r="J557" s="38">
        <f>SUM(J558:J559)</f>
        <v>2360500</v>
      </c>
      <c r="K557" s="77"/>
      <c r="L557" s="63">
        <f>SUM(J557:K557)</f>
        <v>2360500</v>
      </c>
      <c r="M557" s="218">
        <f t="shared" si="226"/>
        <v>91.884001557026082</v>
      </c>
      <c r="N557" s="218">
        <f t="shared" si="227"/>
        <v>91.884001557026082</v>
      </c>
      <c r="O557" s="218">
        <f t="shared" si="228"/>
        <v>88.540885221305317</v>
      </c>
      <c r="P557" s="218">
        <f>IF(I557&gt;0,IF(L557&gt;=0,L557/I557*100,""),"")</f>
        <v>88.540885221305317</v>
      </c>
    </row>
    <row r="558" spans="1:16" s="7" customFormat="1" ht="12.75" customHeight="1">
      <c r="A558" s="46" t="s">
        <v>196</v>
      </c>
      <c r="B558" s="47" t="s">
        <v>416</v>
      </c>
      <c r="C558" s="212" t="s">
        <v>1224</v>
      </c>
      <c r="D558" s="63">
        <v>2569000</v>
      </c>
      <c r="E558" s="63"/>
      <c r="F558" s="63">
        <f>SUM(D558:E558)</f>
        <v>2569000</v>
      </c>
      <c r="G558" s="38">
        <v>2666000</v>
      </c>
      <c r="H558" s="38"/>
      <c r="I558" s="38">
        <f>SUM(G558:H558)</f>
        <v>2666000</v>
      </c>
      <c r="J558" s="63">
        <v>2320500</v>
      </c>
      <c r="K558" s="63"/>
      <c r="L558" s="63">
        <f>SUM(J558:K558)</f>
        <v>2320500</v>
      </c>
      <c r="M558" s="218">
        <f t="shared" si="226"/>
        <v>90.326975476839237</v>
      </c>
      <c r="N558" s="218">
        <f t="shared" si="227"/>
        <v>90.326975476839237</v>
      </c>
      <c r="O558" s="218">
        <f t="shared" si="228"/>
        <v>87.040510127531874</v>
      </c>
      <c r="P558" s="218">
        <f>IF(I558&gt;0,IF(L558&gt;=0,L558/I558*100,""),"")</f>
        <v>87.040510127531874</v>
      </c>
    </row>
    <row r="559" spans="1:16" s="7" customFormat="1" ht="12.75" customHeight="1">
      <c r="A559" s="46" t="s">
        <v>651</v>
      </c>
      <c r="B559" s="47" t="s">
        <v>650</v>
      </c>
      <c r="C559" s="212" t="s">
        <v>2410</v>
      </c>
      <c r="D559" s="63"/>
      <c r="E559" s="63"/>
      <c r="F559" s="63"/>
      <c r="G559" s="38"/>
      <c r="H559" s="38"/>
      <c r="I559" s="38"/>
      <c r="J559" s="63">
        <v>40000</v>
      </c>
      <c r="K559" s="63"/>
      <c r="L559" s="63">
        <f t="shared" ref="L559:L560" si="239">SUM(J559:K559)</f>
        <v>40000</v>
      </c>
      <c r="M559" s="218" t="str">
        <f t="shared" si="226"/>
        <v/>
      </c>
      <c r="N559" s="218" t="str">
        <f t="shared" si="227"/>
        <v/>
      </c>
      <c r="O559" s="218" t="str">
        <f t="shared" si="228"/>
        <v/>
      </c>
      <c r="P559" s="218" t="str">
        <f t="shared" ref="P559:P560" si="240">IF(I559&gt;0,IF(L559&gt;=0,L559/I559*100,""),"")</f>
        <v/>
      </c>
    </row>
    <row r="560" spans="1:16" s="7" customFormat="1" ht="12.75" customHeight="1">
      <c r="A560" s="46" t="s">
        <v>791</v>
      </c>
      <c r="B560" s="212" t="s">
        <v>151</v>
      </c>
      <c r="C560" s="212" t="s">
        <v>2234</v>
      </c>
      <c r="D560" s="63"/>
      <c r="E560" s="63"/>
      <c r="F560" s="63"/>
      <c r="G560" s="38">
        <v>80000</v>
      </c>
      <c r="H560" s="38"/>
      <c r="I560" s="38">
        <f>SUM(G560:H560)</f>
        <v>80000</v>
      </c>
      <c r="J560" s="63"/>
      <c r="K560" s="63"/>
      <c r="L560" s="63">
        <f t="shared" si="239"/>
        <v>0</v>
      </c>
      <c r="M560" s="218" t="str">
        <f t="shared" si="226"/>
        <v/>
      </c>
      <c r="N560" s="218" t="str">
        <f t="shared" si="227"/>
        <v/>
      </c>
      <c r="O560" s="218">
        <f t="shared" si="228"/>
        <v>0</v>
      </c>
      <c r="P560" s="218">
        <f t="shared" si="240"/>
        <v>0</v>
      </c>
    </row>
    <row r="561" spans="1:16" s="7" customFormat="1" ht="6" customHeight="1">
      <c r="A561" s="46"/>
      <c r="B561" s="47"/>
      <c r="C561" s="212" t="s">
        <v>268</v>
      </c>
      <c r="D561" s="63"/>
      <c r="E561" s="63"/>
      <c r="F561" s="63"/>
      <c r="G561" s="38"/>
      <c r="H561" s="38"/>
      <c r="I561" s="38"/>
      <c r="J561" s="63"/>
      <c r="K561" s="63"/>
      <c r="L561" s="63"/>
      <c r="M561" s="218" t="str">
        <f t="shared" si="226"/>
        <v/>
      </c>
      <c r="N561" s="218" t="str">
        <f t="shared" si="227"/>
        <v/>
      </c>
      <c r="O561" s="218" t="str">
        <f t="shared" si="228"/>
        <v/>
      </c>
      <c r="P561" s="218" t="str">
        <f>IF(I561&gt;0,IF(L561&gt;=0,L561/I561*100,""),"")</f>
        <v/>
      </c>
    </row>
    <row r="562" spans="1:16" s="7" customFormat="1" ht="12.75">
      <c r="A562" s="58" t="s">
        <v>413</v>
      </c>
      <c r="B562" s="65" t="s">
        <v>265</v>
      </c>
      <c r="C562" s="308" t="s">
        <v>940</v>
      </c>
      <c r="D562" s="90">
        <f>SUM(D564:D567)</f>
        <v>3264000</v>
      </c>
      <c r="E562" s="90">
        <f>SUM(E564:E567)</f>
        <v>0</v>
      </c>
      <c r="F562" s="42">
        <f t="shared" ref="F562:F567" si="241">SUM(D562:E562)</f>
        <v>3264000</v>
      </c>
      <c r="G562" s="60">
        <f>SUM(G564:G567)</f>
        <v>3418800</v>
      </c>
      <c r="H562" s="60">
        <f>SUM(H564:H567)</f>
        <v>0</v>
      </c>
      <c r="I562" s="55">
        <f t="shared" ref="I562:I567" si="242">SUM(G562:H562)</f>
        <v>3418800</v>
      </c>
      <c r="J562" s="42">
        <f>SUM(J564:J567)</f>
        <v>3132950</v>
      </c>
      <c r="K562" s="90">
        <f>SUM(K564:K567)</f>
        <v>0</v>
      </c>
      <c r="L562" s="42">
        <f t="shared" ref="L562:L564" si="243">SUM(J562:K562)</f>
        <v>3132950</v>
      </c>
      <c r="M562" s="225">
        <f t="shared" si="226"/>
        <v>95.984987745098039</v>
      </c>
      <c r="N562" s="225">
        <f t="shared" si="227"/>
        <v>95.984987745098039</v>
      </c>
      <c r="O562" s="225">
        <f t="shared" si="228"/>
        <v>91.638879138879133</v>
      </c>
      <c r="P562" s="225">
        <f>IF(I562&gt;0,IF(L562&gt;=0,L562/I562*100,""),"")</f>
        <v>91.638879138879133</v>
      </c>
    </row>
    <row r="563" spans="1:16" s="16" customFormat="1" hidden="1">
      <c r="A563" s="56" t="s">
        <v>267</v>
      </c>
      <c r="B563" s="33"/>
      <c r="C563" s="211" t="s">
        <v>268</v>
      </c>
      <c r="D563" s="38">
        <f>SUM(D564:D566)</f>
        <v>3264000</v>
      </c>
      <c r="E563" s="38">
        <f>SUM(E564:E566)</f>
        <v>0</v>
      </c>
      <c r="F563" s="38">
        <f t="shared" si="241"/>
        <v>3264000</v>
      </c>
      <c r="G563" s="38">
        <f>SUM(G564:G566)</f>
        <v>3418800</v>
      </c>
      <c r="H563" s="38">
        <f>SUM(H564:H566)</f>
        <v>0</v>
      </c>
      <c r="I563" s="38">
        <f t="shared" si="242"/>
        <v>3418800</v>
      </c>
      <c r="J563" s="38">
        <f>SUM(J564:J566)</f>
        <v>3132950</v>
      </c>
      <c r="K563" s="38">
        <f>SUM(K564:K566)</f>
        <v>0</v>
      </c>
      <c r="L563" s="38">
        <f t="shared" si="243"/>
        <v>3132950</v>
      </c>
      <c r="M563" s="228">
        <f t="shared" si="226"/>
        <v>95.984987745098039</v>
      </c>
      <c r="N563" s="228">
        <f t="shared" si="227"/>
        <v>95.984987745098039</v>
      </c>
      <c r="O563" s="228">
        <f t="shared" si="228"/>
        <v>91.638879138879133</v>
      </c>
      <c r="P563" s="228">
        <f>IF(I563&gt;0,IF(L563&gt;=0,L563/I563*100,""),"")</f>
        <v>91.638879138879133</v>
      </c>
    </row>
    <row r="564" spans="1:16" s="7" customFormat="1" ht="12.75" customHeight="1">
      <c r="A564" s="46" t="s">
        <v>196</v>
      </c>
      <c r="B564" s="47" t="s">
        <v>416</v>
      </c>
      <c r="C564" s="212" t="s">
        <v>1225</v>
      </c>
      <c r="D564" s="63">
        <v>3224000</v>
      </c>
      <c r="E564" s="63"/>
      <c r="F564" s="63">
        <f t="shared" si="241"/>
        <v>3224000</v>
      </c>
      <c r="G564" s="38">
        <v>3371600</v>
      </c>
      <c r="H564" s="38"/>
      <c r="I564" s="38">
        <f t="shared" si="242"/>
        <v>3371600</v>
      </c>
      <c r="J564" s="63">
        <v>3082950</v>
      </c>
      <c r="K564" s="63"/>
      <c r="L564" s="63">
        <f t="shared" si="243"/>
        <v>3082950</v>
      </c>
      <c r="M564" s="218">
        <f t="shared" si="226"/>
        <v>95.625</v>
      </c>
      <c r="N564" s="218">
        <f t="shared" si="227"/>
        <v>95.625</v>
      </c>
      <c r="O564" s="218">
        <f t="shared" si="228"/>
        <v>91.438782773757268</v>
      </c>
      <c r="P564" s="218">
        <f>IF(I564&gt;0,IF(L564&gt;=0,L564/I564*100,""),"")</f>
        <v>91.438782773757268</v>
      </c>
    </row>
    <row r="565" spans="1:16" s="7" customFormat="1" ht="12.75" customHeight="1">
      <c r="A565" s="359" t="s">
        <v>651</v>
      </c>
      <c r="B565" s="59" t="s">
        <v>650</v>
      </c>
      <c r="C565" s="310" t="s">
        <v>1226</v>
      </c>
      <c r="D565" s="67">
        <v>40000</v>
      </c>
      <c r="E565" s="67"/>
      <c r="F565" s="67">
        <f>SUM(D565:E565)</f>
        <v>40000</v>
      </c>
      <c r="G565" s="61">
        <v>40000</v>
      </c>
      <c r="H565" s="61"/>
      <c r="I565" s="61">
        <f>SUM(G565:H565)</f>
        <v>40000</v>
      </c>
      <c r="J565" s="67">
        <v>50000</v>
      </c>
      <c r="K565" s="67"/>
      <c r="L565" s="67">
        <f>SUM(J565:K565)</f>
        <v>50000</v>
      </c>
      <c r="M565" s="273">
        <f t="shared" si="226"/>
        <v>125</v>
      </c>
      <c r="N565" s="273">
        <f t="shared" si="227"/>
        <v>125</v>
      </c>
      <c r="O565" s="273">
        <f t="shared" si="228"/>
        <v>125</v>
      </c>
      <c r="P565" s="273">
        <f>IF(I565&gt;0,IF(L565&gt;=0,L565/I565*100,""),"")</f>
        <v>125</v>
      </c>
    </row>
    <row r="566" spans="1:16" s="7" customFormat="1" ht="12.75" customHeight="1">
      <c r="A566" s="43" t="s">
        <v>2069</v>
      </c>
      <c r="B566" s="304" t="s">
        <v>2070</v>
      </c>
      <c r="C566" s="304" t="s">
        <v>2123</v>
      </c>
      <c r="D566" s="76"/>
      <c r="E566" s="76"/>
      <c r="F566" s="76"/>
      <c r="G566" s="116">
        <v>7200</v>
      </c>
      <c r="H566" s="116"/>
      <c r="I566" s="116">
        <f t="shared" si="242"/>
        <v>7200</v>
      </c>
      <c r="J566" s="76"/>
      <c r="K566" s="76"/>
      <c r="L566" s="76">
        <f t="shared" ref="L566:L567" si="244">SUM(J566:K566)</f>
        <v>0</v>
      </c>
      <c r="M566" s="226" t="str">
        <f t="shared" si="226"/>
        <v/>
      </c>
      <c r="N566" s="226" t="str">
        <f t="shared" si="227"/>
        <v/>
      </c>
      <c r="O566" s="226">
        <f t="shared" si="228"/>
        <v>0</v>
      </c>
      <c r="P566" s="226">
        <f t="shared" ref="P566:P567" si="245">IF(I566&gt;0,IF(L566&gt;=0,L566/I566*100,""),"")</f>
        <v>0</v>
      </c>
    </row>
    <row r="567" spans="1:16" s="7" customFormat="1" hidden="1">
      <c r="A567" s="46" t="s">
        <v>791</v>
      </c>
      <c r="B567" s="47" t="s">
        <v>151</v>
      </c>
      <c r="C567" s="212" t="s">
        <v>1227</v>
      </c>
      <c r="D567" s="63"/>
      <c r="E567" s="63"/>
      <c r="F567" s="63">
        <f t="shared" si="241"/>
        <v>0</v>
      </c>
      <c r="G567" s="38"/>
      <c r="H567" s="38"/>
      <c r="I567" s="38">
        <f t="shared" si="242"/>
        <v>0</v>
      </c>
      <c r="J567" s="63"/>
      <c r="K567" s="63"/>
      <c r="L567" s="63">
        <f t="shared" si="244"/>
        <v>0</v>
      </c>
      <c r="M567" s="218" t="str">
        <f t="shared" si="226"/>
        <v/>
      </c>
      <c r="N567" s="218" t="str">
        <f t="shared" si="227"/>
        <v/>
      </c>
      <c r="O567" s="218" t="str">
        <f t="shared" si="228"/>
        <v/>
      </c>
      <c r="P567" s="218" t="str">
        <f t="shared" si="245"/>
        <v/>
      </c>
    </row>
    <row r="568" spans="1:16" s="7" customFormat="1" ht="6" customHeight="1">
      <c r="A568" s="46"/>
      <c r="B568" s="47"/>
      <c r="C568" s="212" t="s">
        <v>268</v>
      </c>
      <c r="D568" s="63"/>
      <c r="E568" s="63"/>
      <c r="F568" s="63"/>
      <c r="G568" s="38"/>
      <c r="H568" s="38"/>
      <c r="I568" s="38"/>
      <c r="J568" s="63"/>
      <c r="K568" s="63"/>
      <c r="L568" s="63"/>
      <c r="M568" s="218" t="str">
        <f t="shared" si="226"/>
        <v/>
      </c>
      <c r="N568" s="218" t="str">
        <f t="shared" si="227"/>
        <v/>
      </c>
      <c r="O568" s="218" t="str">
        <f t="shared" si="228"/>
        <v/>
      </c>
      <c r="P568" s="218" t="str">
        <f t="shared" ref="P568:P571" si="246">IF(I568&gt;0,IF(L568&gt;=0,L568/I568*100,""),"")</f>
        <v/>
      </c>
    </row>
    <row r="569" spans="1:16" s="7" customFormat="1" ht="12.75">
      <c r="A569" s="58" t="s">
        <v>306</v>
      </c>
      <c r="B569" s="65" t="s">
        <v>265</v>
      </c>
      <c r="C569" s="308" t="s">
        <v>940</v>
      </c>
      <c r="D569" s="90">
        <f>SUM(D571:D573)</f>
        <v>2282000</v>
      </c>
      <c r="E569" s="90">
        <f>SUM(E571:E571)</f>
        <v>0</v>
      </c>
      <c r="F569" s="42">
        <f>SUM(D569:E569)</f>
        <v>2282000</v>
      </c>
      <c r="G569" s="60">
        <f>SUM(G571:G573)</f>
        <v>2425500</v>
      </c>
      <c r="H569" s="60">
        <f>SUM(H571:H571)</f>
        <v>0</v>
      </c>
      <c r="I569" s="55">
        <f>SUM(G569:H569)</f>
        <v>2425500</v>
      </c>
      <c r="J569" s="42">
        <f>SUM(J571:J573)</f>
        <v>2363000</v>
      </c>
      <c r="K569" s="90">
        <f>SUM(K571:K571)</f>
        <v>0</v>
      </c>
      <c r="L569" s="42">
        <f>SUM(J569:K569)</f>
        <v>2363000</v>
      </c>
      <c r="M569" s="225">
        <f t="shared" si="226"/>
        <v>103.54951796669587</v>
      </c>
      <c r="N569" s="225">
        <f t="shared" si="227"/>
        <v>103.54951796669587</v>
      </c>
      <c r="O569" s="225">
        <f t="shared" si="228"/>
        <v>97.42321170892599</v>
      </c>
      <c r="P569" s="225">
        <f t="shared" si="246"/>
        <v>97.42321170892599</v>
      </c>
    </row>
    <row r="570" spans="1:16" s="7" customFormat="1" hidden="1">
      <c r="A570" s="36" t="s">
        <v>267</v>
      </c>
      <c r="B570" s="92"/>
      <c r="C570" s="312" t="s">
        <v>268</v>
      </c>
      <c r="D570" s="38">
        <f>SUM(D571:D573)</f>
        <v>2282000</v>
      </c>
      <c r="E570" s="77"/>
      <c r="F570" s="63">
        <f>SUM(D570:E570)</f>
        <v>2282000</v>
      </c>
      <c r="G570" s="38">
        <f>SUM(G571:G573)</f>
        <v>2425500</v>
      </c>
      <c r="H570" s="109"/>
      <c r="I570" s="38">
        <f>SUM(G570:H570)</f>
        <v>2425500</v>
      </c>
      <c r="J570" s="63">
        <f>SUM(J571:J573)</f>
        <v>2363000</v>
      </c>
      <c r="K570" s="77"/>
      <c r="L570" s="63">
        <f>SUM(J570:K570)</f>
        <v>2363000</v>
      </c>
      <c r="M570" s="218">
        <f t="shared" si="226"/>
        <v>103.54951796669587</v>
      </c>
      <c r="N570" s="218">
        <f t="shared" si="227"/>
        <v>103.54951796669587</v>
      </c>
      <c r="O570" s="218">
        <f t="shared" si="228"/>
        <v>97.42321170892599</v>
      </c>
      <c r="P570" s="218">
        <f t="shared" si="246"/>
        <v>97.42321170892599</v>
      </c>
    </row>
    <row r="571" spans="1:16" s="7" customFormat="1" ht="12.75" customHeight="1">
      <c r="A571" s="46" t="s">
        <v>196</v>
      </c>
      <c r="B571" s="47" t="s">
        <v>416</v>
      </c>
      <c r="C571" s="212" t="s">
        <v>1228</v>
      </c>
      <c r="D571" s="63">
        <v>2262000</v>
      </c>
      <c r="E571" s="63"/>
      <c r="F571" s="63">
        <f>SUM(D571:E571)</f>
        <v>2262000</v>
      </c>
      <c r="G571" s="38">
        <v>2369000</v>
      </c>
      <c r="H571" s="38"/>
      <c r="I571" s="38">
        <f>SUM(G571:H571)</f>
        <v>2369000</v>
      </c>
      <c r="J571" s="63">
        <v>2363000</v>
      </c>
      <c r="K571" s="63"/>
      <c r="L571" s="63">
        <f>SUM(J571:K571)</f>
        <v>2363000</v>
      </c>
      <c r="M571" s="218">
        <f t="shared" si="226"/>
        <v>104.46507515473033</v>
      </c>
      <c r="N571" s="218">
        <f t="shared" si="227"/>
        <v>104.46507515473033</v>
      </c>
      <c r="O571" s="218">
        <f t="shared" si="228"/>
        <v>99.746728577458839</v>
      </c>
      <c r="P571" s="218">
        <f t="shared" si="246"/>
        <v>99.746728577458839</v>
      </c>
    </row>
    <row r="572" spans="1:16" s="7" customFormat="1" ht="12.75" customHeight="1">
      <c r="A572" s="46" t="s">
        <v>2069</v>
      </c>
      <c r="B572" s="212" t="s">
        <v>2070</v>
      </c>
      <c r="C572" s="212" t="s">
        <v>2124</v>
      </c>
      <c r="D572" s="63"/>
      <c r="E572" s="63"/>
      <c r="F572" s="63"/>
      <c r="G572" s="38">
        <v>11500</v>
      </c>
      <c r="H572" s="38"/>
      <c r="I572" s="38">
        <f>SUM(G572:H572)</f>
        <v>11500</v>
      </c>
      <c r="J572" s="63"/>
      <c r="K572" s="63"/>
      <c r="L572" s="63"/>
      <c r="M572" s="218" t="str">
        <f t="shared" si="226"/>
        <v/>
      </c>
      <c r="N572" s="218" t="str">
        <f t="shared" si="227"/>
        <v/>
      </c>
      <c r="O572" s="218">
        <f t="shared" si="228"/>
        <v>0</v>
      </c>
      <c r="P572" s="218">
        <f t="shared" ref="P572:P573" si="247">IF(I572&gt;0,IF(L572&gt;=0,L572/I572*100,""),"")</f>
        <v>0</v>
      </c>
    </row>
    <row r="573" spans="1:16" s="7" customFormat="1" ht="12.75" customHeight="1">
      <c r="A573" s="46" t="s">
        <v>651</v>
      </c>
      <c r="B573" s="212" t="s">
        <v>650</v>
      </c>
      <c r="C573" s="212" t="s">
        <v>1229</v>
      </c>
      <c r="D573" s="63">
        <v>20000</v>
      </c>
      <c r="E573" s="63"/>
      <c r="F573" s="63">
        <f>SUM(D573:E573)</f>
        <v>20000</v>
      </c>
      <c r="G573" s="38">
        <v>45000</v>
      </c>
      <c r="H573" s="38"/>
      <c r="I573" s="38">
        <f>SUM(G573:H573)</f>
        <v>45000</v>
      </c>
      <c r="J573" s="63"/>
      <c r="K573" s="63"/>
      <c r="L573" s="63">
        <f>SUM(J573:K573)</f>
        <v>0</v>
      </c>
      <c r="M573" s="218">
        <f t="shared" si="226"/>
        <v>0</v>
      </c>
      <c r="N573" s="218">
        <f t="shared" si="227"/>
        <v>0</v>
      </c>
      <c r="O573" s="218">
        <f t="shared" si="228"/>
        <v>0</v>
      </c>
      <c r="P573" s="218">
        <f t="shared" si="247"/>
        <v>0</v>
      </c>
    </row>
    <row r="574" spans="1:16" s="7" customFormat="1" ht="6" customHeight="1">
      <c r="A574" s="46"/>
      <c r="B574" s="47"/>
      <c r="C574" s="212" t="s">
        <v>268</v>
      </c>
      <c r="D574" s="63"/>
      <c r="E574" s="63"/>
      <c r="F574" s="63"/>
      <c r="G574" s="38"/>
      <c r="H574" s="38"/>
      <c r="I574" s="38"/>
      <c r="J574" s="63"/>
      <c r="K574" s="63"/>
      <c r="L574" s="63"/>
      <c r="M574" s="218" t="str">
        <f t="shared" si="226"/>
        <v/>
      </c>
      <c r="N574" s="218" t="str">
        <f t="shared" si="227"/>
        <v/>
      </c>
      <c r="O574" s="218" t="str">
        <f t="shared" si="228"/>
        <v/>
      </c>
      <c r="P574" s="218" t="str">
        <f>IF(I574&gt;0,IF(L574&gt;=0,L574/I574*100,""),"")</f>
        <v/>
      </c>
    </row>
    <row r="575" spans="1:16" s="7" customFormat="1" ht="12.75">
      <c r="A575" s="58" t="s">
        <v>307</v>
      </c>
      <c r="B575" s="65" t="s">
        <v>265</v>
      </c>
      <c r="C575" s="308" t="s">
        <v>940</v>
      </c>
      <c r="D575" s="90">
        <f>SUM(D577:D577)</f>
        <v>2642000</v>
      </c>
      <c r="E575" s="90">
        <f>SUM(E577:E577)</f>
        <v>0</v>
      </c>
      <c r="F575" s="42">
        <f>SUM(D575:E575)</f>
        <v>2642000</v>
      </c>
      <c r="G575" s="60">
        <f>SUM(G577:G579)</f>
        <v>2807500</v>
      </c>
      <c r="H575" s="60">
        <f>SUM(H577:H577)</f>
        <v>0</v>
      </c>
      <c r="I575" s="55">
        <f>SUM(G575:H575)</f>
        <v>2807500</v>
      </c>
      <c r="J575" s="90">
        <f>SUM(J577:J580)</f>
        <v>2761250</v>
      </c>
      <c r="K575" s="90">
        <f>SUM(K577:K577)</f>
        <v>0</v>
      </c>
      <c r="L575" s="42">
        <f>SUM(J575:K575)</f>
        <v>2761250</v>
      </c>
      <c r="M575" s="225">
        <f t="shared" si="226"/>
        <v>104.51362604087812</v>
      </c>
      <c r="N575" s="225">
        <f t="shared" si="227"/>
        <v>104.51362604087812</v>
      </c>
      <c r="O575" s="225">
        <f t="shared" si="228"/>
        <v>98.352626892252886</v>
      </c>
      <c r="P575" s="225">
        <f>IF(I575&gt;0,IF(L575&gt;=0,L575/I575*100,""),"")</f>
        <v>98.352626892252886</v>
      </c>
    </row>
    <row r="576" spans="1:16" s="7" customFormat="1" hidden="1">
      <c r="A576" s="36" t="s">
        <v>267</v>
      </c>
      <c r="B576" s="92"/>
      <c r="C576" s="312" t="s">
        <v>268</v>
      </c>
      <c r="D576" s="38">
        <f>SUM(D577:D579)</f>
        <v>2642000</v>
      </c>
      <c r="E576" s="77"/>
      <c r="F576" s="63">
        <f>SUM(D576:E576)</f>
        <v>2642000</v>
      </c>
      <c r="G576" s="38">
        <f>SUM(G577:G579)</f>
        <v>2807500</v>
      </c>
      <c r="H576" s="109"/>
      <c r="I576" s="38">
        <f>SUM(G576:H576)</f>
        <v>2807500</v>
      </c>
      <c r="J576" s="38">
        <f>SUM(J577:J580)</f>
        <v>2761250</v>
      </c>
      <c r="K576" s="77"/>
      <c r="L576" s="63">
        <f>SUM(J576:K576)</f>
        <v>2761250</v>
      </c>
      <c r="M576" s="218">
        <f t="shared" si="226"/>
        <v>104.51362604087812</v>
      </c>
      <c r="N576" s="218">
        <f t="shared" si="227"/>
        <v>104.51362604087812</v>
      </c>
      <c r="O576" s="218">
        <f t="shared" si="228"/>
        <v>98.352626892252886</v>
      </c>
      <c r="P576" s="218">
        <f>IF(I576&gt;0,IF(L576&gt;=0,L576/I576*100,""),"")</f>
        <v>98.352626892252886</v>
      </c>
    </row>
    <row r="577" spans="1:16" s="7" customFormat="1" ht="12.75" customHeight="1">
      <c r="A577" s="46" t="s">
        <v>196</v>
      </c>
      <c r="B577" s="47" t="s">
        <v>416</v>
      </c>
      <c r="C577" s="212" t="s">
        <v>1230</v>
      </c>
      <c r="D577" s="63">
        <v>2642000</v>
      </c>
      <c r="E577" s="63"/>
      <c r="F577" s="63">
        <f>SUM(D577:E577)</f>
        <v>2642000</v>
      </c>
      <c r="G577" s="38">
        <v>2796600</v>
      </c>
      <c r="H577" s="38"/>
      <c r="I577" s="38">
        <f>SUM(G577:H577)</f>
        <v>2796600</v>
      </c>
      <c r="J577" s="63">
        <v>2741250</v>
      </c>
      <c r="K577" s="63"/>
      <c r="L577" s="63">
        <f>SUM(J577:K577)</f>
        <v>2741250</v>
      </c>
      <c r="M577" s="218">
        <f t="shared" si="226"/>
        <v>103.75662376987131</v>
      </c>
      <c r="N577" s="218">
        <f t="shared" si="227"/>
        <v>103.75662376987131</v>
      </c>
      <c r="O577" s="218">
        <f t="shared" si="228"/>
        <v>98.020810984767209</v>
      </c>
      <c r="P577" s="218">
        <f>IF(I577&gt;0,IF(L577&gt;=0,L577/I577*100,""),"")</f>
        <v>98.020810984767209</v>
      </c>
    </row>
    <row r="578" spans="1:16" s="7" customFormat="1" ht="12.75" customHeight="1">
      <c r="A578" s="46" t="s">
        <v>651</v>
      </c>
      <c r="B578" s="47" t="s">
        <v>650</v>
      </c>
      <c r="C578" s="212" t="s">
        <v>2233</v>
      </c>
      <c r="D578" s="63"/>
      <c r="E578" s="63"/>
      <c r="F578" s="63"/>
      <c r="G578" s="38">
        <v>5600</v>
      </c>
      <c r="H578" s="38"/>
      <c r="I578" s="38">
        <f>SUM(G578:H578)</f>
        <v>5600</v>
      </c>
      <c r="J578" s="63">
        <v>20000</v>
      </c>
      <c r="K578" s="63"/>
      <c r="L578" s="63">
        <f>SUM(J578:K578)</f>
        <v>20000</v>
      </c>
      <c r="M578" s="218" t="str">
        <f t="shared" si="226"/>
        <v/>
      </c>
      <c r="N578" s="218" t="str">
        <f t="shared" si="227"/>
        <v/>
      </c>
      <c r="O578" s="218">
        <f t="shared" si="228"/>
        <v>357.14285714285717</v>
      </c>
      <c r="P578" s="218">
        <f>IF(I578&gt;0,IF(L578&gt;=0,L578/I578*100,""),"")</f>
        <v>357.14285714285717</v>
      </c>
    </row>
    <row r="579" spans="1:16" s="7" customFormat="1" ht="12.75" customHeight="1">
      <c r="A579" s="46" t="s">
        <v>2069</v>
      </c>
      <c r="B579" s="212" t="s">
        <v>2070</v>
      </c>
      <c r="C579" s="212" t="s">
        <v>2125</v>
      </c>
      <c r="D579" s="63"/>
      <c r="E579" s="63"/>
      <c r="F579" s="63"/>
      <c r="G579" s="38">
        <v>5300</v>
      </c>
      <c r="H579" s="38"/>
      <c r="I579" s="38">
        <f>SUM(G579:H579)</f>
        <v>5300</v>
      </c>
      <c r="J579" s="63"/>
      <c r="K579" s="63"/>
      <c r="L579" s="63">
        <f t="shared" ref="L579" si="248">SUM(J579:K579)</f>
        <v>0</v>
      </c>
      <c r="M579" s="218" t="str">
        <f t="shared" si="226"/>
        <v/>
      </c>
      <c r="N579" s="218" t="str">
        <f t="shared" si="227"/>
        <v/>
      </c>
      <c r="O579" s="218">
        <f t="shared" si="228"/>
        <v>0</v>
      </c>
      <c r="P579" s="218">
        <f t="shared" ref="P579" si="249">IF(I579&gt;0,IF(L579&gt;=0,L579/I579*100,""),"")</f>
        <v>0</v>
      </c>
    </row>
    <row r="580" spans="1:16" s="7" customFormat="1" ht="6" customHeight="1">
      <c r="A580" s="46"/>
      <c r="B580" s="47"/>
      <c r="C580" s="212" t="s">
        <v>268</v>
      </c>
      <c r="D580" s="63"/>
      <c r="E580" s="63"/>
      <c r="F580" s="63"/>
      <c r="G580" s="38"/>
      <c r="H580" s="38"/>
      <c r="I580" s="38"/>
      <c r="J580" s="63"/>
      <c r="K580" s="63"/>
      <c r="L580" s="63"/>
      <c r="M580" s="218" t="str">
        <f t="shared" si="226"/>
        <v/>
      </c>
      <c r="N580" s="218" t="str">
        <f t="shared" si="227"/>
        <v/>
      </c>
      <c r="O580" s="218" t="str">
        <f t="shared" si="228"/>
        <v/>
      </c>
      <c r="P580" s="218" t="str">
        <f>IF(I580&gt;0,IF(L580&gt;=0,L580/I580*100,""),"")</f>
        <v/>
      </c>
    </row>
    <row r="581" spans="1:16" s="7" customFormat="1" ht="12.75">
      <c r="A581" s="58" t="s">
        <v>308</v>
      </c>
      <c r="B581" s="65" t="s">
        <v>265</v>
      </c>
      <c r="C581" s="308" t="s">
        <v>940</v>
      </c>
      <c r="D581" s="42">
        <f>SUM(D583:D587)</f>
        <v>2129000</v>
      </c>
      <c r="E581" s="42">
        <f>SUM(E583:E583)</f>
        <v>0</v>
      </c>
      <c r="F581" s="42">
        <f>SUM(D581:E581)</f>
        <v>2129000</v>
      </c>
      <c r="G581" s="55">
        <f>SUM(G583:G586)</f>
        <v>2302400</v>
      </c>
      <c r="H581" s="55">
        <f>SUM(H583:H583)</f>
        <v>0</v>
      </c>
      <c r="I581" s="55">
        <f t="shared" ref="I581:I592" si="250">SUM(G581:H581)</f>
        <v>2302400</v>
      </c>
      <c r="J581" s="42">
        <f>SUM(J583:J588)</f>
        <v>2686000</v>
      </c>
      <c r="K581" s="42">
        <f>SUM(K583:K583)</f>
        <v>0</v>
      </c>
      <c r="L581" s="42">
        <f>SUM(J581:K581)</f>
        <v>2686000</v>
      </c>
      <c r="M581" s="225">
        <f t="shared" si="226"/>
        <v>126.16251761390325</v>
      </c>
      <c r="N581" s="225">
        <f t="shared" si="227"/>
        <v>126.16251761390325</v>
      </c>
      <c r="O581" s="225">
        <f t="shared" si="228"/>
        <v>116.66087560806116</v>
      </c>
      <c r="P581" s="225">
        <f>IF(I581&gt;0,IF(L581&gt;=0,L581/I581*100,""),"")</f>
        <v>116.66087560806116</v>
      </c>
    </row>
    <row r="582" spans="1:16" s="7" customFormat="1" ht="12.75" customHeight="1">
      <c r="A582" s="36" t="s">
        <v>267</v>
      </c>
      <c r="B582" s="92"/>
      <c r="C582" s="312" t="s">
        <v>268</v>
      </c>
      <c r="D582" s="63">
        <f>SUM(D583:D585)</f>
        <v>2129000</v>
      </c>
      <c r="E582" s="77"/>
      <c r="F582" s="63">
        <f>SUM(D582:E582)</f>
        <v>2129000</v>
      </c>
      <c r="G582" s="38">
        <f>SUM(G583:G585)</f>
        <v>2251400</v>
      </c>
      <c r="H582" s="109"/>
      <c r="I582" s="38">
        <f t="shared" si="250"/>
        <v>2251400</v>
      </c>
      <c r="J582" s="38">
        <f>SUM(J583:J585)</f>
        <v>2686000</v>
      </c>
      <c r="K582" s="77"/>
      <c r="L582" s="63">
        <f>SUM(J582:K582)</f>
        <v>2686000</v>
      </c>
      <c r="M582" s="218">
        <f t="shared" si="226"/>
        <v>126.16251761390325</v>
      </c>
      <c r="N582" s="218">
        <f t="shared" si="227"/>
        <v>126.16251761390325</v>
      </c>
      <c r="O582" s="218">
        <f t="shared" si="228"/>
        <v>119.30354446122413</v>
      </c>
      <c r="P582" s="218">
        <f>IF(I582&gt;0,IF(L582&gt;=0,L582/I582*100,""),"")</f>
        <v>119.30354446122413</v>
      </c>
    </row>
    <row r="583" spans="1:16" s="7" customFormat="1" ht="12.75" customHeight="1">
      <c r="A583" s="46" t="s">
        <v>196</v>
      </c>
      <c r="B583" s="47" t="s">
        <v>416</v>
      </c>
      <c r="C583" s="212" t="s">
        <v>1231</v>
      </c>
      <c r="D583" s="63">
        <v>2059000</v>
      </c>
      <c r="E583" s="63"/>
      <c r="F583" s="63">
        <f>SUM(D583:E583)</f>
        <v>2059000</v>
      </c>
      <c r="G583" s="38">
        <v>2198900</v>
      </c>
      <c r="H583" s="38"/>
      <c r="I583" s="38">
        <f t="shared" si="250"/>
        <v>2198900</v>
      </c>
      <c r="J583" s="63">
        <v>2686000</v>
      </c>
      <c r="K583" s="63"/>
      <c r="L583" s="63">
        <f>SUM(J583:K583)</f>
        <v>2686000</v>
      </c>
      <c r="M583" s="218">
        <f t="shared" si="226"/>
        <v>130.45167557066537</v>
      </c>
      <c r="N583" s="218">
        <f t="shared" si="227"/>
        <v>130.45167557066537</v>
      </c>
      <c r="O583" s="218">
        <f t="shared" si="228"/>
        <v>122.15198508345082</v>
      </c>
      <c r="P583" s="218">
        <f>IF(I583&gt;0,IF(L583&gt;=0,L583/I583*100,""),"")</f>
        <v>122.15198508345082</v>
      </c>
    </row>
    <row r="584" spans="1:16" s="7" customFormat="1" ht="12.75" customHeight="1">
      <c r="A584" s="46" t="s">
        <v>2069</v>
      </c>
      <c r="B584" s="212" t="s">
        <v>2070</v>
      </c>
      <c r="C584" s="212" t="s">
        <v>2126</v>
      </c>
      <c r="D584" s="63"/>
      <c r="E584" s="63"/>
      <c r="F584" s="63"/>
      <c r="G584" s="38">
        <v>6000</v>
      </c>
      <c r="H584" s="38"/>
      <c r="I584" s="38">
        <f t="shared" si="250"/>
        <v>6000</v>
      </c>
      <c r="J584" s="63"/>
      <c r="K584" s="63"/>
      <c r="L584" s="63"/>
      <c r="M584" s="218" t="str">
        <f t="shared" si="226"/>
        <v/>
      </c>
      <c r="N584" s="218" t="str">
        <f t="shared" si="227"/>
        <v/>
      </c>
      <c r="O584" s="218">
        <f t="shared" si="228"/>
        <v>0</v>
      </c>
      <c r="P584" s="218"/>
    </row>
    <row r="585" spans="1:16" s="7" customFormat="1" ht="12.75" customHeight="1">
      <c r="A585" s="46" t="s">
        <v>651</v>
      </c>
      <c r="B585" s="212" t="s">
        <v>650</v>
      </c>
      <c r="C585" s="212" t="s">
        <v>1232</v>
      </c>
      <c r="D585" s="63">
        <v>70000</v>
      </c>
      <c r="E585" s="63"/>
      <c r="F585" s="63">
        <f>SUM(D585:E585)</f>
        <v>70000</v>
      </c>
      <c r="G585" s="38">
        <v>46500</v>
      </c>
      <c r="H585" s="38"/>
      <c r="I585" s="38">
        <f t="shared" si="250"/>
        <v>46500</v>
      </c>
      <c r="J585" s="63"/>
      <c r="K585" s="63"/>
      <c r="L585" s="63">
        <f t="shared" ref="L585:L587" si="251">SUM(J585:K585)</f>
        <v>0</v>
      </c>
      <c r="M585" s="218">
        <f t="shared" si="226"/>
        <v>0</v>
      </c>
      <c r="N585" s="218">
        <f t="shared" si="227"/>
        <v>0</v>
      </c>
      <c r="O585" s="218">
        <f t="shared" si="228"/>
        <v>0</v>
      </c>
      <c r="P585" s="218">
        <f t="shared" ref="P585:P597" si="252">IF(I585&gt;0,IF(L585&gt;=0,L585/I585*100,""),"")</f>
        <v>0</v>
      </c>
    </row>
    <row r="586" spans="1:16" s="7" customFormat="1" ht="12.75" customHeight="1">
      <c r="A586" s="46" t="s">
        <v>792</v>
      </c>
      <c r="B586" s="212" t="s">
        <v>152</v>
      </c>
      <c r="C586" s="212" t="s">
        <v>1233</v>
      </c>
      <c r="D586" s="63"/>
      <c r="E586" s="63"/>
      <c r="F586" s="63">
        <f>SUM(D586:E586)</f>
        <v>0</v>
      </c>
      <c r="G586" s="38">
        <v>51000</v>
      </c>
      <c r="H586" s="38"/>
      <c r="I586" s="38">
        <f t="shared" si="250"/>
        <v>51000</v>
      </c>
      <c r="J586" s="63"/>
      <c r="K586" s="63"/>
      <c r="L586" s="63">
        <f t="shared" si="251"/>
        <v>0</v>
      </c>
      <c r="M586" s="218" t="str">
        <f t="shared" si="226"/>
        <v/>
      </c>
      <c r="N586" s="218" t="str">
        <f t="shared" si="227"/>
        <v/>
      </c>
      <c r="O586" s="218">
        <f t="shared" si="228"/>
        <v>0</v>
      </c>
      <c r="P586" s="218">
        <f t="shared" si="252"/>
        <v>0</v>
      </c>
    </row>
    <row r="587" spans="1:16" s="7" customFormat="1" hidden="1">
      <c r="A587" s="46" t="s">
        <v>791</v>
      </c>
      <c r="B587" s="47" t="s">
        <v>151</v>
      </c>
      <c r="C587" s="212" t="s">
        <v>1234</v>
      </c>
      <c r="D587" s="63"/>
      <c r="E587" s="63"/>
      <c r="F587" s="63"/>
      <c r="G587" s="38"/>
      <c r="H587" s="38"/>
      <c r="I587" s="38">
        <f t="shared" si="250"/>
        <v>0</v>
      </c>
      <c r="J587" s="63"/>
      <c r="K587" s="63"/>
      <c r="L587" s="63">
        <f t="shared" si="251"/>
        <v>0</v>
      </c>
      <c r="M587" s="218" t="str">
        <f t="shared" si="226"/>
        <v/>
      </c>
      <c r="N587" s="218" t="str">
        <f t="shared" si="227"/>
        <v/>
      </c>
      <c r="O587" s="218" t="str">
        <f t="shared" si="228"/>
        <v/>
      </c>
      <c r="P587" s="218" t="str">
        <f t="shared" si="252"/>
        <v/>
      </c>
    </row>
    <row r="588" spans="1:16" s="7" customFormat="1" ht="6" customHeight="1">
      <c r="A588" s="46"/>
      <c r="B588" s="47"/>
      <c r="C588" s="212" t="s">
        <v>268</v>
      </c>
      <c r="D588" s="63"/>
      <c r="E588" s="63"/>
      <c r="F588" s="63">
        <f t="shared" ref="F588:F592" si="253">SUM(D588:E588)</f>
        <v>0</v>
      </c>
      <c r="G588" s="38"/>
      <c r="H588" s="38"/>
      <c r="I588" s="38">
        <f t="shared" si="250"/>
        <v>0</v>
      </c>
      <c r="J588" s="63"/>
      <c r="K588" s="63"/>
      <c r="L588" s="63">
        <f t="shared" ref="L588:L592" si="254">SUM(J588:K588)</f>
        <v>0</v>
      </c>
      <c r="M588" s="218" t="str">
        <f t="shared" si="226"/>
        <v/>
      </c>
      <c r="N588" s="218" t="str">
        <f t="shared" si="227"/>
        <v/>
      </c>
      <c r="O588" s="218" t="str">
        <f t="shared" si="228"/>
        <v/>
      </c>
      <c r="P588" s="218" t="str">
        <f t="shared" si="252"/>
        <v/>
      </c>
    </row>
    <row r="589" spans="1:16" s="7" customFormat="1" ht="12.75">
      <c r="A589" s="58" t="s">
        <v>309</v>
      </c>
      <c r="B589" s="65" t="s">
        <v>265</v>
      </c>
      <c r="C589" s="308" t="s">
        <v>940</v>
      </c>
      <c r="D589" s="42">
        <f>SUM(D591:D592)</f>
        <v>2418000</v>
      </c>
      <c r="E589" s="90">
        <f>SUM(E591:E591)</f>
        <v>0</v>
      </c>
      <c r="F589" s="42">
        <f t="shared" si="253"/>
        <v>2418000</v>
      </c>
      <c r="G589" s="55">
        <f>SUM(G591:G592)</f>
        <v>2525700</v>
      </c>
      <c r="H589" s="60">
        <f>SUM(H591:H591)</f>
        <v>0</v>
      </c>
      <c r="I589" s="55">
        <f t="shared" si="250"/>
        <v>2525700</v>
      </c>
      <c r="J589" s="42">
        <f>SUM(J591:J593)</f>
        <v>2639550</v>
      </c>
      <c r="K589" s="90">
        <f>SUM(K591:K591)</f>
        <v>0</v>
      </c>
      <c r="L589" s="42">
        <f t="shared" si="254"/>
        <v>2639550</v>
      </c>
      <c r="M589" s="225">
        <f t="shared" si="226"/>
        <v>109.16253101736973</v>
      </c>
      <c r="N589" s="225">
        <f t="shared" si="227"/>
        <v>109.16253101736973</v>
      </c>
      <c r="O589" s="225">
        <f t="shared" si="228"/>
        <v>104.50766124242786</v>
      </c>
      <c r="P589" s="225">
        <f t="shared" si="252"/>
        <v>104.50766124242786</v>
      </c>
    </row>
    <row r="590" spans="1:16" s="7" customFormat="1" hidden="1">
      <c r="A590" s="46" t="s">
        <v>267</v>
      </c>
      <c r="B590" s="47"/>
      <c r="C590" s="212" t="s">
        <v>268</v>
      </c>
      <c r="D590" s="63">
        <f>SUM(D591:D592)</f>
        <v>2418000</v>
      </c>
      <c r="E590" s="63"/>
      <c r="F590" s="63">
        <f t="shared" si="253"/>
        <v>2418000</v>
      </c>
      <c r="G590" s="38">
        <f>SUM(G591:G592)</f>
        <v>2525700</v>
      </c>
      <c r="H590" s="38"/>
      <c r="I590" s="38">
        <f t="shared" si="250"/>
        <v>2525700</v>
      </c>
      <c r="J590" s="63">
        <f>SUM(J591:J592)</f>
        <v>2639550</v>
      </c>
      <c r="K590" s="63"/>
      <c r="L590" s="63">
        <f t="shared" si="254"/>
        <v>2639550</v>
      </c>
      <c r="M590" s="218">
        <f t="shared" si="226"/>
        <v>109.16253101736973</v>
      </c>
      <c r="N590" s="218">
        <f t="shared" si="227"/>
        <v>109.16253101736973</v>
      </c>
      <c r="O590" s="218">
        <f t="shared" si="228"/>
        <v>104.50766124242786</v>
      </c>
      <c r="P590" s="218">
        <f t="shared" si="252"/>
        <v>104.50766124242786</v>
      </c>
    </row>
    <row r="591" spans="1:16" s="7" customFormat="1" ht="12.75" customHeight="1">
      <c r="A591" s="46" t="s">
        <v>196</v>
      </c>
      <c r="B591" s="47" t="s">
        <v>416</v>
      </c>
      <c r="C591" s="212" t="s">
        <v>1235</v>
      </c>
      <c r="D591" s="63">
        <v>2358000</v>
      </c>
      <c r="E591" s="63"/>
      <c r="F591" s="63">
        <f t="shared" si="253"/>
        <v>2358000</v>
      </c>
      <c r="G591" s="38">
        <v>2445700</v>
      </c>
      <c r="H591" s="38"/>
      <c r="I591" s="38">
        <f t="shared" si="250"/>
        <v>2445700</v>
      </c>
      <c r="J591" s="63">
        <v>2569550</v>
      </c>
      <c r="K591" s="63"/>
      <c r="L591" s="63">
        <f t="shared" si="254"/>
        <v>2569550</v>
      </c>
      <c r="M591" s="218">
        <f t="shared" ref="M591:M654" si="255">IF(D591&gt;0,IF(J591&gt;=0,J591/D591*100,""),"")</f>
        <v>108.97158608990669</v>
      </c>
      <c r="N591" s="218">
        <f t="shared" ref="N591:N654" si="256">IF(F591&gt;0,IF(L591&gt;=0,L591/F591*100,""),"")</f>
        <v>108.97158608990669</v>
      </c>
      <c r="O591" s="218">
        <f t="shared" ref="O591:O654" si="257">IF(G591&gt;0,IF(J591&gt;=0,J591/G591*100,""),"")</f>
        <v>105.06398985975385</v>
      </c>
      <c r="P591" s="218">
        <f t="shared" si="252"/>
        <v>105.06398985975385</v>
      </c>
    </row>
    <row r="592" spans="1:16" s="7" customFormat="1" ht="12.75" customHeight="1">
      <c r="A592" s="46" t="s">
        <v>651</v>
      </c>
      <c r="B592" s="47" t="s">
        <v>650</v>
      </c>
      <c r="C592" s="212" t="s">
        <v>1236</v>
      </c>
      <c r="D592" s="63">
        <v>60000</v>
      </c>
      <c r="E592" s="63"/>
      <c r="F592" s="63">
        <f t="shared" si="253"/>
        <v>60000</v>
      </c>
      <c r="G592" s="38">
        <v>80000</v>
      </c>
      <c r="H592" s="38"/>
      <c r="I592" s="38">
        <f t="shared" si="250"/>
        <v>80000</v>
      </c>
      <c r="J592" s="63">
        <v>70000</v>
      </c>
      <c r="K592" s="63"/>
      <c r="L592" s="63">
        <f t="shared" si="254"/>
        <v>70000</v>
      </c>
      <c r="M592" s="218">
        <f t="shared" si="255"/>
        <v>116.66666666666667</v>
      </c>
      <c r="N592" s="218">
        <f t="shared" si="256"/>
        <v>116.66666666666667</v>
      </c>
      <c r="O592" s="218">
        <f t="shared" si="257"/>
        <v>87.5</v>
      </c>
      <c r="P592" s="218">
        <f t="shared" si="252"/>
        <v>87.5</v>
      </c>
    </row>
    <row r="593" spans="1:16" s="7" customFormat="1" hidden="1">
      <c r="A593" s="46" t="s">
        <v>791</v>
      </c>
      <c r="B593" s="47" t="s">
        <v>151</v>
      </c>
      <c r="C593" s="212" t="s">
        <v>1237</v>
      </c>
      <c r="D593" s="63"/>
      <c r="E593" s="63"/>
      <c r="F593" s="63"/>
      <c r="G593" s="38"/>
      <c r="H593" s="38"/>
      <c r="I593" s="38"/>
      <c r="J593" s="63"/>
      <c r="K593" s="63"/>
      <c r="L593" s="63"/>
      <c r="M593" s="218" t="str">
        <f t="shared" si="255"/>
        <v/>
      </c>
      <c r="N593" s="218" t="str">
        <f t="shared" si="256"/>
        <v/>
      </c>
      <c r="O593" s="218" t="str">
        <f t="shared" si="257"/>
        <v/>
      </c>
      <c r="P593" s="218" t="str">
        <f t="shared" si="252"/>
        <v/>
      </c>
    </row>
    <row r="594" spans="1:16" s="7" customFormat="1" ht="6" customHeight="1">
      <c r="A594" s="36"/>
      <c r="B594" s="47"/>
      <c r="C594" s="212" t="s">
        <v>268</v>
      </c>
      <c r="D594" s="63"/>
      <c r="E594" s="63"/>
      <c r="F594" s="63">
        <f t="shared" ref="F594:F601" si="258">SUM(D594:E594)</f>
        <v>0</v>
      </c>
      <c r="G594" s="38"/>
      <c r="H594" s="38"/>
      <c r="I594" s="38">
        <f t="shared" ref="I594:I601" si="259">SUM(G594:H594)</f>
        <v>0</v>
      </c>
      <c r="J594" s="63"/>
      <c r="K594" s="63"/>
      <c r="L594" s="63">
        <f t="shared" ref="L594:L595" si="260">SUM(J594:K594)</f>
        <v>0</v>
      </c>
      <c r="M594" s="218" t="str">
        <f t="shared" si="255"/>
        <v/>
      </c>
      <c r="N594" s="218" t="str">
        <f t="shared" si="256"/>
        <v/>
      </c>
      <c r="O594" s="218" t="str">
        <f t="shared" si="257"/>
        <v/>
      </c>
      <c r="P594" s="218" t="str">
        <f t="shared" si="252"/>
        <v/>
      </c>
    </row>
    <row r="595" spans="1:16" s="7" customFormat="1" ht="12.75">
      <c r="A595" s="58" t="s">
        <v>285</v>
      </c>
      <c r="B595" s="65" t="s">
        <v>265</v>
      </c>
      <c r="C595" s="308" t="s">
        <v>940</v>
      </c>
      <c r="D595" s="69">
        <f>SUM(D597:D601)</f>
        <v>2181000</v>
      </c>
      <c r="E595" s="69">
        <f>SUM(E597:E601)</f>
        <v>0</v>
      </c>
      <c r="F595" s="69">
        <f t="shared" si="258"/>
        <v>2181000</v>
      </c>
      <c r="G595" s="115">
        <f>SUM(G597:G600)</f>
        <v>2281900</v>
      </c>
      <c r="H595" s="115">
        <f>SUM(H597:H601)</f>
        <v>0</v>
      </c>
      <c r="I595" s="115">
        <f t="shared" si="259"/>
        <v>2281900</v>
      </c>
      <c r="J595" s="69">
        <f>SUM(J597:J601)</f>
        <v>2229695</v>
      </c>
      <c r="K595" s="69">
        <f>SUM(K597:K601)</f>
        <v>0</v>
      </c>
      <c r="L595" s="69">
        <f t="shared" si="260"/>
        <v>2229695</v>
      </c>
      <c r="M595" s="217">
        <f t="shared" si="255"/>
        <v>102.2326914259514</v>
      </c>
      <c r="N595" s="217">
        <f t="shared" si="256"/>
        <v>102.2326914259514</v>
      </c>
      <c r="O595" s="217">
        <f t="shared" si="257"/>
        <v>97.71221350628862</v>
      </c>
      <c r="P595" s="217">
        <f t="shared" si="252"/>
        <v>97.71221350628862</v>
      </c>
    </row>
    <row r="596" spans="1:16" s="7" customFormat="1" ht="12.75" customHeight="1">
      <c r="A596" s="36" t="s">
        <v>267</v>
      </c>
      <c r="B596" s="92"/>
      <c r="C596" s="312" t="s">
        <v>268</v>
      </c>
      <c r="D596" s="84">
        <f>SUM(D597:D599)</f>
        <v>2181000</v>
      </c>
      <c r="E596" s="110"/>
      <c r="F596" s="70">
        <f t="shared" si="258"/>
        <v>2181000</v>
      </c>
      <c r="G596" s="84">
        <f>SUM(G597:G599)</f>
        <v>2253900</v>
      </c>
      <c r="H596" s="259"/>
      <c r="I596" s="84">
        <f t="shared" si="259"/>
        <v>2253900</v>
      </c>
      <c r="J596" s="70">
        <f>SUM(J597:J599)</f>
        <v>2229695</v>
      </c>
      <c r="K596" s="110"/>
      <c r="L596" s="70">
        <f t="shared" ref="L596" si="261">SUM(J596:K596)</f>
        <v>2229695</v>
      </c>
      <c r="M596" s="224">
        <f t="shared" si="255"/>
        <v>102.2326914259514</v>
      </c>
      <c r="N596" s="224">
        <f t="shared" si="256"/>
        <v>102.2326914259514</v>
      </c>
      <c r="O596" s="224">
        <f t="shared" si="257"/>
        <v>98.926083677181779</v>
      </c>
      <c r="P596" s="224">
        <f t="shared" si="252"/>
        <v>98.926083677181779</v>
      </c>
    </row>
    <row r="597" spans="1:16" s="7" customFormat="1" ht="12.75" customHeight="1">
      <c r="A597" s="46" t="s">
        <v>196</v>
      </c>
      <c r="B597" s="47" t="s">
        <v>416</v>
      </c>
      <c r="C597" s="212" t="s">
        <v>1238</v>
      </c>
      <c r="D597" s="70">
        <v>2136000</v>
      </c>
      <c r="E597" s="70"/>
      <c r="F597" s="70">
        <f t="shared" si="258"/>
        <v>2136000</v>
      </c>
      <c r="G597" s="84">
        <v>2209700</v>
      </c>
      <c r="H597" s="84"/>
      <c r="I597" s="84">
        <f t="shared" si="259"/>
        <v>2209700</v>
      </c>
      <c r="J597" s="70">
        <v>2164695</v>
      </c>
      <c r="K597" s="70"/>
      <c r="L597" s="70">
        <f t="shared" ref="L597:L601" si="262">SUM(J597:K597)</f>
        <v>2164695</v>
      </c>
      <c r="M597" s="224">
        <f t="shared" si="255"/>
        <v>101.34339887640449</v>
      </c>
      <c r="N597" s="224">
        <f t="shared" si="256"/>
        <v>101.34339887640449</v>
      </c>
      <c r="O597" s="224">
        <f t="shared" si="257"/>
        <v>97.963298185274013</v>
      </c>
      <c r="P597" s="224">
        <f t="shared" si="252"/>
        <v>97.963298185274013</v>
      </c>
    </row>
    <row r="598" spans="1:16" s="7" customFormat="1" ht="12.75" customHeight="1">
      <c r="A598" s="46" t="s">
        <v>651</v>
      </c>
      <c r="B598" s="47" t="s">
        <v>650</v>
      </c>
      <c r="C598" s="212" t="s">
        <v>1239</v>
      </c>
      <c r="D598" s="70">
        <v>45000</v>
      </c>
      <c r="E598" s="70"/>
      <c r="F598" s="70">
        <f>SUM(D598:E598)</f>
        <v>45000</v>
      </c>
      <c r="G598" s="84">
        <v>37000</v>
      </c>
      <c r="H598" s="84"/>
      <c r="I598" s="84">
        <f>SUM(G598:H598)</f>
        <v>37000</v>
      </c>
      <c r="J598" s="70">
        <v>65000</v>
      </c>
      <c r="K598" s="70"/>
      <c r="L598" s="70">
        <f>SUM(J598:K598)</f>
        <v>65000</v>
      </c>
      <c r="M598" s="224">
        <f t="shared" si="255"/>
        <v>144.44444444444443</v>
      </c>
      <c r="N598" s="224">
        <f t="shared" si="256"/>
        <v>144.44444444444443</v>
      </c>
      <c r="O598" s="224">
        <f t="shared" si="257"/>
        <v>175.67567567567568</v>
      </c>
      <c r="P598" s="224">
        <f>IF(I598&gt;0,IF(L598&gt;=0,L598/I598*100,""),"")</f>
        <v>175.67567567567568</v>
      </c>
    </row>
    <row r="599" spans="1:16" s="7" customFormat="1" ht="12.75" customHeight="1">
      <c r="A599" s="46" t="s">
        <v>2069</v>
      </c>
      <c r="B599" s="212" t="s">
        <v>2070</v>
      </c>
      <c r="C599" s="212" t="s">
        <v>2127</v>
      </c>
      <c r="D599" s="70"/>
      <c r="E599" s="70"/>
      <c r="F599" s="70"/>
      <c r="G599" s="84">
        <v>7200</v>
      </c>
      <c r="H599" s="84"/>
      <c r="I599" s="84">
        <f t="shared" si="259"/>
        <v>7200</v>
      </c>
      <c r="J599" s="70"/>
      <c r="K599" s="70"/>
      <c r="L599" s="70"/>
      <c r="M599" s="224" t="str">
        <f t="shared" si="255"/>
        <v/>
      </c>
      <c r="N599" s="224" t="str">
        <f t="shared" si="256"/>
        <v/>
      </c>
      <c r="O599" s="224">
        <f t="shared" si="257"/>
        <v>0</v>
      </c>
      <c r="P599" s="224"/>
    </row>
    <row r="600" spans="1:16" s="7" customFormat="1" ht="12.75" customHeight="1">
      <c r="A600" s="46" t="s">
        <v>792</v>
      </c>
      <c r="B600" s="212" t="s">
        <v>152</v>
      </c>
      <c r="C600" s="212" t="s">
        <v>2232</v>
      </c>
      <c r="D600" s="70"/>
      <c r="E600" s="70"/>
      <c r="F600" s="70"/>
      <c r="G600" s="84">
        <v>28000</v>
      </c>
      <c r="H600" s="84"/>
      <c r="I600" s="84">
        <f t="shared" si="259"/>
        <v>28000</v>
      </c>
      <c r="J600" s="70"/>
      <c r="K600" s="70"/>
      <c r="L600" s="70"/>
      <c r="M600" s="224" t="str">
        <f t="shared" si="255"/>
        <v/>
      </c>
      <c r="N600" s="224" t="str">
        <f t="shared" si="256"/>
        <v/>
      </c>
      <c r="O600" s="224">
        <f t="shared" si="257"/>
        <v>0</v>
      </c>
      <c r="P600" s="224"/>
    </row>
    <row r="601" spans="1:16" s="5" customFormat="1" ht="6" customHeight="1">
      <c r="A601" s="49"/>
      <c r="B601" s="47"/>
      <c r="C601" s="212" t="s">
        <v>268</v>
      </c>
      <c r="D601" s="71"/>
      <c r="E601" s="71"/>
      <c r="F601" s="71">
        <f t="shared" si="258"/>
        <v>0</v>
      </c>
      <c r="G601" s="71"/>
      <c r="H601" s="71"/>
      <c r="I601" s="71">
        <f t="shared" si="259"/>
        <v>0</v>
      </c>
      <c r="J601" s="71"/>
      <c r="K601" s="71"/>
      <c r="L601" s="71">
        <f t="shared" si="262"/>
        <v>0</v>
      </c>
      <c r="M601" s="235" t="str">
        <f t="shared" si="255"/>
        <v/>
      </c>
      <c r="N601" s="235" t="str">
        <f t="shared" si="256"/>
        <v/>
      </c>
      <c r="O601" s="235" t="str">
        <f t="shared" si="257"/>
        <v/>
      </c>
      <c r="P601" s="235" t="str">
        <f t="shared" ref="P601:P604" si="263">IF(I601&gt;0,IF(L601&gt;=0,L601/I601*100,""),"")</f>
        <v/>
      </c>
    </row>
    <row r="602" spans="1:16" s="3" customFormat="1" ht="12.75">
      <c r="A602" s="58" t="s">
        <v>787</v>
      </c>
      <c r="B602" s="66" t="s">
        <v>265</v>
      </c>
      <c r="C602" s="311" t="s">
        <v>940</v>
      </c>
      <c r="D602" s="55">
        <f>SUM(D604:D654)</f>
        <v>801321184</v>
      </c>
      <c r="E602" s="55">
        <f>SUM(E604:E653)</f>
        <v>0</v>
      </c>
      <c r="F602" s="55">
        <f>D602+E602</f>
        <v>801321184</v>
      </c>
      <c r="G602" s="55">
        <f>SUM(G604:G654)</f>
        <v>916323816</v>
      </c>
      <c r="H602" s="55">
        <f>SUM(H604:H653)</f>
        <v>0</v>
      </c>
      <c r="I602" s="55">
        <f>G602+H602</f>
        <v>916323816</v>
      </c>
      <c r="J602" s="55">
        <f>SUM(J604:J655)</f>
        <v>910451771</v>
      </c>
      <c r="K602" s="55">
        <f>SUM(K604:K653)</f>
        <v>0</v>
      </c>
      <c r="L602" s="55">
        <f>J602+K602</f>
        <v>910451771</v>
      </c>
      <c r="M602" s="221">
        <f t="shared" si="255"/>
        <v>113.61883214608739</v>
      </c>
      <c r="N602" s="221">
        <f t="shared" si="256"/>
        <v>113.61883214608739</v>
      </c>
      <c r="O602" s="221">
        <f t="shared" si="257"/>
        <v>99.35917359153305</v>
      </c>
      <c r="P602" s="221">
        <f t="shared" si="263"/>
        <v>99.35917359153305</v>
      </c>
    </row>
    <row r="603" spans="1:16" s="3" customFormat="1" ht="12.75" customHeight="1">
      <c r="A603" s="36" t="s">
        <v>267</v>
      </c>
      <c r="B603" s="33"/>
      <c r="C603" s="211" t="s">
        <v>268</v>
      </c>
      <c r="D603" s="63">
        <f>SUM(D604:D652)</f>
        <v>801321184</v>
      </c>
      <c r="E603" s="63"/>
      <c r="F603" s="63">
        <f>SUM(D603:E603)</f>
        <v>801321184</v>
      </c>
      <c r="G603" s="38">
        <f>SUM(G604:G652)</f>
        <v>848737430</v>
      </c>
      <c r="H603" s="38"/>
      <c r="I603" s="38">
        <f t="shared" ref="I603:I649" si="264">SUM(G603:H603)</f>
        <v>848737430</v>
      </c>
      <c r="J603" s="63">
        <f>SUM(J604:J652)</f>
        <v>910451771</v>
      </c>
      <c r="K603" s="63"/>
      <c r="L603" s="63">
        <f>SUM(J603:K603)</f>
        <v>910451771</v>
      </c>
      <c r="M603" s="218">
        <f t="shared" si="255"/>
        <v>113.61883214608739</v>
      </c>
      <c r="N603" s="218">
        <f t="shared" si="256"/>
        <v>113.61883214608739</v>
      </c>
      <c r="O603" s="218">
        <f t="shared" si="257"/>
        <v>107.27131134065809</v>
      </c>
      <c r="P603" s="218">
        <f t="shared" si="263"/>
        <v>107.27131134065809</v>
      </c>
    </row>
    <row r="604" spans="1:16" s="3" customFormat="1" ht="12.75" customHeight="1">
      <c r="A604" s="36" t="s">
        <v>365</v>
      </c>
      <c r="B604" s="33" t="s">
        <v>473</v>
      </c>
      <c r="C604" s="211" t="s">
        <v>1240</v>
      </c>
      <c r="D604" s="63">
        <f>220707550+3000</f>
        <v>220710550</v>
      </c>
      <c r="E604" s="63"/>
      <c r="F604" s="63">
        <f>SUM(D604:E604)</f>
        <v>220710550</v>
      </c>
      <c r="G604" s="38">
        <v>232410577</v>
      </c>
      <c r="H604" s="38"/>
      <c r="I604" s="38">
        <f t="shared" si="264"/>
        <v>232410577</v>
      </c>
      <c r="J604" s="63">
        <v>275983380</v>
      </c>
      <c r="K604" s="63"/>
      <c r="L604" s="63">
        <f>SUM(J604:K604)</f>
        <v>275983380</v>
      </c>
      <c r="M604" s="218">
        <f t="shared" si="255"/>
        <v>125.04313001802588</v>
      </c>
      <c r="N604" s="218">
        <f t="shared" si="256"/>
        <v>125.04313001802588</v>
      </c>
      <c r="O604" s="218">
        <f t="shared" si="257"/>
        <v>118.74820137811541</v>
      </c>
      <c r="P604" s="218">
        <f t="shared" si="263"/>
        <v>118.74820137811541</v>
      </c>
    </row>
    <row r="605" spans="1:16" s="3" customFormat="1" ht="12.75" customHeight="1">
      <c r="A605" s="36" t="s">
        <v>403</v>
      </c>
      <c r="B605" s="33" t="s">
        <v>117</v>
      </c>
      <c r="C605" s="211" t="s">
        <v>1241</v>
      </c>
      <c r="D605" s="63">
        <v>1396600</v>
      </c>
      <c r="E605" s="63"/>
      <c r="F605" s="63">
        <f t="shared" ref="F605" si="265">SUM(D605:E605)</f>
        <v>1396600</v>
      </c>
      <c r="G605" s="38">
        <v>1527955</v>
      </c>
      <c r="H605" s="38"/>
      <c r="I605" s="38">
        <f t="shared" si="264"/>
        <v>1527955</v>
      </c>
      <c r="J605" s="63">
        <v>1481500</v>
      </c>
      <c r="K605" s="63"/>
      <c r="L605" s="63">
        <f t="shared" ref="L605:L641" si="266">SUM(J605:K605)</f>
        <v>1481500</v>
      </c>
      <c r="M605" s="218">
        <f t="shared" si="255"/>
        <v>106.07904911928972</v>
      </c>
      <c r="N605" s="218">
        <f t="shared" si="256"/>
        <v>106.07904911928972</v>
      </c>
      <c r="O605" s="218">
        <f t="shared" si="257"/>
        <v>96.959661770143754</v>
      </c>
      <c r="P605" s="218">
        <f t="shared" ref="P605:P654" si="267">IF(I605&gt;0,IF(L605&gt;=0,L605/I605*100,""),"")</f>
        <v>96.959661770143754</v>
      </c>
    </row>
    <row r="606" spans="1:16" s="3" customFormat="1" ht="12.75" customHeight="1">
      <c r="A606" s="36" t="s">
        <v>797</v>
      </c>
      <c r="B606" s="33" t="s">
        <v>71</v>
      </c>
      <c r="C606" s="211" t="s">
        <v>1242</v>
      </c>
      <c r="D606" s="63">
        <v>1288500</v>
      </c>
      <c r="E606" s="63"/>
      <c r="F606" s="63">
        <f t="shared" ref="F606:F618" si="268">SUM(D606:E606)</f>
        <v>1288500</v>
      </c>
      <c r="G606" s="38">
        <v>3046034</v>
      </c>
      <c r="H606" s="38"/>
      <c r="I606" s="38">
        <f t="shared" ref="I606:I636" si="269">SUM(G606:H606)</f>
        <v>3046034</v>
      </c>
      <c r="J606" s="63">
        <v>8500</v>
      </c>
      <c r="K606" s="63"/>
      <c r="L606" s="63">
        <f t="shared" ref="L606:L640" si="270">SUM(J606:K606)</f>
        <v>8500</v>
      </c>
      <c r="M606" s="218">
        <f t="shared" si="255"/>
        <v>0.6596818005432673</v>
      </c>
      <c r="N606" s="218">
        <f t="shared" si="256"/>
        <v>0.6596818005432673</v>
      </c>
      <c r="O606" s="218">
        <f t="shared" si="257"/>
        <v>0.27905138288016484</v>
      </c>
      <c r="P606" s="218">
        <f t="shared" si="267"/>
        <v>0.27905138288016484</v>
      </c>
    </row>
    <row r="607" spans="1:16" s="3" customFormat="1" ht="12.75" customHeight="1">
      <c r="A607" s="36" t="s">
        <v>366</v>
      </c>
      <c r="B607" s="33" t="s">
        <v>474</v>
      </c>
      <c r="C607" s="211" t="s">
        <v>1243</v>
      </c>
      <c r="D607" s="63">
        <v>299953350</v>
      </c>
      <c r="E607" s="63"/>
      <c r="F607" s="63">
        <f t="shared" si="268"/>
        <v>299953350</v>
      </c>
      <c r="G607" s="38">
        <v>322645468</v>
      </c>
      <c r="H607" s="38"/>
      <c r="I607" s="38">
        <f t="shared" si="269"/>
        <v>322645468</v>
      </c>
      <c r="J607" s="63">
        <v>332576430</v>
      </c>
      <c r="K607" s="63"/>
      <c r="L607" s="63">
        <f t="shared" si="270"/>
        <v>332576430</v>
      </c>
      <c r="M607" s="218">
        <f t="shared" si="255"/>
        <v>110.87605122596564</v>
      </c>
      <c r="N607" s="218">
        <f t="shared" si="256"/>
        <v>110.87605122596564</v>
      </c>
      <c r="O607" s="218">
        <f t="shared" si="257"/>
        <v>103.07797969751739</v>
      </c>
      <c r="P607" s="218">
        <f t="shared" si="267"/>
        <v>103.07797969751739</v>
      </c>
    </row>
    <row r="608" spans="1:16" s="3" customFormat="1" ht="12.75" customHeight="1">
      <c r="A608" s="36" t="s">
        <v>332</v>
      </c>
      <c r="B608" s="33" t="s">
        <v>476</v>
      </c>
      <c r="C608" s="211" t="s">
        <v>1244</v>
      </c>
      <c r="D608" s="63">
        <v>842980</v>
      </c>
      <c r="E608" s="63"/>
      <c r="F608" s="63">
        <f t="shared" si="268"/>
        <v>842980</v>
      </c>
      <c r="G608" s="38">
        <v>5136620</v>
      </c>
      <c r="H608" s="38"/>
      <c r="I608" s="38">
        <f t="shared" si="269"/>
        <v>5136620</v>
      </c>
      <c r="J608" s="63">
        <v>1171650</v>
      </c>
      <c r="K608" s="63"/>
      <c r="L608" s="63">
        <f t="shared" si="270"/>
        <v>1171650</v>
      </c>
      <c r="M608" s="218">
        <f t="shared" si="255"/>
        <v>138.9890626112126</v>
      </c>
      <c r="N608" s="218">
        <f t="shared" si="256"/>
        <v>138.9890626112126</v>
      </c>
      <c r="O608" s="218">
        <f t="shared" si="257"/>
        <v>22.8097464869895</v>
      </c>
      <c r="P608" s="218">
        <f t="shared" si="267"/>
        <v>22.8097464869895</v>
      </c>
    </row>
    <row r="609" spans="1:16" s="3" customFormat="1" ht="12.75" customHeight="1">
      <c r="A609" s="36" t="s">
        <v>288</v>
      </c>
      <c r="B609" s="33" t="s">
        <v>73</v>
      </c>
      <c r="C609" s="211" t="s">
        <v>1245</v>
      </c>
      <c r="D609" s="63">
        <v>450000</v>
      </c>
      <c r="E609" s="63"/>
      <c r="F609" s="63">
        <f t="shared" si="268"/>
        <v>450000</v>
      </c>
      <c r="G609" s="38">
        <v>1971415</v>
      </c>
      <c r="H609" s="38"/>
      <c r="I609" s="38">
        <f t="shared" si="269"/>
        <v>1971415</v>
      </c>
      <c r="J609" s="63">
        <v>412000</v>
      </c>
      <c r="K609" s="63"/>
      <c r="L609" s="63">
        <f t="shared" si="270"/>
        <v>412000</v>
      </c>
      <c r="M609" s="218">
        <f t="shared" si="255"/>
        <v>91.555555555555557</v>
      </c>
      <c r="N609" s="218">
        <f t="shared" si="256"/>
        <v>91.555555555555557</v>
      </c>
      <c r="O609" s="218">
        <f t="shared" si="257"/>
        <v>20.898694592462775</v>
      </c>
      <c r="P609" s="218">
        <f t="shared" si="267"/>
        <v>20.898694592462775</v>
      </c>
    </row>
    <row r="610" spans="1:16" s="3" customFormat="1" ht="12.75" customHeight="1">
      <c r="A610" s="36" t="s">
        <v>798</v>
      </c>
      <c r="B610" s="33" t="s">
        <v>235</v>
      </c>
      <c r="C610" s="211" t="s">
        <v>1246</v>
      </c>
      <c r="D610" s="63">
        <v>1652500</v>
      </c>
      <c r="E610" s="63"/>
      <c r="F610" s="63">
        <f t="shared" si="268"/>
        <v>1652500</v>
      </c>
      <c r="G610" s="38">
        <v>4072300</v>
      </c>
      <c r="H610" s="38"/>
      <c r="I610" s="38">
        <f t="shared" si="269"/>
        <v>4072300</v>
      </c>
      <c r="J610" s="63">
        <v>259500</v>
      </c>
      <c r="K610" s="63"/>
      <c r="L610" s="63">
        <f t="shared" si="270"/>
        <v>259500</v>
      </c>
      <c r="M610" s="218">
        <f t="shared" si="255"/>
        <v>15.703479576399396</v>
      </c>
      <c r="N610" s="218">
        <f t="shared" si="256"/>
        <v>15.703479576399396</v>
      </c>
      <c r="O610" s="218">
        <f t="shared" si="257"/>
        <v>6.3723203103897061</v>
      </c>
      <c r="P610" s="218">
        <f t="shared" si="267"/>
        <v>6.3723203103897061</v>
      </c>
    </row>
    <row r="611" spans="1:16" s="3" customFormat="1" ht="12.75" customHeight="1">
      <c r="A611" s="46" t="s">
        <v>717</v>
      </c>
      <c r="B611" s="33" t="s">
        <v>721</v>
      </c>
      <c r="C611" s="211" t="s">
        <v>1247</v>
      </c>
      <c r="D611" s="63">
        <v>131488570</v>
      </c>
      <c r="E611" s="63"/>
      <c r="F611" s="63">
        <f t="shared" si="268"/>
        <v>131488570</v>
      </c>
      <c r="G611" s="38">
        <v>140978810</v>
      </c>
      <c r="H611" s="38"/>
      <c r="I611" s="38">
        <f t="shared" si="269"/>
        <v>140978810</v>
      </c>
      <c r="J611" s="63">
        <f>153976220+30000</f>
        <v>154006220</v>
      </c>
      <c r="K611" s="63"/>
      <c r="L611" s="63">
        <f t="shared" si="270"/>
        <v>154006220</v>
      </c>
      <c r="M611" s="218">
        <f t="shared" si="255"/>
        <v>117.12517673589421</v>
      </c>
      <c r="N611" s="218">
        <f t="shared" si="256"/>
        <v>117.12517673589421</v>
      </c>
      <c r="O611" s="218">
        <f t="shared" si="257"/>
        <v>109.24068659680132</v>
      </c>
      <c r="P611" s="218">
        <f t="shared" si="267"/>
        <v>109.24068659680132</v>
      </c>
    </row>
    <row r="612" spans="1:16" s="9" customFormat="1" ht="36">
      <c r="A612" s="341" t="s">
        <v>2471</v>
      </c>
      <c r="B612" s="342"/>
      <c r="C612" s="343"/>
      <c r="D612" s="344"/>
      <c r="E612" s="344"/>
      <c r="F612" s="344"/>
      <c r="G612" s="344"/>
      <c r="H612" s="344"/>
      <c r="I612" s="344"/>
      <c r="J612" s="344"/>
      <c r="K612" s="344"/>
      <c r="L612" s="344"/>
      <c r="M612" s="345" t="str">
        <f t="shared" si="255"/>
        <v/>
      </c>
      <c r="N612" s="345" t="str">
        <f t="shared" si="256"/>
        <v/>
      </c>
      <c r="O612" s="345" t="str">
        <f t="shared" si="257"/>
        <v/>
      </c>
      <c r="P612" s="345"/>
    </row>
    <row r="613" spans="1:16" s="3" customFormat="1" ht="12.75" customHeight="1">
      <c r="A613" s="46" t="s">
        <v>718</v>
      </c>
      <c r="B613" s="33" t="s">
        <v>722</v>
      </c>
      <c r="C613" s="211" t="s">
        <v>1248</v>
      </c>
      <c r="D613" s="63">
        <v>392700</v>
      </c>
      <c r="E613" s="63"/>
      <c r="F613" s="63">
        <f t="shared" si="268"/>
        <v>392700</v>
      </c>
      <c r="G613" s="38">
        <v>1532460</v>
      </c>
      <c r="H613" s="38"/>
      <c r="I613" s="38">
        <f t="shared" si="269"/>
        <v>1532460</v>
      </c>
      <c r="J613" s="63">
        <v>634620</v>
      </c>
      <c r="K613" s="63"/>
      <c r="L613" s="63">
        <f t="shared" si="270"/>
        <v>634620</v>
      </c>
      <c r="M613" s="218">
        <f t="shared" si="255"/>
        <v>161.6042780748663</v>
      </c>
      <c r="N613" s="218">
        <f t="shared" si="256"/>
        <v>161.6042780748663</v>
      </c>
      <c r="O613" s="218">
        <f t="shared" si="257"/>
        <v>41.411847617556084</v>
      </c>
      <c r="P613" s="218">
        <f t="shared" si="267"/>
        <v>41.411847617556084</v>
      </c>
    </row>
    <row r="614" spans="1:16" s="3" customFormat="1" ht="12.75" customHeight="1">
      <c r="A614" s="46" t="s">
        <v>719</v>
      </c>
      <c r="B614" s="33" t="s">
        <v>723</v>
      </c>
      <c r="C614" s="211" t="s">
        <v>1249</v>
      </c>
      <c r="D614" s="63">
        <v>616000</v>
      </c>
      <c r="E614" s="63"/>
      <c r="F614" s="63">
        <f t="shared" si="268"/>
        <v>616000</v>
      </c>
      <c r="G614" s="38">
        <v>1368026</v>
      </c>
      <c r="H614" s="38"/>
      <c r="I614" s="38">
        <f t="shared" si="269"/>
        <v>1368026</v>
      </c>
      <c r="J614" s="63">
        <v>344350</v>
      </c>
      <c r="K614" s="63"/>
      <c r="L614" s="63">
        <f t="shared" si="270"/>
        <v>344350</v>
      </c>
      <c r="M614" s="218">
        <f t="shared" si="255"/>
        <v>55.900974025974023</v>
      </c>
      <c r="N614" s="218">
        <f t="shared" si="256"/>
        <v>55.900974025974023</v>
      </c>
      <c r="O614" s="218">
        <f t="shared" si="257"/>
        <v>25.171305223731128</v>
      </c>
      <c r="P614" s="218">
        <f t="shared" si="267"/>
        <v>25.171305223731128</v>
      </c>
    </row>
    <row r="615" spans="1:16" s="3" customFormat="1" ht="12.75" customHeight="1">
      <c r="A615" s="46" t="s">
        <v>720</v>
      </c>
      <c r="B615" s="33" t="s">
        <v>74</v>
      </c>
      <c r="C615" s="211" t="s">
        <v>1250</v>
      </c>
      <c r="D615" s="63">
        <v>690000</v>
      </c>
      <c r="E615" s="63"/>
      <c r="F615" s="63">
        <f t="shared" si="268"/>
        <v>690000</v>
      </c>
      <c r="G615" s="38">
        <v>2281740</v>
      </c>
      <c r="H615" s="38"/>
      <c r="I615" s="38">
        <f t="shared" si="269"/>
        <v>2281740</v>
      </c>
      <c r="J615" s="63">
        <v>157200</v>
      </c>
      <c r="K615" s="63"/>
      <c r="L615" s="63">
        <f t="shared" si="270"/>
        <v>157200</v>
      </c>
      <c r="M615" s="218">
        <f t="shared" si="255"/>
        <v>22.782608695652172</v>
      </c>
      <c r="N615" s="218">
        <f t="shared" si="256"/>
        <v>22.782608695652172</v>
      </c>
      <c r="O615" s="218">
        <f t="shared" si="257"/>
        <v>6.8894790817533984</v>
      </c>
      <c r="P615" s="218">
        <f t="shared" si="267"/>
        <v>6.8894790817533984</v>
      </c>
    </row>
    <row r="616" spans="1:16" s="3" customFormat="1" ht="12.75" customHeight="1">
      <c r="A616" s="36" t="s">
        <v>785</v>
      </c>
      <c r="B616" s="33" t="s">
        <v>767</v>
      </c>
      <c r="C616" s="211" t="s">
        <v>1254</v>
      </c>
      <c r="D616" s="63">
        <v>23385050</v>
      </c>
      <c r="E616" s="63"/>
      <c r="F616" s="63">
        <f t="shared" si="268"/>
        <v>23385050</v>
      </c>
      <c r="G616" s="38">
        <v>26440900</v>
      </c>
      <c r="H616" s="38"/>
      <c r="I616" s="38">
        <f t="shared" si="269"/>
        <v>26440900</v>
      </c>
      <c r="J616" s="63">
        <v>25740050</v>
      </c>
      <c r="K616" s="63"/>
      <c r="L616" s="63">
        <f t="shared" si="270"/>
        <v>25740050</v>
      </c>
      <c r="M616" s="218">
        <f t="shared" si="255"/>
        <v>110.07053651798905</v>
      </c>
      <c r="N616" s="218">
        <f t="shared" si="256"/>
        <v>110.07053651798905</v>
      </c>
      <c r="O616" s="218">
        <f t="shared" si="257"/>
        <v>97.349371617456299</v>
      </c>
      <c r="P616" s="218">
        <f t="shared" si="267"/>
        <v>97.349371617456299</v>
      </c>
    </row>
    <row r="617" spans="1:16" s="3" customFormat="1" ht="12.75" customHeight="1">
      <c r="A617" s="36" t="s">
        <v>43</v>
      </c>
      <c r="B617" s="33" t="s">
        <v>70</v>
      </c>
      <c r="C617" s="211" t="s">
        <v>1255</v>
      </c>
      <c r="D617" s="63">
        <v>105000</v>
      </c>
      <c r="E617" s="63"/>
      <c r="F617" s="63">
        <f t="shared" si="268"/>
        <v>105000</v>
      </c>
      <c r="G617" s="38">
        <v>360000</v>
      </c>
      <c r="H617" s="38"/>
      <c r="I617" s="38">
        <f t="shared" si="269"/>
        <v>360000</v>
      </c>
      <c r="J617" s="63">
        <v>180000</v>
      </c>
      <c r="K617" s="63"/>
      <c r="L617" s="63">
        <f t="shared" si="270"/>
        <v>180000</v>
      </c>
      <c r="M617" s="218">
        <f t="shared" si="255"/>
        <v>171.42857142857142</v>
      </c>
      <c r="N617" s="218">
        <f t="shared" si="256"/>
        <v>171.42857142857142</v>
      </c>
      <c r="O617" s="218">
        <f t="shared" si="257"/>
        <v>50</v>
      </c>
      <c r="P617" s="218">
        <f t="shared" si="267"/>
        <v>50</v>
      </c>
    </row>
    <row r="618" spans="1:16" s="3" customFormat="1" ht="12.75" customHeight="1">
      <c r="A618" s="36" t="s">
        <v>7</v>
      </c>
      <c r="B618" s="33" t="s">
        <v>451</v>
      </c>
      <c r="C618" s="211" t="s">
        <v>1256</v>
      </c>
      <c r="D618" s="63">
        <v>250000</v>
      </c>
      <c r="E618" s="63"/>
      <c r="F618" s="63">
        <f t="shared" si="268"/>
        <v>250000</v>
      </c>
      <c r="G618" s="38">
        <v>728000</v>
      </c>
      <c r="H618" s="38"/>
      <c r="I618" s="38">
        <f t="shared" si="269"/>
        <v>728000</v>
      </c>
      <c r="J618" s="63">
        <v>17400</v>
      </c>
      <c r="K618" s="63"/>
      <c r="L618" s="63">
        <f t="shared" si="270"/>
        <v>17400</v>
      </c>
      <c r="M618" s="218">
        <f t="shared" si="255"/>
        <v>6.9599999999999991</v>
      </c>
      <c r="N618" s="218">
        <f t="shared" si="256"/>
        <v>6.9599999999999991</v>
      </c>
      <c r="O618" s="218">
        <f t="shared" si="257"/>
        <v>2.3901098901098901</v>
      </c>
      <c r="P618" s="218">
        <f t="shared" si="267"/>
        <v>2.3901098901098901</v>
      </c>
    </row>
    <row r="619" spans="1:16" s="3" customFormat="1" ht="12.75" customHeight="1">
      <c r="A619" s="36" t="s">
        <v>2394</v>
      </c>
      <c r="B619" s="33" t="s">
        <v>2081</v>
      </c>
      <c r="C619" s="211" t="s">
        <v>2133</v>
      </c>
      <c r="D619" s="63"/>
      <c r="E619" s="63"/>
      <c r="F619" s="63"/>
      <c r="G619" s="38">
        <v>5000</v>
      </c>
      <c r="H619" s="38"/>
      <c r="I619" s="38">
        <f t="shared" si="269"/>
        <v>5000</v>
      </c>
      <c r="J619" s="63">
        <v>6000</v>
      </c>
      <c r="K619" s="63"/>
      <c r="L619" s="63">
        <f t="shared" si="270"/>
        <v>6000</v>
      </c>
      <c r="M619" s="218" t="str">
        <f t="shared" si="255"/>
        <v/>
      </c>
      <c r="N619" s="218" t="str">
        <f t="shared" si="256"/>
        <v/>
      </c>
      <c r="O619" s="218">
        <f t="shared" si="257"/>
        <v>120</v>
      </c>
      <c r="P619" s="218">
        <f t="shared" si="267"/>
        <v>120</v>
      </c>
    </row>
    <row r="620" spans="1:16" s="3" customFormat="1" ht="12.75" customHeight="1">
      <c r="A620" s="36" t="s">
        <v>673</v>
      </c>
      <c r="B620" s="33" t="s">
        <v>676</v>
      </c>
      <c r="C620" s="211" t="s">
        <v>1251</v>
      </c>
      <c r="D620" s="63">
        <v>10435440</v>
      </c>
      <c r="E620" s="63"/>
      <c r="F620" s="63">
        <f t="shared" ref="F620:F626" si="271">SUM(D620:E620)</f>
        <v>10435440</v>
      </c>
      <c r="G620" s="38">
        <v>10647188</v>
      </c>
      <c r="H620" s="38"/>
      <c r="I620" s="38">
        <f t="shared" si="269"/>
        <v>10647188</v>
      </c>
      <c r="J620" s="63">
        <v>11646610</v>
      </c>
      <c r="K620" s="63"/>
      <c r="L620" s="63">
        <f t="shared" si="270"/>
        <v>11646610</v>
      </c>
      <c r="M620" s="218">
        <f t="shared" si="255"/>
        <v>111.6063146355113</v>
      </c>
      <c r="N620" s="218">
        <f t="shared" si="256"/>
        <v>111.6063146355113</v>
      </c>
      <c r="O620" s="218">
        <f t="shared" si="257"/>
        <v>109.38672257876915</v>
      </c>
      <c r="P620" s="218">
        <f t="shared" si="267"/>
        <v>109.38672257876915</v>
      </c>
    </row>
    <row r="621" spans="1:16" s="3" customFormat="1" ht="12.75" customHeight="1">
      <c r="A621" s="36" t="s">
        <v>674</v>
      </c>
      <c r="B621" s="33" t="s">
        <v>675</v>
      </c>
      <c r="C621" s="211" t="s">
        <v>1252</v>
      </c>
      <c r="D621" s="63">
        <v>13700</v>
      </c>
      <c r="E621" s="63"/>
      <c r="F621" s="63">
        <f t="shared" si="271"/>
        <v>13700</v>
      </c>
      <c r="G621" s="38">
        <v>103895</v>
      </c>
      <c r="H621" s="38"/>
      <c r="I621" s="38">
        <f t="shared" si="269"/>
        <v>103895</v>
      </c>
      <c r="J621" s="63">
        <v>36000</v>
      </c>
      <c r="K621" s="63"/>
      <c r="L621" s="63">
        <f t="shared" si="270"/>
        <v>36000</v>
      </c>
      <c r="M621" s="218">
        <f t="shared" si="255"/>
        <v>262.77372262773724</v>
      </c>
      <c r="N621" s="218">
        <f t="shared" si="256"/>
        <v>262.77372262773724</v>
      </c>
      <c r="O621" s="218">
        <f t="shared" si="257"/>
        <v>34.650368160161705</v>
      </c>
      <c r="P621" s="218">
        <f t="shared" si="267"/>
        <v>34.650368160161705</v>
      </c>
    </row>
    <row r="622" spans="1:16" s="3" customFormat="1" ht="12.75" customHeight="1">
      <c r="A622" s="36" t="s">
        <v>72</v>
      </c>
      <c r="B622" s="33" t="s">
        <v>234</v>
      </c>
      <c r="C622" s="211" t="s">
        <v>1253</v>
      </c>
      <c r="D622" s="63"/>
      <c r="E622" s="63"/>
      <c r="F622" s="63">
        <f t="shared" si="271"/>
        <v>0</v>
      </c>
      <c r="G622" s="38">
        <v>150000</v>
      </c>
      <c r="H622" s="38"/>
      <c r="I622" s="38">
        <f t="shared" si="269"/>
        <v>150000</v>
      </c>
      <c r="J622" s="63">
        <v>7700</v>
      </c>
      <c r="K622" s="63"/>
      <c r="L622" s="63">
        <f t="shared" si="270"/>
        <v>7700</v>
      </c>
      <c r="M622" s="218" t="str">
        <f t="shared" si="255"/>
        <v/>
      </c>
      <c r="N622" s="218" t="str">
        <f t="shared" si="256"/>
        <v/>
      </c>
      <c r="O622" s="218">
        <f t="shared" si="257"/>
        <v>5.1333333333333337</v>
      </c>
      <c r="P622" s="218">
        <f t="shared" si="267"/>
        <v>5.1333333333333337</v>
      </c>
    </row>
    <row r="623" spans="1:16" s="3" customFormat="1" ht="12.75" customHeight="1">
      <c r="A623" s="36" t="s">
        <v>788</v>
      </c>
      <c r="B623" s="33" t="s">
        <v>419</v>
      </c>
      <c r="C623" s="211" t="s">
        <v>1257</v>
      </c>
      <c r="D623" s="63">
        <v>68202200</v>
      </c>
      <c r="E623" s="63"/>
      <c r="F623" s="63">
        <f t="shared" si="271"/>
        <v>68202200</v>
      </c>
      <c r="G623" s="38">
        <v>55659820</v>
      </c>
      <c r="H623" s="38"/>
      <c r="I623" s="38">
        <f t="shared" si="269"/>
        <v>55659820</v>
      </c>
      <c r="J623" s="63">
        <v>59700230</v>
      </c>
      <c r="K623" s="63"/>
      <c r="L623" s="63">
        <f t="shared" si="270"/>
        <v>59700230</v>
      </c>
      <c r="M623" s="218">
        <f t="shared" si="255"/>
        <v>87.534170451979548</v>
      </c>
      <c r="N623" s="218">
        <f t="shared" si="256"/>
        <v>87.534170451979548</v>
      </c>
      <c r="O623" s="218">
        <f t="shared" si="257"/>
        <v>107.25911438448776</v>
      </c>
      <c r="P623" s="218">
        <f t="shared" si="267"/>
        <v>107.25911438448776</v>
      </c>
    </row>
    <row r="624" spans="1:16" s="3" customFormat="1" ht="12.75" customHeight="1">
      <c r="A624" s="36" t="s">
        <v>789</v>
      </c>
      <c r="B624" s="33" t="s">
        <v>418</v>
      </c>
      <c r="C624" s="211" t="s">
        <v>1258</v>
      </c>
      <c r="D624" s="63">
        <v>3600200</v>
      </c>
      <c r="E624" s="63"/>
      <c r="F624" s="63">
        <f t="shared" si="271"/>
        <v>3600200</v>
      </c>
      <c r="G624" s="38">
        <v>3016200</v>
      </c>
      <c r="H624" s="38"/>
      <c r="I624" s="38">
        <f t="shared" si="269"/>
        <v>3016200</v>
      </c>
      <c r="J624" s="63">
        <v>4623400</v>
      </c>
      <c r="K624" s="63"/>
      <c r="L624" s="63">
        <f t="shared" si="270"/>
        <v>4623400</v>
      </c>
      <c r="M624" s="218">
        <f t="shared" si="255"/>
        <v>128.42064329759458</v>
      </c>
      <c r="N624" s="218">
        <f t="shared" si="256"/>
        <v>128.42064329759458</v>
      </c>
      <c r="O624" s="218">
        <f t="shared" si="257"/>
        <v>153.28559114117101</v>
      </c>
      <c r="P624" s="218">
        <f t="shared" si="267"/>
        <v>153.28559114117101</v>
      </c>
    </row>
    <row r="625" spans="1:16" s="3" customFormat="1" ht="24">
      <c r="A625" s="36" t="s">
        <v>790</v>
      </c>
      <c r="B625" s="33" t="s">
        <v>475</v>
      </c>
      <c r="C625" s="211" t="s">
        <v>1260</v>
      </c>
      <c r="D625" s="63">
        <f>18750000+380000</f>
        <v>19130000</v>
      </c>
      <c r="E625" s="63"/>
      <c r="F625" s="63">
        <f t="shared" si="271"/>
        <v>19130000</v>
      </c>
      <c r="G625" s="38">
        <v>4050360</v>
      </c>
      <c r="H625" s="38"/>
      <c r="I625" s="38">
        <f t="shared" si="269"/>
        <v>4050360</v>
      </c>
      <c r="J625" s="63">
        <v>22495200</v>
      </c>
      <c r="K625" s="63"/>
      <c r="L625" s="63">
        <f t="shared" si="270"/>
        <v>22495200</v>
      </c>
      <c r="M625" s="218">
        <f t="shared" si="255"/>
        <v>117.59121798222687</v>
      </c>
      <c r="N625" s="218">
        <f t="shared" si="256"/>
        <v>117.59121798222687</v>
      </c>
      <c r="O625" s="218">
        <f t="shared" si="257"/>
        <v>555.38766924421532</v>
      </c>
      <c r="P625" s="218">
        <f t="shared" si="267"/>
        <v>555.38766924421532</v>
      </c>
    </row>
    <row r="626" spans="1:16" s="3" customFormat="1" ht="12.75" customHeight="1">
      <c r="A626" s="36" t="s">
        <v>2395</v>
      </c>
      <c r="B626" s="33" t="s">
        <v>701</v>
      </c>
      <c r="C626" s="211" t="s">
        <v>1261</v>
      </c>
      <c r="D626" s="63">
        <v>600900</v>
      </c>
      <c r="E626" s="63"/>
      <c r="F626" s="63">
        <f t="shared" si="271"/>
        <v>600900</v>
      </c>
      <c r="G626" s="38">
        <v>645060</v>
      </c>
      <c r="H626" s="38"/>
      <c r="I626" s="38">
        <f t="shared" si="269"/>
        <v>645060</v>
      </c>
      <c r="J626" s="63">
        <v>187400</v>
      </c>
      <c r="K626" s="63"/>
      <c r="L626" s="63">
        <f t="shared" si="270"/>
        <v>187400</v>
      </c>
      <c r="M626" s="218">
        <f t="shared" si="255"/>
        <v>31.186553503078716</v>
      </c>
      <c r="N626" s="218">
        <f t="shared" si="256"/>
        <v>31.186553503078716</v>
      </c>
      <c r="O626" s="218">
        <f t="shared" si="257"/>
        <v>29.051561095091927</v>
      </c>
      <c r="P626" s="218">
        <f t="shared" si="267"/>
        <v>29.051561095091927</v>
      </c>
    </row>
    <row r="627" spans="1:16" s="3" customFormat="1" ht="12.75" customHeight="1">
      <c r="A627" s="36" t="s">
        <v>2078</v>
      </c>
      <c r="B627" s="33" t="s">
        <v>2072</v>
      </c>
      <c r="C627" s="211" t="s">
        <v>2134</v>
      </c>
      <c r="D627" s="63"/>
      <c r="E627" s="63"/>
      <c r="F627" s="63"/>
      <c r="G627" s="38">
        <v>280400</v>
      </c>
      <c r="H627" s="38"/>
      <c r="I627" s="38">
        <f t="shared" si="269"/>
        <v>280400</v>
      </c>
      <c r="J627" s="63">
        <v>1056400</v>
      </c>
      <c r="K627" s="63"/>
      <c r="L627" s="63">
        <f t="shared" si="270"/>
        <v>1056400</v>
      </c>
      <c r="M627" s="218" t="str">
        <f t="shared" si="255"/>
        <v/>
      </c>
      <c r="N627" s="218" t="str">
        <f t="shared" si="256"/>
        <v/>
      </c>
      <c r="O627" s="218">
        <f t="shared" si="257"/>
        <v>376.74750356633382</v>
      </c>
      <c r="P627" s="218">
        <f t="shared" si="267"/>
        <v>376.74750356633382</v>
      </c>
    </row>
    <row r="628" spans="1:16" s="3" customFormat="1" ht="12.75" customHeight="1">
      <c r="A628" s="36" t="s">
        <v>2076</v>
      </c>
      <c r="B628" s="33" t="s">
        <v>2077</v>
      </c>
      <c r="C628" s="211" t="s">
        <v>2135</v>
      </c>
      <c r="D628" s="63"/>
      <c r="E628" s="63"/>
      <c r="F628" s="63"/>
      <c r="G628" s="38">
        <v>94000</v>
      </c>
      <c r="H628" s="38"/>
      <c r="I628" s="38">
        <f t="shared" si="269"/>
        <v>94000</v>
      </c>
      <c r="J628" s="63">
        <v>30000</v>
      </c>
      <c r="K628" s="63"/>
      <c r="L628" s="63">
        <f t="shared" si="270"/>
        <v>30000</v>
      </c>
      <c r="M628" s="218" t="str">
        <f t="shared" si="255"/>
        <v/>
      </c>
      <c r="N628" s="218" t="str">
        <f t="shared" si="256"/>
        <v/>
      </c>
      <c r="O628" s="218">
        <f t="shared" si="257"/>
        <v>31.914893617021278</v>
      </c>
      <c r="P628" s="218">
        <f t="shared" si="267"/>
        <v>31.914893617021278</v>
      </c>
    </row>
    <row r="629" spans="1:16" s="3" customFormat="1" ht="12.75" customHeight="1">
      <c r="A629" s="36" t="s">
        <v>756</v>
      </c>
      <c r="B629" s="33" t="s">
        <v>757</v>
      </c>
      <c r="C629" s="211" t="s">
        <v>1263</v>
      </c>
      <c r="D629" s="63">
        <v>1794480</v>
      </c>
      <c r="E629" s="63"/>
      <c r="F629" s="63">
        <f t="shared" ref="F629:F636" si="272">SUM(D629:E629)</f>
        <v>1794480</v>
      </c>
      <c r="G629" s="38">
        <v>2035257</v>
      </c>
      <c r="H629" s="38"/>
      <c r="I629" s="38">
        <f t="shared" si="269"/>
        <v>2035257</v>
      </c>
      <c r="J629" s="63">
        <v>1488700</v>
      </c>
      <c r="K629" s="63"/>
      <c r="L629" s="63">
        <f t="shared" si="270"/>
        <v>1488700</v>
      </c>
      <c r="M629" s="218">
        <f t="shared" si="255"/>
        <v>82.959966118318391</v>
      </c>
      <c r="N629" s="218">
        <f t="shared" si="256"/>
        <v>82.959966118318391</v>
      </c>
      <c r="O629" s="218">
        <f t="shared" si="257"/>
        <v>73.14555360821754</v>
      </c>
      <c r="P629" s="218">
        <f t="shared" si="267"/>
        <v>73.14555360821754</v>
      </c>
    </row>
    <row r="630" spans="1:16" s="3" customFormat="1" ht="12.75" customHeight="1">
      <c r="A630" s="354" t="s">
        <v>758</v>
      </c>
      <c r="B630" s="66" t="s">
        <v>759</v>
      </c>
      <c r="C630" s="311" t="s">
        <v>1264</v>
      </c>
      <c r="D630" s="67">
        <v>575850</v>
      </c>
      <c r="E630" s="67"/>
      <c r="F630" s="67">
        <f t="shared" si="272"/>
        <v>575850</v>
      </c>
      <c r="G630" s="61">
        <v>580730</v>
      </c>
      <c r="H630" s="61"/>
      <c r="I630" s="61">
        <f t="shared" si="269"/>
        <v>580730</v>
      </c>
      <c r="J630" s="67">
        <v>352550</v>
      </c>
      <c r="K630" s="67"/>
      <c r="L630" s="67">
        <f t="shared" si="270"/>
        <v>352550</v>
      </c>
      <c r="M630" s="273">
        <f t="shared" si="255"/>
        <v>61.222540592168095</v>
      </c>
      <c r="N630" s="273">
        <f t="shared" si="256"/>
        <v>61.222540592168095</v>
      </c>
      <c r="O630" s="273">
        <f t="shared" si="257"/>
        <v>60.708074320252095</v>
      </c>
      <c r="P630" s="273">
        <f t="shared" si="267"/>
        <v>60.708074320252095</v>
      </c>
    </row>
    <row r="631" spans="1:16" s="3" customFormat="1" ht="12.75" customHeight="1">
      <c r="A631" s="80" t="s">
        <v>760</v>
      </c>
      <c r="B631" s="79" t="s">
        <v>761</v>
      </c>
      <c r="C631" s="302" t="s">
        <v>1265</v>
      </c>
      <c r="D631" s="76">
        <v>1019850</v>
      </c>
      <c r="E631" s="76"/>
      <c r="F631" s="76">
        <f t="shared" si="272"/>
        <v>1019850</v>
      </c>
      <c r="G631" s="116">
        <v>892771</v>
      </c>
      <c r="H631" s="116"/>
      <c r="I631" s="116">
        <f t="shared" si="269"/>
        <v>892771</v>
      </c>
      <c r="J631" s="76">
        <v>751250</v>
      </c>
      <c r="K631" s="76"/>
      <c r="L631" s="76">
        <f t="shared" si="270"/>
        <v>751250</v>
      </c>
      <c r="M631" s="226">
        <f t="shared" si="255"/>
        <v>73.662793548070795</v>
      </c>
      <c r="N631" s="226">
        <f t="shared" si="256"/>
        <v>73.662793548070795</v>
      </c>
      <c r="O631" s="226">
        <f t="shared" si="257"/>
        <v>84.148118610483536</v>
      </c>
      <c r="P631" s="226">
        <f t="shared" si="267"/>
        <v>84.148118610483536</v>
      </c>
    </row>
    <row r="632" spans="1:16" s="3" customFormat="1" ht="12.75" customHeight="1">
      <c r="A632" s="36" t="s">
        <v>762</v>
      </c>
      <c r="B632" s="33" t="s">
        <v>763</v>
      </c>
      <c r="C632" s="211" t="s">
        <v>1266</v>
      </c>
      <c r="D632" s="63">
        <v>1822450</v>
      </c>
      <c r="E632" s="63"/>
      <c r="F632" s="63">
        <f t="shared" si="272"/>
        <v>1822450</v>
      </c>
      <c r="G632" s="38">
        <v>1828360</v>
      </c>
      <c r="H632" s="38"/>
      <c r="I632" s="38">
        <f t="shared" si="269"/>
        <v>1828360</v>
      </c>
      <c r="J632" s="63">
        <v>1200550</v>
      </c>
      <c r="K632" s="63"/>
      <c r="L632" s="63">
        <f t="shared" si="270"/>
        <v>1200550</v>
      </c>
      <c r="M632" s="218">
        <f t="shared" si="255"/>
        <v>65.875607012538069</v>
      </c>
      <c r="N632" s="218">
        <f t="shared" si="256"/>
        <v>65.875607012538069</v>
      </c>
      <c r="O632" s="218">
        <f t="shared" si="257"/>
        <v>65.662670371261683</v>
      </c>
      <c r="P632" s="218">
        <f t="shared" si="267"/>
        <v>65.662670371261683</v>
      </c>
    </row>
    <row r="633" spans="1:16" s="3" customFormat="1" ht="24">
      <c r="A633" s="36" t="s">
        <v>764</v>
      </c>
      <c r="B633" s="33" t="s">
        <v>765</v>
      </c>
      <c r="C633" s="211" t="s">
        <v>1267</v>
      </c>
      <c r="D633" s="63">
        <v>325960</v>
      </c>
      <c r="E633" s="63"/>
      <c r="F633" s="63">
        <f t="shared" si="272"/>
        <v>325960</v>
      </c>
      <c r="G633" s="38">
        <v>327672</v>
      </c>
      <c r="H633" s="38"/>
      <c r="I633" s="38">
        <f t="shared" si="269"/>
        <v>327672</v>
      </c>
      <c r="J633" s="63">
        <v>285500</v>
      </c>
      <c r="K633" s="63"/>
      <c r="L633" s="63">
        <f t="shared" si="270"/>
        <v>285500</v>
      </c>
      <c r="M633" s="218">
        <f t="shared" si="255"/>
        <v>87.587434040986622</v>
      </c>
      <c r="N633" s="218">
        <f t="shared" si="256"/>
        <v>87.587434040986622</v>
      </c>
      <c r="O633" s="218">
        <f t="shared" si="257"/>
        <v>87.129812739568834</v>
      </c>
      <c r="P633" s="218">
        <f t="shared" si="267"/>
        <v>87.129812739568834</v>
      </c>
    </row>
    <row r="634" spans="1:16" s="3" customFormat="1" ht="12.75" customHeight="1">
      <c r="A634" s="36" t="s">
        <v>754</v>
      </c>
      <c r="B634" s="33" t="s">
        <v>755</v>
      </c>
      <c r="C634" s="211" t="s">
        <v>1268</v>
      </c>
      <c r="D634" s="63">
        <v>812650</v>
      </c>
      <c r="E634" s="63"/>
      <c r="F634" s="63">
        <f t="shared" si="272"/>
        <v>812650</v>
      </c>
      <c r="G634" s="38">
        <v>749650</v>
      </c>
      <c r="H634" s="38"/>
      <c r="I634" s="38">
        <f t="shared" si="269"/>
        <v>749650</v>
      </c>
      <c r="J634" s="63">
        <v>597500</v>
      </c>
      <c r="K634" s="63"/>
      <c r="L634" s="63">
        <f t="shared" si="270"/>
        <v>597500</v>
      </c>
      <c r="M634" s="218">
        <f t="shared" si="255"/>
        <v>73.524887713037586</v>
      </c>
      <c r="N634" s="218">
        <f t="shared" si="256"/>
        <v>73.524887713037586</v>
      </c>
      <c r="O634" s="218">
        <f t="shared" si="257"/>
        <v>79.703861802174345</v>
      </c>
      <c r="P634" s="218">
        <f t="shared" si="267"/>
        <v>79.703861802174345</v>
      </c>
    </row>
    <row r="635" spans="1:16" s="3" customFormat="1" ht="12.75" customHeight="1">
      <c r="A635" s="36" t="s">
        <v>772</v>
      </c>
      <c r="B635" s="33" t="s">
        <v>766</v>
      </c>
      <c r="C635" s="211" t="s">
        <v>1269</v>
      </c>
      <c r="D635" s="63">
        <v>537340</v>
      </c>
      <c r="E635" s="63"/>
      <c r="F635" s="63">
        <f t="shared" si="272"/>
        <v>537340</v>
      </c>
      <c r="G635" s="38">
        <v>544040</v>
      </c>
      <c r="H635" s="38"/>
      <c r="I635" s="38">
        <f t="shared" si="269"/>
        <v>544040</v>
      </c>
      <c r="J635" s="63">
        <v>835170</v>
      </c>
      <c r="K635" s="63"/>
      <c r="L635" s="63">
        <f t="shared" si="270"/>
        <v>835170</v>
      </c>
      <c r="M635" s="218">
        <f t="shared" si="255"/>
        <v>155.426731678267</v>
      </c>
      <c r="N635" s="218">
        <f t="shared" si="256"/>
        <v>155.426731678267</v>
      </c>
      <c r="O635" s="218">
        <f t="shared" si="257"/>
        <v>153.51260936695832</v>
      </c>
      <c r="P635" s="218">
        <f t="shared" si="267"/>
        <v>153.51260936695832</v>
      </c>
    </row>
    <row r="636" spans="1:16" s="3" customFormat="1" ht="12.75" customHeight="1">
      <c r="A636" s="46" t="s">
        <v>13</v>
      </c>
      <c r="B636" s="33" t="s">
        <v>10</v>
      </c>
      <c r="C636" s="211" t="s">
        <v>1272</v>
      </c>
      <c r="D636" s="63">
        <v>12500</v>
      </c>
      <c r="E636" s="63"/>
      <c r="F636" s="63">
        <f t="shared" si="272"/>
        <v>12500</v>
      </c>
      <c r="G636" s="38"/>
      <c r="H636" s="38"/>
      <c r="I636" s="38">
        <f t="shared" si="269"/>
        <v>0</v>
      </c>
      <c r="J636" s="63">
        <v>153270</v>
      </c>
      <c r="K636" s="63"/>
      <c r="L636" s="63">
        <f t="shared" si="270"/>
        <v>153270</v>
      </c>
      <c r="M636" s="218">
        <f t="shared" si="255"/>
        <v>1226.1599999999999</v>
      </c>
      <c r="N636" s="218">
        <f t="shared" si="256"/>
        <v>1226.1599999999999</v>
      </c>
      <c r="O636" s="218" t="str">
        <f t="shared" si="257"/>
        <v/>
      </c>
      <c r="P636" s="218" t="str">
        <f t="shared" ref="P636:P638" si="273">IF(I636&gt;0,IF(L636&gt;=0,L636/I636*100,""),"")</f>
        <v/>
      </c>
    </row>
    <row r="637" spans="1:16" s="3" customFormat="1" ht="12.75" customHeight="1">
      <c r="A637" s="46" t="s">
        <v>2482</v>
      </c>
      <c r="B637" s="33" t="s">
        <v>2369</v>
      </c>
      <c r="C637" s="211" t="s">
        <v>2411</v>
      </c>
      <c r="D637" s="63"/>
      <c r="E637" s="63"/>
      <c r="F637" s="63"/>
      <c r="G637" s="38"/>
      <c r="H637" s="38"/>
      <c r="I637" s="38"/>
      <c r="J637" s="63">
        <v>63950</v>
      </c>
      <c r="K637" s="63"/>
      <c r="L637" s="63">
        <f t="shared" si="270"/>
        <v>63950</v>
      </c>
      <c r="M637" s="218" t="str">
        <f t="shared" si="255"/>
        <v/>
      </c>
      <c r="N637" s="218" t="str">
        <f t="shared" si="256"/>
        <v/>
      </c>
      <c r="O637" s="218" t="str">
        <f t="shared" si="257"/>
        <v/>
      </c>
      <c r="P637" s="218" t="str">
        <f t="shared" si="273"/>
        <v/>
      </c>
    </row>
    <row r="638" spans="1:16" s="3" customFormat="1" ht="12.75" customHeight="1">
      <c r="A638" s="46" t="s">
        <v>2466</v>
      </c>
      <c r="B638" s="33" t="s">
        <v>2451</v>
      </c>
      <c r="C638" s="211"/>
      <c r="D638" s="63"/>
      <c r="E638" s="63"/>
      <c r="F638" s="63"/>
      <c r="G638" s="38"/>
      <c r="H638" s="38"/>
      <c r="I638" s="38"/>
      <c r="J638" s="63">
        <v>882050</v>
      </c>
      <c r="K638" s="63"/>
      <c r="L638" s="63">
        <f t="shared" si="270"/>
        <v>882050</v>
      </c>
      <c r="M638" s="218" t="str">
        <f t="shared" si="255"/>
        <v/>
      </c>
      <c r="N638" s="218" t="str">
        <f t="shared" si="256"/>
        <v/>
      </c>
      <c r="O638" s="218" t="str">
        <f t="shared" si="257"/>
        <v/>
      </c>
      <c r="P638" s="218" t="str">
        <f t="shared" si="273"/>
        <v/>
      </c>
    </row>
    <row r="639" spans="1:16" s="3" customFormat="1" ht="12.75" customHeight="1">
      <c r="A639" s="36" t="s">
        <v>14</v>
      </c>
      <c r="B639" s="33" t="s">
        <v>9</v>
      </c>
      <c r="C639" s="211" t="s">
        <v>1259</v>
      </c>
      <c r="D639" s="63">
        <v>240700</v>
      </c>
      <c r="E639" s="63"/>
      <c r="F639" s="63">
        <f>SUM(D639:E639)</f>
        <v>240700</v>
      </c>
      <c r="G639" s="38">
        <v>240700</v>
      </c>
      <c r="H639" s="38"/>
      <c r="I639" s="38">
        <f>SUM(G639:H639)</f>
        <v>240700</v>
      </c>
      <c r="J639" s="63">
        <v>50000</v>
      </c>
      <c r="K639" s="63"/>
      <c r="L639" s="63">
        <f>SUM(J639:K639)</f>
        <v>50000</v>
      </c>
      <c r="M639" s="218">
        <f t="shared" si="255"/>
        <v>20.772746157041961</v>
      </c>
      <c r="N639" s="218">
        <f t="shared" si="256"/>
        <v>20.772746157041961</v>
      </c>
      <c r="O639" s="218">
        <f t="shared" si="257"/>
        <v>20.772746157041961</v>
      </c>
      <c r="P639" s="218">
        <f>IF(I639&gt;0,IF(L639&gt;=0,L639/I639*100,""),"")</f>
        <v>20.772746157041961</v>
      </c>
    </row>
    <row r="640" spans="1:16" s="3" customFormat="1" ht="12.75" customHeight="1">
      <c r="A640" s="46" t="s">
        <v>651</v>
      </c>
      <c r="B640" s="33" t="s">
        <v>650</v>
      </c>
      <c r="C640" s="211" t="s">
        <v>1271</v>
      </c>
      <c r="D640" s="63">
        <v>8630564</v>
      </c>
      <c r="E640" s="63"/>
      <c r="F640" s="63">
        <f t="shared" ref="F640" si="274">SUM(D640:E640)</f>
        <v>8630564</v>
      </c>
      <c r="G640" s="38">
        <v>11195962</v>
      </c>
      <c r="H640" s="38"/>
      <c r="I640" s="38">
        <f>SUM(G640:H640)</f>
        <v>11195962</v>
      </c>
      <c r="J640" s="63">
        <v>11029541</v>
      </c>
      <c r="K640" s="63"/>
      <c r="L640" s="63">
        <f t="shared" si="270"/>
        <v>11029541</v>
      </c>
      <c r="M640" s="218">
        <f t="shared" si="255"/>
        <v>127.79629465698881</v>
      </c>
      <c r="N640" s="218">
        <f t="shared" si="256"/>
        <v>127.79629465698881</v>
      </c>
      <c r="O640" s="218">
        <f t="shared" si="257"/>
        <v>98.513562300407955</v>
      </c>
      <c r="P640" s="218">
        <f t="shared" si="267"/>
        <v>98.513562300407955</v>
      </c>
    </row>
    <row r="641" spans="1:16" s="3" customFormat="1" ht="12.75" customHeight="1">
      <c r="A641" s="36" t="s">
        <v>2347</v>
      </c>
      <c r="B641" s="211" t="s">
        <v>2351</v>
      </c>
      <c r="C641" s="211" t="s">
        <v>2322</v>
      </c>
      <c r="D641" s="63"/>
      <c r="E641" s="63"/>
      <c r="F641" s="63"/>
      <c r="G641" s="38">
        <v>391600</v>
      </c>
      <c r="H641" s="38"/>
      <c r="I641" s="38">
        <f t="shared" si="264"/>
        <v>391600</v>
      </c>
      <c r="J641" s="63"/>
      <c r="K641" s="63"/>
      <c r="L641" s="63">
        <f t="shared" si="266"/>
        <v>0</v>
      </c>
      <c r="M641" s="218" t="str">
        <f t="shared" si="255"/>
        <v/>
      </c>
      <c r="N641" s="218" t="str">
        <f t="shared" si="256"/>
        <v/>
      </c>
      <c r="O641" s="218">
        <f t="shared" si="257"/>
        <v>0</v>
      </c>
      <c r="P641" s="218">
        <f t="shared" si="267"/>
        <v>0</v>
      </c>
    </row>
    <row r="642" spans="1:16" s="3" customFormat="1" ht="12.75" customHeight="1">
      <c r="A642" s="36" t="s">
        <v>2086</v>
      </c>
      <c r="B642" s="211" t="s">
        <v>2087</v>
      </c>
      <c r="C642" s="211" t="s">
        <v>2128</v>
      </c>
      <c r="D642" s="63"/>
      <c r="E642" s="63"/>
      <c r="F642" s="63"/>
      <c r="G642" s="38">
        <v>6894340</v>
      </c>
      <c r="H642" s="38"/>
      <c r="I642" s="38">
        <f t="shared" si="264"/>
        <v>6894340</v>
      </c>
      <c r="J642" s="63"/>
      <c r="K642" s="63"/>
      <c r="L642" s="63">
        <f t="shared" ref="L642:L644" si="275">SUM(J642:K642)</f>
        <v>0</v>
      </c>
      <c r="M642" s="218" t="str">
        <f t="shared" si="255"/>
        <v/>
      </c>
      <c r="N642" s="218" t="str">
        <f t="shared" si="256"/>
        <v/>
      </c>
      <c r="O642" s="218">
        <f t="shared" si="257"/>
        <v>0</v>
      </c>
      <c r="P642" s="218">
        <f t="shared" si="267"/>
        <v>0</v>
      </c>
    </row>
    <row r="643" spans="1:16" s="3" customFormat="1" ht="12.75" customHeight="1">
      <c r="A643" s="36" t="s">
        <v>2084</v>
      </c>
      <c r="B643" s="211" t="s">
        <v>2085</v>
      </c>
      <c r="C643" s="211" t="s">
        <v>2131</v>
      </c>
      <c r="D643" s="63"/>
      <c r="E643" s="63"/>
      <c r="F643" s="63"/>
      <c r="G643" s="38">
        <v>21600</v>
      </c>
      <c r="H643" s="38"/>
      <c r="I643" s="38">
        <f t="shared" si="264"/>
        <v>21600</v>
      </c>
      <c r="J643" s="63"/>
      <c r="K643" s="63"/>
      <c r="L643" s="63">
        <f t="shared" si="275"/>
        <v>0</v>
      </c>
      <c r="M643" s="218" t="str">
        <f t="shared" si="255"/>
        <v/>
      </c>
      <c r="N643" s="218" t="str">
        <f t="shared" si="256"/>
        <v/>
      </c>
      <c r="O643" s="218">
        <f t="shared" si="257"/>
        <v>0</v>
      </c>
      <c r="P643" s="218">
        <f t="shared" si="267"/>
        <v>0</v>
      </c>
    </row>
    <row r="644" spans="1:16" s="3" customFormat="1" ht="12.75" customHeight="1">
      <c r="A644" s="36" t="s">
        <v>2347</v>
      </c>
      <c r="B644" s="211" t="s">
        <v>2349</v>
      </c>
      <c r="C644" s="211" t="s">
        <v>2321</v>
      </c>
      <c r="D644" s="63"/>
      <c r="E644" s="63"/>
      <c r="F644" s="63"/>
      <c r="G644" s="38">
        <v>1674300</v>
      </c>
      <c r="H644" s="38"/>
      <c r="I644" s="38">
        <f t="shared" si="264"/>
        <v>1674300</v>
      </c>
      <c r="J644" s="63"/>
      <c r="K644" s="63"/>
      <c r="L644" s="63">
        <f t="shared" si="275"/>
        <v>0</v>
      </c>
      <c r="M644" s="218" t="str">
        <f t="shared" si="255"/>
        <v/>
      </c>
      <c r="N644" s="218" t="str">
        <f t="shared" si="256"/>
        <v/>
      </c>
      <c r="O644" s="218">
        <f t="shared" si="257"/>
        <v>0</v>
      </c>
      <c r="P644" s="218">
        <f t="shared" si="267"/>
        <v>0</v>
      </c>
    </row>
    <row r="645" spans="1:16" s="3" customFormat="1" ht="12.75" customHeight="1">
      <c r="A645" s="46" t="s">
        <v>2088</v>
      </c>
      <c r="B645" s="211" t="s">
        <v>2089</v>
      </c>
      <c r="C645" s="211" t="s">
        <v>2129</v>
      </c>
      <c r="D645" s="63"/>
      <c r="E645" s="63"/>
      <c r="F645" s="63"/>
      <c r="G645" s="38">
        <v>1286220</v>
      </c>
      <c r="H645" s="38"/>
      <c r="I645" s="38">
        <f t="shared" si="264"/>
        <v>1286220</v>
      </c>
      <c r="J645" s="63"/>
      <c r="K645" s="63"/>
      <c r="L645" s="63">
        <f t="shared" ref="L645:L646" si="276">SUM(J645:K645)</f>
        <v>0</v>
      </c>
      <c r="M645" s="218" t="str">
        <f t="shared" si="255"/>
        <v/>
      </c>
      <c r="N645" s="218" t="str">
        <f t="shared" si="256"/>
        <v/>
      </c>
      <c r="O645" s="218">
        <f t="shared" si="257"/>
        <v>0</v>
      </c>
      <c r="P645" s="218">
        <f t="shared" si="267"/>
        <v>0</v>
      </c>
    </row>
    <row r="646" spans="1:16" s="3" customFormat="1" ht="12.75" customHeight="1">
      <c r="A646" s="46" t="s">
        <v>2347</v>
      </c>
      <c r="B646" s="211" t="s">
        <v>2348</v>
      </c>
      <c r="C646" s="211" t="s">
        <v>2320</v>
      </c>
      <c r="D646" s="63"/>
      <c r="E646" s="63"/>
      <c r="F646" s="63"/>
      <c r="G646" s="38">
        <v>373300</v>
      </c>
      <c r="H646" s="38"/>
      <c r="I646" s="38">
        <f t="shared" si="264"/>
        <v>373300</v>
      </c>
      <c r="J646" s="63"/>
      <c r="K646" s="63"/>
      <c r="L646" s="63">
        <f t="shared" si="276"/>
        <v>0</v>
      </c>
      <c r="M646" s="218" t="str">
        <f t="shared" si="255"/>
        <v/>
      </c>
      <c r="N646" s="218" t="str">
        <f t="shared" si="256"/>
        <v/>
      </c>
      <c r="O646" s="218">
        <f t="shared" si="257"/>
        <v>0</v>
      </c>
      <c r="P646" s="218">
        <f t="shared" si="267"/>
        <v>0</v>
      </c>
    </row>
    <row r="647" spans="1:16" s="3" customFormat="1" ht="24">
      <c r="A647" s="36" t="s">
        <v>2079</v>
      </c>
      <c r="B647" s="211" t="s">
        <v>2080</v>
      </c>
      <c r="C647" s="211" t="s">
        <v>2132</v>
      </c>
      <c r="D647" s="63"/>
      <c r="E647" s="63"/>
      <c r="F647" s="63"/>
      <c r="G647" s="38">
        <v>32500</v>
      </c>
      <c r="H647" s="38"/>
      <c r="I647" s="38">
        <f t="shared" ref="I647:I648" si="277">SUM(G647:H647)</f>
        <v>32500</v>
      </c>
      <c r="J647" s="63"/>
      <c r="K647" s="63"/>
      <c r="L647" s="63">
        <f t="shared" ref="L647:L649" si="278">SUM(J647:K647)</f>
        <v>0</v>
      </c>
      <c r="M647" s="218" t="str">
        <f t="shared" si="255"/>
        <v/>
      </c>
      <c r="N647" s="218" t="str">
        <f t="shared" si="256"/>
        <v/>
      </c>
      <c r="O647" s="218">
        <f t="shared" si="257"/>
        <v>0</v>
      </c>
      <c r="P647" s="218">
        <f t="shared" si="267"/>
        <v>0</v>
      </c>
    </row>
    <row r="648" spans="1:16" s="3" customFormat="1" ht="12.75" customHeight="1">
      <c r="A648" s="36" t="s">
        <v>2347</v>
      </c>
      <c r="B648" s="211" t="s">
        <v>2350</v>
      </c>
      <c r="C648" s="211" t="s">
        <v>2323</v>
      </c>
      <c r="D648" s="63"/>
      <c r="E648" s="63"/>
      <c r="F648" s="63"/>
      <c r="G648" s="38">
        <v>23000</v>
      </c>
      <c r="H648" s="38"/>
      <c r="I648" s="38">
        <f t="shared" si="277"/>
        <v>23000</v>
      </c>
      <c r="J648" s="63"/>
      <c r="K648" s="63"/>
      <c r="L648" s="63">
        <f t="shared" si="278"/>
        <v>0</v>
      </c>
      <c r="M648" s="218" t="str">
        <f t="shared" si="255"/>
        <v/>
      </c>
      <c r="N648" s="218" t="str">
        <f t="shared" si="256"/>
        <v/>
      </c>
      <c r="O648" s="218">
        <f t="shared" si="257"/>
        <v>0</v>
      </c>
      <c r="P648" s="218">
        <f t="shared" si="267"/>
        <v>0</v>
      </c>
    </row>
    <row r="649" spans="1:16" s="3" customFormat="1" ht="12.75" customHeight="1">
      <c r="A649" s="36" t="s">
        <v>2082</v>
      </c>
      <c r="B649" s="211" t="s">
        <v>2083</v>
      </c>
      <c r="C649" s="211" t="s">
        <v>2130</v>
      </c>
      <c r="D649" s="63"/>
      <c r="E649" s="63"/>
      <c r="F649" s="63"/>
      <c r="G649" s="38">
        <v>10270</v>
      </c>
      <c r="H649" s="38"/>
      <c r="I649" s="38">
        <f t="shared" si="264"/>
        <v>10270</v>
      </c>
      <c r="J649" s="63"/>
      <c r="K649" s="63"/>
      <c r="L649" s="63">
        <f t="shared" si="278"/>
        <v>0</v>
      </c>
      <c r="M649" s="218" t="str">
        <f t="shared" si="255"/>
        <v/>
      </c>
      <c r="N649" s="218" t="str">
        <f t="shared" si="256"/>
        <v/>
      </c>
      <c r="O649" s="218">
        <f t="shared" si="257"/>
        <v>0</v>
      </c>
      <c r="P649" s="218">
        <f t="shared" si="267"/>
        <v>0</v>
      </c>
    </row>
    <row r="650" spans="1:16" s="3" customFormat="1" ht="12.75" customHeight="1">
      <c r="A650" s="36" t="s">
        <v>145</v>
      </c>
      <c r="B650" s="211" t="s">
        <v>144</v>
      </c>
      <c r="C650" s="211" t="s">
        <v>1270</v>
      </c>
      <c r="D650" s="63">
        <v>233650</v>
      </c>
      <c r="E650" s="63"/>
      <c r="F650" s="63">
        <f>SUM(D650:E650)</f>
        <v>233650</v>
      </c>
      <c r="G650" s="38">
        <v>323320</v>
      </c>
      <c r="H650" s="38"/>
      <c r="I650" s="38">
        <f>SUM(G650:H650)</f>
        <v>323320</v>
      </c>
      <c r="J650" s="63"/>
      <c r="K650" s="63"/>
      <c r="L650" s="63">
        <f>SUM(J650:K650)</f>
        <v>0</v>
      </c>
      <c r="M650" s="218">
        <f t="shared" si="255"/>
        <v>0</v>
      </c>
      <c r="N650" s="218">
        <f t="shared" si="256"/>
        <v>0</v>
      </c>
      <c r="O650" s="218">
        <f t="shared" si="257"/>
        <v>0</v>
      </c>
      <c r="P650" s="218">
        <f>IF(I650&gt;0,IF(L650&gt;=0,L650/I650*100,""),"")</f>
        <v>0</v>
      </c>
    </row>
    <row r="651" spans="1:16" s="3" customFormat="1" ht="12.75" customHeight="1">
      <c r="A651" s="36" t="s">
        <v>840</v>
      </c>
      <c r="B651" s="211" t="s">
        <v>698</v>
      </c>
      <c r="C651" s="211" t="s">
        <v>1262</v>
      </c>
      <c r="D651" s="63">
        <v>110950</v>
      </c>
      <c r="E651" s="63"/>
      <c r="F651" s="63">
        <f>SUM(D651:E651)</f>
        <v>110950</v>
      </c>
      <c r="G651" s="38">
        <v>115150</v>
      </c>
      <c r="H651" s="38"/>
      <c r="I651" s="38">
        <f>SUM(G651:H651)</f>
        <v>115150</v>
      </c>
      <c r="J651" s="63"/>
      <c r="K651" s="63"/>
      <c r="L651" s="63">
        <f>SUM(J651:K651)</f>
        <v>0</v>
      </c>
      <c r="M651" s="218">
        <f t="shared" si="255"/>
        <v>0</v>
      </c>
      <c r="N651" s="218">
        <f t="shared" si="256"/>
        <v>0</v>
      </c>
      <c r="O651" s="218">
        <f t="shared" si="257"/>
        <v>0</v>
      </c>
      <c r="P651" s="218">
        <f t="shared" si="267"/>
        <v>0</v>
      </c>
    </row>
    <row r="652" spans="1:16" s="3" customFormat="1" ht="12.75" customHeight="1">
      <c r="A652" s="36" t="s">
        <v>118</v>
      </c>
      <c r="B652" s="211" t="s">
        <v>799</v>
      </c>
      <c r="C652" s="211" t="s">
        <v>1273</v>
      </c>
      <c r="D652" s="63"/>
      <c r="E652" s="63"/>
      <c r="F652" s="63">
        <f>SUM(D652:E652)</f>
        <v>0</v>
      </c>
      <c r="G652" s="38">
        <v>44460</v>
      </c>
      <c r="H652" s="38"/>
      <c r="I652" s="38">
        <f>SUM(G652:H652)</f>
        <v>44460</v>
      </c>
      <c r="J652" s="63"/>
      <c r="K652" s="63"/>
      <c r="L652" s="63">
        <f t="shared" ref="L652" si="279">SUM(J652:K652)</f>
        <v>0</v>
      </c>
      <c r="M652" s="218" t="str">
        <f t="shared" si="255"/>
        <v/>
      </c>
      <c r="N652" s="218" t="str">
        <f t="shared" si="256"/>
        <v/>
      </c>
      <c r="O652" s="218">
        <f t="shared" si="257"/>
        <v>0</v>
      </c>
      <c r="P652" s="218">
        <f t="shared" si="267"/>
        <v>0</v>
      </c>
    </row>
    <row r="653" spans="1:16" s="3" customFormat="1" ht="12.75" customHeight="1">
      <c r="A653" s="46" t="s">
        <v>792</v>
      </c>
      <c r="B653" s="211" t="s">
        <v>152</v>
      </c>
      <c r="C653" s="211" t="s">
        <v>1274</v>
      </c>
      <c r="D653" s="63"/>
      <c r="E653" s="63"/>
      <c r="F653" s="63">
        <f t="shared" ref="F653:F662" si="280">SUM(D653:E653)</f>
        <v>0</v>
      </c>
      <c r="G653" s="38">
        <v>746650</v>
      </c>
      <c r="H653" s="38"/>
      <c r="I653" s="38">
        <f t="shared" ref="I653:I664" si="281">SUM(G653:H653)</f>
        <v>746650</v>
      </c>
      <c r="J653" s="63"/>
      <c r="K653" s="63"/>
      <c r="L653" s="63">
        <f t="shared" ref="L653:L655" si="282">SUM(J653:K653)</f>
        <v>0</v>
      </c>
      <c r="M653" s="218" t="str">
        <f t="shared" si="255"/>
        <v/>
      </c>
      <c r="N653" s="218" t="str">
        <f t="shared" si="256"/>
        <v/>
      </c>
      <c r="O653" s="218">
        <f t="shared" si="257"/>
        <v>0</v>
      </c>
      <c r="P653" s="218">
        <f t="shared" si="267"/>
        <v>0</v>
      </c>
    </row>
    <row r="654" spans="1:16" s="3" customFormat="1" ht="12.75" customHeight="1">
      <c r="A654" s="36" t="s">
        <v>791</v>
      </c>
      <c r="B654" s="211" t="s">
        <v>151</v>
      </c>
      <c r="C654" s="211" t="s">
        <v>1275</v>
      </c>
      <c r="D654" s="63"/>
      <c r="E654" s="63"/>
      <c r="F654" s="63">
        <f t="shared" si="280"/>
        <v>0</v>
      </c>
      <c r="G654" s="38">
        <v>66839736</v>
      </c>
      <c r="H654" s="38"/>
      <c r="I654" s="38">
        <f t="shared" si="281"/>
        <v>66839736</v>
      </c>
      <c r="J654" s="63"/>
      <c r="K654" s="63"/>
      <c r="L654" s="63">
        <f t="shared" si="282"/>
        <v>0</v>
      </c>
      <c r="M654" s="218" t="str">
        <f t="shared" si="255"/>
        <v/>
      </c>
      <c r="N654" s="218" t="str">
        <f t="shared" si="256"/>
        <v/>
      </c>
      <c r="O654" s="218">
        <f t="shared" si="257"/>
        <v>0</v>
      </c>
      <c r="P654" s="218">
        <f t="shared" si="267"/>
        <v>0</v>
      </c>
    </row>
    <row r="655" spans="1:16" s="3" customFormat="1" ht="6" customHeight="1">
      <c r="A655" s="36"/>
      <c r="B655" s="33"/>
      <c r="C655" s="211" t="s">
        <v>268</v>
      </c>
      <c r="D655" s="63"/>
      <c r="E655" s="63"/>
      <c r="F655" s="63">
        <f t="shared" si="280"/>
        <v>0</v>
      </c>
      <c r="G655" s="38"/>
      <c r="H655" s="38"/>
      <c r="I655" s="38">
        <f t="shared" si="281"/>
        <v>0</v>
      </c>
      <c r="J655" s="63"/>
      <c r="K655" s="63"/>
      <c r="L655" s="63">
        <f t="shared" si="282"/>
        <v>0</v>
      </c>
      <c r="M655" s="218" t="str">
        <f t="shared" ref="M655:M718" si="283">IF(D655&gt;0,IF(J655&gt;=0,J655/D655*100,""),"")</f>
        <v/>
      </c>
      <c r="N655" s="218" t="str">
        <f t="shared" ref="N655:N718" si="284">IF(F655&gt;0,IF(L655&gt;=0,L655/F655*100,""),"")</f>
        <v/>
      </c>
      <c r="O655" s="218" t="str">
        <f t="shared" ref="O655:O718" si="285">IF(G655&gt;0,IF(J655&gt;=0,J655/G655*100,""),"")</f>
        <v/>
      </c>
      <c r="P655" s="218" t="str">
        <f t="shared" ref="P655:P658" si="286">IF(I655&gt;0,IF(L655&gt;=0,L655/I655*100,""),"")</f>
        <v/>
      </c>
    </row>
    <row r="656" spans="1:16" s="3" customFormat="1" ht="12.75">
      <c r="A656" s="58" t="s">
        <v>357</v>
      </c>
      <c r="B656" s="65" t="s">
        <v>265</v>
      </c>
      <c r="C656" s="308" t="s">
        <v>940</v>
      </c>
      <c r="D656" s="83">
        <f>SUM(D658:D662)</f>
        <v>2536930</v>
      </c>
      <c r="E656" s="67"/>
      <c r="F656" s="69">
        <f t="shared" si="280"/>
        <v>2536930</v>
      </c>
      <c r="G656" s="121">
        <f>SUM(G658:G662)</f>
        <v>2591560</v>
      </c>
      <c r="H656" s="61"/>
      <c r="I656" s="115">
        <f t="shared" si="281"/>
        <v>2591560</v>
      </c>
      <c r="J656" s="69">
        <f>SUM(J658:J662)</f>
        <v>2936400</v>
      </c>
      <c r="K656" s="67"/>
      <c r="L656" s="69">
        <f t="shared" ref="L656" si="287">SUM(J656:K656)</f>
        <v>2936400</v>
      </c>
      <c r="M656" s="217">
        <f t="shared" si="283"/>
        <v>115.74619717532609</v>
      </c>
      <c r="N656" s="217">
        <f t="shared" si="284"/>
        <v>115.74619717532609</v>
      </c>
      <c r="O656" s="217">
        <f t="shared" si="285"/>
        <v>113.30627112627143</v>
      </c>
      <c r="P656" s="217">
        <f t="shared" si="286"/>
        <v>113.30627112627143</v>
      </c>
    </row>
    <row r="657" spans="1:16" s="3" customFormat="1" hidden="1">
      <c r="A657" s="36" t="s">
        <v>267</v>
      </c>
      <c r="B657" s="184"/>
      <c r="C657" s="320" t="s">
        <v>268</v>
      </c>
      <c r="D657" s="84">
        <f>SUM(D658:D661)</f>
        <v>2536930</v>
      </c>
      <c r="E657" s="63"/>
      <c r="F657" s="63">
        <f t="shared" si="280"/>
        <v>2536930</v>
      </c>
      <c r="G657" s="84">
        <f>SUM(G658:G661)</f>
        <v>2591560</v>
      </c>
      <c r="H657" s="38"/>
      <c r="I657" s="38">
        <f t="shared" si="281"/>
        <v>2591560</v>
      </c>
      <c r="J657" s="63">
        <f>SUM(J658:J661)</f>
        <v>2936400</v>
      </c>
      <c r="K657" s="63"/>
      <c r="L657" s="63">
        <f t="shared" ref="L657" si="288">SUM(J657:K657)</f>
        <v>2936400</v>
      </c>
      <c r="M657" s="218">
        <f t="shared" si="283"/>
        <v>115.74619717532609</v>
      </c>
      <c r="N657" s="218">
        <f t="shared" si="284"/>
        <v>115.74619717532609</v>
      </c>
      <c r="O657" s="218">
        <f t="shared" si="285"/>
        <v>113.30627112627143</v>
      </c>
      <c r="P657" s="218">
        <f t="shared" si="286"/>
        <v>113.30627112627143</v>
      </c>
    </row>
    <row r="658" spans="1:16" s="3" customFormat="1" ht="12.75" customHeight="1">
      <c r="A658" s="36" t="s">
        <v>180</v>
      </c>
      <c r="B658" s="33" t="s">
        <v>419</v>
      </c>
      <c r="C658" s="211" t="s">
        <v>1276</v>
      </c>
      <c r="D658" s="38">
        <v>2499930</v>
      </c>
      <c r="E658" s="38"/>
      <c r="F658" s="63">
        <f t="shared" si="280"/>
        <v>2499930</v>
      </c>
      <c r="G658" s="38">
        <v>2552060</v>
      </c>
      <c r="H658" s="38"/>
      <c r="I658" s="38">
        <f t="shared" si="281"/>
        <v>2552060</v>
      </c>
      <c r="J658" s="63">
        <v>2931400</v>
      </c>
      <c r="K658" s="38"/>
      <c r="L658" s="63">
        <f t="shared" ref="L658:L662" si="289">SUM(J658:K658)</f>
        <v>2931400</v>
      </c>
      <c r="M658" s="218">
        <f t="shared" si="283"/>
        <v>117.25928325993127</v>
      </c>
      <c r="N658" s="218">
        <f t="shared" si="284"/>
        <v>117.25928325993127</v>
      </c>
      <c r="O658" s="218">
        <f t="shared" si="285"/>
        <v>114.86407059395157</v>
      </c>
      <c r="P658" s="218">
        <f t="shared" si="286"/>
        <v>114.86407059395157</v>
      </c>
    </row>
    <row r="659" spans="1:16" s="3" customFormat="1" ht="12.75" customHeight="1">
      <c r="A659" s="36" t="s">
        <v>375</v>
      </c>
      <c r="B659" s="33" t="s">
        <v>150</v>
      </c>
      <c r="C659" s="211" t="s">
        <v>1278</v>
      </c>
      <c r="D659" s="38">
        <v>7000</v>
      </c>
      <c r="E659" s="63"/>
      <c r="F659" s="63">
        <f>SUM(D659:E659)</f>
        <v>7000</v>
      </c>
      <c r="G659" s="38">
        <v>7000</v>
      </c>
      <c r="H659" s="38"/>
      <c r="I659" s="38">
        <f>SUM(G659:H659)</f>
        <v>7000</v>
      </c>
      <c r="J659" s="63">
        <v>5000</v>
      </c>
      <c r="K659" s="63"/>
      <c r="L659" s="63">
        <f>SUM(J659:K659)</f>
        <v>5000</v>
      </c>
      <c r="M659" s="218">
        <f t="shared" si="283"/>
        <v>71.428571428571431</v>
      </c>
      <c r="N659" s="218">
        <f t="shared" si="284"/>
        <v>71.428571428571431</v>
      </c>
      <c r="O659" s="218">
        <f t="shared" si="285"/>
        <v>71.428571428571431</v>
      </c>
      <c r="P659" s="218">
        <f>IF(I659&gt;0,IF(L659&gt;=0,L659/I659*100,""),"")</f>
        <v>71.428571428571431</v>
      </c>
    </row>
    <row r="660" spans="1:16" s="3" customFormat="1" ht="12.75" customHeight="1">
      <c r="A660" s="36" t="s">
        <v>2347</v>
      </c>
      <c r="B660" s="211" t="s">
        <v>2346</v>
      </c>
      <c r="C660" s="211" t="s">
        <v>2316</v>
      </c>
      <c r="D660" s="38"/>
      <c r="E660" s="63"/>
      <c r="F660" s="63"/>
      <c r="G660" s="38">
        <v>1500</v>
      </c>
      <c r="H660" s="38"/>
      <c r="I660" s="38">
        <f>SUM(G660:H660)</f>
        <v>1500</v>
      </c>
      <c r="J660" s="63"/>
      <c r="K660" s="63"/>
      <c r="L660" s="63"/>
      <c r="M660" s="218" t="str">
        <f t="shared" si="283"/>
        <v/>
      </c>
      <c r="N660" s="218" t="str">
        <f t="shared" si="284"/>
        <v/>
      </c>
      <c r="O660" s="218">
        <f t="shared" si="285"/>
        <v>0</v>
      </c>
      <c r="P660" s="218"/>
    </row>
    <row r="661" spans="1:16" s="3" customFormat="1" ht="12.75" customHeight="1">
      <c r="A661" s="36" t="s">
        <v>651</v>
      </c>
      <c r="B661" s="211" t="s">
        <v>650</v>
      </c>
      <c r="C661" s="211" t="s">
        <v>1277</v>
      </c>
      <c r="D661" s="38">
        <v>30000</v>
      </c>
      <c r="E661" s="63"/>
      <c r="F661" s="63">
        <f t="shared" si="280"/>
        <v>30000</v>
      </c>
      <c r="G661" s="38">
        <v>31000</v>
      </c>
      <c r="H661" s="38"/>
      <c r="I661" s="38">
        <f t="shared" si="281"/>
        <v>31000</v>
      </c>
      <c r="J661" s="63"/>
      <c r="K661" s="63"/>
      <c r="L661" s="63">
        <f t="shared" si="289"/>
        <v>0</v>
      </c>
      <c r="M661" s="218">
        <f t="shared" si="283"/>
        <v>0</v>
      </c>
      <c r="N661" s="218">
        <f t="shared" si="284"/>
        <v>0</v>
      </c>
      <c r="O661" s="218">
        <f t="shared" si="285"/>
        <v>0</v>
      </c>
      <c r="P661" s="218">
        <f t="shared" ref="P661:P671" si="290">IF(I661&gt;0,IF(L661&gt;=0,L661/I661*100,""),"")</f>
        <v>0</v>
      </c>
    </row>
    <row r="662" spans="1:16" s="3" customFormat="1" ht="6" customHeight="1">
      <c r="A662" s="36"/>
      <c r="B662" s="33"/>
      <c r="C662" s="211" t="s">
        <v>268</v>
      </c>
      <c r="D662" s="38"/>
      <c r="E662" s="63"/>
      <c r="F662" s="63">
        <f t="shared" si="280"/>
        <v>0</v>
      </c>
      <c r="G662" s="38"/>
      <c r="H662" s="38"/>
      <c r="I662" s="38">
        <f t="shared" si="281"/>
        <v>0</v>
      </c>
      <c r="J662" s="63"/>
      <c r="K662" s="63"/>
      <c r="L662" s="63">
        <f t="shared" si="289"/>
        <v>0</v>
      </c>
      <c r="M662" s="218" t="str">
        <f t="shared" si="283"/>
        <v/>
      </c>
      <c r="N662" s="218" t="str">
        <f t="shared" si="284"/>
        <v/>
      </c>
      <c r="O662" s="218" t="str">
        <f t="shared" si="285"/>
        <v/>
      </c>
      <c r="P662" s="218" t="str">
        <f t="shared" si="290"/>
        <v/>
      </c>
    </row>
    <row r="663" spans="1:16" s="3" customFormat="1" ht="12.75">
      <c r="A663" s="58" t="s">
        <v>340</v>
      </c>
      <c r="B663" s="65" t="s">
        <v>265</v>
      </c>
      <c r="C663" s="308" t="s">
        <v>940</v>
      </c>
      <c r="D663" s="83">
        <f>SUM(D665:D673)</f>
        <v>8749160</v>
      </c>
      <c r="E663" s="83"/>
      <c r="F663" s="69">
        <f>SUM(D663:E663)</f>
        <v>8749160</v>
      </c>
      <c r="G663" s="121">
        <f>SUM(G665:G673)</f>
        <v>9798050</v>
      </c>
      <c r="H663" s="121"/>
      <c r="I663" s="115">
        <f t="shared" si="281"/>
        <v>9798050</v>
      </c>
      <c r="J663" s="69">
        <f>SUM(J665:J673)</f>
        <v>9936960</v>
      </c>
      <c r="K663" s="83"/>
      <c r="L663" s="69">
        <f>SUM(J663:K663)</f>
        <v>9936960</v>
      </c>
      <c r="M663" s="217">
        <f t="shared" si="283"/>
        <v>113.57616045426076</v>
      </c>
      <c r="N663" s="217">
        <f t="shared" si="284"/>
        <v>113.57616045426076</v>
      </c>
      <c r="O663" s="217">
        <f t="shared" si="285"/>
        <v>101.41773107914329</v>
      </c>
      <c r="P663" s="217">
        <f t="shared" si="290"/>
        <v>101.41773107914329</v>
      </c>
    </row>
    <row r="664" spans="1:16" s="3" customFormat="1" hidden="1">
      <c r="A664" s="36" t="s">
        <v>267</v>
      </c>
      <c r="B664" s="184"/>
      <c r="C664" s="320" t="s">
        <v>268</v>
      </c>
      <c r="D664" s="84">
        <f>SUM(D665:D673)</f>
        <v>8749160</v>
      </c>
      <c r="E664" s="110"/>
      <c r="F664" s="63">
        <f>SUM(D664:E664)</f>
        <v>8749160</v>
      </c>
      <c r="G664" s="84">
        <f>SUM(G665:G673)</f>
        <v>9798050</v>
      </c>
      <c r="H664" s="259"/>
      <c r="I664" s="38">
        <f t="shared" si="281"/>
        <v>9798050</v>
      </c>
      <c r="J664" s="63">
        <f>SUM(J665:J673)</f>
        <v>9936960</v>
      </c>
      <c r="K664" s="110"/>
      <c r="L664" s="63">
        <f>SUM(J664:K664)</f>
        <v>9936960</v>
      </c>
      <c r="M664" s="218">
        <f t="shared" si="283"/>
        <v>113.57616045426076</v>
      </c>
      <c r="N664" s="218">
        <f t="shared" si="284"/>
        <v>113.57616045426076</v>
      </c>
      <c r="O664" s="218">
        <f t="shared" si="285"/>
        <v>101.41773107914329</v>
      </c>
      <c r="P664" s="218">
        <f t="shared" si="290"/>
        <v>101.41773107914329</v>
      </c>
    </row>
    <row r="665" spans="1:16" s="3" customFormat="1" ht="12.75" customHeight="1">
      <c r="A665" s="36" t="s">
        <v>180</v>
      </c>
      <c r="B665" s="33" t="s">
        <v>419</v>
      </c>
      <c r="C665" s="211" t="s">
        <v>1279</v>
      </c>
      <c r="D665" s="84">
        <v>8658960</v>
      </c>
      <c r="E665" s="84"/>
      <c r="F665" s="63">
        <f>SUM(D665:E665)</f>
        <v>8658960</v>
      </c>
      <c r="G665" s="84">
        <v>9206968</v>
      </c>
      <c r="H665" s="84"/>
      <c r="I665" s="38">
        <f t="shared" ref="I665:I673" si="291">SUM(G665:H665)</f>
        <v>9206968</v>
      </c>
      <c r="J665" s="63">
        <v>9790280</v>
      </c>
      <c r="K665" s="84"/>
      <c r="L665" s="63">
        <f>SUM(J665:K665)</f>
        <v>9790280</v>
      </c>
      <c r="M665" s="218">
        <f t="shared" si="283"/>
        <v>113.06531038369505</v>
      </c>
      <c r="N665" s="218">
        <f t="shared" si="284"/>
        <v>113.06531038369505</v>
      </c>
      <c r="O665" s="218">
        <f t="shared" si="285"/>
        <v>106.33554933611151</v>
      </c>
      <c r="P665" s="218">
        <f t="shared" si="290"/>
        <v>106.33554933611151</v>
      </c>
    </row>
    <row r="666" spans="1:16" s="3" customFormat="1" ht="12.75" customHeight="1">
      <c r="A666" s="36" t="s">
        <v>368</v>
      </c>
      <c r="B666" s="33" t="s">
        <v>418</v>
      </c>
      <c r="C666" s="211" t="s">
        <v>1280</v>
      </c>
      <c r="D666" s="38">
        <v>11700</v>
      </c>
      <c r="E666" s="63"/>
      <c r="F666" s="63">
        <f t="shared" ref="F666" si="292">SUM(D666:E666)</f>
        <v>11700</v>
      </c>
      <c r="G666" s="38">
        <v>103982</v>
      </c>
      <c r="H666" s="38"/>
      <c r="I666" s="38">
        <f t="shared" si="291"/>
        <v>103982</v>
      </c>
      <c r="J666" s="63">
        <v>10000</v>
      </c>
      <c r="K666" s="63"/>
      <c r="L666" s="63">
        <f t="shared" ref="L666" si="293">SUM(J666:K666)</f>
        <v>10000</v>
      </c>
      <c r="M666" s="218">
        <f t="shared" si="283"/>
        <v>85.470085470085465</v>
      </c>
      <c r="N666" s="218">
        <f t="shared" si="284"/>
        <v>85.470085470085465</v>
      </c>
      <c r="O666" s="218">
        <f t="shared" si="285"/>
        <v>9.6170491046527271</v>
      </c>
      <c r="P666" s="218">
        <f t="shared" si="290"/>
        <v>9.6170491046527271</v>
      </c>
    </row>
    <row r="667" spans="1:16" s="3" customFormat="1" ht="12.75" customHeight="1">
      <c r="A667" s="36" t="s">
        <v>2466</v>
      </c>
      <c r="B667" s="33" t="s">
        <v>2451</v>
      </c>
      <c r="C667" s="211"/>
      <c r="D667" s="38"/>
      <c r="E667" s="63"/>
      <c r="F667" s="63"/>
      <c r="G667" s="38"/>
      <c r="H667" s="38"/>
      <c r="I667" s="38"/>
      <c r="J667" s="63">
        <f>33980+6000</f>
        <v>39980</v>
      </c>
      <c r="K667" s="63"/>
      <c r="L667" s="63">
        <f t="shared" ref="L667" si="294">SUM(J667:K667)</f>
        <v>39980</v>
      </c>
      <c r="M667" s="218" t="str">
        <f t="shared" si="283"/>
        <v/>
      </c>
      <c r="N667" s="218" t="str">
        <f t="shared" si="284"/>
        <v/>
      </c>
      <c r="O667" s="218" t="str">
        <f t="shared" si="285"/>
        <v/>
      </c>
      <c r="P667" s="218" t="str">
        <f t="shared" ref="P667" si="295">IF(I667&gt;0,IF(L667&gt;=0,L667/I667*100,""),"")</f>
        <v/>
      </c>
    </row>
    <row r="668" spans="1:16" s="3" customFormat="1" ht="12.75" customHeight="1">
      <c r="A668" s="36" t="s">
        <v>651</v>
      </c>
      <c r="B668" s="33" t="s">
        <v>650</v>
      </c>
      <c r="C668" s="211" t="s">
        <v>1281</v>
      </c>
      <c r="D668" s="38">
        <v>36200</v>
      </c>
      <c r="E668" s="63"/>
      <c r="F668" s="63">
        <f>SUM(D668:E668)</f>
        <v>36200</v>
      </c>
      <c r="G668" s="38">
        <v>42200</v>
      </c>
      <c r="H668" s="38"/>
      <c r="I668" s="38">
        <f>SUM(G668:H668)</f>
        <v>42200</v>
      </c>
      <c r="J668" s="63">
        <v>82700</v>
      </c>
      <c r="K668" s="63"/>
      <c r="L668" s="63">
        <f>SUM(J668:K668)</f>
        <v>82700</v>
      </c>
      <c r="M668" s="218">
        <f t="shared" si="283"/>
        <v>228.45303867403314</v>
      </c>
      <c r="N668" s="218">
        <f t="shared" si="284"/>
        <v>228.45303867403314</v>
      </c>
      <c r="O668" s="218">
        <f t="shared" si="285"/>
        <v>195.97156398104266</v>
      </c>
      <c r="P668" s="218">
        <f>IF(I668&gt;0,IF(L668&gt;=0,L668/I668*100,""),"")</f>
        <v>195.97156398104266</v>
      </c>
    </row>
    <row r="669" spans="1:16" s="3" customFormat="1" ht="12.75" customHeight="1">
      <c r="A669" s="36" t="s">
        <v>375</v>
      </c>
      <c r="B669" s="33" t="s">
        <v>150</v>
      </c>
      <c r="C669" s="211" t="s">
        <v>1284</v>
      </c>
      <c r="D669" s="38">
        <v>13000</v>
      </c>
      <c r="E669" s="63"/>
      <c r="F669" s="63">
        <f t="shared" ref="F669" si="296">SUM(D669:E669)</f>
        <v>13000</v>
      </c>
      <c r="G669" s="38">
        <v>13000</v>
      </c>
      <c r="H669" s="38"/>
      <c r="I669" s="38">
        <f>SUM(G669:H669)</f>
        <v>13000</v>
      </c>
      <c r="J669" s="63">
        <v>14000</v>
      </c>
      <c r="K669" s="63"/>
      <c r="L669" s="63">
        <f t="shared" ref="L669" si="297">SUM(J669:K669)</f>
        <v>14000</v>
      </c>
      <c r="M669" s="218">
        <f t="shared" si="283"/>
        <v>107.69230769230769</v>
      </c>
      <c r="N669" s="218">
        <f t="shared" si="284"/>
        <v>107.69230769230769</v>
      </c>
      <c r="O669" s="218">
        <f t="shared" si="285"/>
        <v>107.69230769230769</v>
      </c>
      <c r="P669" s="218">
        <f>IF(I669&gt;0,IF(L669&gt;=0,L669/I669*100,""),"")</f>
        <v>107.69230769230769</v>
      </c>
    </row>
    <row r="670" spans="1:16" s="3" customFormat="1" ht="12.75" customHeight="1">
      <c r="A670" s="36" t="s">
        <v>772</v>
      </c>
      <c r="B670" s="211" t="s">
        <v>766</v>
      </c>
      <c r="C670" s="211" t="s">
        <v>1282</v>
      </c>
      <c r="D670" s="38">
        <v>2800</v>
      </c>
      <c r="E670" s="63"/>
      <c r="F670" s="63">
        <f>SUM(D670:E670)</f>
        <v>2800</v>
      </c>
      <c r="G670" s="38">
        <v>14000</v>
      </c>
      <c r="H670" s="38"/>
      <c r="I670" s="38">
        <f t="shared" si="291"/>
        <v>14000</v>
      </c>
      <c r="J670" s="63"/>
      <c r="K670" s="63"/>
      <c r="L670" s="63">
        <f>SUM(J670:K670)</f>
        <v>0</v>
      </c>
      <c r="M670" s="218">
        <f t="shared" si="283"/>
        <v>0</v>
      </c>
      <c r="N670" s="218">
        <f t="shared" si="284"/>
        <v>0</v>
      </c>
      <c r="O670" s="218">
        <f t="shared" si="285"/>
        <v>0</v>
      </c>
      <c r="P670" s="218">
        <f t="shared" si="290"/>
        <v>0</v>
      </c>
    </row>
    <row r="671" spans="1:16" s="3" customFormat="1" ht="12.75" customHeight="1">
      <c r="A671" s="36" t="s">
        <v>935</v>
      </c>
      <c r="B671" s="211" t="s">
        <v>701</v>
      </c>
      <c r="C671" s="211" t="s">
        <v>1283</v>
      </c>
      <c r="D671" s="38">
        <v>26500</v>
      </c>
      <c r="E671" s="63"/>
      <c r="F671" s="63">
        <f>SUM(D671:E671)</f>
        <v>26500</v>
      </c>
      <c r="G671" s="38">
        <v>26500</v>
      </c>
      <c r="H671" s="38"/>
      <c r="I671" s="38">
        <f t="shared" si="291"/>
        <v>26500</v>
      </c>
      <c r="J671" s="63"/>
      <c r="K671" s="63"/>
      <c r="L671" s="63">
        <f>SUM(J671:K671)</f>
        <v>0</v>
      </c>
      <c r="M671" s="218">
        <f t="shared" si="283"/>
        <v>0</v>
      </c>
      <c r="N671" s="218">
        <f t="shared" si="284"/>
        <v>0</v>
      </c>
      <c r="O671" s="218">
        <f t="shared" si="285"/>
        <v>0</v>
      </c>
      <c r="P671" s="218">
        <f t="shared" si="290"/>
        <v>0</v>
      </c>
    </row>
    <row r="672" spans="1:16" s="3" customFormat="1" ht="12.75" customHeight="1">
      <c r="A672" s="36" t="s">
        <v>2074</v>
      </c>
      <c r="B672" s="211" t="s">
        <v>2075</v>
      </c>
      <c r="C672" s="211" t="s">
        <v>2136</v>
      </c>
      <c r="D672" s="38"/>
      <c r="E672" s="63"/>
      <c r="F672" s="63"/>
      <c r="G672" s="38">
        <v>288300</v>
      </c>
      <c r="H672" s="38"/>
      <c r="I672" s="38">
        <f t="shared" si="291"/>
        <v>288300</v>
      </c>
      <c r="J672" s="63"/>
      <c r="K672" s="63"/>
      <c r="L672" s="63"/>
      <c r="M672" s="218" t="str">
        <f t="shared" si="283"/>
        <v/>
      </c>
      <c r="N672" s="218" t="str">
        <f t="shared" si="284"/>
        <v/>
      </c>
      <c r="O672" s="218">
        <f t="shared" si="285"/>
        <v>0</v>
      </c>
      <c r="P672" s="218"/>
    </row>
    <row r="673" spans="1:16" s="3" customFormat="1" ht="12.75" customHeight="1">
      <c r="A673" s="36" t="s">
        <v>2347</v>
      </c>
      <c r="B673" s="211" t="s">
        <v>2346</v>
      </c>
      <c r="C673" s="211" t="s">
        <v>2300</v>
      </c>
      <c r="D673" s="38"/>
      <c r="E673" s="63"/>
      <c r="F673" s="63"/>
      <c r="G673" s="38">
        <v>103100</v>
      </c>
      <c r="H673" s="38"/>
      <c r="I673" s="38">
        <f t="shared" si="291"/>
        <v>103100</v>
      </c>
      <c r="J673" s="63"/>
      <c r="K673" s="63"/>
      <c r="L673" s="63"/>
      <c r="M673" s="218" t="str">
        <f t="shared" si="283"/>
        <v/>
      </c>
      <c r="N673" s="218" t="str">
        <f t="shared" si="284"/>
        <v/>
      </c>
      <c r="O673" s="218">
        <f t="shared" si="285"/>
        <v>0</v>
      </c>
      <c r="P673" s="218"/>
    </row>
    <row r="674" spans="1:16" s="3" customFormat="1" ht="6" customHeight="1">
      <c r="A674" s="36"/>
      <c r="B674" s="33"/>
      <c r="C674" s="211" t="s">
        <v>268</v>
      </c>
      <c r="D674" s="38"/>
      <c r="E674" s="63"/>
      <c r="F674" s="63"/>
      <c r="G674" s="38"/>
      <c r="H674" s="38"/>
      <c r="I674" s="38"/>
      <c r="J674" s="63"/>
      <c r="K674" s="63"/>
      <c r="L674" s="63"/>
      <c r="M674" s="218" t="str">
        <f t="shared" si="283"/>
        <v/>
      </c>
      <c r="N674" s="218" t="str">
        <f t="shared" si="284"/>
        <v/>
      </c>
      <c r="O674" s="218" t="str">
        <f t="shared" si="285"/>
        <v/>
      </c>
      <c r="P674" s="218" t="str">
        <f t="shared" ref="P674:P681" si="298">IF(I674&gt;0,IF(L674&gt;=0,L674/I674*100,""),"")</f>
        <v/>
      </c>
    </row>
    <row r="675" spans="1:16" s="3" customFormat="1" ht="12.75">
      <c r="A675" s="58" t="s">
        <v>740</v>
      </c>
      <c r="B675" s="65" t="s">
        <v>265</v>
      </c>
      <c r="C675" s="308" t="s">
        <v>940</v>
      </c>
      <c r="D675" s="83">
        <f>SUM(D677:D684)</f>
        <v>7426870</v>
      </c>
      <c r="E675" s="83"/>
      <c r="F675" s="69">
        <f t="shared" ref="F675:F681" si="299">SUM(D675:E675)</f>
        <v>7426870</v>
      </c>
      <c r="G675" s="121">
        <f>SUM(G677:G684)</f>
        <v>8202229</v>
      </c>
      <c r="H675" s="121"/>
      <c r="I675" s="115">
        <f t="shared" ref="I675:I684" si="300">SUM(G675:H675)</f>
        <v>8202229</v>
      </c>
      <c r="J675" s="83">
        <f>SUM(J677:J685)</f>
        <v>7723190</v>
      </c>
      <c r="K675" s="83"/>
      <c r="L675" s="69">
        <f t="shared" ref="L675:L676" si="301">SUM(J675:K675)</f>
        <v>7723190</v>
      </c>
      <c r="M675" s="217">
        <f t="shared" si="283"/>
        <v>103.98983690302914</v>
      </c>
      <c r="N675" s="217">
        <f t="shared" si="284"/>
        <v>103.98983690302914</v>
      </c>
      <c r="O675" s="217">
        <f t="shared" si="285"/>
        <v>94.159648554069875</v>
      </c>
      <c r="P675" s="217">
        <f t="shared" si="298"/>
        <v>94.159648554069875</v>
      </c>
    </row>
    <row r="676" spans="1:16" s="3" customFormat="1" ht="12.75" customHeight="1">
      <c r="A676" s="36" t="s">
        <v>267</v>
      </c>
      <c r="B676" s="184"/>
      <c r="C676" s="320" t="s">
        <v>268</v>
      </c>
      <c r="D676" s="84">
        <f>SUM(D677:D683)</f>
        <v>7426870</v>
      </c>
      <c r="E676" s="110"/>
      <c r="F676" s="84">
        <f t="shared" si="299"/>
        <v>7426870</v>
      </c>
      <c r="G676" s="84">
        <f>SUM(G677:G683)</f>
        <v>8153229</v>
      </c>
      <c r="H676" s="259"/>
      <c r="I676" s="84">
        <f t="shared" si="300"/>
        <v>8153229</v>
      </c>
      <c r="J676" s="84">
        <f>SUM(J677:J683)</f>
        <v>7723190</v>
      </c>
      <c r="K676" s="110"/>
      <c r="L676" s="84">
        <f t="shared" si="301"/>
        <v>7723190</v>
      </c>
      <c r="M676" s="218">
        <f t="shared" si="283"/>
        <v>103.98983690302914</v>
      </c>
      <c r="N676" s="218">
        <f t="shared" si="284"/>
        <v>103.98983690302914</v>
      </c>
      <c r="O676" s="218">
        <f t="shared" si="285"/>
        <v>94.725537575358175</v>
      </c>
      <c r="P676" s="218">
        <f t="shared" si="298"/>
        <v>94.725537575358175</v>
      </c>
    </row>
    <row r="677" spans="1:16" s="3" customFormat="1" ht="12.75" customHeight="1">
      <c r="A677" s="36" t="s">
        <v>180</v>
      </c>
      <c r="B677" s="33" t="s">
        <v>419</v>
      </c>
      <c r="C677" s="211" t="s">
        <v>1285</v>
      </c>
      <c r="D677" s="84">
        <v>7275370</v>
      </c>
      <c r="E677" s="84"/>
      <c r="F677" s="63">
        <f t="shared" si="299"/>
        <v>7275370</v>
      </c>
      <c r="G677" s="84">
        <v>7806360</v>
      </c>
      <c r="H677" s="84"/>
      <c r="I677" s="38">
        <f t="shared" si="300"/>
        <v>7806360</v>
      </c>
      <c r="J677" s="63">
        <v>7572490</v>
      </c>
      <c r="K677" s="84"/>
      <c r="L677" s="63">
        <f t="shared" ref="L677:L681" si="302">SUM(J677:K677)</f>
        <v>7572490</v>
      </c>
      <c r="M677" s="218">
        <f t="shared" si="283"/>
        <v>104.08391600702093</v>
      </c>
      <c r="N677" s="218">
        <f t="shared" si="284"/>
        <v>104.08391600702093</v>
      </c>
      <c r="O677" s="218">
        <f t="shared" si="285"/>
        <v>97.004109469714436</v>
      </c>
      <c r="P677" s="218">
        <f t="shared" si="298"/>
        <v>97.004109469714436</v>
      </c>
    </row>
    <row r="678" spans="1:16" s="3" customFormat="1" ht="12.75" customHeight="1">
      <c r="A678" s="36" t="s">
        <v>368</v>
      </c>
      <c r="B678" s="33" t="s">
        <v>418</v>
      </c>
      <c r="C678" s="211" t="s">
        <v>1286</v>
      </c>
      <c r="D678" s="38">
        <v>25000</v>
      </c>
      <c r="E678" s="63"/>
      <c r="F678" s="63">
        <f t="shared" si="299"/>
        <v>25000</v>
      </c>
      <c r="G678" s="38">
        <v>114769</v>
      </c>
      <c r="H678" s="38"/>
      <c r="I678" s="38">
        <f t="shared" si="300"/>
        <v>114769</v>
      </c>
      <c r="J678" s="63">
        <v>17200</v>
      </c>
      <c r="K678" s="63"/>
      <c r="L678" s="63">
        <f t="shared" si="302"/>
        <v>17200</v>
      </c>
      <c r="M678" s="218">
        <f t="shared" si="283"/>
        <v>68.8</v>
      </c>
      <c r="N678" s="218">
        <f t="shared" si="284"/>
        <v>68.8</v>
      </c>
      <c r="O678" s="218">
        <f t="shared" si="285"/>
        <v>14.986625308227833</v>
      </c>
      <c r="P678" s="218">
        <f t="shared" si="298"/>
        <v>14.986625308227833</v>
      </c>
    </row>
    <row r="679" spans="1:16" s="3" customFormat="1" ht="12.75" customHeight="1">
      <c r="A679" s="36" t="s">
        <v>651</v>
      </c>
      <c r="B679" s="33" t="s">
        <v>650</v>
      </c>
      <c r="C679" s="211" t="s">
        <v>1287</v>
      </c>
      <c r="D679" s="38">
        <v>113000</v>
      </c>
      <c r="E679" s="63"/>
      <c r="F679" s="63">
        <f>SUM(D679:E679)</f>
        <v>113000</v>
      </c>
      <c r="G679" s="38">
        <v>74700</v>
      </c>
      <c r="H679" s="38"/>
      <c r="I679" s="38">
        <f>SUM(G679:H679)</f>
        <v>74700</v>
      </c>
      <c r="J679" s="63">
        <v>125500</v>
      </c>
      <c r="K679" s="63"/>
      <c r="L679" s="63">
        <f>SUM(J679:K679)</f>
        <v>125500</v>
      </c>
      <c r="M679" s="218">
        <f t="shared" si="283"/>
        <v>111.06194690265487</v>
      </c>
      <c r="N679" s="218">
        <f t="shared" si="284"/>
        <v>111.06194690265487</v>
      </c>
      <c r="O679" s="218">
        <f t="shared" si="285"/>
        <v>168.0053547523427</v>
      </c>
      <c r="P679" s="218">
        <f>IF(I679&gt;0,IF(L679&gt;=0,L679/I679*100,""),"")</f>
        <v>168.0053547523427</v>
      </c>
    </row>
    <row r="680" spans="1:16" s="3" customFormat="1" ht="12.75" customHeight="1">
      <c r="A680" s="36" t="s">
        <v>375</v>
      </c>
      <c r="B680" s="33" t="s">
        <v>150</v>
      </c>
      <c r="C680" s="211" t="s">
        <v>1289</v>
      </c>
      <c r="D680" s="38">
        <v>7000</v>
      </c>
      <c r="E680" s="63"/>
      <c r="F680" s="63">
        <f>SUM(D680:E680)</f>
        <v>7000</v>
      </c>
      <c r="G680" s="38">
        <v>7000</v>
      </c>
      <c r="H680" s="38"/>
      <c r="I680" s="38">
        <f>SUM(G680:H680)</f>
        <v>7000</v>
      </c>
      <c r="J680" s="63">
        <v>8000</v>
      </c>
      <c r="K680" s="63"/>
      <c r="L680" s="63">
        <f>SUM(J680:K680)</f>
        <v>8000</v>
      </c>
      <c r="M680" s="218">
        <f t="shared" si="283"/>
        <v>114.28571428571428</v>
      </c>
      <c r="N680" s="218">
        <f t="shared" si="284"/>
        <v>114.28571428571428</v>
      </c>
      <c r="O680" s="218">
        <f t="shared" si="285"/>
        <v>114.28571428571428</v>
      </c>
      <c r="P680" s="218">
        <f>IF(I680&gt;0,IF(L680&gt;=0,L680/I680*100,""),"")</f>
        <v>114.28571428571428</v>
      </c>
    </row>
    <row r="681" spans="1:16" s="3" customFormat="1" ht="12.75" customHeight="1">
      <c r="A681" s="36" t="s">
        <v>772</v>
      </c>
      <c r="B681" s="211" t="s">
        <v>766</v>
      </c>
      <c r="C681" s="211" t="s">
        <v>1288</v>
      </c>
      <c r="D681" s="38">
        <v>6500</v>
      </c>
      <c r="E681" s="63"/>
      <c r="F681" s="63">
        <f t="shared" si="299"/>
        <v>6500</v>
      </c>
      <c r="G681" s="38">
        <v>6500</v>
      </c>
      <c r="H681" s="38"/>
      <c r="I681" s="38">
        <f t="shared" si="300"/>
        <v>6500</v>
      </c>
      <c r="J681" s="63"/>
      <c r="K681" s="63"/>
      <c r="L681" s="63">
        <f t="shared" si="302"/>
        <v>0</v>
      </c>
      <c r="M681" s="218">
        <f t="shared" si="283"/>
        <v>0</v>
      </c>
      <c r="N681" s="218">
        <f t="shared" si="284"/>
        <v>0</v>
      </c>
      <c r="O681" s="218">
        <f t="shared" si="285"/>
        <v>0</v>
      </c>
      <c r="P681" s="218">
        <f t="shared" si="298"/>
        <v>0</v>
      </c>
    </row>
    <row r="682" spans="1:16" s="3" customFormat="1" ht="12.75" customHeight="1">
      <c r="A682" s="36" t="s">
        <v>2074</v>
      </c>
      <c r="B682" s="211" t="s">
        <v>2075</v>
      </c>
      <c r="C682" s="211" t="s">
        <v>2137</v>
      </c>
      <c r="D682" s="38"/>
      <c r="E682" s="63"/>
      <c r="F682" s="63"/>
      <c r="G682" s="38">
        <v>128400</v>
      </c>
      <c r="H682" s="38"/>
      <c r="I682" s="38">
        <f t="shared" si="300"/>
        <v>128400</v>
      </c>
      <c r="J682" s="63"/>
      <c r="K682" s="63"/>
      <c r="L682" s="63"/>
      <c r="M682" s="218" t="str">
        <f t="shared" si="283"/>
        <v/>
      </c>
      <c r="N682" s="218" t="str">
        <f t="shared" si="284"/>
        <v/>
      </c>
      <c r="O682" s="218">
        <f t="shared" si="285"/>
        <v>0</v>
      </c>
      <c r="P682" s="218"/>
    </row>
    <row r="683" spans="1:16" s="3" customFormat="1" ht="12.75" customHeight="1">
      <c r="A683" s="36" t="s">
        <v>2347</v>
      </c>
      <c r="B683" s="211" t="s">
        <v>2346</v>
      </c>
      <c r="C683" s="211" t="s">
        <v>2292</v>
      </c>
      <c r="D683" s="38"/>
      <c r="E683" s="63"/>
      <c r="F683" s="63"/>
      <c r="G683" s="38">
        <v>15500</v>
      </c>
      <c r="H683" s="38"/>
      <c r="I683" s="38">
        <f t="shared" si="300"/>
        <v>15500</v>
      </c>
      <c r="J683" s="63"/>
      <c r="K683" s="63"/>
      <c r="L683" s="63"/>
      <c r="M683" s="218" t="str">
        <f t="shared" si="283"/>
        <v/>
      </c>
      <c r="N683" s="218" t="str">
        <f t="shared" si="284"/>
        <v/>
      </c>
      <c r="O683" s="218">
        <f t="shared" si="285"/>
        <v>0</v>
      </c>
      <c r="P683" s="218"/>
    </row>
    <row r="684" spans="1:16" s="3" customFormat="1" ht="12.75" customHeight="1">
      <c r="A684" s="36" t="s">
        <v>792</v>
      </c>
      <c r="B684" s="211" t="s">
        <v>152</v>
      </c>
      <c r="C684" s="211" t="s">
        <v>2293</v>
      </c>
      <c r="D684" s="38"/>
      <c r="E684" s="63"/>
      <c r="F684" s="63"/>
      <c r="G684" s="38">
        <v>49000</v>
      </c>
      <c r="H684" s="38"/>
      <c r="I684" s="38">
        <f t="shared" si="300"/>
        <v>49000</v>
      </c>
      <c r="J684" s="38"/>
      <c r="K684" s="63"/>
      <c r="L684" s="63"/>
      <c r="M684" s="218" t="str">
        <f t="shared" si="283"/>
        <v/>
      </c>
      <c r="N684" s="218" t="str">
        <f t="shared" si="284"/>
        <v/>
      </c>
      <c r="O684" s="218">
        <f t="shared" si="285"/>
        <v>0</v>
      </c>
      <c r="P684" s="218"/>
    </row>
    <row r="685" spans="1:16" s="3" customFormat="1" ht="6" customHeight="1">
      <c r="A685" s="36"/>
      <c r="B685" s="33"/>
      <c r="C685" s="211" t="s">
        <v>268</v>
      </c>
      <c r="D685" s="38"/>
      <c r="E685" s="63"/>
      <c r="F685" s="63"/>
      <c r="G685" s="38"/>
      <c r="H685" s="38"/>
      <c r="I685" s="38"/>
      <c r="J685" s="63"/>
      <c r="K685" s="63"/>
      <c r="L685" s="63"/>
      <c r="M685" s="218" t="str">
        <f t="shared" si="283"/>
        <v/>
      </c>
      <c r="N685" s="218" t="str">
        <f t="shared" si="284"/>
        <v/>
      </c>
      <c r="O685" s="218" t="str">
        <f t="shared" si="285"/>
        <v/>
      </c>
      <c r="P685" s="218" t="str">
        <f t="shared" ref="P685:P692" si="303">IF(I685&gt;0,IF(L685&gt;=0,L685/I685*100,""),"")</f>
        <v/>
      </c>
    </row>
    <row r="686" spans="1:16" s="3" customFormat="1" ht="12.75">
      <c r="A686" s="58" t="s">
        <v>743</v>
      </c>
      <c r="B686" s="65" t="s">
        <v>265</v>
      </c>
      <c r="C686" s="308" t="s">
        <v>940</v>
      </c>
      <c r="D686" s="83">
        <f>SUM(D688:D694)</f>
        <v>2712830</v>
      </c>
      <c r="E686" s="83"/>
      <c r="F686" s="69">
        <f t="shared" ref="F686:F688" si="304">SUM(D686:E686)</f>
        <v>2712830</v>
      </c>
      <c r="G686" s="121">
        <f>SUM(G688:G694)</f>
        <v>2869065</v>
      </c>
      <c r="H686" s="121"/>
      <c r="I686" s="115">
        <f t="shared" ref="I686:I694" si="305">SUM(G686:H686)</f>
        <v>2869065</v>
      </c>
      <c r="J686" s="69">
        <f>SUM(J688:J694)</f>
        <v>3263030</v>
      </c>
      <c r="K686" s="83"/>
      <c r="L686" s="69">
        <f t="shared" ref="L686:L688" si="306">SUM(J686:K686)</f>
        <v>3263030</v>
      </c>
      <c r="M686" s="217">
        <f t="shared" si="283"/>
        <v>120.28140355274751</v>
      </c>
      <c r="N686" s="217">
        <f t="shared" si="284"/>
        <v>120.28140355274751</v>
      </c>
      <c r="O686" s="217">
        <f t="shared" si="285"/>
        <v>113.73147697943406</v>
      </c>
      <c r="P686" s="217">
        <f t="shared" si="303"/>
        <v>113.73147697943406</v>
      </c>
    </row>
    <row r="687" spans="1:16" s="3" customFormat="1" hidden="1">
      <c r="A687" s="36" t="s">
        <v>267</v>
      </c>
      <c r="B687" s="44"/>
      <c r="C687" s="304" t="s">
        <v>268</v>
      </c>
      <c r="D687" s="70">
        <f>SUM(D688:D694)</f>
        <v>2712830</v>
      </c>
      <c r="E687" s="70"/>
      <c r="F687" s="70">
        <f t="shared" si="304"/>
        <v>2712830</v>
      </c>
      <c r="G687" s="84">
        <f>SUM(G688:G694)</f>
        <v>2869065</v>
      </c>
      <c r="H687" s="84"/>
      <c r="I687" s="84">
        <f t="shared" si="305"/>
        <v>2869065</v>
      </c>
      <c r="J687" s="70">
        <f>SUM(J688:J694)</f>
        <v>3263030</v>
      </c>
      <c r="K687" s="70"/>
      <c r="L687" s="70">
        <f t="shared" si="306"/>
        <v>3263030</v>
      </c>
      <c r="M687" s="224">
        <f t="shared" si="283"/>
        <v>120.28140355274751</v>
      </c>
      <c r="N687" s="224">
        <f t="shared" si="284"/>
        <v>120.28140355274751</v>
      </c>
      <c r="O687" s="224">
        <f t="shared" si="285"/>
        <v>113.73147697943406</v>
      </c>
      <c r="P687" s="224">
        <f t="shared" si="303"/>
        <v>113.73147697943406</v>
      </c>
    </row>
    <row r="688" spans="1:16" s="3" customFormat="1" ht="12.75" customHeight="1">
      <c r="A688" s="36" t="s">
        <v>180</v>
      </c>
      <c r="B688" s="33" t="s">
        <v>419</v>
      </c>
      <c r="C688" s="211" t="s">
        <v>1290</v>
      </c>
      <c r="D688" s="84">
        <v>2642110</v>
      </c>
      <c r="E688" s="84"/>
      <c r="F688" s="63">
        <f t="shared" si="304"/>
        <v>2642110</v>
      </c>
      <c r="G688" s="84">
        <v>2731310</v>
      </c>
      <c r="H688" s="84"/>
      <c r="I688" s="38">
        <f t="shared" si="305"/>
        <v>2731310</v>
      </c>
      <c r="J688" s="63">
        <v>3158530</v>
      </c>
      <c r="K688" s="84"/>
      <c r="L688" s="63">
        <f t="shared" si="306"/>
        <v>3158530</v>
      </c>
      <c r="M688" s="218">
        <f t="shared" si="283"/>
        <v>119.54574185026361</v>
      </c>
      <c r="N688" s="218">
        <f t="shared" si="284"/>
        <v>119.54574185026361</v>
      </c>
      <c r="O688" s="218">
        <f t="shared" si="285"/>
        <v>115.64157858317073</v>
      </c>
      <c r="P688" s="218">
        <f t="shared" si="303"/>
        <v>115.64157858317073</v>
      </c>
    </row>
    <row r="689" spans="1:16" s="3" customFormat="1" ht="12.75" customHeight="1">
      <c r="A689" s="36" t="s">
        <v>368</v>
      </c>
      <c r="B689" s="33" t="s">
        <v>418</v>
      </c>
      <c r="C689" s="211" t="s">
        <v>1294</v>
      </c>
      <c r="D689" s="38"/>
      <c r="E689" s="63"/>
      <c r="F689" s="63">
        <f t="shared" ref="F689" si="307">SUM(D689:E689)</f>
        <v>0</v>
      </c>
      <c r="G689" s="38">
        <v>20575</v>
      </c>
      <c r="H689" s="38"/>
      <c r="I689" s="38">
        <f t="shared" si="305"/>
        <v>20575</v>
      </c>
      <c r="J689" s="63">
        <v>3500</v>
      </c>
      <c r="K689" s="63"/>
      <c r="L689" s="63">
        <f>SUM(J689:K689)</f>
        <v>3500</v>
      </c>
      <c r="M689" s="218" t="str">
        <f t="shared" si="283"/>
        <v/>
      </c>
      <c r="N689" s="218" t="str">
        <f t="shared" si="284"/>
        <v/>
      </c>
      <c r="O689" s="218">
        <f t="shared" si="285"/>
        <v>17.01093560145808</v>
      </c>
      <c r="P689" s="218">
        <f t="shared" si="303"/>
        <v>17.01093560145808</v>
      </c>
    </row>
    <row r="690" spans="1:16" s="3" customFormat="1" ht="12.75" customHeight="1">
      <c r="A690" s="36" t="s">
        <v>651</v>
      </c>
      <c r="B690" s="33" t="s">
        <v>650</v>
      </c>
      <c r="C690" s="211" t="s">
        <v>1291</v>
      </c>
      <c r="D690" s="38">
        <v>60000</v>
      </c>
      <c r="E690" s="63"/>
      <c r="F690" s="63">
        <f>SUM(D690:E690)</f>
        <v>60000</v>
      </c>
      <c r="G690" s="38">
        <v>80000</v>
      </c>
      <c r="H690" s="38"/>
      <c r="I690" s="38">
        <f>SUM(G690:H690)</f>
        <v>80000</v>
      </c>
      <c r="J690" s="63">
        <v>92000</v>
      </c>
      <c r="K690" s="63"/>
      <c r="L690" s="63">
        <f>SUM(J690:K690)</f>
        <v>92000</v>
      </c>
      <c r="M690" s="218">
        <f t="shared" si="283"/>
        <v>153.33333333333334</v>
      </c>
      <c r="N690" s="218">
        <f t="shared" si="284"/>
        <v>153.33333333333334</v>
      </c>
      <c r="O690" s="218">
        <f t="shared" si="285"/>
        <v>114.99999999999999</v>
      </c>
      <c r="P690" s="218">
        <f>IF(I690&gt;0,IF(L690&gt;=0,L690/I690*100,""),"")</f>
        <v>114.99999999999999</v>
      </c>
    </row>
    <row r="691" spans="1:16" s="3" customFormat="1" ht="12.75" customHeight="1">
      <c r="A691" s="36" t="s">
        <v>375</v>
      </c>
      <c r="B691" s="33" t="s">
        <v>150</v>
      </c>
      <c r="C691" s="211" t="s">
        <v>1293</v>
      </c>
      <c r="D691" s="38">
        <v>8000</v>
      </c>
      <c r="E691" s="63"/>
      <c r="F691" s="63">
        <f>SUM(D691:E691)</f>
        <v>8000</v>
      </c>
      <c r="G691" s="38">
        <v>8000</v>
      </c>
      <c r="H691" s="38"/>
      <c r="I691" s="38">
        <f>SUM(G691:H691)</f>
        <v>8000</v>
      </c>
      <c r="J691" s="63">
        <v>9000</v>
      </c>
      <c r="K691" s="63"/>
      <c r="L691" s="63">
        <f>SUM(J691:K691)</f>
        <v>9000</v>
      </c>
      <c r="M691" s="218">
        <f t="shared" si="283"/>
        <v>112.5</v>
      </c>
      <c r="N691" s="218">
        <f t="shared" si="284"/>
        <v>112.5</v>
      </c>
      <c r="O691" s="218">
        <f t="shared" si="285"/>
        <v>112.5</v>
      </c>
      <c r="P691" s="218">
        <f>IF(I691&gt;0,IF(L691&gt;=0,L691/I691*100,""),"")</f>
        <v>112.5</v>
      </c>
    </row>
    <row r="692" spans="1:16" s="3" customFormat="1" ht="12.75" customHeight="1">
      <c r="A692" s="354" t="s">
        <v>772</v>
      </c>
      <c r="B692" s="311" t="s">
        <v>766</v>
      </c>
      <c r="C692" s="311" t="s">
        <v>1292</v>
      </c>
      <c r="D692" s="61">
        <v>2720</v>
      </c>
      <c r="E692" s="67"/>
      <c r="F692" s="67">
        <f>SUM(D692:E692)</f>
        <v>2720</v>
      </c>
      <c r="G692" s="61">
        <v>2720</v>
      </c>
      <c r="H692" s="61"/>
      <c r="I692" s="61">
        <f t="shared" si="305"/>
        <v>2720</v>
      </c>
      <c r="J692" s="67"/>
      <c r="K692" s="67"/>
      <c r="L692" s="67">
        <f>SUM(J692:K692)</f>
        <v>0</v>
      </c>
      <c r="M692" s="273">
        <f t="shared" si="283"/>
        <v>0</v>
      </c>
      <c r="N692" s="273">
        <f t="shared" si="284"/>
        <v>0</v>
      </c>
      <c r="O692" s="273">
        <f t="shared" si="285"/>
        <v>0</v>
      </c>
      <c r="P692" s="273">
        <f t="shared" si="303"/>
        <v>0</v>
      </c>
    </row>
    <row r="693" spans="1:16" s="3" customFormat="1" ht="12.75" customHeight="1">
      <c r="A693" s="80" t="s">
        <v>2074</v>
      </c>
      <c r="B693" s="302" t="s">
        <v>2075</v>
      </c>
      <c r="C693" s="302" t="s">
        <v>2138</v>
      </c>
      <c r="D693" s="116"/>
      <c r="E693" s="76"/>
      <c r="F693" s="76"/>
      <c r="G693" s="116">
        <v>24960</v>
      </c>
      <c r="H693" s="116"/>
      <c r="I693" s="116">
        <f t="shared" si="305"/>
        <v>24960</v>
      </c>
      <c r="J693" s="76"/>
      <c r="K693" s="76"/>
      <c r="L693" s="76"/>
      <c r="M693" s="226" t="str">
        <f t="shared" si="283"/>
        <v/>
      </c>
      <c r="N693" s="226" t="str">
        <f t="shared" si="284"/>
        <v/>
      </c>
      <c r="O693" s="226">
        <f t="shared" si="285"/>
        <v>0</v>
      </c>
      <c r="P693" s="226"/>
    </row>
    <row r="694" spans="1:16" s="3" customFormat="1" ht="12.75" customHeight="1">
      <c r="A694" s="36" t="s">
        <v>2347</v>
      </c>
      <c r="B694" s="211" t="s">
        <v>2346</v>
      </c>
      <c r="C694" s="211" t="s">
        <v>2306</v>
      </c>
      <c r="D694" s="38"/>
      <c r="E694" s="63"/>
      <c r="F694" s="63"/>
      <c r="G694" s="38">
        <v>1500</v>
      </c>
      <c r="H694" s="38"/>
      <c r="I694" s="38">
        <f t="shared" si="305"/>
        <v>1500</v>
      </c>
      <c r="J694" s="63"/>
      <c r="K694" s="63"/>
      <c r="L694" s="63"/>
      <c r="M694" s="218" t="str">
        <f t="shared" si="283"/>
        <v/>
      </c>
      <c r="N694" s="218" t="str">
        <f t="shared" si="284"/>
        <v/>
      </c>
      <c r="O694" s="218">
        <f t="shared" si="285"/>
        <v>0</v>
      </c>
      <c r="P694" s="218"/>
    </row>
    <row r="695" spans="1:16" s="3" customFormat="1" ht="6" customHeight="1">
      <c r="A695" s="36"/>
      <c r="B695" s="33"/>
      <c r="C695" s="211" t="s">
        <v>268</v>
      </c>
      <c r="D695" s="38"/>
      <c r="E695" s="63"/>
      <c r="F695" s="63"/>
      <c r="G695" s="38"/>
      <c r="H695" s="38"/>
      <c r="I695" s="38"/>
      <c r="J695" s="63"/>
      <c r="K695" s="63"/>
      <c r="L695" s="63"/>
      <c r="M695" s="218" t="str">
        <f t="shared" si="283"/>
        <v/>
      </c>
      <c r="N695" s="218" t="str">
        <f t="shared" si="284"/>
        <v/>
      </c>
      <c r="O695" s="218" t="str">
        <f t="shared" si="285"/>
        <v/>
      </c>
      <c r="P695" s="218" t="str">
        <f t="shared" ref="P695:P701" si="308">IF(I695&gt;0,IF(L695&gt;=0,L695/I695*100,""),"")</f>
        <v/>
      </c>
    </row>
    <row r="696" spans="1:16" s="3" customFormat="1" ht="12.75">
      <c r="A696" s="58" t="s">
        <v>742</v>
      </c>
      <c r="B696" s="65" t="s">
        <v>265</v>
      </c>
      <c r="C696" s="308" t="s">
        <v>940</v>
      </c>
      <c r="D696" s="83">
        <f>SUM(D698:D708)</f>
        <v>6732800</v>
      </c>
      <c r="E696" s="83"/>
      <c r="F696" s="69">
        <f t="shared" ref="F696:F698" si="309">SUM(D696:E696)</f>
        <v>6732800</v>
      </c>
      <c r="G696" s="121">
        <f>SUM(G698:G708)</f>
        <v>7859943</v>
      </c>
      <c r="H696" s="121"/>
      <c r="I696" s="115">
        <f t="shared" ref="I696:I708" si="310">SUM(G696:H696)</f>
        <v>7859943</v>
      </c>
      <c r="J696" s="69">
        <f>SUM(J698:J708)</f>
        <v>7454450</v>
      </c>
      <c r="K696" s="83"/>
      <c r="L696" s="69">
        <f t="shared" ref="L696:L698" si="311">SUM(J696:K696)</f>
        <v>7454450</v>
      </c>
      <c r="M696" s="217">
        <f t="shared" si="283"/>
        <v>110.71842324144487</v>
      </c>
      <c r="N696" s="217">
        <f t="shared" si="284"/>
        <v>110.71842324144487</v>
      </c>
      <c r="O696" s="217">
        <f t="shared" si="285"/>
        <v>94.841018567182985</v>
      </c>
      <c r="P696" s="217">
        <f t="shared" si="308"/>
        <v>94.841018567182985</v>
      </c>
    </row>
    <row r="697" spans="1:16" s="3" customFormat="1" hidden="1">
      <c r="A697" s="36" t="s">
        <v>267</v>
      </c>
      <c r="B697" s="44"/>
      <c r="C697" s="304" t="s">
        <v>268</v>
      </c>
      <c r="D697" s="70">
        <f>SUM(D698:D708)</f>
        <v>6732800</v>
      </c>
      <c r="E697" s="70"/>
      <c r="F697" s="70">
        <f t="shared" si="309"/>
        <v>6732800</v>
      </c>
      <c r="G697" s="84">
        <f>SUM(G698:G708)</f>
        <v>7859943</v>
      </c>
      <c r="H697" s="84"/>
      <c r="I697" s="84">
        <f t="shared" si="310"/>
        <v>7859943</v>
      </c>
      <c r="J697" s="70">
        <f>SUM(J698:J708)</f>
        <v>7454450</v>
      </c>
      <c r="K697" s="70"/>
      <c r="L697" s="70">
        <f t="shared" si="311"/>
        <v>7454450</v>
      </c>
      <c r="M697" s="224">
        <f t="shared" si="283"/>
        <v>110.71842324144487</v>
      </c>
      <c r="N697" s="224">
        <f t="shared" si="284"/>
        <v>110.71842324144487</v>
      </c>
      <c r="O697" s="224">
        <f t="shared" si="285"/>
        <v>94.841018567182985</v>
      </c>
      <c r="P697" s="224">
        <f t="shared" si="308"/>
        <v>94.841018567182985</v>
      </c>
    </row>
    <row r="698" spans="1:16" s="3" customFormat="1" ht="12.75" customHeight="1">
      <c r="A698" s="36" t="s">
        <v>180</v>
      </c>
      <c r="B698" s="33" t="s">
        <v>419</v>
      </c>
      <c r="C698" s="211" t="s">
        <v>1295</v>
      </c>
      <c r="D698" s="84">
        <v>6447150</v>
      </c>
      <c r="E698" s="84"/>
      <c r="F698" s="63">
        <f t="shared" si="309"/>
        <v>6447150</v>
      </c>
      <c r="G698" s="84">
        <v>7147440</v>
      </c>
      <c r="H698" s="84"/>
      <c r="I698" s="38">
        <f t="shared" si="310"/>
        <v>7147440</v>
      </c>
      <c r="J698" s="63">
        <v>7050900</v>
      </c>
      <c r="K698" s="84"/>
      <c r="L698" s="63">
        <f t="shared" si="311"/>
        <v>7050900</v>
      </c>
      <c r="M698" s="218">
        <f t="shared" si="283"/>
        <v>109.36460296410043</v>
      </c>
      <c r="N698" s="218">
        <f t="shared" si="284"/>
        <v>109.36460296410043</v>
      </c>
      <c r="O698" s="218">
        <f t="shared" si="285"/>
        <v>98.649306604882298</v>
      </c>
      <c r="P698" s="218">
        <f t="shared" si="308"/>
        <v>98.649306604882298</v>
      </c>
    </row>
    <row r="699" spans="1:16" s="3" customFormat="1" ht="12.75" customHeight="1">
      <c r="A699" s="36" t="s">
        <v>368</v>
      </c>
      <c r="B699" s="33" t="s">
        <v>418</v>
      </c>
      <c r="C699" s="211" t="s">
        <v>1300</v>
      </c>
      <c r="D699" s="38"/>
      <c r="E699" s="63"/>
      <c r="F699" s="63">
        <f t="shared" ref="F699" si="312">SUM(D699:E699)</f>
        <v>0</v>
      </c>
      <c r="G699" s="38">
        <v>80553</v>
      </c>
      <c r="H699" s="38"/>
      <c r="I699" s="38">
        <f t="shared" si="310"/>
        <v>80553</v>
      </c>
      <c r="J699" s="63">
        <v>20200</v>
      </c>
      <c r="K699" s="63"/>
      <c r="L699" s="63">
        <f>SUM(J699:K699)</f>
        <v>20200</v>
      </c>
      <c r="M699" s="218" t="str">
        <f t="shared" si="283"/>
        <v/>
      </c>
      <c r="N699" s="218" t="str">
        <f t="shared" si="284"/>
        <v/>
      </c>
      <c r="O699" s="218">
        <f t="shared" si="285"/>
        <v>25.076657604310203</v>
      </c>
      <c r="P699" s="218">
        <f t="shared" si="308"/>
        <v>25.076657604310203</v>
      </c>
    </row>
    <row r="700" spans="1:16" s="3" customFormat="1" ht="12.75" customHeight="1">
      <c r="A700" s="36" t="s">
        <v>2076</v>
      </c>
      <c r="B700" s="33" t="s">
        <v>2077</v>
      </c>
      <c r="C700" s="211" t="s">
        <v>2139</v>
      </c>
      <c r="D700" s="38"/>
      <c r="E700" s="63"/>
      <c r="F700" s="63"/>
      <c r="G700" s="38">
        <v>46000</v>
      </c>
      <c r="H700" s="38"/>
      <c r="I700" s="38">
        <f>SUM(G700:H700)</f>
        <v>46000</v>
      </c>
      <c r="J700" s="63">
        <v>36350</v>
      </c>
      <c r="K700" s="63"/>
      <c r="L700" s="63">
        <f>SUM(J700:K700)</f>
        <v>36350</v>
      </c>
      <c r="M700" s="218" t="str">
        <f t="shared" si="283"/>
        <v/>
      </c>
      <c r="N700" s="218" t="str">
        <f t="shared" si="284"/>
        <v/>
      </c>
      <c r="O700" s="218">
        <f t="shared" si="285"/>
        <v>79.021739130434781</v>
      </c>
      <c r="P700" s="218"/>
    </row>
    <row r="701" spans="1:16" s="3" customFormat="1" ht="12.75" customHeight="1">
      <c r="A701" s="36" t="s">
        <v>935</v>
      </c>
      <c r="B701" s="33" t="s">
        <v>701</v>
      </c>
      <c r="C701" s="211" t="s">
        <v>1297</v>
      </c>
      <c r="D701" s="38">
        <v>127000</v>
      </c>
      <c r="E701" s="63"/>
      <c r="F701" s="63">
        <f>SUM(D701:E701)</f>
        <v>127000</v>
      </c>
      <c r="G701" s="38">
        <v>127000</v>
      </c>
      <c r="H701" s="38"/>
      <c r="I701" s="38">
        <f t="shared" si="310"/>
        <v>127000</v>
      </c>
      <c r="J701" s="63">
        <v>68400</v>
      </c>
      <c r="K701" s="63"/>
      <c r="L701" s="63">
        <f>SUM(J701:K701)</f>
        <v>68400</v>
      </c>
      <c r="M701" s="218">
        <f t="shared" si="283"/>
        <v>53.858267716535437</v>
      </c>
      <c r="N701" s="218">
        <f t="shared" si="284"/>
        <v>53.858267716535437</v>
      </c>
      <c r="O701" s="218">
        <f t="shared" si="285"/>
        <v>53.858267716535437</v>
      </c>
      <c r="P701" s="218">
        <f t="shared" si="308"/>
        <v>53.858267716535437</v>
      </c>
    </row>
    <row r="702" spans="1:16" s="3" customFormat="1" ht="12.75" customHeight="1">
      <c r="A702" s="36" t="s">
        <v>2071</v>
      </c>
      <c r="B702" s="33" t="s">
        <v>2072</v>
      </c>
      <c r="C702" s="211" t="s">
        <v>2305</v>
      </c>
      <c r="D702" s="38"/>
      <c r="E702" s="63"/>
      <c r="F702" s="63"/>
      <c r="G702" s="38">
        <v>126600</v>
      </c>
      <c r="H702" s="38"/>
      <c r="I702" s="38">
        <f t="shared" si="310"/>
        <v>126600</v>
      </c>
      <c r="J702" s="63">
        <v>126600</v>
      </c>
      <c r="K702" s="63"/>
      <c r="L702" s="63">
        <f t="shared" ref="L702:L708" si="313">SUM(J702:K702)</f>
        <v>126600</v>
      </c>
      <c r="M702" s="218" t="str">
        <f t="shared" si="283"/>
        <v/>
      </c>
      <c r="N702" s="218" t="str">
        <f t="shared" si="284"/>
        <v/>
      </c>
      <c r="O702" s="218">
        <f t="shared" si="285"/>
        <v>100</v>
      </c>
      <c r="P702" s="218"/>
    </row>
    <row r="703" spans="1:16" s="3" customFormat="1" ht="12.75" customHeight="1">
      <c r="A703" s="36" t="s">
        <v>651</v>
      </c>
      <c r="B703" s="33" t="s">
        <v>650</v>
      </c>
      <c r="C703" s="211" t="s">
        <v>1296</v>
      </c>
      <c r="D703" s="38">
        <v>140000</v>
      </c>
      <c r="E703" s="63"/>
      <c r="F703" s="63">
        <f>SUM(D703:E703)</f>
        <v>140000</v>
      </c>
      <c r="G703" s="38">
        <v>153700</v>
      </c>
      <c r="H703" s="38"/>
      <c r="I703" s="38">
        <f>SUM(G703:H703)</f>
        <v>153700</v>
      </c>
      <c r="J703" s="63">
        <v>141000</v>
      </c>
      <c r="K703" s="63"/>
      <c r="L703" s="63">
        <f>SUM(J703:K703)</f>
        <v>141000</v>
      </c>
      <c r="M703" s="218">
        <f t="shared" si="283"/>
        <v>100.71428571428571</v>
      </c>
      <c r="N703" s="218">
        <f t="shared" si="284"/>
        <v>100.71428571428571</v>
      </c>
      <c r="O703" s="218">
        <f t="shared" si="285"/>
        <v>91.737150292778139</v>
      </c>
      <c r="P703" s="218">
        <f>IF(I703&gt;0,IF(L703&gt;=0,L703/I703*100,""),"")</f>
        <v>91.737150292778139</v>
      </c>
    </row>
    <row r="704" spans="1:16" s="3" customFormat="1" ht="12.75" customHeight="1">
      <c r="A704" s="36" t="s">
        <v>375</v>
      </c>
      <c r="B704" s="33" t="s">
        <v>150</v>
      </c>
      <c r="C704" s="211" t="s">
        <v>1299</v>
      </c>
      <c r="D704" s="38">
        <v>10000</v>
      </c>
      <c r="E704" s="63"/>
      <c r="F704" s="63">
        <f>SUM(D704:E704)</f>
        <v>10000</v>
      </c>
      <c r="G704" s="38">
        <v>10000</v>
      </c>
      <c r="H704" s="38"/>
      <c r="I704" s="38">
        <f>SUM(G704:H704)</f>
        <v>10000</v>
      </c>
      <c r="J704" s="63">
        <v>11000</v>
      </c>
      <c r="K704" s="63"/>
      <c r="L704" s="63">
        <f>SUM(J704:K704)</f>
        <v>11000</v>
      </c>
      <c r="M704" s="218">
        <f t="shared" si="283"/>
        <v>110.00000000000001</v>
      </c>
      <c r="N704" s="218">
        <f t="shared" si="284"/>
        <v>110.00000000000001</v>
      </c>
      <c r="O704" s="218">
        <f t="shared" si="285"/>
        <v>110.00000000000001</v>
      </c>
      <c r="P704" s="218">
        <f>IF(I704&gt;0,IF(L704&gt;=0,L704/I704*100,""),"")</f>
        <v>110.00000000000001</v>
      </c>
    </row>
    <row r="705" spans="1:16" s="3" customFormat="1" ht="12.75" customHeight="1">
      <c r="A705" s="36" t="s">
        <v>772</v>
      </c>
      <c r="B705" s="211" t="s">
        <v>766</v>
      </c>
      <c r="C705" s="211" t="s">
        <v>1298</v>
      </c>
      <c r="D705" s="38">
        <v>8650</v>
      </c>
      <c r="E705" s="63"/>
      <c r="F705" s="63">
        <f>SUM(D705:E705)</f>
        <v>8650</v>
      </c>
      <c r="G705" s="38">
        <v>8650</v>
      </c>
      <c r="H705" s="38"/>
      <c r="I705" s="38">
        <f t="shared" si="310"/>
        <v>8650</v>
      </c>
      <c r="J705" s="63"/>
      <c r="K705" s="63"/>
      <c r="L705" s="63">
        <f t="shared" si="313"/>
        <v>0</v>
      </c>
      <c r="M705" s="218">
        <f t="shared" si="283"/>
        <v>0</v>
      </c>
      <c r="N705" s="218">
        <f t="shared" si="284"/>
        <v>0</v>
      </c>
      <c r="O705" s="218">
        <f t="shared" si="285"/>
        <v>0</v>
      </c>
      <c r="P705" s="218">
        <f>IF(I705&gt;0,IF(L705&gt;=0,L705/I705*100,""),"")</f>
        <v>0</v>
      </c>
    </row>
    <row r="706" spans="1:16" s="3" customFormat="1" ht="12.75" customHeight="1">
      <c r="A706" s="36" t="s">
        <v>2074</v>
      </c>
      <c r="B706" s="211" t="s">
        <v>2075</v>
      </c>
      <c r="C706" s="211" t="s">
        <v>2140</v>
      </c>
      <c r="D706" s="38"/>
      <c r="E706" s="63"/>
      <c r="F706" s="63"/>
      <c r="G706" s="38">
        <v>106200</v>
      </c>
      <c r="H706" s="38"/>
      <c r="I706" s="38">
        <f t="shared" si="310"/>
        <v>106200</v>
      </c>
      <c r="J706" s="63"/>
      <c r="K706" s="63"/>
      <c r="L706" s="63">
        <f t="shared" si="313"/>
        <v>0</v>
      </c>
      <c r="M706" s="218" t="str">
        <f t="shared" si="283"/>
        <v/>
      </c>
      <c r="N706" s="218" t="str">
        <f t="shared" si="284"/>
        <v/>
      </c>
      <c r="O706" s="218">
        <f t="shared" si="285"/>
        <v>0</v>
      </c>
      <c r="P706" s="218"/>
    </row>
    <row r="707" spans="1:16" s="3" customFormat="1" ht="12.75" customHeight="1">
      <c r="A707" s="36" t="s">
        <v>2069</v>
      </c>
      <c r="B707" s="211" t="s">
        <v>2070</v>
      </c>
      <c r="C707" s="211" t="s">
        <v>2141</v>
      </c>
      <c r="D707" s="38"/>
      <c r="E707" s="63"/>
      <c r="F707" s="63"/>
      <c r="G707" s="38">
        <v>2700</v>
      </c>
      <c r="H707" s="38"/>
      <c r="I707" s="38">
        <f t="shared" si="310"/>
        <v>2700</v>
      </c>
      <c r="J707" s="63"/>
      <c r="K707" s="63"/>
      <c r="L707" s="63">
        <f t="shared" si="313"/>
        <v>0</v>
      </c>
      <c r="M707" s="218" t="str">
        <f t="shared" si="283"/>
        <v/>
      </c>
      <c r="N707" s="218" t="str">
        <f t="shared" si="284"/>
        <v/>
      </c>
      <c r="O707" s="218">
        <f t="shared" si="285"/>
        <v>0</v>
      </c>
      <c r="P707" s="218"/>
    </row>
    <row r="708" spans="1:16" s="3" customFormat="1" ht="12.75" customHeight="1">
      <c r="A708" s="36" t="s">
        <v>2347</v>
      </c>
      <c r="B708" s="211" t="s">
        <v>2346</v>
      </c>
      <c r="C708" s="211" t="s">
        <v>2304</v>
      </c>
      <c r="D708" s="38"/>
      <c r="E708" s="63"/>
      <c r="F708" s="63"/>
      <c r="G708" s="38">
        <v>51100</v>
      </c>
      <c r="H708" s="38"/>
      <c r="I708" s="38">
        <f t="shared" si="310"/>
        <v>51100</v>
      </c>
      <c r="J708" s="63"/>
      <c r="K708" s="63"/>
      <c r="L708" s="63">
        <f t="shared" si="313"/>
        <v>0</v>
      </c>
      <c r="M708" s="218" t="str">
        <f t="shared" si="283"/>
        <v/>
      </c>
      <c r="N708" s="218" t="str">
        <f t="shared" si="284"/>
        <v/>
      </c>
      <c r="O708" s="218">
        <f t="shared" si="285"/>
        <v>0</v>
      </c>
      <c r="P708" s="218"/>
    </row>
    <row r="709" spans="1:16" s="3" customFormat="1" ht="6" customHeight="1">
      <c r="A709" s="36"/>
      <c r="B709" s="33"/>
      <c r="C709" s="211" t="s">
        <v>268</v>
      </c>
      <c r="D709" s="63"/>
      <c r="E709" s="63"/>
      <c r="F709" s="63"/>
      <c r="G709" s="38"/>
      <c r="H709" s="38"/>
      <c r="I709" s="38"/>
      <c r="J709" s="63"/>
      <c r="K709" s="63"/>
      <c r="L709" s="63"/>
      <c r="M709" s="218" t="str">
        <f t="shared" si="283"/>
        <v/>
      </c>
      <c r="N709" s="218" t="str">
        <f t="shared" si="284"/>
        <v/>
      </c>
      <c r="O709" s="218" t="str">
        <f t="shared" si="285"/>
        <v/>
      </c>
      <c r="P709" s="218" t="str">
        <f t="shared" ref="P709:P714" si="314">IF(I709&gt;0,IF(L709&gt;=0,L709/I709*100,""),"")</f>
        <v/>
      </c>
    </row>
    <row r="710" spans="1:16" s="11" customFormat="1" ht="12.75">
      <c r="A710" s="58" t="s">
        <v>222</v>
      </c>
      <c r="B710" s="65" t="s">
        <v>265</v>
      </c>
      <c r="C710" s="308" t="s">
        <v>940</v>
      </c>
      <c r="D710" s="83">
        <f>SUM(D712:D718)</f>
        <v>6481520</v>
      </c>
      <c r="E710" s="83">
        <f>SUM(E712:E718)</f>
        <v>0</v>
      </c>
      <c r="F710" s="69">
        <f t="shared" ref="F710:F714" si="315">SUM(D710:E710)</f>
        <v>6481520</v>
      </c>
      <c r="G710" s="121">
        <f>SUM(G712:G718)</f>
        <v>8585093</v>
      </c>
      <c r="H710" s="121">
        <f>SUM(H712:H718)</f>
        <v>0</v>
      </c>
      <c r="I710" s="115">
        <f t="shared" ref="I710:I718" si="316">SUM(G710:H710)</f>
        <v>8585093</v>
      </c>
      <c r="J710" s="69">
        <f>SUM(J712:J718)</f>
        <v>6353500</v>
      </c>
      <c r="K710" s="83">
        <f>SUM(K712:K718)</f>
        <v>0</v>
      </c>
      <c r="L710" s="69">
        <f t="shared" ref="L710:L714" si="317">SUM(J710:K710)</f>
        <v>6353500</v>
      </c>
      <c r="M710" s="217">
        <f t="shared" si="283"/>
        <v>98.024846023772199</v>
      </c>
      <c r="N710" s="217">
        <f t="shared" si="284"/>
        <v>98.024846023772199</v>
      </c>
      <c r="O710" s="217">
        <f t="shared" si="285"/>
        <v>74.006187236410838</v>
      </c>
      <c r="P710" s="217">
        <f t="shared" si="314"/>
        <v>74.006187236410838</v>
      </c>
    </row>
    <row r="711" spans="1:16" s="3" customFormat="1" ht="12.75" customHeight="1">
      <c r="A711" s="36" t="s">
        <v>267</v>
      </c>
      <c r="B711" s="33"/>
      <c r="C711" s="211" t="s">
        <v>268</v>
      </c>
      <c r="D711" s="63">
        <f>SUM(D712:D717)</f>
        <v>6481520</v>
      </c>
      <c r="E711" s="63">
        <f>SUM(E712:E717)</f>
        <v>0</v>
      </c>
      <c r="F711" s="63">
        <f t="shared" si="315"/>
        <v>6481520</v>
      </c>
      <c r="G711" s="38">
        <f>SUM(G712:G717)</f>
        <v>7385093</v>
      </c>
      <c r="H711" s="38">
        <f>SUM(H712:H717)</f>
        <v>0</v>
      </c>
      <c r="I711" s="38">
        <f t="shared" si="316"/>
        <v>7385093</v>
      </c>
      <c r="J711" s="63">
        <f>SUM(J712:J717)</f>
        <v>6353500</v>
      </c>
      <c r="K711" s="63">
        <f>SUM(K712:K717)</f>
        <v>0</v>
      </c>
      <c r="L711" s="63">
        <f t="shared" si="317"/>
        <v>6353500</v>
      </c>
      <c r="M711" s="218">
        <f t="shared" si="283"/>
        <v>98.024846023772199</v>
      </c>
      <c r="N711" s="218">
        <f t="shared" si="284"/>
        <v>98.024846023772199</v>
      </c>
      <c r="O711" s="218">
        <f t="shared" si="285"/>
        <v>86.031414905675533</v>
      </c>
      <c r="P711" s="218">
        <f t="shared" si="314"/>
        <v>86.031414905675533</v>
      </c>
    </row>
    <row r="712" spans="1:16" s="3" customFormat="1" ht="12.75" customHeight="1">
      <c r="A712" s="36" t="s">
        <v>180</v>
      </c>
      <c r="B712" s="33" t="s">
        <v>419</v>
      </c>
      <c r="C712" s="211" t="s">
        <v>1301</v>
      </c>
      <c r="D712" s="63">
        <v>5863020</v>
      </c>
      <c r="E712" s="63"/>
      <c r="F712" s="63">
        <f t="shared" si="315"/>
        <v>5863020</v>
      </c>
      <c r="G712" s="38">
        <v>6634257</v>
      </c>
      <c r="H712" s="38"/>
      <c r="I712" s="38">
        <f t="shared" si="316"/>
        <v>6634257</v>
      </c>
      <c r="J712" s="63">
        <v>6344500</v>
      </c>
      <c r="K712" s="63"/>
      <c r="L712" s="63">
        <f t="shared" si="317"/>
        <v>6344500</v>
      </c>
      <c r="M712" s="218">
        <f t="shared" si="283"/>
        <v>108.21215005236209</v>
      </c>
      <c r="N712" s="218">
        <f t="shared" si="284"/>
        <v>108.21215005236209</v>
      </c>
      <c r="O712" s="218">
        <f t="shared" si="285"/>
        <v>95.632412190242249</v>
      </c>
      <c r="P712" s="218">
        <f t="shared" si="314"/>
        <v>95.632412190242249</v>
      </c>
    </row>
    <row r="713" spans="1:16" s="3" customFormat="1" ht="12.75" customHeight="1">
      <c r="A713" s="36" t="s">
        <v>375</v>
      </c>
      <c r="B713" s="33" t="s">
        <v>150</v>
      </c>
      <c r="C713" s="211" t="s">
        <v>1304</v>
      </c>
      <c r="D713" s="63">
        <f>8000+500000</f>
        <v>508000</v>
      </c>
      <c r="E713" s="63"/>
      <c r="F713" s="63">
        <f>SUM(D713:E713)</f>
        <v>508000</v>
      </c>
      <c r="G713" s="38">
        <v>508000</v>
      </c>
      <c r="H713" s="38"/>
      <c r="I713" s="38">
        <f>SUM(G713:H713)</f>
        <v>508000</v>
      </c>
      <c r="J713" s="63">
        <v>9000</v>
      </c>
      <c r="K713" s="63"/>
      <c r="L713" s="63">
        <f>SUM(J713:K713)</f>
        <v>9000</v>
      </c>
      <c r="M713" s="218">
        <f t="shared" si="283"/>
        <v>1.7716535433070866</v>
      </c>
      <c r="N713" s="218">
        <f t="shared" si="284"/>
        <v>1.7716535433070866</v>
      </c>
      <c r="O713" s="218">
        <f t="shared" si="285"/>
        <v>1.7716535433070866</v>
      </c>
      <c r="P713" s="218">
        <f>IF(I713&gt;0,IF(L713&gt;=0,L713/I713*100,""),"")</f>
        <v>1.7716535433070866</v>
      </c>
    </row>
    <row r="714" spans="1:16" s="3" customFormat="1" ht="12.75" customHeight="1">
      <c r="A714" s="36" t="s">
        <v>368</v>
      </c>
      <c r="B714" s="211" t="s">
        <v>418</v>
      </c>
      <c r="C714" s="211" t="s">
        <v>1302</v>
      </c>
      <c r="D714" s="63">
        <v>8000</v>
      </c>
      <c r="E714" s="63"/>
      <c r="F714" s="63">
        <f t="shared" si="315"/>
        <v>8000</v>
      </c>
      <c r="G714" s="38">
        <v>58096</v>
      </c>
      <c r="H714" s="38"/>
      <c r="I714" s="38">
        <f t="shared" si="316"/>
        <v>58096</v>
      </c>
      <c r="J714" s="63"/>
      <c r="K714" s="63"/>
      <c r="L714" s="63">
        <f t="shared" si="317"/>
        <v>0</v>
      </c>
      <c r="M714" s="218">
        <f t="shared" si="283"/>
        <v>0</v>
      </c>
      <c r="N714" s="218">
        <f t="shared" si="284"/>
        <v>0</v>
      </c>
      <c r="O714" s="218">
        <f t="shared" si="285"/>
        <v>0</v>
      </c>
      <c r="P714" s="218">
        <f t="shared" si="314"/>
        <v>0</v>
      </c>
    </row>
    <row r="715" spans="1:16" s="3" customFormat="1" ht="12.75" customHeight="1">
      <c r="A715" s="46" t="s">
        <v>2074</v>
      </c>
      <c r="B715" s="211" t="s">
        <v>2075</v>
      </c>
      <c r="C715" s="211" t="s">
        <v>2142</v>
      </c>
      <c r="D715" s="63"/>
      <c r="E715" s="63"/>
      <c r="F715" s="63"/>
      <c r="G715" s="38">
        <v>71740</v>
      </c>
      <c r="H715" s="38"/>
      <c r="I715" s="38">
        <f t="shared" si="316"/>
        <v>71740</v>
      </c>
      <c r="J715" s="63"/>
      <c r="K715" s="63"/>
      <c r="L715" s="63"/>
      <c r="M715" s="218" t="str">
        <f t="shared" si="283"/>
        <v/>
      </c>
      <c r="N715" s="218" t="str">
        <f t="shared" si="284"/>
        <v/>
      </c>
      <c r="O715" s="218">
        <f t="shared" si="285"/>
        <v>0</v>
      </c>
      <c r="P715" s="218"/>
    </row>
    <row r="716" spans="1:16" s="3" customFormat="1" ht="12.75" customHeight="1">
      <c r="A716" s="46" t="s">
        <v>2347</v>
      </c>
      <c r="B716" s="211" t="s">
        <v>2346</v>
      </c>
      <c r="C716" s="211" t="s">
        <v>2299</v>
      </c>
      <c r="D716" s="63"/>
      <c r="E716" s="63"/>
      <c r="F716" s="63"/>
      <c r="G716" s="38">
        <v>10500</v>
      </c>
      <c r="H716" s="38"/>
      <c r="I716" s="38">
        <f t="shared" si="316"/>
        <v>10500</v>
      </c>
      <c r="J716" s="63"/>
      <c r="K716" s="63"/>
      <c r="L716" s="63"/>
      <c r="M716" s="218" t="str">
        <f t="shared" si="283"/>
        <v/>
      </c>
      <c r="N716" s="218" t="str">
        <f t="shared" si="284"/>
        <v/>
      </c>
      <c r="O716" s="218">
        <f t="shared" si="285"/>
        <v>0</v>
      </c>
      <c r="P716" s="218"/>
    </row>
    <row r="717" spans="1:16" s="3" customFormat="1" ht="12.75" customHeight="1">
      <c r="A717" s="46" t="s">
        <v>651</v>
      </c>
      <c r="B717" s="211" t="s">
        <v>650</v>
      </c>
      <c r="C717" s="211" t="s">
        <v>1303</v>
      </c>
      <c r="D717" s="63">
        <v>102500</v>
      </c>
      <c r="E717" s="63"/>
      <c r="F717" s="63">
        <f>SUM(D717:E717)</f>
        <v>102500</v>
      </c>
      <c r="G717" s="38">
        <v>102500</v>
      </c>
      <c r="H717" s="38"/>
      <c r="I717" s="38">
        <f>SUM(G717:H717)</f>
        <v>102500</v>
      </c>
      <c r="J717" s="63"/>
      <c r="K717" s="63"/>
      <c r="L717" s="63">
        <f>SUM(J717:K717)</f>
        <v>0</v>
      </c>
      <c r="M717" s="218">
        <f t="shared" si="283"/>
        <v>0</v>
      </c>
      <c r="N717" s="218">
        <f t="shared" si="284"/>
        <v>0</v>
      </c>
      <c r="O717" s="218">
        <f t="shared" si="285"/>
        <v>0</v>
      </c>
      <c r="P717" s="218">
        <f t="shared" ref="P717:P724" si="318">IF(I717&gt;0,IF(L717&gt;=0,L717/I717*100,""),"")</f>
        <v>0</v>
      </c>
    </row>
    <row r="718" spans="1:16" s="3" customFormat="1" ht="12.75" customHeight="1">
      <c r="A718" s="36" t="s">
        <v>791</v>
      </c>
      <c r="B718" s="211" t="s">
        <v>151</v>
      </c>
      <c r="C718" s="211" t="s">
        <v>1305</v>
      </c>
      <c r="D718" s="63"/>
      <c r="E718" s="63"/>
      <c r="F718" s="63">
        <f t="shared" ref="F718" si="319">SUM(D718:E718)</f>
        <v>0</v>
      </c>
      <c r="G718" s="38">
        <v>1200000</v>
      </c>
      <c r="H718" s="38"/>
      <c r="I718" s="38">
        <f t="shared" si="316"/>
        <v>1200000</v>
      </c>
      <c r="J718" s="63"/>
      <c r="K718" s="63"/>
      <c r="L718" s="63">
        <f t="shared" ref="L718" si="320">SUM(J718:K718)</f>
        <v>0</v>
      </c>
      <c r="M718" s="218" t="str">
        <f t="shared" si="283"/>
        <v/>
      </c>
      <c r="N718" s="218" t="str">
        <f t="shared" si="284"/>
        <v/>
      </c>
      <c r="O718" s="218">
        <f t="shared" si="285"/>
        <v>0</v>
      </c>
      <c r="P718" s="218">
        <f t="shared" si="318"/>
        <v>0</v>
      </c>
    </row>
    <row r="719" spans="1:16" s="3" customFormat="1" ht="6" customHeight="1">
      <c r="A719" s="46"/>
      <c r="B719" s="33"/>
      <c r="C719" s="211" t="s">
        <v>268</v>
      </c>
      <c r="D719" s="63"/>
      <c r="E719" s="63"/>
      <c r="F719" s="63"/>
      <c r="G719" s="38"/>
      <c r="H719" s="38"/>
      <c r="I719" s="38"/>
      <c r="J719" s="63"/>
      <c r="K719" s="63"/>
      <c r="L719" s="63"/>
      <c r="M719" s="218" t="str">
        <f t="shared" ref="M719:M782" si="321">IF(D719&gt;0,IF(J719&gt;=0,J719/D719*100,""),"")</f>
        <v/>
      </c>
      <c r="N719" s="218" t="str">
        <f t="shared" ref="N719:N782" si="322">IF(F719&gt;0,IF(L719&gt;=0,L719/F719*100,""),"")</f>
        <v/>
      </c>
      <c r="O719" s="218" t="str">
        <f t="shared" ref="O719:O782" si="323">IF(G719&gt;0,IF(J719&gt;=0,J719/G719*100,""),"")</f>
        <v/>
      </c>
      <c r="P719" s="218" t="str">
        <f t="shared" si="318"/>
        <v/>
      </c>
    </row>
    <row r="720" spans="1:16" s="3" customFormat="1" ht="12.75">
      <c r="A720" s="58" t="s">
        <v>334</v>
      </c>
      <c r="B720" s="65" t="s">
        <v>265</v>
      </c>
      <c r="C720" s="308" t="s">
        <v>940</v>
      </c>
      <c r="D720" s="83">
        <f>SUM(D722:D729)</f>
        <v>7013010</v>
      </c>
      <c r="E720" s="83">
        <f>SUM(E722:E728)</f>
        <v>0</v>
      </c>
      <c r="F720" s="69">
        <f t="shared" ref="F720:F724" si="324">SUM(D720:E720)</f>
        <v>7013010</v>
      </c>
      <c r="G720" s="121">
        <f>SUM(G722:G729)</f>
        <v>8104518</v>
      </c>
      <c r="H720" s="121">
        <f>SUM(H722:H728)</f>
        <v>0</v>
      </c>
      <c r="I720" s="115">
        <f t="shared" ref="I720:I728" si="325">SUM(G720:H720)</f>
        <v>8104518</v>
      </c>
      <c r="J720" s="69">
        <f>SUM(J722:J729)</f>
        <v>8368550</v>
      </c>
      <c r="K720" s="83">
        <f>SUM(K722:K728)</f>
        <v>0</v>
      </c>
      <c r="L720" s="69">
        <f t="shared" ref="L720:L724" si="326">SUM(J720:K720)</f>
        <v>8368550</v>
      </c>
      <c r="M720" s="217">
        <f t="shared" si="321"/>
        <v>119.32893294034943</v>
      </c>
      <c r="N720" s="217">
        <f t="shared" si="322"/>
        <v>119.32893294034943</v>
      </c>
      <c r="O720" s="217">
        <f t="shared" si="323"/>
        <v>103.25783717180961</v>
      </c>
      <c r="P720" s="217">
        <f t="shared" si="318"/>
        <v>103.25783717180961</v>
      </c>
    </row>
    <row r="721" spans="1:16" s="3" customFormat="1" hidden="1">
      <c r="A721" s="46" t="s">
        <v>267</v>
      </c>
      <c r="B721" s="44"/>
      <c r="C721" s="304" t="s">
        <v>268</v>
      </c>
      <c r="D721" s="70">
        <f>SUM(D722:D728)</f>
        <v>7013010</v>
      </c>
      <c r="E721" s="70"/>
      <c r="F721" s="63">
        <f t="shared" si="324"/>
        <v>7013010</v>
      </c>
      <c r="G721" s="84">
        <f>SUM(G722:G728)</f>
        <v>8104518</v>
      </c>
      <c r="H721" s="84"/>
      <c r="I721" s="38">
        <f t="shared" si="325"/>
        <v>8104518</v>
      </c>
      <c r="J721" s="63">
        <f>SUM(J722:J728)</f>
        <v>8368550</v>
      </c>
      <c r="K721" s="70"/>
      <c r="L721" s="63">
        <f t="shared" si="326"/>
        <v>8368550</v>
      </c>
      <c r="M721" s="218">
        <f t="shared" si="321"/>
        <v>119.32893294034943</v>
      </c>
      <c r="N721" s="218">
        <f t="shared" si="322"/>
        <v>119.32893294034943</v>
      </c>
      <c r="O721" s="218">
        <f t="shared" si="323"/>
        <v>103.25783717180961</v>
      </c>
      <c r="P721" s="218">
        <f t="shared" si="318"/>
        <v>103.25783717180961</v>
      </c>
    </row>
    <row r="722" spans="1:16" s="3" customFormat="1" ht="12.75" customHeight="1">
      <c r="A722" s="36" t="s">
        <v>180</v>
      </c>
      <c r="B722" s="33" t="s">
        <v>419</v>
      </c>
      <c r="C722" s="211" t="s">
        <v>1306</v>
      </c>
      <c r="D722" s="63">
        <v>6852710</v>
      </c>
      <c r="E722" s="63"/>
      <c r="F722" s="63">
        <f t="shared" si="324"/>
        <v>6852710</v>
      </c>
      <c r="G722" s="38">
        <v>7440809</v>
      </c>
      <c r="H722" s="38"/>
      <c r="I722" s="38">
        <f t="shared" si="325"/>
        <v>7440809</v>
      </c>
      <c r="J722" s="63">
        <v>8090550</v>
      </c>
      <c r="K722" s="63"/>
      <c r="L722" s="63">
        <f t="shared" si="326"/>
        <v>8090550</v>
      </c>
      <c r="M722" s="218">
        <f t="shared" si="321"/>
        <v>118.06351064031601</v>
      </c>
      <c r="N722" s="218">
        <f t="shared" si="322"/>
        <v>118.06351064031601</v>
      </c>
      <c r="O722" s="218">
        <f t="shared" si="323"/>
        <v>108.73212845538704</v>
      </c>
      <c r="P722" s="218">
        <f t="shared" si="318"/>
        <v>108.73212845538704</v>
      </c>
    </row>
    <row r="723" spans="1:16" s="3" customFormat="1" ht="12.75" customHeight="1">
      <c r="A723" s="36" t="s">
        <v>368</v>
      </c>
      <c r="B723" s="33" t="s">
        <v>418</v>
      </c>
      <c r="C723" s="211" t="s">
        <v>1307</v>
      </c>
      <c r="D723" s="63">
        <v>42100</v>
      </c>
      <c r="E723" s="63"/>
      <c r="F723" s="63">
        <f t="shared" si="324"/>
        <v>42100</v>
      </c>
      <c r="G723" s="38">
        <v>177959</v>
      </c>
      <c r="H723" s="38"/>
      <c r="I723" s="38">
        <f t="shared" si="325"/>
        <v>177959</v>
      </c>
      <c r="J723" s="63">
        <v>75800</v>
      </c>
      <c r="K723" s="63"/>
      <c r="L723" s="63">
        <f t="shared" si="326"/>
        <v>75800</v>
      </c>
      <c r="M723" s="218">
        <f t="shared" si="321"/>
        <v>180.04750593824227</v>
      </c>
      <c r="N723" s="218">
        <f t="shared" si="322"/>
        <v>180.04750593824227</v>
      </c>
      <c r="O723" s="218">
        <f t="shared" si="323"/>
        <v>42.594080659028208</v>
      </c>
      <c r="P723" s="218">
        <f t="shared" si="318"/>
        <v>42.594080659028208</v>
      </c>
    </row>
    <row r="724" spans="1:16" s="3" customFormat="1" ht="12.75" customHeight="1">
      <c r="A724" s="36" t="s">
        <v>358</v>
      </c>
      <c r="B724" s="33" t="s">
        <v>417</v>
      </c>
      <c r="C724" s="211" t="s">
        <v>1309</v>
      </c>
      <c r="D724" s="63">
        <v>47200</v>
      </c>
      <c r="E724" s="63"/>
      <c r="F724" s="63">
        <f t="shared" si="324"/>
        <v>47200</v>
      </c>
      <c r="G724" s="38">
        <v>146050</v>
      </c>
      <c r="H724" s="38"/>
      <c r="I724" s="38">
        <f t="shared" si="325"/>
        <v>146050</v>
      </c>
      <c r="J724" s="63">
        <v>81200</v>
      </c>
      <c r="K724" s="63"/>
      <c r="L724" s="63">
        <f t="shared" si="326"/>
        <v>81200</v>
      </c>
      <c r="M724" s="218">
        <f t="shared" si="321"/>
        <v>172.03389830508476</v>
      </c>
      <c r="N724" s="218">
        <f t="shared" si="322"/>
        <v>172.03389830508476</v>
      </c>
      <c r="O724" s="218">
        <f t="shared" si="323"/>
        <v>55.597398151318046</v>
      </c>
      <c r="P724" s="218">
        <f t="shared" si="318"/>
        <v>55.597398151318046</v>
      </c>
    </row>
    <row r="725" spans="1:16" s="3" customFormat="1" ht="12.75" customHeight="1">
      <c r="A725" s="46" t="s">
        <v>651</v>
      </c>
      <c r="B725" s="33" t="s">
        <v>650</v>
      </c>
      <c r="C725" s="211" t="s">
        <v>1308</v>
      </c>
      <c r="D725" s="63">
        <v>63000</v>
      </c>
      <c r="E725" s="63"/>
      <c r="F725" s="63">
        <f>SUM(D725:E725)</f>
        <v>63000</v>
      </c>
      <c r="G725" s="38">
        <v>78000</v>
      </c>
      <c r="H725" s="38"/>
      <c r="I725" s="38">
        <f>SUM(G725:H725)</f>
        <v>78000</v>
      </c>
      <c r="J725" s="63">
        <v>112000</v>
      </c>
      <c r="K725" s="63"/>
      <c r="L725" s="63">
        <f>SUM(J725:K725)</f>
        <v>112000</v>
      </c>
      <c r="M725" s="218">
        <f t="shared" si="321"/>
        <v>177.77777777777777</v>
      </c>
      <c r="N725" s="218">
        <f t="shared" si="322"/>
        <v>177.77777777777777</v>
      </c>
      <c r="O725" s="218">
        <f t="shared" si="323"/>
        <v>143.58974358974359</v>
      </c>
      <c r="P725" s="218">
        <f>IF(I725&gt;0,IF(L725&gt;=0,L725/I725*100,""),"")</f>
        <v>143.58974358974359</v>
      </c>
    </row>
    <row r="726" spans="1:16" s="3" customFormat="1" ht="12.75" customHeight="1">
      <c r="A726" s="36" t="s">
        <v>375</v>
      </c>
      <c r="B726" s="33" t="s">
        <v>150</v>
      </c>
      <c r="C726" s="211" t="s">
        <v>1310</v>
      </c>
      <c r="D726" s="63">
        <v>8000</v>
      </c>
      <c r="E726" s="63"/>
      <c r="F726" s="63">
        <f>SUM(D726:E726)</f>
        <v>8000</v>
      </c>
      <c r="G726" s="38">
        <v>8000</v>
      </c>
      <c r="H726" s="38"/>
      <c r="I726" s="38">
        <f>SUM(G726:H726)</f>
        <v>8000</v>
      </c>
      <c r="J726" s="63">
        <v>9000</v>
      </c>
      <c r="K726" s="63"/>
      <c r="L726" s="63">
        <f>SUM(J726:K726)</f>
        <v>9000</v>
      </c>
      <c r="M726" s="218">
        <f t="shared" si="321"/>
        <v>112.5</v>
      </c>
      <c r="N726" s="218">
        <f t="shared" si="322"/>
        <v>112.5</v>
      </c>
      <c r="O726" s="218">
        <f t="shared" si="323"/>
        <v>112.5</v>
      </c>
      <c r="P726" s="218">
        <f>IF(I726&gt;0,IF(L726&gt;=0,L726/I726*100,""),"")</f>
        <v>112.5</v>
      </c>
    </row>
    <row r="727" spans="1:16" s="3" customFormat="1" ht="12.75" customHeight="1">
      <c r="A727" s="36" t="s">
        <v>2074</v>
      </c>
      <c r="B727" s="211" t="s">
        <v>2075</v>
      </c>
      <c r="C727" s="211" t="s">
        <v>2143</v>
      </c>
      <c r="D727" s="63"/>
      <c r="E727" s="63"/>
      <c r="F727" s="63"/>
      <c r="G727" s="38">
        <v>238200</v>
      </c>
      <c r="H727" s="38"/>
      <c r="I727" s="38">
        <f t="shared" si="325"/>
        <v>238200</v>
      </c>
      <c r="J727" s="63"/>
      <c r="K727" s="63"/>
      <c r="L727" s="63"/>
      <c r="M727" s="218" t="str">
        <f t="shared" si="321"/>
        <v/>
      </c>
      <c r="N727" s="218" t="str">
        <f t="shared" si="322"/>
        <v/>
      </c>
      <c r="O727" s="218">
        <f t="shared" si="323"/>
        <v>0</v>
      </c>
      <c r="P727" s="218"/>
    </row>
    <row r="728" spans="1:16" s="3" customFormat="1" ht="12.75" customHeight="1">
      <c r="A728" s="36" t="s">
        <v>2347</v>
      </c>
      <c r="B728" s="211" t="s">
        <v>2346</v>
      </c>
      <c r="C728" s="211" t="s">
        <v>2298</v>
      </c>
      <c r="D728" s="63"/>
      <c r="E728" s="63"/>
      <c r="F728" s="63"/>
      <c r="G728" s="38">
        <v>15500</v>
      </c>
      <c r="H728" s="38"/>
      <c r="I728" s="38">
        <f t="shared" si="325"/>
        <v>15500</v>
      </c>
      <c r="J728" s="63"/>
      <c r="K728" s="63"/>
      <c r="L728" s="63"/>
      <c r="M728" s="218" t="str">
        <f t="shared" si="321"/>
        <v/>
      </c>
      <c r="N728" s="218" t="str">
        <f t="shared" si="322"/>
        <v/>
      </c>
      <c r="O728" s="218">
        <f t="shared" si="323"/>
        <v>0</v>
      </c>
      <c r="P728" s="218"/>
    </row>
    <row r="729" spans="1:16" s="3" customFormat="1" hidden="1">
      <c r="A729" s="36" t="s">
        <v>791</v>
      </c>
      <c r="B729" s="33" t="s">
        <v>151</v>
      </c>
      <c r="C729" s="211" t="s">
        <v>1311</v>
      </c>
      <c r="D729" s="63"/>
      <c r="E729" s="63"/>
      <c r="F729" s="63"/>
      <c r="G729" s="38"/>
      <c r="H729" s="38"/>
      <c r="I729" s="38"/>
      <c r="J729" s="63"/>
      <c r="K729" s="63"/>
      <c r="L729" s="63"/>
      <c r="M729" s="218" t="str">
        <f t="shared" si="321"/>
        <v/>
      </c>
      <c r="N729" s="218" t="str">
        <f t="shared" si="322"/>
        <v/>
      </c>
      <c r="O729" s="218" t="str">
        <f t="shared" si="323"/>
        <v/>
      </c>
      <c r="P729" s="218" t="str">
        <f t="shared" ref="P729:P736" si="327">IF(I729&gt;0,IF(L729&gt;=0,L729/I729*100,""),"")</f>
        <v/>
      </c>
    </row>
    <row r="730" spans="1:16" s="3" customFormat="1" ht="6" customHeight="1">
      <c r="A730" s="46"/>
      <c r="B730" s="33"/>
      <c r="C730" s="211" t="s">
        <v>268</v>
      </c>
      <c r="D730" s="63"/>
      <c r="E730" s="63"/>
      <c r="F730" s="63"/>
      <c r="G730" s="38"/>
      <c r="H730" s="38"/>
      <c r="I730" s="38"/>
      <c r="J730" s="63"/>
      <c r="K730" s="63"/>
      <c r="L730" s="63"/>
      <c r="M730" s="218" t="str">
        <f t="shared" si="321"/>
        <v/>
      </c>
      <c r="N730" s="218" t="str">
        <f t="shared" si="322"/>
        <v/>
      </c>
      <c r="O730" s="218" t="str">
        <f t="shared" si="323"/>
        <v/>
      </c>
      <c r="P730" s="218" t="str">
        <f t="shared" si="327"/>
        <v/>
      </c>
    </row>
    <row r="731" spans="1:16" s="3" customFormat="1" ht="12.75">
      <c r="A731" s="58" t="s">
        <v>335</v>
      </c>
      <c r="B731" s="65" t="s">
        <v>265</v>
      </c>
      <c r="C731" s="308" t="s">
        <v>940</v>
      </c>
      <c r="D731" s="83">
        <f>SUM(D733:D739)</f>
        <v>5419180</v>
      </c>
      <c r="E731" s="83">
        <f>SUM(E733:E739)</f>
        <v>0</v>
      </c>
      <c r="F731" s="69">
        <f t="shared" ref="F731:F736" si="328">SUM(D731:E731)</f>
        <v>5419180</v>
      </c>
      <c r="G731" s="121">
        <f>SUM(G733:G739)</f>
        <v>5911460</v>
      </c>
      <c r="H731" s="121">
        <f>SUM(H733:H739)</f>
        <v>0</v>
      </c>
      <c r="I731" s="115">
        <f t="shared" ref="I731:I738" si="329">SUM(G731:H731)</f>
        <v>5911460</v>
      </c>
      <c r="J731" s="69">
        <f>SUM(J733:J739)</f>
        <v>5550210</v>
      </c>
      <c r="K731" s="83">
        <f>SUM(K733:K739)</f>
        <v>0</v>
      </c>
      <c r="L731" s="69">
        <f t="shared" ref="L731:L736" si="330">SUM(J731:K731)</f>
        <v>5550210</v>
      </c>
      <c r="M731" s="217">
        <f t="shared" si="321"/>
        <v>102.41789348203972</v>
      </c>
      <c r="N731" s="217">
        <f t="shared" si="322"/>
        <v>102.41789348203972</v>
      </c>
      <c r="O731" s="217">
        <f t="shared" si="323"/>
        <v>93.888988507069314</v>
      </c>
      <c r="P731" s="217">
        <f t="shared" si="327"/>
        <v>93.888988507069314</v>
      </c>
    </row>
    <row r="732" spans="1:16" s="3" customFormat="1" hidden="1">
      <c r="A732" s="36" t="s">
        <v>267</v>
      </c>
      <c r="B732" s="184"/>
      <c r="C732" s="320" t="s">
        <v>268</v>
      </c>
      <c r="D732" s="84">
        <f>SUM(D733:D739)</f>
        <v>5419180</v>
      </c>
      <c r="E732" s="110"/>
      <c r="F732" s="63">
        <f t="shared" si="328"/>
        <v>5419180</v>
      </c>
      <c r="G732" s="84">
        <f>SUM(G733:G739)</f>
        <v>5911460</v>
      </c>
      <c r="H732" s="259"/>
      <c r="I732" s="38">
        <f t="shared" si="329"/>
        <v>5911460</v>
      </c>
      <c r="J732" s="63">
        <f>SUM(J733:J739)</f>
        <v>5550210</v>
      </c>
      <c r="K732" s="110"/>
      <c r="L732" s="63">
        <f t="shared" si="330"/>
        <v>5550210</v>
      </c>
      <c r="M732" s="218">
        <f t="shared" si="321"/>
        <v>102.41789348203972</v>
      </c>
      <c r="N732" s="218">
        <f t="shared" si="322"/>
        <v>102.41789348203972</v>
      </c>
      <c r="O732" s="218">
        <f t="shared" si="323"/>
        <v>93.888988507069314</v>
      </c>
      <c r="P732" s="218">
        <f t="shared" si="327"/>
        <v>93.888988507069314</v>
      </c>
    </row>
    <row r="733" spans="1:16" s="3" customFormat="1" ht="12.75" customHeight="1">
      <c r="A733" s="36" t="s">
        <v>180</v>
      </c>
      <c r="B733" s="33" t="s">
        <v>419</v>
      </c>
      <c r="C733" s="211" t="s">
        <v>1312</v>
      </c>
      <c r="D733" s="63">
        <v>4695690</v>
      </c>
      <c r="E733" s="63"/>
      <c r="F733" s="63">
        <f t="shared" si="328"/>
        <v>4695690</v>
      </c>
      <c r="G733" s="38">
        <v>5007468</v>
      </c>
      <c r="H733" s="38"/>
      <c r="I733" s="38">
        <f t="shared" si="329"/>
        <v>5007468</v>
      </c>
      <c r="J733" s="63">
        <v>5542210</v>
      </c>
      <c r="K733" s="63"/>
      <c r="L733" s="63">
        <f t="shared" si="330"/>
        <v>5542210</v>
      </c>
      <c r="M733" s="218">
        <f t="shared" si="321"/>
        <v>118.0275955184435</v>
      </c>
      <c r="N733" s="218">
        <f t="shared" si="322"/>
        <v>118.0275955184435</v>
      </c>
      <c r="O733" s="218">
        <f t="shared" si="323"/>
        <v>110.67889000988124</v>
      </c>
      <c r="P733" s="218">
        <f t="shared" si="327"/>
        <v>110.67889000988124</v>
      </c>
    </row>
    <row r="734" spans="1:16" s="3" customFormat="1" ht="12.75" customHeight="1">
      <c r="A734" s="36" t="s">
        <v>375</v>
      </c>
      <c r="B734" s="33" t="s">
        <v>150</v>
      </c>
      <c r="C734" s="211" t="s">
        <v>1316</v>
      </c>
      <c r="D734" s="63">
        <f>7000+500000</f>
        <v>507000</v>
      </c>
      <c r="E734" s="63"/>
      <c r="F734" s="63">
        <f>SUM(D734:E734)</f>
        <v>507000</v>
      </c>
      <c r="G734" s="38">
        <v>507000</v>
      </c>
      <c r="H734" s="38"/>
      <c r="I734" s="38">
        <f>SUM(G734:H734)</f>
        <v>507000</v>
      </c>
      <c r="J734" s="63">
        <v>8000</v>
      </c>
      <c r="K734" s="63"/>
      <c r="L734" s="63">
        <f>SUM(J734:K734)</f>
        <v>8000</v>
      </c>
      <c r="M734" s="218">
        <f t="shared" si="321"/>
        <v>1.5779092702169626</v>
      </c>
      <c r="N734" s="218">
        <f t="shared" si="322"/>
        <v>1.5779092702169626</v>
      </c>
      <c r="O734" s="218">
        <f t="shared" si="323"/>
        <v>1.5779092702169626</v>
      </c>
      <c r="P734" s="218">
        <f>IF(I734&gt;0,IF(L734&gt;=0,L734/I734*100,""),"")</f>
        <v>1.5779092702169626</v>
      </c>
    </row>
    <row r="735" spans="1:16" s="3" customFormat="1" ht="12.75" customHeight="1">
      <c r="A735" s="36" t="s">
        <v>368</v>
      </c>
      <c r="B735" s="211" t="s">
        <v>418</v>
      </c>
      <c r="C735" s="211" t="s">
        <v>1313</v>
      </c>
      <c r="D735" s="63">
        <v>7000</v>
      </c>
      <c r="E735" s="63"/>
      <c r="F735" s="63">
        <f t="shared" si="328"/>
        <v>7000</v>
      </c>
      <c r="G735" s="38">
        <v>70352</v>
      </c>
      <c r="H735" s="38"/>
      <c r="I735" s="38">
        <f t="shared" si="329"/>
        <v>70352</v>
      </c>
      <c r="J735" s="63"/>
      <c r="K735" s="63"/>
      <c r="L735" s="63">
        <f t="shared" si="330"/>
        <v>0</v>
      </c>
      <c r="M735" s="218">
        <f t="shared" si="321"/>
        <v>0</v>
      </c>
      <c r="N735" s="218">
        <f t="shared" si="322"/>
        <v>0</v>
      </c>
      <c r="O735" s="218">
        <f t="shared" si="323"/>
        <v>0</v>
      </c>
      <c r="P735" s="218">
        <f t="shared" si="327"/>
        <v>0</v>
      </c>
    </row>
    <row r="736" spans="1:16" s="3" customFormat="1" ht="12.75" customHeight="1">
      <c r="A736" s="36" t="s">
        <v>772</v>
      </c>
      <c r="B736" s="211" t="s">
        <v>766</v>
      </c>
      <c r="C736" s="211" t="s">
        <v>1315</v>
      </c>
      <c r="D736" s="63">
        <v>6990</v>
      </c>
      <c r="E736" s="63"/>
      <c r="F736" s="63">
        <f t="shared" si="328"/>
        <v>6990</v>
      </c>
      <c r="G736" s="38">
        <v>7140</v>
      </c>
      <c r="H736" s="38"/>
      <c r="I736" s="38">
        <f t="shared" si="329"/>
        <v>7140</v>
      </c>
      <c r="J736" s="63"/>
      <c r="K736" s="63"/>
      <c r="L736" s="63">
        <f t="shared" si="330"/>
        <v>0</v>
      </c>
      <c r="M736" s="218">
        <f t="shared" si="321"/>
        <v>0</v>
      </c>
      <c r="N736" s="218">
        <f t="shared" si="322"/>
        <v>0</v>
      </c>
      <c r="O736" s="218">
        <f t="shared" si="323"/>
        <v>0</v>
      </c>
      <c r="P736" s="218">
        <f t="shared" si="327"/>
        <v>0</v>
      </c>
    </row>
    <row r="737" spans="1:16" s="3" customFormat="1" ht="12.75" customHeight="1">
      <c r="A737" s="36" t="s">
        <v>2074</v>
      </c>
      <c r="B737" s="211" t="s">
        <v>2075</v>
      </c>
      <c r="C737" s="211" t="s">
        <v>2144</v>
      </c>
      <c r="D737" s="63"/>
      <c r="E737" s="63"/>
      <c r="F737" s="63"/>
      <c r="G737" s="38">
        <v>106500</v>
      </c>
      <c r="H737" s="38"/>
      <c r="I737" s="38">
        <f t="shared" si="329"/>
        <v>106500</v>
      </c>
      <c r="J737" s="63"/>
      <c r="K737" s="63"/>
      <c r="L737" s="63"/>
      <c r="M737" s="218" t="str">
        <f t="shared" si="321"/>
        <v/>
      </c>
      <c r="N737" s="218" t="str">
        <f t="shared" si="322"/>
        <v/>
      </c>
      <c r="O737" s="218">
        <f t="shared" si="323"/>
        <v>0</v>
      </c>
      <c r="P737" s="218"/>
    </row>
    <row r="738" spans="1:16" s="3" customFormat="1" ht="12.75" customHeight="1">
      <c r="A738" s="36" t="s">
        <v>2347</v>
      </c>
      <c r="B738" s="211" t="s">
        <v>2346</v>
      </c>
      <c r="C738" s="211" t="s">
        <v>2297</v>
      </c>
      <c r="D738" s="63"/>
      <c r="E738" s="63"/>
      <c r="F738" s="63"/>
      <c r="G738" s="38">
        <v>10500</v>
      </c>
      <c r="H738" s="38"/>
      <c r="I738" s="38">
        <f t="shared" si="329"/>
        <v>10500</v>
      </c>
      <c r="J738" s="63"/>
      <c r="K738" s="63"/>
      <c r="L738" s="63"/>
      <c r="M738" s="218" t="str">
        <f t="shared" si="321"/>
        <v/>
      </c>
      <c r="N738" s="218" t="str">
        <f t="shared" si="322"/>
        <v/>
      </c>
      <c r="O738" s="218">
        <f t="shared" si="323"/>
        <v>0</v>
      </c>
      <c r="P738" s="218"/>
    </row>
    <row r="739" spans="1:16" s="3" customFormat="1" ht="12.75" customHeight="1">
      <c r="A739" s="46" t="s">
        <v>651</v>
      </c>
      <c r="B739" s="211" t="s">
        <v>650</v>
      </c>
      <c r="C739" s="211" t="s">
        <v>1314</v>
      </c>
      <c r="D739" s="63">
        <v>202500</v>
      </c>
      <c r="E739" s="63"/>
      <c r="F739" s="63">
        <f>SUM(D739:E739)</f>
        <v>202500</v>
      </c>
      <c r="G739" s="38">
        <v>202500</v>
      </c>
      <c r="H739" s="38"/>
      <c r="I739" s="38">
        <f>SUM(G739:H739)</f>
        <v>202500</v>
      </c>
      <c r="J739" s="63"/>
      <c r="K739" s="63"/>
      <c r="L739" s="63">
        <f>SUM(J739:K739)</f>
        <v>0</v>
      </c>
      <c r="M739" s="218">
        <f t="shared" si="321"/>
        <v>0</v>
      </c>
      <c r="N739" s="218">
        <f t="shared" si="322"/>
        <v>0</v>
      </c>
      <c r="O739" s="218">
        <f t="shared" si="323"/>
        <v>0</v>
      </c>
      <c r="P739" s="218">
        <f t="shared" ref="P739:P746" si="331">IF(I739&gt;0,IF(L739&gt;=0,L739/I739*100,""),"")</f>
        <v>0</v>
      </c>
    </row>
    <row r="740" spans="1:16" s="3" customFormat="1" ht="6" customHeight="1">
      <c r="A740" s="46"/>
      <c r="B740" s="33"/>
      <c r="C740" s="211" t="s">
        <v>268</v>
      </c>
      <c r="D740" s="63"/>
      <c r="E740" s="63"/>
      <c r="F740" s="63"/>
      <c r="G740" s="38"/>
      <c r="H740" s="38"/>
      <c r="I740" s="38"/>
      <c r="J740" s="63"/>
      <c r="K740" s="63"/>
      <c r="L740" s="63"/>
      <c r="M740" s="218" t="str">
        <f t="shared" si="321"/>
        <v/>
      </c>
      <c r="N740" s="218" t="str">
        <f t="shared" si="322"/>
        <v/>
      </c>
      <c r="O740" s="218" t="str">
        <f t="shared" si="323"/>
        <v/>
      </c>
      <c r="P740" s="218" t="str">
        <f t="shared" si="331"/>
        <v/>
      </c>
    </row>
    <row r="741" spans="1:16" s="3" customFormat="1" ht="12.75">
      <c r="A741" s="58" t="s">
        <v>341</v>
      </c>
      <c r="B741" s="65" t="s">
        <v>265</v>
      </c>
      <c r="C741" s="308" t="s">
        <v>940</v>
      </c>
      <c r="D741" s="83">
        <f>SUM(D743:D749)</f>
        <v>4876490</v>
      </c>
      <c r="E741" s="83">
        <f>SUM(E743:E749)</f>
        <v>0</v>
      </c>
      <c r="F741" s="69">
        <f t="shared" ref="F741:F742" si="332">SUM(D741:E741)</f>
        <v>4876490</v>
      </c>
      <c r="G741" s="121">
        <f>SUM(G743:G749)</f>
        <v>5523457</v>
      </c>
      <c r="H741" s="121">
        <f>SUM(H743:H749)</f>
        <v>0</v>
      </c>
      <c r="I741" s="115">
        <f t="shared" ref="I741:I749" si="333">SUM(G741:H741)</f>
        <v>5523457</v>
      </c>
      <c r="J741" s="69">
        <f>SUM(J743:J749)</f>
        <v>5330790</v>
      </c>
      <c r="K741" s="83">
        <f>SUM(K743:K749)</f>
        <v>0</v>
      </c>
      <c r="L741" s="69">
        <f t="shared" ref="L741:L749" si="334">SUM(J741:K741)</f>
        <v>5330790</v>
      </c>
      <c r="M741" s="217">
        <f t="shared" si="321"/>
        <v>109.31612696837274</v>
      </c>
      <c r="N741" s="217">
        <f t="shared" si="322"/>
        <v>109.31612696837274</v>
      </c>
      <c r="O741" s="217">
        <f t="shared" si="323"/>
        <v>96.511840320292166</v>
      </c>
      <c r="P741" s="217">
        <f t="shared" si="331"/>
        <v>96.511840320292166</v>
      </c>
    </row>
    <row r="742" spans="1:16" s="3" customFormat="1" hidden="1">
      <c r="A742" s="36" t="s">
        <v>267</v>
      </c>
      <c r="B742" s="79"/>
      <c r="C742" s="302" t="s">
        <v>268</v>
      </c>
      <c r="D742" s="63">
        <f>SUM(D743:D748)</f>
        <v>4876490</v>
      </c>
      <c r="E742" s="63">
        <f>SUM(E743:E748)</f>
        <v>0</v>
      </c>
      <c r="F742" s="63">
        <f t="shared" si="332"/>
        <v>4876490</v>
      </c>
      <c r="G742" s="38">
        <f>SUM(G743:G748)</f>
        <v>5523457</v>
      </c>
      <c r="H742" s="38">
        <f>SUM(H743:H748)</f>
        <v>0</v>
      </c>
      <c r="I742" s="38">
        <f t="shared" si="333"/>
        <v>5523457</v>
      </c>
      <c r="J742" s="63">
        <f>SUM(J743:J748)</f>
        <v>5330790</v>
      </c>
      <c r="K742" s="63">
        <f>SUM(K743:K748)</f>
        <v>0</v>
      </c>
      <c r="L742" s="63">
        <f t="shared" si="334"/>
        <v>5330790</v>
      </c>
      <c r="M742" s="218">
        <f t="shared" si="321"/>
        <v>109.31612696837274</v>
      </c>
      <c r="N742" s="218">
        <f t="shared" si="322"/>
        <v>109.31612696837274</v>
      </c>
      <c r="O742" s="218">
        <f t="shared" si="323"/>
        <v>96.511840320292166</v>
      </c>
      <c r="P742" s="218">
        <f t="shared" si="331"/>
        <v>96.511840320292166</v>
      </c>
    </row>
    <row r="743" spans="1:16" s="3" customFormat="1" ht="12.75" customHeight="1">
      <c r="A743" s="36" t="s">
        <v>180</v>
      </c>
      <c r="B743" s="33" t="s">
        <v>419</v>
      </c>
      <c r="C743" s="211" t="s">
        <v>1317</v>
      </c>
      <c r="D743" s="84">
        <v>4808490</v>
      </c>
      <c r="E743" s="84"/>
      <c r="F743" s="63">
        <f>SUM(D743:E743)</f>
        <v>4808490</v>
      </c>
      <c r="G743" s="84">
        <v>5349184</v>
      </c>
      <c r="H743" s="84"/>
      <c r="I743" s="38">
        <f t="shared" si="333"/>
        <v>5349184</v>
      </c>
      <c r="J743" s="63">
        <v>5256790</v>
      </c>
      <c r="K743" s="84"/>
      <c r="L743" s="63">
        <f>SUM(J743:K743)</f>
        <v>5256790</v>
      </c>
      <c r="M743" s="218">
        <f t="shared" si="321"/>
        <v>109.32309311239079</v>
      </c>
      <c r="N743" s="218">
        <f t="shared" si="322"/>
        <v>109.32309311239079</v>
      </c>
      <c r="O743" s="218">
        <f t="shared" si="323"/>
        <v>98.272745899187612</v>
      </c>
      <c r="P743" s="218">
        <f t="shared" si="331"/>
        <v>98.272745899187612</v>
      </c>
    </row>
    <row r="744" spans="1:16" s="3" customFormat="1" ht="12.75" customHeight="1">
      <c r="A744" s="46" t="s">
        <v>651</v>
      </c>
      <c r="B744" s="33" t="s">
        <v>650</v>
      </c>
      <c r="C744" s="211" t="s">
        <v>1318</v>
      </c>
      <c r="D744" s="63">
        <v>60000</v>
      </c>
      <c r="E744" s="63"/>
      <c r="F744" s="63">
        <f>SUM(D744:E744)</f>
        <v>60000</v>
      </c>
      <c r="G744" s="38">
        <v>60000</v>
      </c>
      <c r="H744" s="38"/>
      <c r="I744" s="38">
        <f>SUM(G744:H744)</f>
        <v>60000</v>
      </c>
      <c r="J744" s="63">
        <v>65000</v>
      </c>
      <c r="K744" s="63"/>
      <c r="L744" s="63">
        <f>SUM(J744:K744)</f>
        <v>65000</v>
      </c>
      <c r="M744" s="218">
        <f t="shared" si="321"/>
        <v>108.33333333333333</v>
      </c>
      <c r="N744" s="218">
        <f t="shared" si="322"/>
        <v>108.33333333333333</v>
      </c>
      <c r="O744" s="218">
        <f t="shared" si="323"/>
        <v>108.33333333333333</v>
      </c>
      <c r="P744" s="218">
        <f>IF(I744&gt;0,IF(L744&gt;=0,L744/I744*100,""),"")</f>
        <v>108.33333333333333</v>
      </c>
    </row>
    <row r="745" spans="1:16" s="3" customFormat="1" ht="12.75" customHeight="1">
      <c r="A745" s="36" t="s">
        <v>375</v>
      </c>
      <c r="B745" s="33" t="s">
        <v>150</v>
      </c>
      <c r="C745" s="211" t="s">
        <v>1319</v>
      </c>
      <c r="D745" s="63">
        <v>8000</v>
      </c>
      <c r="E745" s="63"/>
      <c r="F745" s="63">
        <f>SUM(D745:E745)</f>
        <v>8000</v>
      </c>
      <c r="G745" s="38">
        <v>8000</v>
      </c>
      <c r="H745" s="38"/>
      <c r="I745" s="38">
        <f>SUM(G745:H745)</f>
        <v>8000</v>
      </c>
      <c r="J745" s="63">
        <v>9000</v>
      </c>
      <c r="K745" s="63"/>
      <c r="L745" s="63">
        <f>SUM(J745:K745)</f>
        <v>9000</v>
      </c>
      <c r="M745" s="218">
        <f t="shared" si="321"/>
        <v>112.5</v>
      </c>
      <c r="N745" s="218">
        <f t="shared" si="322"/>
        <v>112.5</v>
      </c>
      <c r="O745" s="218">
        <f t="shared" si="323"/>
        <v>112.5</v>
      </c>
      <c r="P745" s="218">
        <f>IF(I745&gt;0,IF(L745&gt;=0,L745/I745*100,""),"")</f>
        <v>112.5</v>
      </c>
    </row>
    <row r="746" spans="1:16" s="3" customFormat="1" ht="12.75" customHeight="1">
      <c r="A746" s="36" t="s">
        <v>368</v>
      </c>
      <c r="B746" s="211" t="s">
        <v>418</v>
      </c>
      <c r="C746" s="211" t="s">
        <v>1320</v>
      </c>
      <c r="D746" s="63"/>
      <c r="E746" s="63"/>
      <c r="F746" s="63">
        <f>SUM(D746:E746)</f>
        <v>0</v>
      </c>
      <c r="G746" s="38">
        <v>40173</v>
      </c>
      <c r="H746" s="38"/>
      <c r="I746" s="38">
        <f t="shared" si="333"/>
        <v>40173</v>
      </c>
      <c r="J746" s="63"/>
      <c r="K746" s="63"/>
      <c r="L746" s="63">
        <f>SUM(J746:K746)</f>
        <v>0</v>
      </c>
      <c r="M746" s="218" t="str">
        <f t="shared" si="321"/>
        <v/>
      </c>
      <c r="N746" s="218" t="str">
        <f t="shared" si="322"/>
        <v/>
      </c>
      <c r="O746" s="218">
        <f t="shared" si="323"/>
        <v>0</v>
      </c>
      <c r="P746" s="218">
        <f t="shared" si="331"/>
        <v>0</v>
      </c>
    </row>
    <row r="747" spans="1:16" s="3" customFormat="1" ht="12.75" customHeight="1">
      <c r="A747" s="46" t="s">
        <v>358</v>
      </c>
      <c r="B747" s="211" t="s">
        <v>417</v>
      </c>
      <c r="C747" s="211" t="s">
        <v>2145</v>
      </c>
      <c r="D747" s="63"/>
      <c r="E747" s="63"/>
      <c r="F747" s="63"/>
      <c r="G747" s="38">
        <v>15000</v>
      </c>
      <c r="H747" s="38"/>
      <c r="I747" s="38">
        <f t="shared" si="333"/>
        <v>15000</v>
      </c>
      <c r="J747" s="63"/>
      <c r="K747" s="63"/>
      <c r="L747" s="63"/>
      <c r="M747" s="218" t="str">
        <f t="shared" si="321"/>
        <v/>
      </c>
      <c r="N747" s="218" t="str">
        <f t="shared" si="322"/>
        <v/>
      </c>
      <c r="O747" s="218">
        <f t="shared" si="323"/>
        <v>0</v>
      </c>
      <c r="P747" s="218"/>
    </row>
    <row r="748" spans="1:16" s="3" customFormat="1" ht="12.75" customHeight="1">
      <c r="A748" s="46" t="s">
        <v>2347</v>
      </c>
      <c r="B748" s="211" t="s">
        <v>2346</v>
      </c>
      <c r="C748" s="211" t="s">
        <v>2296</v>
      </c>
      <c r="D748" s="63"/>
      <c r="E748" s="63"/>
      <c r="F748" s="63"/>
      <c r="G748" s="38">
        <v>51100</v>
      </c>
      <c r="H748" s="38"/>
      <c r="I748" s="38">
        <f t="shared" si="333"/>
        <v>51100</v>
      </c>
      <c r="J748" s="63"/>
      <c r="K748" s="63"/>
      <c r="L748" s="63"/>
      <c r="M748" s="218" t="str">
        <f t="shared" si="321"/>
        <v/>
      </c>
      <c r="N748" s="218" t="str">
        <f t="shared" si="322"/>
        <v/>
      </c>
      <c r="O748" s="218">
        <f t="shared" si="323"/>
        <v>0</v>
      </c>
      <c r="P748" s="218"/>
    </row>
    <row r="749" spans="1:16" s="3" customFormat="1" hidden="1">
      <c r="A749" s="36" t="s">
        <v>8</v>
      </c>
      <c r="B749" s="33" t="s">
        <v>151</v>
      </c>
      <c r="C749" s="211" t="s">
        <v>1321</v>
      </c>
      <c r="D749" s="63"/>
      <c r="E749" s="63"/>
      <c r="F749" s="63">
        <f t="shared" ref="F749" si="335">SUM(D749:E749)</f>
        <v>0</v>
      </c>
      <c r="G749" s="38"/>
      <c r="H749" s="38"/>
      <c r="I749" s="38">
        <f t="shared" si="333"/>
        <v>0</v>
      </c>
      <c r="J749" s="63"/>
      <c r="K749" s="63"/>
      <c r="L749" s="63">
        <f t="shared" si="334"/>
        <v>0</v>
      </c>
      <c r="M749" s="218" t="str">
        <f t="shared" si="321"/>
        <v/>
      </c>
      <c r="N749" s="218" t="str">
        <f t="shared" si="322"/>
        <v/>
      </c>
      <c r="O749" s="218" t="str">
        <f t="shared" si="323"/>
        <v/>
      </c>
      <c r="P749" s="218" t="str">
        <f t="shared" ref="P749:P758" si="336">IF(I749&gt;0,IF(L749&gt;=0,L749/I749*100,""),"")</f>
        <v/>
      </c>
    </row>
    <row r="750" spans="1:16" s="3" customFormat="1" ht="6" customHeight="1">
      <c r="A750" s="36"/>
      <c r="B750" s="33"/>
      <c r="C750" s="211" t="s">
        <v>268</v>
      </c>
      <c r="D750" s="63"/>
      <c r="E750" s="63"/>
      <c r="F750" s="63"/>
      <c r="G750" s="38"/>
      <c r="H750" s="38"/>
      <c r="I750" s="38"/>
      <c r="J750" s="63"/>
      <c r="K750" s="63"/>
      <c r="L750" s="63"/>
      <c r="M750" s="218" t="str">
        <f t="shared" si="321"/>
        <v/>
      </c>
      <c r="N750" s="218" t="str">
        <f t="shared" si="322"/>
        <v/>
      </c>
      <c r="O750" s="218" t="str">
        <f t="shared" si="323"/>
        <v/>
      </c>
      <c r="P750" s="218" t="str">
        <f t="shared" si="336"/>
        <v/>
      </c>
    </row>
    <row r="751" spans="1:16" s="3" customFormat="1" ht="12.75">
      <c r="A751" s="58" t="s">
        <v>347</v>
      </c>
      <c r="B751" s="65" t="s">
        <v>265</v>
      </c>
      <c r="C751" s="308" t="s">
        <v>940</v>
      </c>
      <c r="D751" s="42">
        <f>SUM(D753:D760)</f>
        <v>4050310</v>
      </c>
      <c r="E751" s="42">
        <f>SUM(E753:E756)</f>
        <v>0</v>
      </c>
      <c r="F751" s="42">
        <f t="shared" ref="F751:F758" si="337">SUM(D751:E751)</f>
        <v>4050310</v>
      </c>
      <c r="G751" s="55">
        <f>SUM(G753:G760)</f>
        <v>4432643</v>
      </c>
      <c r="H751" s="55">
        <f>SUM(H753:H756)</f>
        <v>0</v>
      </c>
      <c r="I751" s="55">
        <f t="shared" ref="I751:I760" si="338">SUM(G751:H751)</f>
        <v>4432643</v>
      </c>
      <c r="J751" s="42">
        <f>SUM(J753:J760)</f>
        <v>4211640</v>
      </c>
      <c r="K751" s="42">
        <f>SUM(K753:K756)</f>
        <v>0</v>
      </c>
      <c r="L751" s="42">
        <f t="shared" ref="L751:L758" si="339">SUM(J751:K751)</f>
        <v>4211640</v>
      </c>
      <c r="M751" s="225">
        <f t="shared" si="321"/>
        <v>103.98315190689107</v>
      </c>
      <c r="N751" s="225">
        <f t="shared" si="322"/>
        <v>103.98315190689107</v>
      </c>
      <c r="O751" s="225">
        <f t="shared" si="323"/>
        <v>95.01419356352406</v>
      </c>
      <c r="P751" s="225">
        <f t="shared" si="336"/>
        <v>95.01419356352406</v>
      </c>
    </row>
    <row r="752" spans="1:16" s="3" customFormat="1" hidden="1">
      <c r="A752" s="36" t="s">
        <v>267</v>
      </c>
      <c r="B752" s="184"/>
      <c r="C752" s="320" t="s">
        <v>268</v>
      </c>
      <c r="D752" s="38">
        <f>SUM(D753:D760)</f>
        <v>4050310</v>
      </c>
      <c r="E752" s="77"/>
      <c r="F752" s="63">
        <f t="shared" si="337"/>
        <v>4050310</v>
      </c>
      <c r="G752" s="38">
        <f>SUM(G753:G760)</f>
        <v>4432643</v>
      </c>
      <c r="H752" s="109"/>
      <c r="I752" s="38">
        <f t="shared" si="338"/>
        <v>4432643</v>
      </c>
      <c r="J752" s="63">
        <f>SUM(J753:J760)</f>
        <v>4211640</v>
      </c>
      <c r="K752" s="77"/>
      <c r="L752" s="63">
        <f t="shared" si="339"/>
        <v>4211640</v>
      </c>
      <c r="M752" s="218">
        <f t="shared" si="321"/>
        <v>103.98315190689107</v>
      </c>
      <c r="N752" s="218">
        <f t="shared" si="322"/>
        <v>103.98315190689107</v>
      </c>
      <c r="O752" s="218">
        <f t="shared" si="323"/>
        <v>95.01419356352406</v>
      </c>
      <c r="P752" s="218">
        <f t="shared" si="336"/>
        <v>95.01419356352406</v>
      </c>
    </row>
    <row r="753" spans="1:16" s="3" customFormat="1" ht="12.75" customHeight="1">
      <c r="A753" s="36" t="s">
        <v>180</v>
      </c>
      <c r="B753" s="33" t="s">
        <v>419</v>
      </c>
      <c r="C753" s="211" t="s">
        <v>1322</v>
      </c>
      <c r="D753" s="38">
        <v>3870770</v>
      </c>
      <c r="E753" s="77"/>
      <c r="F753" s="63">
        <f t="shared" si="337"/>
        <v>3870770</v>
      </c>
      <c r="G753" s="38">
        <v>4122144</v>
      </c>
      <c r="H753" s="109"/>
      <c r="I753" s="38">
        <f t="shared" si="338"/>
        <v>4122144</v>
      </c>
      <c r="J753" s="63">
        <v>4141640</v>
      </c>
      <c r="K753" s="77"/>
      <c r="L753" s="63">
        <f t="shared" si="339"/>
        <v>4141640</v>
      </c>
      <c r="M753" s="218">
        <f t="shared" si="321"/>
        <v>106.99783247260881</v>
      </c>
      <c r="N753" s="218">
        <f t="shared" si="322"/>
        <v>106.99783247260881</v>
      </c>
      <c r="O753" s="218">
        <f t="shared" si="323"/>
        <v>100.47295776178611</v>
      </c>
      <c r="P753" s="218">
        <f t="shared" si="336"/>
        <v>100.47295776178611</v>
      </c>
    </row>
    <row r="754" spans="1:16" s="3" customFormat="1" ht="12.75" customHeight="1">
      <c r="A754" s="46" t="s">
        <v>651</v>
      </c>
      <c r="B754" s="33" t="s">
        <v>650</v>
      </c>
      <c r="C754" s="211" t="s">
        <v>1324</v>
      </c>
      <c r="D754" s="38">
        <v>100000</v>
      </c>
      <c r="E754" s="77"/>
      <c r="F754" s="63">
        <f>SUM(D754:E754)</f>
        <v>100000</v>
      </c>
      <c r="G754" s="38">
        <v>118000</v>
      </c>
      <c r="H754" s="109"/>
      <c r="I754" s="38">
        <f>SUM(G754:H754)</f>
        <v>118000</v>
      </c>
      <c r="J754" s="63">
        <v>63000</v>
      </c>
      <c r="K754" s="77"/>
      <c r="L754" s="63">
        <f>SUM(J754:K754)</f>
        <v>63000</v>
      </c>
      <c r="M754" s="218">
        <f t="shared" si="321"/>
        <v>63</v>
      </c>
      <c r="N754" s="218">
        <f t="shared" si="322"/>
        <v>63</v>
      </c>
      <c r="O754" s="218">
        <f t="shared" si="323"/>
        <v>53.389830508474581</v>
      </c>
      <c r="P754" s="218">
        <f>IF(I754&gt;0,IF(L754&gt;=0,L754/I754*100,""),"")</f>
        <v>53.389830508474581</v>
      </c>
    </row>
    <row r="755" spans="1:16" s="3" customFormat="1" ht="12.75" customHeight="1">
      <c r="A755" s="36" t="s">
        <v>375</v>
      </c>
      <c r="B755" s="33" t="s">
        <v>150</v>
      </c>
      <c r="C755" s="211" t="s">
        <v>1327</v>
      </c>
      <c r="D755" s="63">
        <v>6000</v>
      </c>
      <c r="E755" s="63"/>
      <c r="F755" s="63">
        <f>SUM(D755:E755)</f>
        <v>6000</v>
      </c>
      <c r="G755" s="38">
        <v>6000</v>
      </c>
      <c r="H755" s="38"/>
      <c r="I755" s="38">
        <f>SUM(G755:H755)</f>
        <v>6000</v>
      </c>
      <c r="J755" s="63">
        <v>7000</v>
      </c>
      <c r="K755" s="63"/>
      <c r="L755" s="63">
        <f>SUM(J755:K755)</f>
        <v>7000</v>
      </c>
      <c r="M755" s="218">
        <f t="shared" si="321"/>
        <v>116.66666666666667</v>
      </c>
      <c r="N755" s="218">
        <f t="shared" si="322"/>
        <v>116.66666666666667</v>
      </c>
      <c r="O755" s="218">
        <f t="shared" si="323"/>
        <v>116.66666666666667</v>
      </c>
      <c r="P755" s="218">
        <f>IF(I755&gt;0,IF(L755&gt;=0,L755/I755*100,""),"")</f>
        <v>116.66666666666667</v>
      </c>
    </row>
    <row r="756" spans="1:16" s="3" customFormat="1" ht="12.75" customHeight="1">
      <c r="A756" s="36" t="s">
        <v>368</v>
      </c>
      <c r="B756" s="211" t="s">
        <v>418</v>
      </c>
      <c r="C756" s="211" t="s">
        <v>1323</v>
      </c>
      <c r="D756" s="38">
        <v>7000</v>
      </c>
      <c r="E756" s="77"/>
      <c r="F756" s="63">
        <f t="shared" si="337"/>
        <v>7000</v>
      </c>
      <c r="G756" s="38">
        <v>50469</v>
      </c>
      <c r="H756" s="109"/>
      <c r="I756" s="38">
        <f t="shared" si="338"/>
        <v>50469</v>
      </c>
      <c r="J756" s="63"/>
      <c r="K756" s="77"/>
      <c r="L756" s="63">
        <f t="shared" si="339"/>
        <v>0</v>
      </c>
      <c r="M756" s="218">
        <f t="shared" si="321"/>
        <v>0</v>
      </c>
      <c r="N756" s="218">
        <f t="shared" si="322"/>
        <v>0</v>
      </c>
      <c r="O756" s="218">
        <f t="shared" si="323"/>
        <v>0</v>
      </c>
      <c r="P756" s="218">
        <f t="shared" si="336"/>
        <v>0</v>
      </c>
    </row>
    <row r="757" spans="1:16" s="3" customFormat="1" ht="12.75" customHeight="1">
      <c r="A757" s="46" t="s">
        <v>772</v>
      </c>
      <c r="B757" s="211" t="s">
        <v>766</v>
      </c>
      <c r="C757" s="211" t="s">
        <v>1325</v>
      </c>
      <c r="D757" s="38">
        <v>2300</v>
      </c>
      <c r="E757" s="77"/>
      <c r="F757" s="63">
        <f t="shared" si="337"/>
        <v>2300</v>
      </c>
      <c r="G757" s="38">
        <v>3460</v>
      </c>
      <c r="H757" s="109"/>
      <c r="I757" s="38">
        <f t="shared" si="338"/>
        <v>3460</v>
      </c>
      <c r="J757" s="63"/>
      <c r="K757" s="77"/>
      <c r="L757" s="63">
        <f t="shared" si="339"/>
        <v>0</v>
      </c>
      <c r="M757" s="218">
        <f t="shared" si="321"/>
        <v>0</v>
      </c>
      <c r="N757" s="218">
        <f t="shared" si="322"/>
        <v>0</v>
      </c>
      <c r="O757" s="218">
        <f t="shared" si="323"/>
        <v>0</v>
      </c>
      <c r="P757" s="218">
        <f t="shared" si="336"/>
        <v>0</v>
      </c>
    </row>
    <row r="758" spans="1:16" s="3" customFormat="1" ht="12.75" customHeight="1">
      <c r="A758" s="36" t="s">
        <v>935</v>
      </c>
      <c r="B758" s="211" t="s">
        <v>701</v>
      </c>
      <c r="C758" s="211" t="s">
        <v>1326</v>
      </c>
      <c r="D758" s="38">
        <v>64240</v>
      </c>
      <c r="E758" s="77"/>
      <c r="F758" s="63">
        <f t="shared" si="337"/>
        <v>64240</v>
      </c>
      <c r="G758" s="38">
        <v>92890</v>
      </c>
      <c r="H758" s="109"/>
      <c r="I758" s="38">
        <f t="shared" si="338"/>
        <v>92890</v>
      </c>
      <c r="J758" s="63"/>
      <c r="K758" s="77"/>
      <c r="L758" s="63">
        <f t="shared" si="339"/>
        <v>0</v>
      </c>
      <c r="M758" s="218">
        <f t="shared" si="321"/>
        <v>0</v>
      </c>
      <c r="N758" s="218">
        <f t="shared" si="322"/>
        <v>0</v>
      </c>
      <c r="O758" s="218">
        <f t="shared" si="323"/>
        <v>0</v>
      </c>
      <c r="P758" s="218">
        <f t="shared" si="336"/>
        <v>0</v>
      </c>
    </row>
    <row r="759" spans="1:16" s="3" customFormat="1" ht="12.75" customHeight="1">
      <c r="A759" s="36" t="s">
        <v>2074</v>
      </c>
      <c r="B759" s="211" t="s">
        <v>2075</v>
      </c>
      <c r="C759" s="211" t="s">
        <v>2146</v>
      </c>
      <c r="D759" s="38"/>
      <c r="E759" s="77"/>
      <c r="F759" s="63"/>
      <c r="G759" s="38">
        <v>24180</v>
      </c>
      <c r="H759" s="109"/>
      <c r="I759" s="38">
        <f t="shared" si="338"/>
        <v>24180</v>
      </c>
      <c r="J759" s="63"/>
      <c r="K759" s="77"/>
      <c r="L759" s="63"/>
      <c r="M759" s="218" t="str">
        <f t="shared" si="321"/>
        <v/>
      </c>
      <c r="N759" s="218" t="str">
        <f t="shared" si="322"/>
        <v/>
      </c>
      <c r="O759" s="218">
        <f t="shared" si="323"/>
        <v>0</v>
      </c>
      <c r="P759" s="218"/>
    </row>
    <row r="760" spans="1:16" s="3" customFormat="1" ht="12.75" customHeight="1">
      <c r="A760" s="354" t="s">
        <v>2347</v>
      </c>
      <c r="B760" s="311" t="s">
        <v>2346</v>
      </c>
      <c r="C760" s="311" t="s">
        <v>2295</v>
      </c>
      <c r="D760" s="61"/>
      <c r="E760" s="42"/>
      <c r="F760" s="67"/>
      <c r="G760" s="61">
        <v>15500</v>
      </c>
      <c r="H760" s="55"/>
      <c r="I760" s="61">
        <f t="shared" si="338"/>
        <v>15500</v>
      </c>
      <c r="J760" s="67"/>
      <c r="K760" s="42"/>
      <c r="L760" s="67"/>
      <c r="M760" s="273" t="str">
        <f t="shared" si="321"/>
        <v/>
      </c>
      <c r="N760" s="273" t="str">
        <f t="shared" si="322"/>
        <v/>
      </c>
      <c r="O760" s="273">
        <f t="shared" si="323"/>
        <v>0</v>
      </c>
      <c r="P760" s="273"/>
    </row>
    <row r="761" spans="1:16" s="3" customFormat="1" ht="6" customHeight="1">
      <c r="A761" s="80"/>
      <c r="B761" s="79"/>
      <c r="C761" s="302" t="s">
        <v>268</v>
      </c>
      <c r="D761" s="116"/>
      <c r="E761" s="111"/>
      <c r="F761" s="76"/>
      <c r="G761" s="116"/>
      <c r="H761" s="193"/>
      <c r="I761" s="116"/>
      <c r="J761" s="76"/>
      <c r="K761" s="111"/>
      <c r="L761" s="76"/>
      <c r="M761" s="226" t="str">
        <f t="shared" si="321"/>
        <v/>
      </c>
      <c r="N761" s="226" t="str">
        <f t="shared" si="322"/>
        <v/>
      </c>
      <c r="O761" s="226" t="str">
        <f t="shared" si="323"/>
        <v/>
      </c>
      <c r="P761" s="226" t="str">
        <f t="shared" ref="P761:P765" si="340">IF(I761&gt;0,IF(L761&gt;=0,L761/I761*100,""),"")</f>
        <v/>
      </c>
    </row>
    <row r="762" spans="1:16" s="3" customFormat="1" ht="12.75">
      <c r="A762" s="58" t="s">
        <v>739</v>
      </c>
      <c r="B762" s="65" t="s">
        <v>265</v>
      </c>
      <c r="C762" s="308" t="s">
        <v>940</v>
      </c>
      <c r="D762" s="42">
        <f>SUM(D764:D773)</f>
        <v>3042590</v>
      </c>
      <c r="E762" s="42">
        <f>SUM(E764:E773)</f>
        <v>0</v>
      </c>
      <c r="F762" s="42">
        <f t="shared" ref="F762:F764" si="341">SUM(D762:E762)</f>
        <v>3042590</v>
      </c>
      <c r="G762" s="55">
        <f>SUM(G764:G773)</f>
        <v>3721133</v>
      </c>
      <c r="H762" s="55">
        <f>SUM(H764:H773)</f>
        <v>0</v>
      </c>
      <c r="I762" s="55">
        <f t="shared" ref="I762:I773" si="342">SUM(G762:H762)</f>
        <v>3721133</v>
      </c>
      <c r="J762" s="42">
        <f>SUM(J764:J773)</f>
        <v>3888440</v>
      </c>
      <c r="K762" s="42">
        <f>SUM(K764:K773)</f>
        <v>0</v>
      </c>
      <c r="L762" s="42">
        <f t="shared" ref="L762:L764" si="343">SUM(J762:K762)</f>
        <v>3888440</v>
      </c>
      <c r="M762" s="225">
        <f t="shared" si="321"/>
        <v>127.80032801001778</v>
      </c>
      <c r="N762" s="225">
        <f t="shared" si="322"/>
        <v>127.80032801001778</v>
      </c>
      <c r="O762" s="225">
        <f t="shared" si="323"/>
        <v>104.49613061398236</v>
      </c>
      <c r="P762" s="225">
        <f t="shared" si="340"/>
        <v>104.49613061398236</v>
      </c>
    </row>
    <row r="763" spans="1:16" s="3" customFormat="1" hidden="1">
      <c r="A763" s="36" t="s">
        <v>267</v>
      </c>
      <c r="B763" s="79"/>
      <c r="C763" s="302" t="s">
        <v>268</v>
      </c>
      <c r="D763" s="63">
        <f>SUM(D764:D771)</f>
        <v>3042590</v>
      </c>
      <c r="E763" s="63">
        <f>SUM(E764:E771)</f>
        <v>0</v>
      </c>
      <c r="F763" s="63">
        <f t="shared" si="341"/>
        <v>3042590</v>
      </c>
      <c r="G763" s="38">
        <f>SUM(G764:G771)</f>
        <v>3721133</v>
      </c>
      <c r="H763" s="38">
        <f>SUM(H764:H771)</f>
        <v>0</v>
      </c>
      <c r="I763" s="38">
        <f t="shared" si="342"/>
        <v>3721133</v>
      </c>
      <c r="J763" s="63">
        <f>SUM(J764:J771)</f>
        <v>3888440</v>
      </c>
      <c r="K763" s="63">
        <f>SUM(K764:K771)</f>
        <v>0</v>
      </c>
      <c r="L763" s="63">
        <f t="shared" si="343"/>
        <v>3888440</v>
      </c>
      <c r="M763" s="218">
        <f t="shared" si="321"/>
        <v>127.80032801001778</v>
      </c>
      <c r="N763" s="218">
        <f t="shared" si="322"/>
        <v>127.80032801001778</v>
      </c>
      <c r="O763" s="218">
        <f t="shared" si="323"/>
        <v>104.49613061398236</v>
      </c>
      <c r="P763" s="218">
        <f t="shared" si="340"/>
        <v>104.49613061398236</v>
      </c>
    </row>
    <row r="764" spans="1:16" s="3" customFormat="1" ht="12.75" customHeight="1">
      <c r="A764" s="36" t="s">
        <v>180</v>
      </c>
      <c r="B764" s="33" t="s">
        <v>419</v>
      </c>
      <c r="C764" s="211" t="s">
        <v>1328</v>
      </c>
      <c r="D764" s="38">
        <v>2775490</v>
      </c>
      <c r="E764" s="77"/>
      <c r="F764" s="63">
        <f t="shared" si="341"/>
        <v>2775490</v>
      </c>
      <c r="G764" s="38">
        <v>3319900</v>
      </c>
      <c r="H764" s="109"/>
      <c r="I764" s="38">
        <f t="shared" si="342"/>
        <v>3319900</v>
      </c>
      <c r="J764" s="63">
        <v>3753440</v>
      </c>
      <c r="K764" s="77"/>
      <c r="L764" s="63">
        <f t="shared" si="343"/>
        <v>3753440</v>
      </c>
      <c r="M764" s="218">
        <f t="shared" si="321"/>
        <v>135.23521972696713</v>
      </c>
      <c r="N764" s="218">
        <f t="shared" si="322"/>
        <v>135.23521972696713</v>
      </c>
      <c r="O764" s="218">
        <f t="shared" si="323"/>
        <v>113.05882707310462</v>
      </c>
      <c r="P764" s="218">
        <f t="shared" si="340"/>
        <v>113.05882707310462</v>
      </c>
    </row>
    <row r="765" spans="1:16" s="3" customFormat="1" ht="12.75" customHeight="1">
      <c r="A765" s="36" t="s">
        <v>368</v>
      </c>
      <c r="B765" s="33" t="s">
        <v>418</v>
      </c>
      <c r="C765" s="211" t="s">
        <v>1330</v>
      </c>
      <c r="D765" s="38">
        <v>9100</v>
      </c>
      <c r="E765" s="77"/>
      <c r="F765" s="63">
        <f>SUM(D765:E765)</f>
        <v>9100</v>
      </c>
      <c r="G765" s="38">
        <v>61693</v>
      </c>
      <c r="H765" s="109"/>
      <c r="I765" s="38">
        <f t="shared" si="342"/>
        <v>61693</v>
      </c>
      <c r="J765" s="63">
        <v>10000</v>
      </c>
      <c r="K765" s="77"/>
      <c r="L765" s="63">
        <f>SUM(J765:K765)</f>
        <v>10000</v>
      </c>
      <c r="M765" s="218">
        <f t="shared" si="321"/>
        <v>109.8901098901099</v>
      </c>
      <c r="N765" s="218">
        <f t="shared" si="322"/>
        <v>109.8901098901099</v>
      </c>
      <c r="O765" s="218">
        <f t="shared" si="323"/>
        <v>16.209294409414358</v>
      </c>
      <c r="P765" s="218">
        <f t="shared" si="340"/>
        <v>16.209294409414358</v>
      </c>
    </row>
    <row r="766" spans="1:16" s="3" customFormat="1" ht="12.75" customHeight="1">
      <c r="A766" s="36" t="s">
        <v>2466</v>
      </c>
      <c r="B766" s="33" t="s">
        <v>2451</v>
      </c>
      <c r="C766" s="211"/>
      <c r="D766" s="38"/>
      <c r="E766" s="77"/>
      <c r="F766" s="63"/>
      <c r="G766" s="38"/>
      <c r="H766" s="109"/>
      <c r="I766" s="38"/>
      <c r="J766" s="63">
        <f>21250+3750</f>
        <v>25000</v>
      </c>
      <c r="K766" s="77"/>
      <c r="L766" s="63">
        <f>SUM(J766:K766)</f>
        <v>25000</v>
      </c>
      <c r="M766" s="218" t="str">
        <f t="shared" si="321"/>
        <v/>
      </c>
      <c r="N766" s="218" t="str">
        <f t="shared" si="322"/>
        <v/>
      </c>
      <c r="O766" s="218" t="str">
        <f t="shared" si="323"/>
        <v/>
      </c>
      <c r="P766" s="218" t="str">
        <f t="shared" ref="P766" si="344">IF(I766&gt;0,IF(L766&gt;=0,L766/I766*100,""),"")</f>
        <v/>
      </c>
    </row>
    <row r="767" spans="1:16" s="3" customFormat="1" ht="12.75" customHeight="1">
      <c r="A767" s="46" t="s">
        <v>651</v>
      </c>
      <c r="B767" s="33" t="s">
        <v>650</v>
      </c>
      <c r="C767" s="211" t="s">
        <v>1329</v>
      </c>
      <c r="D767" s="38">
        <v>71000</v>
      </c>
      <c r="E767" s="77"/>
      <c r="F767" s="63">
        <f>SUM(D767:E767)</f>
        <v>71000</v>
      </c>
      <c r="G767" s="38">
        <v>91000</v>
      </c>
      <c r="H767" s="109"/>
      <c r="I767" s="38">
        <f>SUM(G767:H767)</f>
        <v>91000</v>
      </c>
      <c r="J767" s="63">
        <v>92000</v>
      </c>
      <c r="K767" s="77"/>
      <c r="L767" s="63">
        <f>SUM(J767:K767)</f>
        <v>92000</v>
      </c>
      <c r="M767" s="218">
        <f t="shared" si="321"/>
        <v>129.57746478873241</v>
      </c>
      <c r="N767" s="218">
        <f t="shared" si="322"/>
        <v>129.57746478873241</v>
      </c>
      <c r="O767" s="218">
        <f t="shared" si="323"/>
        <v>101.09890109890109</v>
      </c>
      <c r="P767" s="218">
        <f>IF(I767&gt;0,IF(L767&gt;=0,L767/I767*100,""),"")</f>
        <v>101.09890109890109</v>
      </c>
    </row>
    <row r="768" spans="1:16" s="3" customFormat="1" ht="12.75" customHeight="1">
      <c r="A768" s="36" t="s">
        <v>375</v>
      </c>
      <c r="B768" s="33" t="s">
        <v>150</v>
      </c>
      <c r="C768" s="211" t="s">
        <v>1331</v>
      </c>
      <c r="D768" s="38">
        <f>7000+180000</f>
        <v>187000</v>
      </c>
      <c r="E768" s="77"/>
      <c r="F768" s="63">
        <f>SUM(D768:E768)</f>
        <v>187000</v>
      </c>
      <c r="G768" s="38">
        <v>193100</v>
      </c>
      <c r="H768" s="109"/>
      <c r="I768" s="38">
        <f>SUM(G768:H768)</f>
        <v>193100</v>
      </c>
      <c r="J768" s="63">
        <v>8000</v>
      </c>
      <c r="K768" s="77"/>
      <c r="L768" s="63">
        <f>SUM(J768:K768)</f>
        <v>8000</v>
      </c>
      <c r="M768" s="218">
        <f t="shared" si="321"/>
        <v>4.2780748663101598</v>
      </c>
      <c r="N768" s="218">
        <f t="shared" si="322"/>
        <v>4.2780748663101598</v>
      </c>
      <c r="O768" s="218">
        <f t="shared" si="323"/>
        <v>4.1429311237700679</v>
      </c>
      <c r="P768" s="218">
        <f>IF(I768&gt;0,IF(L768&gt;=0,L768/I768*100,""),"")</f>
        <v>4.1429311237700679</v>
      </c>
    </row>
    <row r="769" spans="1:16" s="3" customFormat="1" ht="12.75" customHeight="1">
      <c r="A769" s="36" t="s">
        <v>358</v>
      </c>
      <c r="B769" s="211" t="s">
        <v>417</v>
      </c>
      <c r="C769" s="211" t="s">
        <v>2147</v>
      </c>
      <c r="D769" s="63"/>
      <c r="E769" s="63"/>
      <c r="F769" s="63"/>
      <c r="G769" s="38">
        <v>15000</v>
      </c>
      <c r="H769" s="38"/>
      <c r="I769" s="38">
        <f t="shared" si="342"/>
        <v>15000</v>
      </c>
      <c r="J769" s="63"/>
      <c r="K769" s="63"/>
      <c r="L769" s="63"/>
      <c r="M769" s="218" t="str">
        <f t="shared" si="321"/>
        <v/>
      </c>
      <c r="N769" s="218" t="str">
        <f t="shared" si="322"/>
        <v/>
      </c>
      <c r="O769" s="218">
        <f t="shared" si="323"/>
        <v>0</v>
      </c>
      <c r="P769" s="218"/>
    </row>
    <row r="770" spans="1:16" s="3" customFormat="1" ht="12.75" customHeight="1">
      <c r="A770" s="36" t="s">
        <v>2074</v>
      </c>
      <c r="B770" s="211" t="s">
        <v>2075</v>
      </c>
      <c r="C770" s="211" t="s">
        <v>2148</v>
      </c>
      <c r="D770" s="38"/>
      <c r="E770" s="77"/>
      <c r="F770" s="63"/>
      <c r="G770" s="38">
        <v>24940</v>
      </c>
      <c r="H770" s="109"/>
      <c r="I770" s="38">
        <f t="shared" si="342"/>
        <v>24940</v>
      </c>
      <c r="J770" s="63"/>
      <c r="K770" s="77"/>
      <c r="L770" s="63"/>
      <c r="M770" s="218" t="str">
        <f t="shared" si="321"/>
        <v/>
      </c>
      <c r="N770" s="218" t="str">
        <f t="shared" si="322"/>
        <v/>
      </c>
      <c r="O770" s="218">
        <f t="shared" si="323"/>
        <v>0</v>
      </c>
      <c r="P770" s="218"/>
    </row>
    <row r="771" spans="1:16" s="3" customFormat="1" ht="12.75" customHeight="1">
      <c r="A771" s="36" t="s">
        <v>2347</v>
      </c>
      <c r="B771" s="211" t="s">
        <v>2346</v>
      </c>
      <c r="C771" s="211" t="s">
        <v>2294</v>
      </c>
      <c r="D771" s="38"/>
      <c r="E771" s="77"/>
      <c r="F771" s="63"/>
      <c r="G771" s="38">
        <v>15500</v>
      </c>
      <c r="H771" s="109"/>
      <c r="I771" s="38">
        <f t="shared" si="342"/>
        <v>15500</v>
      </c>
      <c r="J771" s="63"/>
      <c r="K771" s="77"/>
      <c r="L771" s="63"/>
      <c r="M771" s="218" t="str">
        <f t="shared" si="321"/>
        <v/>
      </c>
      <c r="N771" s="218" t="str">
        <f t="shared" si="322"/>
        <v/>
      </c>
      <c r="O771" s="218">
        <f t="shared" si="323"/>
        <v>0</v>
      </c>
      <c r="P771" s="218"/>
    </row>
    <row r="772" spans="1:16" s="3" customFormat="1" ht="12.75" hidden="1" customHeight="1">
      <c r="A772" s="46" t="s">
        <v>792</v>
      </c>
      <c r="B772" s="33" t="s">
        <v>152</v>
      </c>
      <c r="C772" s="211" t="s">
        <v>1332</v>
      </c>
      <c r="D772" s="38"/>
      <c r="E772" s="77"/>
      <c r="F772" s="63">
        <f t="shared" ref="F772:F773" si="345">SUM(D772:E772)</f>
        <v>0</v>
      </c>
      <c r="G772" s="38"/>
      <c r="H772" s="109"/>
      <c r="I772" s="38">
        <f t="shared" si="342"/>
        <v>0</v>
      </c>
      <c r="J772" s="63"/>
      <c r="K772" s="77"/>
      <c r="L772" s="63">
        <f t="shared" ref="L772:L773" si="346">SUM(J772:K772)</f>
        <v>0</v>
      </c>
      <c r="M772" s="218" t="str">
        <f t="shared" si="321"/>
        <v/>
      </c>
      <c r="N772" s="218" t="str">
        <f t="shared" si="322"/>
        <v/>
      </c>
      <c r="O772" s="218" t="str">
        <f t="shared" si="323"/>
        <v/>
      </c>
      <c r="P772" s="218" t="str">
        <f t="shared" ref="P772:P779" si="347">IF(I772&gt;0,IF(L772&gt;=0,L772/I772*100,""),"")</f>
        <v/>
      </c>
    </row>
    <row r="773" spans="1:16" s="3" customFormat="1" ht="12.75" hidden="1" customHeight="1">
      <c r="A773" s="46" t="s">
        <v>791</v>
      </c>
      <c r="B773" s="33" t="s">
        <v>151</v>
      </c>
      <c r="C773" s="211" t="s">
        <v>1333</v>
      </c>
      <c r="D773" s="38"/>
      <c r="E773" s="77"/>
      <c r="F773" s="63">
        <f t="shared" si="345"/>
        <v>0</v>
      </c>
      <c r="G773" s="38"/>
      <c r="H773" s="109"/>
      <c r="I773" s="38">
        <f t="shared" si="342"/>
        <v>0</v>
      </c>
      <c r="J773" s="63"/>
      <c r="K773" s="77"/>
      <c r="L773" s="63">
        <f t="shared" si="346"/>
        <v>0</v>
      </c>
      <c r="M773" s="218" t="str">
        <f t="shared" si="321"/>
        <v/>
      </c>
      <c r="N773" s="218" t="str">
        <f t="shared" si="322"/>
        <v/>
      </c>
      <c r="O773" s="218" t="str">
        <f t="shared" si="323"/>
        <v/>
      </c>
      <c r="P773" s="218" t="str">
        <f t="shared" si="347"/>
        <v/>
      </c>
    </row>
    <row r="774" spans="1:16" s="3" customFormat="1" ht="6" customHeight="1">
      <c r="A774" s="36"/>
      <c r="B774" s="33"/>
      <c r="C774" s="211" t="s">
        <v>268</v>
      </c>
      <c r="D774" s="63"/>
      <c r="E774" s="63"/>
      <c r="F774" s="63"/>
      <c r="G774" s="38"/>
      <c r="H774" s="38"/>
      <c r="I774" s="38"/>
      <c r="J774" s="63"/>
      <c r="K774" s="63"/>
      <c r="L774" s="63"/>
      <c r="M774" s="218" t="str">
        <f t="shared" si="321"/>
        <v/>
      </c>
      <c r="N774" s="218" t="str">
        <f t="shared" si="322"/>
        <v/>
      </c>
      <c r="O774" s="218" t="str">
        <f t="shared" si="323"/>
        <v/>
      </c>
      <c r="P774" s="218" t="str">
        <f t="shared" si="347"/>
        <v/>
      </c>
    </row>
    <row r="775" spans="1:16" s="3" customFormat="1" ht="12.75">
      <c r="A775" s="58" t="s">
        <v>156</v>
      </c>
      <c r="B775" s="65" t="s">
        <v>265</v>
      </c>
      <c r="C775" s="308" t="s">
        <v>940</v>
      </c>
      <c r="D775" s="83">
        <f>SUM(D777:D785)</f>
        <v>7704730</v>
      </c>
      <c r="E775" s="83">
        <f>SUM(E777:E777)</f>
        <v>0</v>
      </c>
      <c r="F775" s="69">
        <f t="shared" ref="F775:F778" si="348">SUM(D775:E775)</f>
        <v>7704730</v>
      </c>
      <c r="G775" s="121">
        <f>SUM(G777:G785)</f>
        <v>8190014</v>
      </c>
      <c r="H775" s="121">
        <f>SUM(H777:H777)</f>
        <v>0</v>
      </c>
      <c r="I775" s="115">
        <f t="shared" ref="I775:I785" si="349">SUM(G775:H775)</f>
        <v>8190014</v>
      </c>
      <c r="J775" s="83">
        <f>SUM(J777:J785)</f>
        <v>8024720</v>
      </c>
      <c r="K775" s="83">
        <f>SUM(K777:K777)</f>
        <v>0</v>
      </c>
      <c r="L775" s="69">
        <f t="shared" ref="L775:L776" si="350">SUM(J775:K775)</f>
        <v>8024720</v>
      </c>
      <c r="M775" s="217">
        <f t="shared" si="321"/>
        <v>104.15316305697928</v>
      </c>
      <c r="N775" s="217">
        <f t="shared" si="322"/>
        <v>104.15316305697928</v>
      </c>
      <c r="O775" s="217">
        <f t="shared" si="323"/>
        <v>97.981761691738257</v>
      </c>
      <c r="P775" s="217">
        <f t="shared" si="347"/>
        <v>97.981761691738257</v>
      </c>
    </row>
    <row r="776" spans="1:16" s="3" customFormat="1" ht="12.75" customHeight="1">
      <c r="A776" s="36" t="s">
        <v>267</v>
      </c>
      <c r="B776" s="79"/>
      <c r="C776" s="302" t="s">
        <v>268</v>
      </c>
      <c r="D776" s="63">
        <f>SUM(D777:D783)</f>
        <v>7704730</v>
      </c>
      <c r="E776" s="63">
        <f>SUM(E777:E783)</f>
        <v>0</v>
      </c>
      <c r="F776" s="63">
        <f t="shared" si="348"/>
        <v>7704730</v>
      </c>
      <c r="G776" s="38">
        <f>SUM(G777:G783)</f>
        <v>8160909</v>
      </c>
      <c r="H776" s="38">
        <f>SUM(H777:H783)</f>
        <v>0</v>
      </c>
      <c r="I776" s="38">
        <f t="shared" si="349"/>
        <v>8160909</v>
      </c>
      <c r="J776" s="63">
        <f>SUM(J777:J783)</f>
        <v>8024720</v>
      </c>
      <c r="K776" s="63">
        <f>SUM(K777:K783)</f>
        <v>0</v>
      </c>
      <c r="L776" s="63">
        <f t="shared" si="350"/>
        <v>8024720</v>
      </c>
      <c r="M776" s="218">
        <f t="shared" si="321"/>
        <v>104.15316305697928</v>
      </c>
      <c r="N776" s="218">
        <f t="shared" si="322"/>
        <v>104.15316305697928</v>
      </c>
      <c r="O776" s="218">
        <f t="shared" si="323"/>
        <v>98.331203055934097</v>
      </c>
      <c r="P776" s="218">
        <f t="shared" si="347"/>
        <v>98.331203055934097</v>
      </c>
    </row>
    <row r="777" spans="1:16" s="3" customFormat="1" ht="12.75" customHeight="1">
      <c r="A777" s="36" t="s">
        <v>180</v>
      </c>
      <c r="B777" s="33" t="s">
        <v>419</v>
      </c>
      <c r="C777" s="211" t="s">
        <v>1334</v>
      </c>
      <c r="D777" s="63">
        <v>7588530</v>
      </c>
      <c r="E777" s="63"/>
      <c r="F777" s="63">
        <f t="shared" si="348"/>
        <v>7588530</v>
      </c>
      <c r="G777" s="38">
        <v>7806473</v>
      </c>
      <c r="H777" s="38"/>
      <c r="I777" s="38">
        <f t="shared" si="349"/>
        <v>7806473</v>
      </c>
      <c r="J777" s="63">
        <v>7878320</v>
      </c>
      <c r="K777" s="63"/>
      <c r="L777" s="63">
        <f t="shared" ref="L777:L778" si="351">SUM(J777:K777)</f>
        <v>7878320</v>
      </c>
      <c r="M777" s="218">
        <f t="shared" si="321"/>
        <v>103.81878967336229</v>
      </c>
      <c r="N777" s="218">
        <f t="shared" si="322"/>
        <v>103.81878967336229</v>
      </c>
      <c r="O777" s="218">
        <f t="shared" si="323"/>
        <v>100.92035161077224</v>
      </c>
      <c r="P777" s="218">
        <f t="shared" si="347"/>
        <v>100.92035161077224</v>
      </c>
    </row>
    <row r="778" spans="1:16" s="3" customFormat="1" ht="12.75" customHeight="1">
      <c r="A778" s="36" t="s">
        <v>368</v>
      </c>
      <c r="B778" s="33" t="s">
        <v>418</v>
      </c>
      <c r="C778" s="211" t="s">
        <v>1335</v>
      </c>
      <c r="D778" s="63">
        <v>18400</v>
      </c>
      <c r="E778" s="63"/>
      <c r="F778" s="63">
        <f t="shared" si="348"/>
        <v>18400</v>
      </c>
      <c r="G778" s="38">
        <v>99296</v>
      </c>
      <c r="H778" s="38"/>
      <c r="I778" s="38">
        <f t="shared" si="349"/>
        <v>99296</v>
      </c>
      <c r="J778" s="63">
        <v>31600</v>
      </c>
      <c r="K778" s="63"/>
      <c r="L778" s="63">
        <f t="shared" si="351"/>
        <v>31600</v>
      </c>
      <c r="M778" s="218">
        <f t="shared" si="321"/>
        <v>171.73913043478262</v>
      </c>
      <c r="N778" s="218">
        <f t="shared" si="322"/>
        <v>171.73913043478262</v>
      </c>
      <c r="O778" s="218">
        <f t="shared" si="323"/>
        <v>31.824041250402836</v>
      </c>
      <c r="P778" s="218">
        <f t="shared" si="347"/>
        <v>31.824041250402836</v>
      </c>
    </row>
    <row r="779" spans="1:16" s="3" customFormat="1" ht="12.75" customHeight="1">
      <c r="A779" s="46" t="s">
        <v>358</v>
      </c>
      <c r="B779" s="33" t="s">
        <v>417</v>
      </c>
      <c r="C779" s="211" t="s">
        <v>1337</v>
      </c>
      <c r="D779" s="38">
        <v>46800</v>
      </c>
      <c r="E779" s="77"/>
      <c r="F779" s="63">
        <f>SUM(D779:E779)</f>
        <v>46800</v>
      </c>
      <c r="G779" s="38">
        <v>93600</v>
      </c>
      <c r="H779" s="109"/>
      <c r="I779" s="38">
        <f t="shared" si="349"/>
        <v>93600</v>
      </c>
      <c r="J779" s="63">
        <v>46800</v>
      </c>
      <c r="K779" s="77"/>
      <c r="L779" s="63">
        <f>SUM(J779:K779)</f>
        <v>46800</v>
      </c>
      <c r="M779" s="218">
        <f t="shared" si="321"/>
        <v>100</v>
      </c>
      <c r="N779" s="218">
        <f t="shared" si="322"/>
        <v>100</v>
      </c>
      <c r="O779" s="218">
        <f t="shared" si="323"/>
        <v>50</v>
      </c>
      <c r="P779" s="218">
        <f t="shared" si="347"/>
        <v>50</v>
      </c>
    </row>
    <row r="780" spans="1:16" s="3" customFormat="1" ht="12.75" customHeight="1">
      <c r="A780" s="46" t="s">
        <v>651</v>
      </c>
      <c r="B780" s="33" t="s">
        <v>650</v>
      </c>
      <c r="C780" s="211" t="s">
        <v>1336</v>
      </c>
      <c r="D780" s="38">
        <v>26000</v>
      </c>
      <c r="E780" s="77"/>
      <c r="F780" s="63">
        <f>SUM(D780:E780)</f>
        <v>26000</v>
      </c>
      <c r="G780" s="38">
        <v>26000</v>
      </c>
      <c r="H780" s="109"/>
      <c r="I780" s="38">
        <f>SUM(G780:H780)</f>
        <v>26000</v>
      </c>
      <c r="J780" s="63">
        <v>42000</v>
      </c>
      <c r="K780" s="77"/>
      <c r="L780" s="63">
        <f>SUM(J780:K780)</f>
        <v>42000</v>
      </c>
      <c r="M780" s="218">
        <f t="shared" si="321"/>
        <v>161.53846153846155</v>
      </c>
      <c r="N780" s="218">
        <f t="shared" si="322"/>
        <v>161.53846153846155</v>
      </c>
      <c r="O780" s="218">
        <f t="shared" si="323"/>
        <v>161.53846153846155</v>
      </c>
      <c r="P780" s="218">
        <f>IF(I780&gt;0,IF(L780&gt;=0,L780/I780*100,""),"")</f>
        <v>161.53846153846155</v>
      </c>
    </row>
    <row r="781" spans="1:16" s="3" customFormat="1" ht="12.75" customHeight="1">
      <c r="A781" s="36" t="s">
        <v>375</v>
      </c>
      <c r="B781" s="33" t="s">
        <v>150</v>
      </c>
      <c r="C781" s="211" t="s">
        <v>1338</v>
      </c>
      <c r="D781" s="63">
        <v>25000</v>
      </c>
      <c r="E781" s="63"/>
      <c r="F781" s="63">
        <f>SUM(D781:E781)</f>
        <v>25000</v>
      </c>
      <c r="G781" s="38">
        <v>40000</v>
      </c>
      <c r="H781" s="38"/>
      <c r="I781" s="38">
        <f>SUM(G781:H781)</f>
        <v>40000</v>
      </c>
      <c r="J781" s="63">
        <v>26000</v>
      </c>
      <c r="K781" s="63"/>
      <c r="L781" s="63">
        <f>SUM(J781:K781)</f>
        <v>26000</v>
      </c>
      <c r="M781" s="218">
        <f t="shared" si="321"/>
        <v>104</v>
      </c>
      <c r="N781" s="218">
        <f t="shared" si="322"/>
        <v>104</v>
      </c>
      <c r="O781" s="218">
        <f t="shared" si="323"/>
        <v>65</v>
      </c>
      <c r="P781" s="218">
        <f>IF(I781&gt;0,IF(L781&gt;=0,L781/I781*100,""),"")</f>
        <v>65</v>
      </c>
    </row>
    <row r="782" spans="1:16" s="3" customFormat="1" ht="12.75" customHeight="1">
      <c r="A782" s="46" t="s">
        <v>2074</v>
      </c>
      <c r="B782" s="211" t="s">
        <v>2075</v>
      </c>
      <c r="C782" s="211" t="s">
        <v>2149</v>
      </c>
      <c r="D782" s="38"/>
      <c r="E782" s="77"/>
      <c r="F782" s="63"/>
      <c r="G782" s="38">
        <v>85040</v>
      </c>
      <c r="H782" s="109"/>
      <c r="I782" s="38">
        <f t="shared" si="349"/>
        <v>85040</v>
      </c>
      <c r="J782" s="63"/>
      <c r="K782" s="77"/>
      <c r="L782" s="63"/>
      <c r="M782" s="218" t="str">
        <f t="shared" si="321"/>
        <v/>
      </c>
      <c r="N782" s="218" t="str">
        <f t="shared" si="322"/>
        <v/>
      </c>
      <c r="O782" s="218">
        <f t="shared" si="323"/>
        <v>0</v>
      </c>
      <c r="P782" s="218"/>
    </row>
    <row r="783" spans="1:16" s="3" customFormat="1" ht="12.75" customHeight="1">
      <c r="A783" s="46" t="s">
        <v>2347</v>
      </c>
      <c r="B783" s="211" t="s">
        <v>2346</v>
      </c>
      <c r="C783" s="211" t="s">
        <v>2291</v>
      </c>
      <c r="D783" s="38"/>
      <c r="E783" s="77"/>
      <c r="F783" s="63"/>
      <c r="G783" s="38">
        <v>10500</v>
      </c>
      <c r="H783" s="109"/>
      <c r="I783" s="38">
        <f t="shared" si="349"/>
        <v>10500</v>
      </c>
      <c r="J783" s="63"/>
      <c r="K783" s="77"/>
      <c r="L783" s="63"/>
      <c r="M783" s="218" t="str">
        <f t="shared" ref="M783:M846" si="352">IF(D783&gt;0,IF(J783&gt;=0,J783/D783*100,""),"")</f>
        <v/>
      </c>
      <c r="N783" s="218" t="str">
        <f t="shared" ref="N783:N846" si="353">IF(F783&gt;0,IF(L783&gt;=0,L783/F783*100,""),"")</f>
        <v/>
      </c>
      <c r="O783" s="218">
        <f t="shared" ref="O783:O846" si="354">IF(G783&gt;0,IF(J783&gt;=0,J783/G783*100,""),"")</f>
        <v>0</v>
      </c>
      <c r="P783" s="218"/>
    </row>
    <row r="784" spans="1:16" s="3" customFormat="1" ht="12.75" hidden="1" customHeight="1">
      <c r="A784" s="46" t="s">
        <v>792</v>
      </c>
      <c r="B784" s="211" t="s">
        <v>152</v>
      </c>
      <c r="C784" s="211" t="s">
        <v>1339</v>
      </c>
      <c r="D784" s="63"/>
      <c r="E784" s="63"/>
      <c r="F784" s="63">
        <f t="shared" ref="F784" si="355">SUM(D784:E784)</f>
        <v>0</v>
      </c>
      <c r="G784" s="38"/>
      <c r="H784" s="38"/>
      <c r="I784" s="38">
        <f t="shared" si="349"/>
        <v>0</v>
      </c>
      <c r="J784" s="63"/>
      <c r="K784" s="63"/>
      <c r="L784" s="63">
        <f t="shared" ref="L784" si="356">SUM(J784:K784)</f>
        <v>0</v>
      </c>
      <c r="M784" s="218" t="str">
        <f t="shared" si="352"/>
        <v/>
      </c>
      <c r="N784" s="218" t="str">
        <f t="shared" si="353"/>
        <v/>
      </c>
      <c r="O784" s="218" t="str">
        <f t="shared" si="354"/>
        <v/>
      </c>
      <c r="P784" s="218" t="str">
        <f t="shared" ref="P784:P790" si="357">IF(I784&gt;0,IF(L784&gt;=0,L784/I784*100,""),"")</f>
        <v/>
      </c>
    </row>
    <row r="785" spans="1:16" s="3" customFormat="1" ht="12.75" customHeight="1">
      <c r="A785" s="46" t="s">
        <v>791</v>
      </c>
      <c r="B785" s="211" t="s">
        <v>151</v>
      </c>
      <c r="C785" s="211" t="s">
        <v>1340</v>
      </c>
      <c r="D785" s="63"/>
      <c r="E785" s="63"/>
      <c r="F785" s="63"/>
      <c r="G785" s="38">
        <v>29105</v>
      </c>
      <c r="H785" s="38"/>
      <c r="I785" s="38">
        <f t="shared" si="349"/>
        <v>29105</v>
      </c>
      <c r="J785" s="63"/>
      <c r="K785" s="63"/>
      <c r="L785" s="63"/>
      <c r="M785" s="218" t="str">
        <f t="shared" si="352"/>
        <v/>
      </c>
      <c r="N785" s="218" t="str">
        <f t="shared" si="353"/>
        <v/>
      </c>
      <c r="O785" s="218">
        <f t="shared" si="354"/>
        <v>0</v>
      </c>
      <c r="P785" s="218">
        <f t="shared" si="357"/>
        <v>0</v>
      </c>
    </row>
    <row r="786" spans="1:16" s="3" customFormat="1" ht="6" customHeight="1">
      <c r="A786" s="46"/>
      <c r="B786" s="33"/>
      <c r="C786" s="211" t="s">
        <v>268</v>
      </c>
      <c r="D786" s="63"/>
      <c r="E786" s="63"/>
      <c r="F786" s="63"/>
      <c r="G786" s="38"/>
      <c r="H786" s="38"/>
      <c r="I786" s="38"/>
      <c r="J786" s="63"/>
      <c r="K786" s="63"/>
      <c r="L786" s="63"/>
      <c r="M786" s="218" t="str">
        <f t="shared" si="352"/>
        <v/>
      </c>
      <c r="N786" s="218" t="str">
        <f t="shared" si="353"/>
        <v/>
      </c>
      <c r="O786" s="218" t="str">
        <f t="shared" si="354"/>
        <v/>
      </c>
      <c r="P786" s="218" t="str">
        <f t="shared" si="357"/>
        <v/>
      </c>
    </row>
    <row r="787" spans="1:16" s="11" customFormat="1" ht="12.75">
      <c r="A787" s="58" t="s">
        <v>223</v>
      </c>
      <c r="B787" s="65" t="s">
        <v>265</v>
      </c>
      <c r="C787" s="308" t="s">
        <v>940</v>
      </c>
      <c r="D787" s="83">
        <f>SUM(D789:D795)</f>
        <v>4119650</v>
      </c>
      <c r="E787" s="83">
        <f>SUM(E789:E795)</f>
        <v>0</v>
      </c>
      <c r="F787" s="69">
        <f t="shared" ref="F787:F795" si="358">SUM(D787:E787)</f>
        <v>4119650</v>
      </c>
      <c r="G787" s="121">
        <f>SUM(G789:G795)</f>
        <v>4929745</v>
      </c>
      <c r="H787" s="121">
        <f>SUM(H789:H795)</f>
        <v>0</v>
      </c>
      <c r="I787" s="115">
        <f t="shared" ref="I787:I795" si="359">SUM(G787:H787)</f>
        <v>4929745</v>
      </c>
      <c r="J787" s="69">
        <f>SUM(J789:J795)</f>
        <v>4779880</v>
      </c>
      <c r="K787" s="83">
        <f>SUM(K789:K795)</f>
        <v>0</v>
      </c>
      <c r="L787" s="69">
        <f t="shared" ref="L787:L795" si="360">SUM(J787:K787)</f>
        <v>4779880</v>
      </c>
      <c r="M787" s="217">
        <f t="shared" si="352"/>
        <v>116.02636146274563</v>
      </c>
      <c r="N787" s="217">
        <f t="shared" si="353"/>
        <v>116.02636146274563</v>
      </c>
      <c r="O787" s="217">
        <f t="shared" si="354"/>
        <v>96.959984745661288</v>
      </c>
      <c r="P787" s="217">
        <f t="shared" si="357"/>
        <v>96.959984745661288</v>
      </c>
    </row>
    <row r="788" spans="1:16" s="3" customFormat="1" hidden="1">
      <c r="A788" s="36" t="s">
        <v>267</v>
      </c>
      <c r="B788" s="79"/>
      <c r="C788" s="302" t="s">
        <v>268</v>
      </c>
      <c r="D788" s="63">
        <f>SUM(D789:D794)</f>
        <v>4119650</v>
      </c>
      <c r="E788" s="63">
        <f>SUM(E789:E794)</f>
        <v>0</v>
      </c>
      <c r="F788" s="63">
        <f t="shared" si="358"/>
        <v>4119650</v>
      </c>
      <c r="G788" s="38">
        <f>SUM(G789:G794)</f>
        <v>4929745</v>
      </c>
      <c r="H788" s="38">
        <f>SUM(H789:H794)</f>
        <v>0</v>
      </c>
      <c r="I788" s="38">
        <f t="shared" si="359"/>
        <v>4929745</v>
      </c>
      <c r="J788" s="63">
        <f>SUM(J789:J794)</f>
        <v>4779880</v>
      </c>
      <c r="K788" s="63">
        <f>SUM(K789:K794)</f>
        <v>0</v>
      </c>
      <c r="L788" s="63">
        <f t="shared" si="360"/>
        <v>4779880</v>
      </c>
      <c r="M788" s="218">
        <f t="shared" si="352"/>
        <v>116.02636146274563</v>
      </c>
      <c r="N788" s="218">
        <f t="shared" si="353"/>
        <v>116.02636146274563</v>
      </c>
      <c r="O788" s="218">
        <f t="shared" si="354"/>
        <v>96.959984745661288</v>
      </c>
      <c r="P788" s="218">
        <f t="shared" si="357"/>
        <v>96.959984745661288</v>
      </c>
    </row>
    <row r="789" spans="1:16" s="7" customFormat="1" ht="12.75" customHeight="1">
      <c r="A789" s="36" t="s">
        <v>180</v>
      </c>
      <c r="B789" s="33" t="s">
        <v>419</v>
      </c>
      <c r="C789" s="211" t="s">
        <v>1341</v>
      </c>
      <c r="D789" s="63">
        <v>3994650</v>
      </c>
      <c r="E789" s="63"/>
      <c r="F789" s="63">
        <f t="shared" si="358"/>
        <v>3994650</v>
      </c>
      <c r="G789" s="38">
        <v>4604850</v>
      </c>
      <c r="H789" s="38"/>
      <c r="I789" s="38">
        <f t="shared" si="359"/>
        <v>4604850</v>
      </c>
      <c r="J789" s="63">
        <v>4615880</v>
      </c>
      <c r="K789" s="63"/>
      <c r="L789" s="63">
        <f t="shared" si="360"/>
        <v>4615880</v>
      </c>
      <c r="M789" s="218">
        <f t="shared" si="352"/>
        <v>115.55155019839034</v>
      </c>
      <c r="N789" s="218">
        <f t="shared" si="353"/>
        <v>115.55155019839034</v>
      </c>
      <c r="O789" s="218">
        <f t="shared" si="354"/>
        <v>100.23953006069688</v>
      </c>
      <c r="P789" s="218">
        <f t="shared" si="357"/>
        <v>100.23953006069688</v>
      </c>
    </row>
    <row r="790" spans="1:16" s="7" customFormat="1" ht="12.75" customHeight="1">
      <c r="A790" s="36" t="s">
        <v>368</v>
      </c>
      <c r="B790" s="33" t="s">
        <v>418</v>
      </c>
      <c r="C790" s="211" t="s">
        <v>1342</v>
      </c>
      <c r="D790" s="63">
        <v>30000</v>
      </c>
      <c r="E790" s="63"/>
      <c r="F790" s="63">
        <f t="shared" si="358"/>
        <v>30000</v>
      </c>
      <c r="G790" s="38">
        <v>82395</v>
      </c>
      <c r="H790" s="38"/>
      <c r="I790" s="38">
        <f t="shared" si="359"/>
        <v>82395</v>
      </c>
      <c r="J790" s="63">
        <v>41000</v>
      </c>
      <c r="K790" s="63"/>
      <c r="L790" s="63">
        <f t="shared" si="360"/>
        <v>41000</v>
      </c>
      <c r="M790" s="218">
        <f t="shared" si="352"/>
        <v>136.66666666666666</v>
      </c>
      <c r="N790" s="218">
        <f t="shared" si="353"/>
        <v>136.66666666666666</v>
      </c>
      <c r="O790" s="218">
        <f t="shared" si="354"/>
        <v>49.76030098913769</v>
      </c>
      <c r="P790" s="218">
        <f t="shared" si="357"/>
        <v>49.76030098913769</v>
      </c>
    </row>
    <row r="791" spans="1:16" s="7" customFormat="1" ht="12.75" customHeight="1">
      <c r="A791" s="46" t="s">
        <v>651</v>
      </c>
      <c r="B791" s="33" t="s">
        <v>650</v>
      </c>
      <c r="C791" s="211" t="s">
        <v>1343</v>
      </c>
      <c r="D791" s="63">
        <v>85000</v>
      </c>
      <c r="E791" s="63"/>
      <c r="F791" s="63">
        <f>SUM(D791:E791)</f>
        <v>85000</v>
      </c>
      <c r="G791" s="38">
        <v>85000</v>
      </c>
      <c r="H791" s="38"/>
      <c r="I791" s="38">
        <f>SUM(G791:H791)</f>
        <v>85000</v>
      </c>
      <c r="J791" s="63">
        <v>112000</v>
      </c>
      <c r="K791" s="63"/>
      <c r="L791" s="63">
        <f>SUM(J791:K791)</f>
        <v>112000</v>
      </c>
      <c r="M791" s="218">
        <f t="shared" si="352"/>
        <v>131.76470588235293</v>
      </c>
      <c r="N791" s="218">
        <f t="shared" si="353"/>
        <v>131.76470588235293</v>
      </c>
      <c r="O791" s="218">
        <f t="shared" si="354"/>
        <v>131.76470588235293</v>
      </c>
      <c r="P791" s="218">
        <f>IF(I791&gt;0,IF(L791&gt;=0,L791/I791*100,""),"")</f>
        <v>131.76470588235293</v>
      </c>
    </row>
    <row r="792" spans="1:16" s="7" customFormat="1" ht="12.75" customHeight="1">
      <c r="A792" s="36" t="s">
        <v>375</v>
      </c>
      <c r="B792" s="33" t="s">
        <v>150</v>
      </c>
      <c r="C792" s="211" t="s">
        <v>1344</v>
      </c>
      <c r="D792" s="63">
        <v>10000</v>
      </c>
      <c r="E792" s="63"/>
      <c r="F792" s="63">
        <f>SUM(D792:E792)</f>
        <v>10000</v>
      </c>
      <c r="G792" s="38">
        <v>10000</v>
      </c>
      <c r="H792" s="38"/>
      <c r="I792" s="38">
        <f>SUM(G792:H792)</f>
        <v>10000</v>
      </c>
      <c r="J792" s="63">
        <v>11000</v>
      </c>
      <c r="K792" s="63"/>
      <c r="L792" s="63">
        <f>SUM(J792:K792)</f>
        <v>11000</v>
      </c>
      <c r="M792" s="218">
        <f t="shared" si="352"/>
        <v>110.00000000000001</v>
      </c>
      <c r="N792" s="218">
        <f t="shared" si="353"/>
        <v>110.00000000000001</v>
      </c>
      <c r="O792" s="218">
        <f t="shared" si="354"/>
        <v>110.00000000000001</v>
      </c>
      <c r="P792" s="218">
        <f>IF(I792&gt;0,IF(L792&gt;=0,L792/I792*100,""),"")</f>
        <v>110.00000000000001</v>
      </c>
    </row>
    <row r="793" spans="1:16" s="7" customFormat="1" ht="12.75" customHeight="1">
      <c r="A793" s="36" t="s">
        <v>2074</v>
      </c>
      <c r="B793" s="211" t="s">
        <v>2075</v>
      </c>
      <c r="C793" s="211" t="s">
        <v>2150</v>
      </c>
      <c r="D793" s="63"/>
      <c r="E793" s="63"/>
      <c r="F793" s="63"/>
      <c r="G793" s="38">
        <v>132000</v>
      </c>
      <c r="H793" s="38"/>
      <c r="I793" s="38">
        <f t="shared" si="359"/>
        <v>132000</v>
      </c>
      <c r="J793" s="63"/>
      <c r="K793" s="63"/>
      <c r="L793" s="63"/>
      <c r="M793" s="218" t="str">
        <f t="shared" si="352"/>
        <v/>
      </c>
      <c r="N793" s="218" t="str">
        <f t="shared" si="353"/>
        <v/>
      </c>
      <c r="O793" s="218">
        <f t="shared" si="354"/>
        <v>0</v>
      </c>
      <c r="P793" s="218"/>
    </row>
    <row r="794" spans="1:16" s="7" customFormat="1" ht="12.75" customHeight="1">
      <c r="A794" s="36" t="s">
        <v>2347</v>
      </c>
      <c r="B794" s="211" t="s">
        <v>2346</v>
      </c>
      <c r="C794" s="211" t="s">
        <v>2290</v>
      </c>
      <c r="D794" s="63"/>
      <c r="E794" s="63"/>
      <c r="F794" s="63"/>
      <c r="G794" s="38">
        <v>15500</v>
      </c>
      <c r="H794" s="38"/>
      <c r="I794" s="38">
        <f t="shared" si="359"/>
        <v>15500</v>
      </c>
      <c r="J794" s="63"/>
      <c r="K794" s="63"/>
      <c r="L794" s="63"/>
      <c r="M794" s="218" t="str">
        <f t="shared" si="352"/>
        <v/>
      </c>
      <c r="N794" s="218" t="str">
        <f t="shared" si="353"/>
        <v/>
      </c>
      <c r="O794" s="218">
        <f t="shared" si="354"/>
        <v>0</v>
      </c>
      <c r="P794" s="218"/>
    </row>
    <row r="795" spans="1:16" s="7" customFormat="1" hidden="1">
      <c r="A795" s="36" t="s">
        <v>791</v>
      </c>
      <c r="B795" s="33" t="s">
        <v>151</v>
      </c>
      <c r="C795" s="211" t="s">
        <v>1345</v>
      </c>
      <c r="D795" s="63"/>
      <c r="E795" s="63"/>
      <c r="F795" s="63">
        <f t="shared" si="358"/>
        <v>0</v>
      </c>
      <c r="G795" s="38"/>
      <c r="H795" s="38"/>
      <c r="I795" s="38">
        <f t="shared" si="359"/>
        <v>0</v>
      </c>
      <c r="J795" s="63"/>
      <c r="K795" s="63"/>
      <c r="L795" s="63">
        <f t="shared" si="360"/>
        <v>0</v>
      </c>
      <c r="M795" s="218" t="str">
        <f t="shared" si="352"/>
        <v/>
      </c>
      <c r="N795" s="218" t="str">
        <f t="shared" si="353"/>
        <v/>
      </c>
      <c r="O795" s="218" t="str">
        <f t="shared" si="354"/>
        <v/>
      </c>
      <c r="P795" s="218" t="str">
        <f t="shared" ref="P795:P800" si="361">IF(I795&gt;0,IF(L795&gt;=0,L795/I795*100,""),"")</f>
        <v/>
      </c>
    </row>
    <row r="796" spans="1:16" s="7" customFormat="1" ht="6" customHeight="1">
      <c r="A796" s="36"/>
      <c r="B796" s="33"/>
      <c r="C796" s="211" t="s">
        <v>268</v>
      </c>
      <c r="D796" s="63"/>
      <c r="E796" s="63"/>
      <c r="F796" s="63"/>
      <c r="G796" s="38"/>
      <c r="H796" s="38"/>
      <c r="I796" s="38"/>
      <c r="J796" s="63"/>
      <c r="K796" s="63"/>
      <c r="L796" s="63"/>
      <c r="M796" s="218" t="str">
        <f t="shared" si="352"/>
        <v/>
      </c>
      <c r="N796" s="218" t="str">
        <f t="shared" si="353"/>
        <v/>
      </c>
      <c r="O796" s="218" t="str">
        <f t="shared" si="354"/>
        <v/>
      </c>
      <c r="P796" s="218" t="str">
        <f t="shared" si="361"/>
        <v/>
      </c>
    </row>
    <row r="797" spans="1:16" s="3" customFormat="1" ht="12.75">
      <c r="A797" s="58" t="s">
        <v>741</v>
      </c>
      <c r="B797" s="65" t="s">
        <v>265</v>
      </c>
      <c r="C797" s="308" t="s">
        <v>940</v>
      </c>
      <c r="D797" s="83">
        <f>SUM(D799:D806)</f>
        <v>4465090</v>
      </c>
      <c r="E797" s="83">
        <f>SUM(E799:E799)</f>
        <v>0</v>
      </c>
      <c r="F797" s="69">
        <f t="shared" ref="F797:F799" si="362">SUM(D797:E797)</f>
        <v>4465090</v>
      </c>
      <c r="G797" s="121">
        <f>SUM(G799:G806)</f>
        <v>5418548</v>
      </c>
      <c r="H797" s="121">
        <f>SUM(H799:H799)</f>
        <v>0</v>
      </c>
      <c r="I797" s="115">
        <f t="shared" ref="I797:I806" si="363">SUM(G797:H797)</f>
        <v>5418548</v>
      </c>
      <c r="J797" s="69">
        <f>SUM(J799:J806)</f>
        <v>5278530</v>
      </c>
      <c r="K797" s="83">
        <f>SUM(K799:K799)</f>
        <v>0</v>
      </c>
      <c r="L797" s="69">
        <f t="shared" ref="L797:L799" si="364">SUM(J797:K797)</f>
        <v>5278530</v>
      </c>
      <c r="M797" s="217">
        <f t="shared" si="352"/>
        <v>118.21777388585673</v>
      </c>
      <c r="N797" s="217">
        <f t="shared" si="353"/>
        <v>118.21777388585673</v>
      </c>
      <c r="O797" s="217">
        <f t="shared" si="354"/>
        <v>97.41594980795594</v>
      </c>
      <c r="P797" s="217">
        <f t="shared" si="361"/>
        <v>97.41594980795594</v>
      </c>
    </row>
    <row r="798" spans="1:16" s="3" customFormat="1" ht="12.75" customHeight="1">
      <c r="A798" s="46" t="s">
        <v>267</v>
      </c>
      <c r="B798" s="44"/>
      <c r="C798" s="304" t="s">
        <v>268</v>
      </c>
      <c r="D798" s="70">
        <f>SUM(D799:D805)</f>
        <v>4465090</v>
      </c>
      <c r="E798" s="70"/>
      <c r="F798" s="63">
        <f t="shared" si="362"/>
        <v>4465090</v>
      </c>
      <c r="G798" s="84">
        <f>SUM(G799:G805)</f>
        <v>5108548</v>
      </c>
      <c r="H798" s="84"/>
      <c r="I798" s="38">
        <f t="shared" si="363"/>
        <v>5108548</v>
      </c>
      <c r="J798" s="63">
        <f>SUM(J799:J805)</f>
        <v>5278530</v>
      </c>
      <c r="K798" s="70"/>
      <c r="L798" s="63">
        <f t="shared" si="364"/>
        <v>5278530</v>
      </c>
      <c r="M798" s="218">
        <f t="shared" si="352"/>
        <v>118.21777388585673</v>
      </c>
      <c r="N798" s="218">
        <f t="shared" si="353"/>
        <v>118.21777388585673</v>
      </c>
      <c r="O798" s="218">
        <f t="shared" si="354"/>
        <v>103.32740340308048</v>
      </c>
      <c r="P798" s="218">
        <f t="shared" si="361"/>
        <v>103.32740340308048</v>
      </c>
    </row>
    <row r="799" spans="1:16" s="3" customFormat="1" ht="12.75" customHeight="1">
      <c r="A799" s="36" t="s">
        <v>180</v>
      </c>
      <c r="B799" s="33" t="s">
        <v>419</v>
      </c>
      <c r="C799" s="211" t="s">
        <v>1346</v>
      </c>
      <c r="D799" s="63">
        <v>4345090</v>
      </c>
      <c r="E799" s="63"/>
      <c r="F799" s="63">
        <f t="shared" si="362"/>
        <v>4345090</v>
      </c>
      <c r="G799" s="38">
        <v>4619990</v>
      </c>
      <c r="H799" s="38"/>
      <c r="I799" s="38">
        <f t="shared" si="363"/>
        <v>4619990</v>
      </c>
      <c r="J799" s="63">
        <v>5048530</v>
      </c>
      <c r="K799" s="63"/>
      <c r="L799" s="63">
        <f t="shared" si="364"/>
        <v>5048530</v>
      </c>
      <c r="M799" s="218">
        <f t="shared" si="352"/>
        <v>116.18930793148128</v>
      </c>
      <c r="N799" s="218">
        <f t="shared" si="353"/>
        <v>116.18930793148128</v>
      </c>
      <c r="O799" s="218">
        <f t="shared" si="354"/>
        <v>109.27577765319838</v>
      </c>
      <c r="P799" s="218">
        <f t="shared" si="361"/>
        <v>109.27577765319838</v>
      </c>
    </row>
    <row r="800" spans="1:16" s="3" customFormat="1" ht="12.75" customHeight="1">
      <c r="A800" s="36" t="s">
        <v>368</v>
      </c>
      <c r="B800" s="33" t="s">
        <v>418</v>
      </c>
      <c r="C800" s="211" t="s">
        <v>1347</v>
      </c>
      <c r="D800" s="63">
        <v>7000</v>
      </c>
      <c r="E800" s="63"/>
      <c r="F800" s="63">
        <f>SUM(D800:E800)</f>
        <v>7000</v>
      </c>
      <c r="G800" s="38">
        <v>66438</v>
      </c>
      <c r="H800" s="38"/>
      <c r="I800" s="38">
        <f t="shared" si="363"/>
        <v>66438</v>
      </c>
      <c r="J800" s="63">
        <v>47000</v>
      </c>
      <c r="K800" s="63"/>
      <c r="L800" s="63">
        <f>SUM(J800:K800)</f>
        <v>47000</v>
      </c>
      <c r="M800" s="218">
        <f t="shared" si="352"/>
        <v>671.42857142857144</v>
      </c>
      <c r="N800" s="218">
        <f t="shared" si="353"/>
        <v>671.42857142857144</v>
      </c>
      <c r="O800" s="218">
        <f t="shared" si="354"/>
        <v>70.742647280170985</v>
      </c>
      <c r="P800" s="218">
        <f t="shared" si="361"/>
        <v>70.742647280170985</v>
      </c>
    </row>
    <row r="801" spans="1:16" s="3" customFormat="1" ht="12.75" customHeight="1">
      <c r="A801" s="36" t="s">
        <v>2466</v>
      </c>
      <c r="B801" s="33" t="s">
        <v>2451</v>
      </c>
      <c r="C801" s="211"/>
      <c r="D801" s="63"/>
      <c r="E801" s="63"/>
      <c r="F801" s="63"/>
      <c r="G801" s="38"/>
      <c r="H801" s="38"/>
      <c r="I801" s="38"/>
      <c r="J801" s="63">
        <f>21250+3750</f>
        <v>25000</v>
      </c>
      <c r="K801" s="63"/>
      <c r="L801" s="63">
        <f>SUM(J801:K801)</f>
        <v>25000</v>
      </c>
      <c r="M801" s="218" t="str">
        <f t="shared" si="352"/>
        <v/>
      </c>
      <c r="N801" s="218" t="str">
        <f t="shared" si="353"/>
        <v/>
      </c>
      <c r="O801" s="218" t="str">
        <f t="shared" si="354"/>
        <v/>
      </c>
      <c r="P801" s="218" t="str">
        <f t="shared" ref="P801" si="365">IF(I801&gt;0,IF(L801&gt;=0,L801/I801*100,""),"")</f>
        <v/>
      </c>
    </row>
    <row r="802" spans="1:16" s="3" customFormat="1" ht="12.75" customHeight="1">
      <c r="A802" s="46" t="s">
        <v>651</v>
      </c>
      <c r="B802" s="33" t="s">
        <v>650</v>
      </c>
      <c r="C802" s="211" t="s">
        <v>1348</v>
      </c>
      <c r="D802" s="63">
        <v>108000</v>
      </c>
      <c r="E802" s="63"/>
      <c r="F802" s="63">
        <f t="shared" ref="F802" si="366">SUM(D802:E802)</f>
        <v>108000</v>
      </c>
      <c r="G802" s="38">
        <v>114000</v>
      </c>
      <c r="H802" s="38"/>
      <c r="I802" s="38">
        <f>SUM(G802:H802)</f>
        <v>114000</v>
      </c>
      <c r="J802" s="63">
        <v>150000</v>
      </c>
      <c r="K802" s="63"/>
      <c r="L802" s="63">
        <f>SUM(J802:K802)</f>
        <v>150000</v>
      </c>
      <c r="M802" s="218">
        <f t="shared" si="352"/>
        <v>138.88888888888889</v>
      </c>
      <c r="N802" s="218">
        <f t="shared" si="353"/>
        <v>138.88888888888889</v>
      </c>
      <c r="O802" s="218">
        <f t="shared" si="354"/>
        <v>131.57894736842107</v>
      </c>
      <c r="P802" s="218">
        <f>IF(I802&gt;0,IF(L802&gt;=0,L802/I802*100,""),"")</f>
        <v>131.57894736842107</v>
      </c>
    </row>
    <row r="803" spans="1:16" s="3" customFormat="1" ht="12.75" customHeight="1">
      <c r="A803" s="36" t="s">
        <v>375</v>
      </c>
      <c r="B803" s="33" t="s">
        <v>150</v>
      </c>
      <c r="C803" s="211" t="s">
        <v>1349</v>
      </c>
      <c r="D803" s="63">
        <v>5000</v>
      </c>
      <c r="E803" s="63"/>
      <c r="F803" s="63">
        <f>SUM(D803:E803)</f>
        <v>5000</v>
      </c>
      <c r="G803" s="38">
        <v>250000</v>
      </c>
      <c r="H803" s="38"/>
      <c r="I803" s="38">
        <f>SUM(G803:H803)</f>
        <v>250000</v>
      </c>
      <c r="J803" s="63">
        <v>8000</v>
      </c>
      <c r="K803" s="63"/>
      <c r="L803" s="63">
        <f>SUM(J803:K803)</f>
        <v>8000</v>
      </c>
      <c r="M803" s="218">
        <f t="shared" si="352"/>
        <v>160</v>
      </c>
      <c r="N803" s="218">
        <f t="shared" si="353"/>
        <v>160</v>
      </c>
      <c r="O803" s="218">
        <f t="shared" si="354"/>
        <v>3.2</v>
      </c>
      <c r="P803" s="218">
        <f>IF(I803&gt;0,IF(L803&gt;=0,L803/I803*100,""),"")</f>
        <v>3.2</v>
      </c>
    </row>
    <row r="804" spans="1:16" s="3" customFormat="1" ht="12.75" customHeight="1">
      <c r="A804" s="36" t="s">
        <v>2074</v>
      </c>
      <c r="B804" s="211" t="s">
        <v>2075</v>
      </c>
      <c r="C804" s="211" t="s">
        <v>2151</v>
      </c>
      <c r="D804" s="63"/>
      <c r="E804" s="63"/>
      <c r="F804" s="63"/>
      <c r="G804" s="38">
        <v>42620</v>
      </c>
      <c r="H804" s="38"/>
      <c r="I804" s="38">
        <f t="shared" si="363"/>
        <v>42620</v>
      </c>
      <c r="J804" s="63"/>
      <c r="K804" s="63"/>
      <c r="L804" s="63"/>
      <c r="M804" s="218" t="str">
        <f t="shared" si="352"/>
        <v/>
      </c>
      <c r="N804" s="218" t="str">
        <f t="shared" si="353"/>
        <v/>
      </c>
      <c r="O804" s="218">
        <f t="shared" si="354"/>
        <v>0</v>
      </c>
      <c r="P804" s="218"/>
    </row>
    <row r="805" spans="1:16" s="3" customFormat="1" ht="12.75" customHeight="1">
      <c r="A805" s="36" t="s">
        <v>2347</v>
      </c>
      <c r="B805" s="211" t="s">
        <v>2346</v>
      </c>
      <c r="C805" s="211" t="s">
        <v>2289</v>
      </c>
      <c r="D805" s="63"/>
      <c r="E805" s="63"/>
      <c r="F805" s="63"/>
      <c r="G805" s="38">
        <v>15500</v>
      </c>
      <c r="H805" s="38"/>
      <c r="I805" s="38">
        <f t="shared" si="363"/>
        <v>15500</v>
      </c>
      <c r="J805" s="63"/>
      <c r="K805" s="63"/>
      <c r="L805" s="63"/>
      <c r="M805" s="218" t="str">
        <f t="shared" si="352"/>
        <v/>
      </c>
      <c r="N805" s="218" t="str">
        <f t="shared" si="353"/>
        <v/>
      </c>
      <c r="O805" s="218">
        <f t="shared" si="354"/>
        <v>0</v>
      </c>
      <c r="P805" s="218"/>
    </row>
    <row r="806" spans="1:16" s="3" customFormat="1" ht="12.75" customHeight="1">
      <c r="A806" s="36" t="s">
        <v>791</v>
      </c>
      <c r="B806" s="211" t="s">
        <v>151</v>
      </c>
      <c r="C806" s="211" t="s">
        <v>1350</v>
      </c>
      <c r="D806" s="63"/>
      <c r="E806" s="63"/>
      <c r="F806" s="63">
        <f t="shared" ref="F806" si="367">SUM(D806:E806)</f>
        <v>0</v>
      </c>
      <c r="G806" s="38">
        <v>310000</v>
      </c>
      <c r="H806" s="38"/>
      <c r="I806" s="38">
        <f t="shared" si="363"/>
        <v>310000</v>
      </c>
      <c r="J806" s="63"/>
      <c r="K806" s="63"/>
      <c r="L806" s="63">
        <f t="shared" ref="L806" si="368">SUM(J806:K806)</f>
        <v>0</v>
      </c>
      <c r="M806" s="218" t="str">
        <f t="shared" si="352"/>
        <v/>
      </c>
      <c r="N806" s="218" t="str">
        <f t="shared" si="353"/>
        <v/>
      </c>
      <c r="O806" s="218">
        <f t="shared" si="354"/>
        <v>0</v>
      </c>
      <c r="P806" s="218">
        <f t="shared" ref="P806:P811" si="369">IF(I806&gt;0,IF(L806&gt;=0,L806/I806*100,""),"")</f>
        <v>0</v>
      </c>
    </row>
    <row r="807" spans="1:16" s="7" customFormat="1" ht="6" customHeight="1">
      <c r="A807" s="36"/>
      <c r="B807" s="33"/>
      <c r="C807" s="211" t="s">
        <v>268</v>
      </c>
      <c r="D807" s="63"/>
      <c r="E807" s="63"/>
      <c r="F807" s="63"/>
      <c r="G807" s="38"/>
      <c r="H807" s="38"/>
      <c r="I807" s="38"/>
      <c r="J807" s="63"/>
      <c r="K807" s="63"/>
      <c r="L807" s="63"/>
      <c r="M807" s="218" t="str">
        <f t="shared" si="352"/>
        <v/>
      </c>
      <c r="N807" s="218" t="str">
        <f t="shared" si="353"/>
        <v/>
      </c>
      <c r="O807" s="218" t="str">
        <f t="shared" si="354"/>
        <v/>
      </c>
      <c r="P807" s="218" t="str">
        <f t="shared" si="369"/>
        <v/>
      </c>
    </row>
    <row r="808" spans="1:16" s="23" customFormat="1" ht="12.75">
      <c r="A808" s="72" t="s">
        <v>224</v>
      </c>
      <c r="B808" s="75" t="s">
        <v>265</v>
      </c>
      <c r="C808" s="307" t="s">
        <v>940</v>
      </c>
      <c r="D808" s="55">
        <f>SUM(D810:D815)</f>
        <v>4288460</v>
      </c>
      <c r="E808" s="55">
        <f>SUM(E810:E815)</f>
        <v>0</v>
      </c>
      <c r="F808" s="55">
        <f t="shared" ref="F808:F811" si="370">SUM(D808:E808)</f>
        <v>4288460</v>
      </c>
      <c r="G808" s="55">
        <f>SUM(G810:G815)</f>
        <v>4732892</v>
      </c>
      <c r="H808" s="55">
        <f>SUM(H810:H815)</f>
        <v>0</v>
      </c>
      <c r="I808" s="55">
        <f t="shared" ref="I808:I815" si="371">SUM(G808:H808)</f>
        <v>4732892</v>
      </c>
      <c r="J808" s="55">
        <f>SUM(J810:J815)</f>
        <v>4583170</v>
      </c>
      <c r="K808" s="55">
        <f>SUM(K810:K815)</f>
        <v>0</v>
      </c>
      <c r="L808" s="55">
        <f t="shared" ref="L808:L811" si="372">SUM(J808:K808)</f>
        <v>4583170</v>
      </c>
      <c r="M808" s="221">
        <f t="shared" si="352"/>
        <v>106.87216390032785</v>
      </c>
      <c r="N808" s="221">
        <f t="shared" si="353"/>
        <v>106.87216390032785</v>
      </c>
      <c r="O808" s="221">
        <f t="shared" si="354"/>
        <v>96.836564197957614</v>
      </c>
      <c r="P808" s="221">
        <f t="shared" si="369"/>
        <v>96.836564197957614</v>
      </c>
    </row>
    <row r="809" spans="1:16" s="23" customFormat="1" hidden="1">
      <c r="A809" s="36" t="s">
        <v>267</v>
      </c>
      <c r="B809" s="185"/>
      <c r="C809" s="321" t="s">
        <v>268</v>
      </c>
      <c r="D809" s="38">
        <f>SUM(D810:D815)</f>
        <v>4288460</v>
      </c>
      <c r="E809" s="109"/>
      <c r="F809" s="63">
        <f t="shared" si="370"/>
        <v>4288460</v>
      </c>
      <c r="G809" s="38">
        <f>SUM(G810:G815)</f>
        <v>4732892</v>
      </c>
      <c r="H809" s="109"/>
      <c r="I809" s="38">
        <f t="shared" si="371"/>
        <v>4732892</v>
      </c>
      <c r="J809" s="63">
        <f>SUM(J810:J815)</f>
        <v>4583170</v>
      </c>
      <c r="K809" s="109"/>
      <c r="L809" s="63">
        <f t="shared" si="372"/>
        <v>4583170</v>
      </c>
      <c r="M809" s="218">
        <f t="shared" si="352"/>
        <v>106.87216390032785</v>
      </c>
      <c r="N809" s="218">
        <f t="shared" si="353"/>
        <v>106.87216390032785</v>
      </c>
      <c r="O809" s="218">
        <f t="shared" si="354"/>
        <v>96.836564197957614</v>
      </c>
      <c r="P809" s="218">
        <f t="shared" si="369"/>
        <v>96.836564197957614</v>
      </c>
    </row>
    <row r="810" spans="1:16" s="23" customFormat="1" ht="12.75" customHeight="1">
      <c r="A810" s="36" t="s">
        <v>180</v>
      </c>
      <c r="B810" s="33" t="s">
        <v>419</v>
      </c>
      <c r="C810" s="211" t="s">
        <v>1351</v>
      </c>
      <c r="D810" s="38">
        <v>4172360</v>
      </c>
      <c r="E810" s="109"/>
      <c r="F810" s="63">
        <f t="shared" si="370"/>
        <v>4172360</v>
      </c>
      <c r="G810" s="38">
        <v>4478070</v>
      </c>
      <c r="H810" s="109"/>
      <c r="I810" s="38">
        <f t="shared" si="371"/>
        <v>4478070</v>
      </c>
      <c r="J810" s="63">
        <v>4503570</v>
      </c>
      <c r="K810" s="109"/>
      <c r="L810" s="63">
        <f t="shared" si="372"/>
        <v>4503570</v>
      </c>
      <c r="M810" s="218">
        <f t="shared" si="352"/>
        <v>107.93819325273945</v>
      </c>
      <c r="N810" s="218">
        <f t="shared" si="353"/>
        <v>107.93819325273945</v>
      </c>
      <c r="O810" s="218">
        <f t="shared" si="354"/>
        <v>100.56944174610938</v>
      </c>
      <c r="P810" s="218">
        <f t="shared" si="369"/>
        <v>100.56944174610938</v>
      </c>
    </row>
    <row r="811" spans="1:16" s="7" customFormat="1" ht="12.75" customHeight="1">
      <c r="A811" s="46" t="s">
        <v>368</v>
      </c>
      <c r="B811" s="33" t="s">
        <v>418</v>
      </c>
      <c r="C811" s="211" t="s">
        <v>1352</v>
      </c>
      <c r="D811" s="63">
        <f>10300+25000</f>
        <v>35300</v>
      </c>
      <c r="E811" s="63"/>
      <c r="F811" s="63">
        <f t="shared" si="370"/>
        <v>35300</v>
      </c>
      <c r="G811" s="38">
        <v>92022</v>
      </c>
      <c r="H811" s="38"/>
      <c r="I811" s="38">
        <f t="shared" si="371"/>
        <v>92022</v>
      </c>
      <c r="J811" s="63">
        <v>10600</v>
      </c>
      <c r="K811" s="63"/>
      <c r="L811" s="63">
        <f t="shared" si="372"/>
        <v>10600</v>
      </c>
      <c r="M811" s="218">
        <f t="shared" si="352"/>
        <v>30.028328611898019</v>
      </c>
      <c r="N811" s="218">
        <f t="shared" si="353"/>
        <v>30.028328611898019</v>
      </c>
      <c r="O811" s="218">
        <f t="shared" si="354"/>
        <v>11.518984590641368</v>
      </c>
      <c r="P811" s="218">
        <f t="shared" si="369"/>
        <v>11.518984590641368</v>
      </c>
    </row>
    <row r="812" spans="1:16" s="7" customFormat="1" ht="12.75" customHeight="1">
      <c r="A812" s="46" t="s">
        <v>14</v>
      </c>
      <c r="B812" s="33" t="s">
        <v>9</v>
      </c>
      <c r="C812" s="211" t="s">
        <v>2412</v>
      </c>
      <c r="D812" s="63"/>
      <c r="E812" s="63"/>
      <c r="F812" s="63"/>
      <c r="G812" s="38"/>
      <c r="H812" s="38"/>
      <c r="I812" s="38"/>
      <c r="J812" s="63">
        <v>4000</v>
      </c>
      <c r="K812" s="63"/>
      <c r="L812" s="63">
        <f t="shared" ref="L812" si="373">SUM(J812:K812)</f>
        <v>4000</v>
      </c>
      <c r="M812" s="218" t="str">
        <f t="shared" si="352"/>
        <v/>
      </c>
      <c r="N812" s="218" t="str">
        <f t="shared" si="353"/>
        <v/>
      </c>
      <c r="O812" s="218" t="str">
        <f t="shared" si="354"/>
        <v/>
      </c>
      <c r="P812" s="218" t="str">
        <f t="shared" ref="P812" si="374">IF(I812&gt;0,IF(L812&gt;=0,L812/I812*100,""),"")</f>
        <v/>
      </c>
    </row>
    <row r="813" spans="1:16" s="7" customFormat="1" ht="12.75" customHeight="1">
      <c r="A813" s="46" t="s">
        <v>651</v>
      </c>
      <c r="B813" s="33" t="s">
        <v>650</v>
      </c>
      <c r="C813" s="211" t="s">
        <v>1353</v>
      </c>
      <c r="D813" s="63">
        <v>75800</v>
      </c>
      <c r="E813" s="63"/>
      <c r="F813" s="63">
        <f>SUM(D813:E813)</f>
        <v>75800</v>
      </c>
      <c r="G813" s="38">
        <v>130300</v>
      </c>
      <c r="H813" s="38"/>
      <c r="I813" s="38">
        <f>SUM(G813:H813)</f>
        <v>130300</v>
      </c>
      <c r="J813" s="63">
        <v>59000</v>
      </c>
      <c r="K813" s="63"/>
      <c r="L813" s="63">
        <f>SUM(J813:K813)</f>
        <v>59000</v>
      </c>
      <c r="M813" s="218">
        <f t="shared" si="352"/>
        <v>77.836411609498683</v>
      </c>
      <c r="N813" s="218">
        <f t="shared" si="353"/>
        <v>77.836411609498683</v>
      </c>
      <c r="O813" s="218">
        <f t="shared" si="354"/>
        <v>45.280122793553339</v>
      </c>
      <c r="P813" s="218">
        <f>IF(I813&gt;0,IF(L813&gt;=0,L813/I813*100,""),"")</f>
        <v>45.280122793553339</v>
      </c>
    </row>
    <row r="814" spans="1:16" s="23" customFormat="1" ht="12.75" customHeight="1">
      <c r="A814" s="36" t="s">
        <v>375</v>
      </c>
      <c r="B814" s="47" t="s">
        <v>150</v>
      </c>
      <c r="C814" s="212" t="s">
        <v>1354</v>
      </c>
      <c r="D814" s="38">
        <v>5000</v>
      </c>
      <c r="E814" s="109"/>
      <c r="F814" s="63">
        <f>SUM(D814:E814)</f>
        <v>5000</v>
      </c>
      <c r="G814" s="38">
        <v>17000</v>
      </c>
      <c r="H814" s="109"/>
      <c r="I814" s="38">
        <f>SUM(G814:H814)</f>
        <v>17000</v>
      </c>
      <c r="J814" s="63">
        <v>6000</v>
      </c>
      <c r="K814" s="109"/>
      <c r="L814" s="63">
        <f>SUM(J814:K814)</f>
        <v>6000</v>
      </c>
      <c r="M814" s="218">
        <f t="shared" si="352"/>
        <v>120</v>
      </c>
      <c r="N814" s="218">
        <f t="shared" si="353"/>
        <v>120</v>
      </c>
      <c r="O814" s="218">
        <f t="shared" si="354"/>
        <v>35.294117647058826</v>
      </c>
      <c r="P814" s="218">
        <f>IF(I814&gt;0,IF(L814&gt;=0,L814/I814*100,""),"")</f>
        <v>35.294117647058826</v>
      </c>
    </row>
    <row r="815" spans="1:16" s="7" customFormat="1" ht="12.75" customHeight="1">
      <c r="A815" s="46" t="s">
        <v>2347</v>
      </c>
      <c r="B815" s="211" t="s">
        <v>2346</v>
      </c>
      <c r="C815" s="211" t="s">
        <v>2288</v>
      </c>
      <c r="D815" s="63"/>
      <c r="E815" s="63"/>
      <c r="F815" s="63"/>
      <c r="G815" s="38">
        <v>15500</v>
      </c>
      <c r="H815" s="38"/>
      <c r="I815" s="38">
        <f t="shared" si="371"/>
        <v>15500</v>
      </c>
      <c r="J815" s="63"/>
      <c r="K815" s="63"/>
      <c r="L815" s="63"/>
      <c r="M815" s="218" t="str">
        <f t="shared" si="352"/>
        <v/>
      </c>
      <c r="N815" s="218" t="str">
        <f t="shared" si="353"/>
        <v/>
      </c>
      <c r="O815" s="218">
        <f t="shared" si="354"/>
        <v>0</v>
      </c>
      <c r="P815" s="218"/>
    </row>
    <row r="816" spans="1:16" s="7" customFormat="1" ht="6" customHeight="1">
      <c r="A816" s="46"/>
      <c r="B816" s="47"/>
      <c r="C816" s="212" t="s">
        <v>268</v>
      </c>
      <c r="D816" s="63"/>
      <c r="E816" s="63"/>
      <c r="F816" s="63"/>
      <c r="G816" s="38"/>
      <c r="H816" s="38"/>
      <c r="I816" s="38"/>
      <c r="J816" s="63"/>
      <c r="K816" s="63"/>
      <c r="L816" s="63"/>
      <c r="M816" s="218" t="str">
        <f t="shared" si="352"/>
        <v/>
      </c>
      <c r="N816" s="218" t="str">
        <f t="shared" si="353"/>
        <v/>
      </c>
      <c r="O816" s="218" t="str">
        <f t="shared" si="354"/>
        <v/>
      </c>
      <c r="P816" s="218" t="str">
        <f t="shared" ref="P816:P820" si="375">IF(I816&gt;0,IF(L816&gt;=0,L816/I816*100,""),"")</f>
        <v/>
      </c>
    </row>
    <row r="817" spans="1:16" s="11" customFormat="1" ht="12.75">
      <c r="A817" s="58" t="s">
        <v>342</v>
      </c>
      <c r="B817" s="65" t="s">
        <v>265</v>
      </c>
      <c r="C817" s="308" t="s">
        <v>940</v>
      </c>
      <c r="D817" s="42">
        <f>SUM(D819:D825)</f>
        <v>8745640</v>
      </c>
      <c r="E817" s="42">
        <f>SUM(E819:E820)</f>
        <v>0</v>
      </c>
      <c r="F817" s="42">
        <f t="shared" ref="F817:F820" si="376">SUM(D817:E817)</f>
        <v>8745640</v>
      </c>
      <c r="G817" s="55">
        <f>SUM(G819:G825)</f>
        <v>9371677</v>
      </c>
      <c r="H817" s="55">
        <f>SUM(H819:H820)</f>
        <v>0</v>
      </c>
      <c r="I817" s="55">
        <f t="shared" ref="I817:I824" si="377">SUM(G817:H817)</f>
        <v>9371677</v>
      </c>
      <c r="J817" s="42">
        <f>SUM(J819:J825)</f>
        <v>9244510</v>
      </c>
      <c r="K817" s="42">
        <f>SUM(K819:K820)</f>
        <v>0</v>
      </c>
      <c r="L817" s="42">
        <f t="shared" ref="L817:L820" si="378">SUM(J817:K817)</f>
        <v>9244510</v>
      </c>
      <c r="M817" s="225">
        <f t="shared" si="352"/>
        <v>105.70421375679769</v>
      </c>
      <c r="N817" s="225">
        <f t="shared" si="353"/>
        <v>105.70421375679769</v>
      </c>
      <c r="O817" s="225">
        <f t="shared" si="354"/>
        <v>98.643071032004187</v>
      </c>
      <c r="P817" s="225">
        <f t="shared" si="375"/>
        <v>98.643071032004187</v>
      </c>
    </row>
    <row r="818" spans="1:16" s="7" customFormat="1" hidden="1">
      <c r="A818" s="46" t="s">
        <v>267</v>
      </c>
      <c r="B818" s="44"/>
      <c r="C818" s="304" t="s">
        <v>268</v>
      </c>
      <c r="D818" s="63">
        <f>SUM(D819:D824)</f>
        <v>8745640</v>
      </c>
      <c r="E818" s="63"/>
      <c r="F818" s="63">
        <f t="shared" si="376"/>
        <v>8745640</v>
      </c>
      <c r="G818" s="38">
        <f>SUM(G819:G824)</f>
        <v>9371677</v>
      </c>
      <c r="H818" s="38"/>
      <c r="I818" s="38">
        <f t="shared" si="377"/>
        <v>9371677</v>
      </c>
      <c r="J818" s="63">
        <f>SUM(J819:J824)</f>
        <v>9244510</v>
      </c>
      <c r="K818" s="63"/>
      <c r="L818" s="63">
        <f t="shared" si="378"/>
        <v>9244510</v>
      </c>
      <c r="M818" s="218">
        <f t="shared" si="352"/>
        <v>105.70421375679769</v>
      </c>
      <c r="N818" s="218">
        <f t="shared" si="353"/>
        <v>105.70421375679769</v>
      </c>
      <c r="O818" s="218">
        <f t="shared" si="354"/>
        <v>98.643071032004187</v>
      </c>
      <c r="P818" s="218">
        <f t="shared" si="375"/>
        <v>98.643071032004187</v>
      </c>
    </row>
    <row r="819" spans="1:16" s="11" customFormat="1" ht="12.75" customHeight="1">
      <c r="A819" s="36" t="s">
        <v>180</v>
      </c>
      <c r="B819" s="33" t="s">
        <v>419</v>
      </c>
      <c r="C819" s="211" t="s">
        <v>1355</v>
      </c>
      <c r="D819" s="38">
        <v>8644640</v>
      </c>
      <c r="E819" s="77"/>
      <c r="F819" s="63">
        <f t="shared" si="376"/>
        <v>8644640</v>
      </c>
      <c r="G819" s="38">
        <v>8962309</v>
      </c>
      <c r="H819" s="109"/>
      <c r="I819" s="38">
        <f t="shared" si="377"/>
        <v>8962309</v>
      </c>
      <c r="J819" s="63">
        <v>9102510</v>
      </c>
      <c r="K819" s="77"/>
      <c r="L819" s="63">
        <f t="shared" si="378"/>
        <v>9102510</v>
      </c>
      <c r="M819" s="218">
        <f t="shared" si="352"/>
        <v>105.29657683836457</v>
      </c>
      <c r="N819" s="218">
        <f t="shared" si="353"/>
        <v>105.29657683836457</v>
      </c>
      <c r="O819" s="218">
        <f t="shared" si="354"/>
        <v>101.56434017171246</v>
      </c>
      <c r="P819" s="218">
        <f t="shared" si="375"/>
        <v>101.56434017171246</v>
      </c>
    </row>
    <row r="820" spans="1:16" s="11" customFormat="1" ht="12.75" customHeight="1">
      <c r="A820" s="36" t="s">
        <v>368</v>
      </c>
      <c r="B820" s="33" t="s">
        <v>418</v>
      </c>
      <c r="C820" s="211" t="s">
        <v>1356</v>
      </c>
      <c r="D820" s="38">
        <v>35000</v>
      </c>
      <c r="E820" s="77"/>
      <c r="F820" s="63">
        <f t="shared" si="376"/>
        <v>35000</v>
      </c>
      <c r="G820" s="38">
        <v>111868</v>
      </c>
      <c r="H820" s="109"/>
      <c r="I820" s="38">
        <f t="shared" si="377"/>
        <v>111868</v>
      </c>
      <c r="J820" s="63">
        <v>45000</v>
      </c>
      <c r="K820" s="77"/>
      <c r="L820" s="63">
        <f t="shared" si="378"/>
        <v>45000</v>
      </c>
      <c r="M820" s="218">
        <f t="shared" si="352"/>
        <v>128.57142857142858</v>
      </c>
      <c r="N820" s="218">
        <f t="shared" si="353"/>
        <v>128.57142857142858</v>
      </c>
      <c r="O820" s="218">
        <f t="shared" si="354"/>
        <v>40.22598062001645</v>
      </c>
      <c r="P820" s="218">
        <f t="shared" si="375"/>
        <v>40.22598062001645</v>
      </c>
    </row>
    <row r="821" spans="1:16" s="11" customFormat="1" ht="12.75" customHeight="1">
      <c r="A821" s="46" t="s">
        <v>651</v>
      </c>
      <c r="B821" s="33" t="s">
        <v>650</v>
      </c>
      <c r="C821" s="211" t="s">
        <v>1357</v>
      </c>
      <c r="D821" s="38">
        <v>56000</v>
      </c>
      <c r="E821" s="77"/>
      <c r="F821" s="63">
        <f>SUM(D821:E821)</f>
        <v>56000</v>
      </c>
      <c r="G821" s="38">
        <v>86000</v>
      </c>
      <c r="H821" s="109"/>
      <c r="I821" s="38">
        <f>SUM(G821:H821)</f>
        <v>86000</v>
      </c>
      <c r="J821" s="63">
        <v>86000</v>
      </c>
      <c r="K821" s="77"/>
      <c r="L821" s="63">
        <f>SUM(J821:K821)</f>
        <v>86000</v>
      </c>
      <c r="M821" s="218">
        <f t="shared" si="352"/>
        <v>153.57142857142858</v>
      </c>
      <c r="N821" s="218">
        <f t="shared" si="353"/>
        <v>153.57142857142858</v>
      </c>
      <c r="O821" s="218">
        <f t="shared" si="354"/>
        <v>100</v>
      </c>
      <c r="P821" s="218">
        <f>IF(I821&gt;0,IF(L821&gt;=0,L821/I821*100,""),"")</f>
        <v>100</v>
      </c>
    </row>
    <row r="822" spans="1:16" s="11" customFormat="1" ht="12.75" customHeight="1">
      <c r="A822" s="36" t="s">
        <v>375</v>
      </c>
      <c r="B822" s="33" t="s">
        <v>150</v>
      </c>
      <c r="C822" s="211" t="s">
        <v>1358</v>
      </c>
      <c r="D822" s="38">
        <v>10000</v>
      </c>
      <c r="E822" s="77"/>
      <c r="F822" s="63">
        <f>SUM(D822:E822)</f>
        <v>10000</v>
      </c>
      <c r="G822" s="38">
        <v>10000</v>
      </c>
      <c r="H822" s="109"/>
      <c r="I822" s="38">
        <f>SUM(G822:H822)</f>
        <v>10000</v>
      </c>
      <c r="J822" s="63">
        <v>11000</v>
      </c>
      <c r="K822" s="77"/>
      <c r="L822" s="63">
        <f>SUM(J822:K822)</f>
        <v>11000</v>
      </c>
      <c r="M822" s="218">
        <f t="shared" si="352"/>
        <v>110.00000000000001</v>
      </c>
      <c r="N822" s="218">
        <f t="shared" si="353"/>
        <v>110.00000000000001</v>
      </c>
      <c r="O822" s="218">
        <f t="shared" si="354"/>
        <v>110.00000000000001</v>
      </c>
      <c r="P822" s="218">
        <f>IF(I822&gt;0,IF(L822&gt;=0,L822/I822*100,""),"")</f>
        <v>110.00000000000001</v>
      </c>
    </row>
    <row r="823" spans="1:16" s="11" customFormat="1" ht="12.75" customHeight="1">
      <c r="A823" s="36" t="s">
        <v>2074</v>
      </c>
      <c r="B823" s="211" t="s">
        <v>2075</v>
      </c>
      <c r="C823" s="211" t="s">
        <v>2152</v>
      </c>
      <c r="D823" s="38"/>
      <c r="E823" s="77"/>
      <c r="F823" s="63"/>
      <c r="G823" s="38">
        <v>186000</v>
      </c>
      <c r="H823" s="109"/>
      <c r="I823" s="38">
        <f t="shared" si="377"/>
        <v>186000</v>
      </c>
      <c r="J823" s="63"/>
      <c r="K823" s="77"/>
      <c r="L823" s="63"/>
      <c r="M823" s="218" t="str">
        <f t="shared" si="352"/>
        <v/>
      </c>
      <c r="N823" s="218" t="str">
        <f t="shared" si="353"/>
        <v/>
      </c>
      <c r="O823" s="218">
        <f t="shared" si="354"/>
        <v>0</v>
      </c>
      <c r="P823" s="218"/>
    </row>
    <row r="824" spans="1:16" s="11" customFormat="1" ht="12.75" customHeight="1">
      <c r="A824" s="36" t="s">
        <v>2347</v>
      </c>
      <c r="B824" s="211" t="s">
        <v>2346</v>
      </c>
      <c r="C824" s="211" t="s">
        <v>2303</v>
      </c>
      <c r="D824" s="38"/>
      <c r="E824" s="77"/>
      <c r="F824" s="63"/>
      <c r="G824" s="38">
        <v>15500</v>
      </c>
      <c r="H824" s="109"/>
      <c r="I824" s="38">
        <f t="shared" si="377"/>
        <v>15500</v>
      </c>
      <c r="J824" s="63"/>
      <c r="K824" s="77"/>
      <c r="L824" s="63"/>
      <c r="M824" s="218" t="str">
        <f t="shared" si="352"/>
        <v/>
      </c>
      <c r="N824" s="218" t="str">
        <f t="shared" si="353"/>
        <v/>
      </c>
      <c r="O824" s="218">
        <f t="shared" si="354"/>
        <v>0</v>
      </c>
      <c r="P824" s="218"/>
    </row>
    <row r="825" spans="1:16" s="11" customFormat="1" ht="12.75" hidden="1" customHeight="1">
      <c r="A825" s="46" t="s">
        <v>792</v>
      </c>
      <c r="B825" s="33" t="s">
        <v>152</v>
      </c>
      <c r="C825" s="211" t="s">
        <v>1359</v>
      </c>
      <c r="D825" s="38"/>
      <c r="E825" s="77"/>
      <c r="F825" s="63"/>
      <c r="G825" s="38"/>
      <c r="H825" s="109"/>
      <c r="I825" s="38"/>
      <c r="J825" s="63"/>
      <c r="K825" s="77"/>
      <c r="L825" s="63"/>
      <c r="M825" s="218" t="str">
        <f t="shared" si="352"/>
        <v/>
      </c>
      <c r="N825" s="218" t="str">
        <f t="shared" si="353"/>
        <v/>
      </c>
      <c r="O825" s="218" t="str">
        <f t="shared" si="354"/>
        <v/>
      </c>
      <c r="P825" s="218" t="str">
        <f t="shared" ref="P825:P834" si="379">IF(I825&gt;0,IF(L825&gt;=0,L825/I825*100,""),"")</f>
        <v/>
      </c>
    </row>
    <row r="826" spans="1:16" s="11" customFormat="1" ht="6" customHeight="1">
      <c r="A826" s="36"/>
      <c r="B826" s="33"/>
      <c r="C826" s="211" t="s">
        <v>268</v>
      </c>
      <c r="D826" s="38"/>
      <c r="E826" s="77"/>
      <c r="F826" s="63"/>
      <c r="G826" s="38"/>
      <c r="H826" s="109"/>
      <c r="I826" s="38"/>
      <c r="J826" s="63"/>
      <c r="K826" s="77"/>
      <c r="L826" s="63"/>
      <c r="M826" s="218" t="str">
        <f t="shared" si="352"/>
        <v/>
      </c>
      <c r="N826" s="218" t="str">
        <f t="shared" si="353"/>
        <v/>
      </c>
      <c r="O826" s="218" t="str">
        <f t="shared" si="354"/>
        <v/>
      </c>
      <c r="P826" s="218" t="str">
        <f t="shared" si="379"/>
        <v/>
      </c>
    </row>
    <row r="827" spans="1:16" s="11" customFormat="1" ht="12.75">
      <c r="A827" s="58" t="s">
        <v>748</v>
      </c>
      <c r="B827" s="65" t="s">
        <v>265</v>
      </c>
      <c r="C827" s="308" t="s">
        <v>940</v>
      </c>
      <c r="D827" s="42">
        <f>SUM(D829:D837)</f>
        <v>12921920</v>
      </c>
      <c r="E827" s="42">
        <f>SUM(E829:E830)</f>
        <v>0</v>
      </c>
      <c r="F827" s="42">
        <f t="shared" ref="F827:F834" si="380">SUM(D827:E827)</f>
        <v>12921920</v>
      </c>
      <c r="G827" s="55">
        <f>SUM(G829:G837)</f>
        <v>15246247</v>
      </c>
      <c r="H827" s="55">
        <f>SUM(H829:H830)</f>
        <v>0</v>
      </c>
      <c r="I827" s="55">
        <f t="shared" ref="I827:I837" si="381">SUM(G827:H827)</f>
        <v>15246247</v>
      </c>
      <c r="J827" s="42">
        <f>SUM(J829:J837)</f>
        <v>12621880</v>
      </c>
      <c r="K827" s="42">
        <f>SUM(K829:K830)</f>
        <v>0</v>
      </c>
      <c r="L827" s="42">
        <f t="shared" ref="L827:L837" si="382">SUM(J827:K827)</f>
        <v>12621880</v>
      </c>
      <c r="M827" s="225">
        <f t="shared" si="352"/>
        <v>97.678054035313636</v>
      </c>
      <c r="N827" s="225">
        <f t="shared" si="353"/>
        <v>97.678054035313636</v>
      </c>
      <c r="O827" s="225">
        <f t="shared" si="354"/>
        <v>82.786799925253746</v>
      </c>
      <c r="P827" s="225">
        <f t="shared" si="379"/>
        <v>82.786799925253746</v>
      </c>
    </row>
    <row r="828" spans="1:16" s="11" customFormat="1" hidden="1">
      <c r="A828" s="36" t="s">
        <v>267</v>
      </c>
      <c r="B828" s="184"/>
      <c r="C828" s="320" t="s">
        <v>268</v>
      </c>
      <c r="D828" s="38">
        <f>SUM(D829:D837)</f>
        <v>12921920</v>
      </c>
      <c r="E828" s="77"/>
      <c r="F828" s="63">
        <f t="shared" si="380"/>
        <v>12921920</v>
      </c>
      <c r="G828" s="38">
        <f>SUM(G829:G837)</f>
        <v>15246247</v>
      </c>
      <c r="H828" s="109"/>
      <c r="I828" s="38">
        <f t="shared" si="381"/>
        <v>15246247</v>
      </c>
      <c r="J828" s="63">
        <f>SUM(J829:J837)</f>
        <v>12621880</v>
      </c>
      <c r="K828" s="77"/>
      <c r="L828" s="63">
        <f t="shared" si="382"/>
        <v>12621880</v>
      </c>
      <c r="M828" s="218">
        <f t="shared" si="352"/>
        <v>97.678054035313636</v>
      </c>
      <c r="N828" s="218">
        <f t="shared" si="353"/>
        <v>97.678054035313636</v>
      </c>
      <c r="O828" s="218">
        <f t="shared" si="354"/>
        <v>82.786799925253746</v>
      </c>
      <c r="P828" s="218">
        <f t="shared" si="379"/>
        <v>82.786799925253746</v>
      </c>
    </row>
    <row r="829" spans="1:16" s="11" customFormat="1" ht="12.75" customHeight="1">
      <c r="A829" s="36" t="s">
        <v>180</v>
      </c>
      <c r="B829" s="33" t="s">
        <v>419</v>
      </c>
      <c r="C829" s="211" t="s">
        <v>1360</v>
      </c>
      <c r="D829" s="38">
        <v>11745180</v>
      </c>
      <c r="E829" s="77"/>
      <c r="F829" s="63">
        <f t="shared" si="380"/>
        <v>11745180</v>
      </c>
      <c r="G829" s="38">
        <v>13462180</v>
      </c>
      <c r="H829" s="109"/>
      <c r="I829" s="38">
        <f t="shared" si="381"/>
        <v>13462180</v>
      </c>
      <c r="J829" s="63">
        <v>12317030</v>
      </c>
      <c r="K829" s="77"/>
      <c r="L829" s="63">
        <f t="shared" si="382"/>
        <v>12317030</v>
      </c>
      <c r="M829" s="218">
        <f t="shared" si="352"/>
        <v>104.86880575691475</v>
      </c>
      <c r="N829" s="218">
        <f t="shared" si="353"/>
        <v>104.86880575691475</v>
      </c>
      <c r="O829" s="218">
        <f t="shared" si="354"/>
        <v>91.4935768203961</v>
      </c>
      <c r="P829" s="218">
        <f t="shared" si="379"/>
        <v>91.4935768203961</v>
      </c>
    </row>
    <row r="830" spans="1:16" s="11" customFormat="1" ht="12.75" customHeight="1">
      <c r="A830" s="36" t="s">
        <v>368</v>
      </c>
      <c r="B830" s="33" t="s">
        <v>418</v>
      </c>
      <c r="C830" s="211" t="s">
        <v>1361</v>
      </c>
      <c r="D830" s="38">
        <v>45000</v>
      </c>
      <c r="E830" s="77"/>
      <c r="F830" s="63">
        <f t="shared" si="380"/>
        <v>45000</v>
      </c>
      <c r="G830" s="38">
        <v>148477</v>
      </c>
      <c r="H830" s="109"/>
      <c r="I830" s="38">
        <f t="shared" si="381"/>
        <v>148477</v>
      </c>
      <c r="J830" s="63">
        <v>58600</v>
      </c>
      <c r="K830" s="77"/>
      <c r="L830" s="63">
        <f t="shared" si="382"/>
        <v>58600</v>
      </c>
      <c r="M830" s="218">
        <f t="shared" si="352"/>
        <v>130.22222222222223</v>
      </c>
      <c r="N830" s="218">
        <f t="shared" si="353"/>
        <v>130.22222222222223</v>
      </c>
      <c r="O830" s="218">
        <f t="shared" si="354"/>
        <v>39.467392256039659</v>
      </c>
      <c r="P830" s="218">
        <f t="shared" si="379"/>
        <v>39.467392256039659</v>
      </c>
    </row>
    <row r="831" spans="1:16" s="11" customFormat="1" ht="12.75" customHeight="1">
      <c r="A831" s="36" t="s">
        <v>934</v>
      </c>
      <c r="B831" s="33" t="s">
        <v>933</v>
      </c>
      <c r="C831" s="211" t="s">
        <v>1364</v>
      </c>
      <c r="D831" s="38">
        <v>1074250</v>
      </c>
      <c r="E831" s="77"/>
      <c r="F831" s="63">
        <f>SUM(D831:E831)</f>
        <v>1074250</v>
      </c>
      <c r="G831" s="38">
        <v>1074250</v>
      </c>
      <c r="H831" s="109"/>
      <c r="I831" s="38">
        <f>SUM(G831:H831)</f>
        <v>1074250</v>
      </c>
      <c r="J831" s="63">
        <v>178250</v>
      </c>
      <c r="K831" s="77"/>
      <c r="L831" s="63">
        <f>SUM(J831:K831)</f>
        <v>178250</v>
      </c>
      <c r="M831" s="218">
        <f t="shared" si="352"/>
        <v>16.592971840819175</v>
      </c>
      <c r="N831" s="218">
        <f t="shared" si="353"/>
        <v>16.592971840819175</v>
      </c>
      <c r="O831" s="218">
        <f t="shared" si="354"/>
        <v>16.592971840819175</v>
      </c>
      <c r="P831" s="218">
        <f>IF(I831&gt;0,IF(L831&gt;=0,L831/I831*100,""),"")</f>
        <v>16.592971840819175</v>
      </c>
    </row>
    <row r="832" spans="1:16" s="11" customFormat="1" ht="12.75" customHeight="1">
      <c r="A832" s="359" t="s">
        <v>651</v>
      </c>
      <c r="B832" s="66" t="s">
        <v>650</v>
      </c>
      <c r="C832" s="311" t="s">
        <v>1362</v>
      </c>
      <c r="D832" s="61">
        <v>41000</v>
      </c>
      <c r="E832" s="42"/>
      <c r="F832" s="67">
        <f>SUM(D832:E832)</f>
        <v>41000</v>
      </c>
      <c r="G832" s="61">
        <v>58900</v>
      </c>
      <c r="H832" s="55"/>
      <c r="I832" s="61">
        <f>SUM(G832:H832)</f>
        <v>58900</v>
      </c>
      <c r="J832" s="67">
        <v>54000</v>
      </c>
      <c r="K832" s="42"/>
      <c r="L832" s="67">
        <f>SUM(J832:K832)</f>
        <v>54000</v>
      </c>
      <c r="M832" s="273">
        <f t="shared" si="352"/>
        <v>131.70731707317074</v>
      </c>
      <c r="N832" s="273">
        <f t="shared" si="353"/>
        <v>131.70731707317074</v>
      </c>
      <c r="O832" s="273">
        <f t="shared" si="354"/>
        <v>91.68081494057725</v>
      </c>
      <c r="P832" s="273">
        <f>IF(I832&gt;0,IF(L832&gt;=0,L832/I832*100,""),"")</f>
        <v>91.68081494057725</v>
      </c>
    </row>
    <row r="833" spans="1:16" s="11" customFormat="1" ht="12.75" customHeight="1">
      <c r="A833" s="80" t="s">
        <v>375</v>
      </c>
      <c r="B833" s="79" t="s">
        <v>150</v>
      </c>
      <c r="C833" s="302" t="s">
        <v>1365</v>
      </c>
      <c r="D833" s="116">
        <v>13000</v>
      </c>
      <c r="E833" s="111"/>
      <c r="F833" s="76">
        <f>SUM(D833:E833)</f>
        <v>13000</v>
      </c>
      <c r="G833" s="116">
        <v>137300</v>
      </c>
      <c r="H833" s="193"/>
      <c r="I833" s="116">
        <f>SUM(G833:H833)</f>
        <v>137300</v>
      </c>
      <c r="J833" s="76">
        <v>14000</v>
      </c>
      <c r="K833" s="111"/>
      <c r="L833" s="76">
        <f>SUM(J833:K833)</f>
        <v>14000</v>
      </c>
      <c r="M833" s="226">
        <f t="shared" si="352"/>
        <v>107.69230769230769</v>
      </c>
      <c r="N833" s="226">
        <f t="shared" si="353"/>
        <v>107.69230769230769</v>
      </c>
      <c r="O833" s="226">
        <f t="shared" si="354"/>
        <v>10.196649672250546</v>
      </c>
      <c r="P833" s="226">
        <f>IF(I833&gt;0,IF(L833&gt;=0,L833/I833*100,""),"")</f>
        <v>10.196649672250546</v>
      </c>
    </row>
    <row r="834" spans="1:16" s="11" customFormat="1" ht="12.75" customHeight="1">
      <c r="A834" s="36" t="s">
        <v>772</v>
      </c>
      <c r="B834" s="211" t="s">
        <v>766</v>
      </c>
      <c r="C834" s="211" t="s">
        <v>1363</v>
      </c>
      <c r="D834" s="38">
        <v>3490</v>
      </c>
      <c r="E834" s="77"/>
      <c r="F834" s="63">
        <f t="shared" si="380"/>
        <v>3490</v>
      </c>
      <c r="G834" s="38">
        <v>3490</v>
      </c>
      <c r="H834" s="109"/>
      <c r="I834" s="38">
        <f t="shared" si="381"/>
        <v>3490</v>
      </c>
      <c r="J834" s="63"/>
      <c r="K834" s="77"/>
      <c r="L834" s="63">
        <f t="shared" si="382"/>
        <v>0</v>
      </c>
      <c r="M834" s="218">
        <f t="shared" si="352"/>
        <v>0</v>
      </c>
      <c r="N834" s="218">
        <f t="shared" si="353"/>
        <v>0</v>
      </c>
      <c r="O834" s="218">
        <f t="shared" si="354"/>
        <v>0</v>
      </c>
      <c r="P834" s="218">
        <f t="shared" si="379"/>
        <v>0</v>
      </c>
    </row>
    <row r="835" spans="1:16" s="11" customFormat="1" ht="12.75" customHeight="1">
      <c r="A835" s="36" t="s">
        <v>358</v>
      </c>
      <c r="B835" s="211" t="s">
        <v>417</v>
      </c>
      <c r="C835" s="211" t="s">
        <v>2302</v>
      </c>
      <c r="D835" s="38"/>
      <c r="E835" s="77"/>
      <c r="F835" s="63"/>
      <c r="G835" s="38">
        <v>43750</v>
      </c>
      <c r="H835" s="109"/>
      <c r="I835" s="38">
        <f t="shared" si="381"/>
        <v>43750</v>
      </c>
      <c r="J835" s="63"/>
      <c r="K835" s="77"/>
      <c r="L835" s="63">
        <f t="shared" si="382"/>
        <v>0</v>
      </c>
      <c r="M835" s="218" t="str">
        <f t="shared" si="352"/>
        <v/>
      </c>
      <c r="N835" s="218" t="str">
        <f t="shared" si="353"/>
        <v/>
      </c>
      <c r="O835" s="218">
        <f t="shared" si="354"/>
        <v>0</v>
      </c>
      <c r="P835" s="218"/>
    </row>
    <row r="836" spans="1:16" s="11" customFormat="1" ht="12.75" customHeight="1">
      <c r="A836" s="36" t="s">
        <v>2074</v>
      </c>
      <c r="B836" s="211" t="s">
        <v>2075</v>
      </c>
      <c r="C836" s="211" t="s">
        <v>2153</v>
      </c>
      <c r="D836" s="38"/>
      <c r="E836" s="77"/>
      <c r="F836" s="63"/>
      <c r="G836" s="38">
        <v>302400</v>
      </c>
      <c r="H836" s="109"/>
      <c r="I836" s="38">
        <f t="shared" si="381"/>
        <v>302400</v>
      </c>
      <c r="J836" s="63"/>
      <c r="K836" s="77"/>
      <c r="L836" s="63">
        <f t="shared" si="382"/>
        <v>0</v>
      </c>
      <c r="M836" s="218" t="str">
        <f t="shared" si="352"/>
        <v/>
      </c>
      <c r="N836" s="218" t="str">
        <f t="shared" si="353"/>
        <v/>
      </c>
      <c r="O836" s="218">
        <f t="shared" si="354"/>
        <v>0</v>
      </c>
      <c r="P836" s="218"/>
    </row>
    <row r="837" spans="1:16" s="11" customFormat="1" ht="12.75" customHeight="1">
      <c r="A837" s="36" t="s">
        <v>2347</v>
      </c>
      <c r="B837" s="211" t="s">
        <v>2346</v>
      </c>
      <c r="C837" s="211" t="s">
        <v>2301</v>
      </c>
      <c r="D837" s="38"/>
      <c r="E837" s="77"/>
      <c r="F837" s="63"/>
      <c r="G837" s="38">
        <v>15500</v>
      </c>
      <c r="H837" s="109"/>
      <c r="I837" s="38">
        <f t="shared" si="381"/>
        <v>15500</v>
      </c>
      <c r="J837" s="63"/>
      <c r="K837" s="77"/>
      <c r="L837" s="63">
        <f t="shared" si="382"/>
        <v>0</v>
      </c>
      <c r="M837" s="218" t="str">
        <f t="shared" si="352"/>
        <v/>
      </c>
      <c r="N837" s="218" t="str">
        <f t="shared" si="353"/>
        <v/>
      </c>
      <c r="O837" s="218">
        <f t="shared" si="354"/>
        <v>0</v>
      </c>
      <c r="P837" s="218"/>
    </row>
    <row r="838" spans="1:16" s="11" customFormat="1" ht="6" customHeight="1">
      <c r="A838" s="36"/>
      <c r="B838" s="47"/>
      <c r="C838" s="212" t="s">
        <v>268</v>
      </c>
      <c r="D838" s="38"/>
      <c r="E838" s="77"/>
      <c r="F838" s="63"/>
      <c r="G838" s="38"/>
      <c r="H838" s="109"/>
      <c r="I838" s="38"/>
      <c r="J838" s="63"/>
      <c r="K838" s="77"/>
      <c r="L838" s="63"/>
      <c r="M838" s="218" t="str">
        <f t="shared" si="352"/>
        <v/>
      </c>
      <c r="N838" s="218" t="str">
        <f t="shared" si="353"/>
        <v/>
      </c>
      <c r="O838" s="218" t="str">
        <f t="shared" si="354"/>
        <v/>
      </c>
      <c r="P838" s="218" t="str">
        <f t="shared" ref="P838:P842" si="383">IF(I838&gt;0,IF(L838&gt;=0,L838/I838*100,""),"")</f>
        <v/>
      </c>
    </row>
    <row r="839" spans="1:16" s="3" customFormat="1" ht="12.75">
      <c r="A839" s="58" t="s">
        <v>343</v>
      </c>
      <c r="B839" s="65" t="s">
        <v>265</v>
      </c>
      <c r="C839" s="308" t="s">
        <v>940</v>
      </c>
      <c r="D839" s="42">
        <f>SUM(D841:D848)</f>
        <v>9494090</v>
      </c>
      <c r="E839" s="42">
        <f>SUM(E841:E848)</f>
        <v>0</v>
      </c>
      <c r="F839" s="42">
        <f t="shared" ref="F839:F848" si="384">SUM(D839:E839)</f>
        <v>9494090</v>
      </c>
      <c r="G839" s="55">
        <f>SUM(G841:G848)</f>
        <v>11153093</v>
      </c>
      <c r="H839" s="55">
        <f>SUM(H841:H848)</f>
        <v>0</v>
      </c>
      <c r="I839" s="55">
        <f t="shared" ref="I839:I848" si="385">SUM(G839:H839)</f>
        <v>11153093</v>
      </c>
      <c r="J839" s="42">
        <f>SUM(J841:J848)</f>
        <v>11384620</v>
      </c>
      <c r="K839" s="42">
        <f>SUM(K841:K848)</f>
        <v>0</v>
      </c>
      <c r="L839" s="42">
        <f t="shared" ref="L839:L848" si="386">SUM(J839:K839)</f>
        <v>11384620</v>
      </c>
      <c r="M839" s="225">
        <f t="shared" si="352"/>
        <v>119.91270358717898</v>
      </c>
      <c r="N839" s="225">
        <f t="shared" si="353"/>
        <v>119.91270358717898</v>
      </c>
      <c r="O839" s="225">
        <f t="shared" si="354"/>
        <v>102.07589948366788</v>
      </c>
      <c r="P839" s="225">
        <f t="shared" si="383"/>
        <v>102.07589948366788</v>
      </c>
    </row>
    <row r="840" spans="1:16" s="3" customFormat="1" hidden="1">
      <c r="A840" s="36" t="s">
        <v>267</v>
      </c>
      <c r="B840" s="79"/>
      <c r="C840" s="302" t="s">
        <v>268</v>
      </c>
      <c r="D840" s="38">
        <f>SUM(D841:D847)</f>
        <v>9494090</v>
      </c>
      <c r="E840" s="38">
        <f>SUM(E841:E847)</f>
        <v>0</v>
      </c>
      <c r="F840" s="63">
        <f t="shared" si="384"/>
        <v>9494090</v>
      </c>
      <c r="G840" s="38">
        <f>SUM(G841:G847)</f>
        <v>11153093</v>
      </c>
      <c r="H840" s="38">
        <f>SUM(H841:H847)</f>
        <v>0</v>
      </c>
      <c r="I840" s="38">
        <f t="shared" si="385"/>
        <v>11153093</v>
      </c>
      <c r="J840" s="63">
        <f>SUM(J841:J847)</f>
        <v>11384620</v>
      </c>
      <c r="K840" s="38">
        <f>SUM(K841:K847)</f>
        <v>0</v>
      </c>
      <c r="L840" s="63">
        <f t="shared" si="386"/>
        <v>11384620</v>
      </c>
      <c r="M840" s="218">
        <f t="shared" si="352"/>
        <v>119.91270358717898</v>
      </c>
      <c r="N840" s="218">
        <f t="shared" si="353"/>
        <v>119.91270358717898</v>
      </c>
      <c r="O840" s="218">
        <f t="shared" si="354"/>
        <v>102.07589948366788</v>
      </c>
      <c r="P840" s="218">
        <f t="shared" si="383"/>
        <v>102.07589948366788</v>
      </c>
    </row>
    <row r="841" spans="1:16" s="3" customFormat="1" ht="12.75" customHeight="1">
      <c r="A841" s="36" t="s">
        <v>180</v>
      </c>
      <c r="B841" s="33" t="s">
        <v>419</v>
      </c>
      <c r="C841" s="211" t="s">
        <v>1366</v>
      </c>
      <c r="D841" s="38">
        <v>9348590</v>
      </c>
      <c r="E841" s="38"/>
      <c r="F841" s="63">
        <f t="shared" si="384"/>
        <v>9348590</v>
      </c>
      <c r="G841" s="38">
        <v>10613360</v>
      </c>
      <c r="H841" s="38"/>
      <c r="I841" s="38">
        <f t="shared" si="385"/>
        <v>10613360</v>
      </c>
      <c r="J841" s="63">
        <v>11156620</v>
      </c>
      <c r="K841" s="38"/>
      <c r="L841" s="63">
        <f t="shared" si="386"/>
        <v>11156620</v>
      </c>
      <c r="M841" s="218">
        <f t="shared" si="352"/>
        <v>119.34013578518258</v>
      </c>
      <c r="N841" s="218">
        <f t="shared" si="353"/>
        <v>119.34013578518258</v>
      </c>
      <c r="O841" s="218">
        <f t="shared" si="354"/>
        <v>105.11864291798261</v>
      </c>
      <c r="P841" s="218">
        <f t="shared" si="383"/>
        <v>105.11864291798261</v>
      </c>
    </row>
    <row r="842" spans="1:16" s="3" customFormat="1" ht="12.75" customHeight="1">
      <c r="A842" s="36" t="s">
        <v>368</v>
      </c>
      <c r="B842" s="33" t="s">
        <v>418</v>
      </c>
      <c r="C842" s="211" t="s">
        <v>1367</v>
      </c>
      <c r="D842" s="63">
        <v>7000</v>
      </c>
      <c r="E842" s="63"/>
      <c r="F842" s="63">
        <f t="shared" si="384"/>
        <v>7000</v>
      </c>
      <c r="G842" s="38">
        <v>97283</v>
      </c>
      <c r="H842" s="38"/>
      <c r="I842" s="38">
        <f t="shared" si="385"/>
        <v>97283</v>
      </c>
      <c r="J842" s="63">
        <v>10000</v>
      </c>
      <c r="K842" s="63"/>
      <c r="L842" s="63">
        <f t="shared" si="386"/>
        <v>10000</v>
      </c>
      <c r="M842" s="218">
        <f t="shared" si="352"/>
        <v>142.85714285714286</v>
      </c>
      <c r="N842" s="218">
        <f t="shared" si="353"/>
        <v>142.85714285714286</v>
      </c>
      <c r="O842" s="218">
        <f t="shared" si="354"/>
        <v>10.279288262080733</v>
      </c>
      <c r="P842" s="218">
        <f t="shared" si="383"/>
        <v>10.279288262080733</v>
      </c>
    </row>
    <row r="843" spans="1:16" s="3" customFormat="1" ht="12.75" customHeight="1">
      <c r="A843" s="46" t="s">
        <v>651</v>
      </c>
      <c r="B843" s="33" t="s">
        <v>650</v>
      </c>
      <c r="C843" s="211" t="s">
        <v>1368</v>
      </c>
      <c r="D843" s="63">
        <v>124500</v>
      </c>
      <c r="E843" s="63"/>
      <c r="F843" s="63">
        <f>SUM(D843:E843)</f>
        <v>124500</v>
      </c>
      <c r="G843" s="38">
        <v>154500</v>
      </c>
      <c r="H843" s="38"/>
      <c r="I843" s="38">
        <f>SUM(G843:H843)</f>
        <v>154500</v>
      </c>
      <c r="J843" s="63">
        <v>203000</v>
      </c>
      <c r="K843" s="63"/>
      <c r="L843" s="63">
        <f>SUM(J843:K843)</f>
        <v>203000</v>
      </c>
      <c r="M843" s="218">
        <f t="shared" si="352"/>
        <v>163.05220883534136</v>
      </c>
      <c r="N843" s="218">
        <f t="shared" si="353"/>
        <v>163.05220883534136</v>
      </c>
      <c r="O843" s="218">
        <f t="shared" si="354"/>
        <v>131.39158576051778</v>
      </c>
      <c r="P843" s="218">
        <f>IF(I843&gt;0,IF(L843&gt;=0,L843/I843*100,""),"")</f>
        <v>131.39158576051778</v>
      </c>
    </row>
    <row r="844" spans="1:16" s="3" customFormat="1" ht="12.75" customHeight="1">
      <c r="A844" s="36" t="s">
        <v>375</v>
      </c>
      <c r="B844" s="33" t="s">
        <v>150</v>
      </c>
      <c r="C844" s="211" t="s">
        <v>1369</v>
      </c>
      <c r="D844" s="63">
        <v>14000</v>
      </c>
      <c r="E844" s="63"/>
      <c r="F844" s="63">
        <f>SUM(D844:E844)</f>
        <v>14000</v>
      </c>
      <c r="G844" s="38">
        <v>14000</v>
      </c>
      <c r="H844" s="38"/>
      <c r="I844" s="38">
        <f>SUM(G844:H844)</f>
        <v>14000</v>
      </c>
      <c r="J844" s="63">
        <v>15000</v>
      </c>
      <c r="K844" s="63"/>
      <c r="L844" s="63">
        <f>SUM(J844:K844)</f>
        <v>15000</v>
      </c>
      <c r="M844" s="218">
        <f t="shared" si="352"/>
        <v>107.14285714285714</v>
      </c>
      <c r="N844" s="218">
        <f t="shared" si="353"/>
        <v>107.14285714285714</v>
      </c>
      <c r="O844" s="218">
        <f t="shared" si="354"/>
        <v>107.14285714285714</v>
      </c>
      <c r="P844" s="218">
        <f>IF(I844&gt;0,IF(L844&gt;=0,L844/I844*100,""),"")</f>
        <v>107.14285714285714</v>
      </c>
    </row>
    <row r="845" spans="1:16" s="3" customFormat="1" ht="12.75" customHeight="1">
      <c r="A845" s="36" t="s">
        <v>358</v>
      </c>
      <c r="B845" s="211" t="s">
        <v>417</v>
      </c>
      <c r="C845" s="211" t="s">
        <v>2154</v>
      </c>
      <c r="D845" s="63"/>
      <c r="E845" s="63"/>
      <c r="F845" s="63"/>
      <c r="G845" s="38">
        <v>3750</v>
      </c>
      <c r="H845" s="38"/>
      <c r="I845" s="38">
        <f t="shared" si="385"/>
        <v>3750</v>
      </c>
      <c r="J845" s="63"/>
      <c r="K845" s="63"/>
      <c r="L845" s="63"/>
      <c r="M845" s="218" t="str">
        <f t="shared" si="352"/>
        <v/>
      </c>
      <c r="N845" s="218" t="str">
        <f t="shared" si="353"/>
        <v/>
      </c>
      <c r="O845" s="218">
        <f t="shared" si="354"/>
        <v>0</v>
      </c>
      <c r="P845" s="218"/>
    </row>
    <row r="846" spans="1:16" s="3" customFormat="1" ht="12.75" customHeight="1">
      <c r="A846" s="36" t="s">
        <v>2074</v>
      </c>
      <c r="B846" s="211" t="s">
        <v>2075</v>
      </c>
      <c r="C846" s="211" t="s">
        <v>2155</v>
      </c>
      <c r="D846" s="63"/>
      <c r="E846" s="63"/>
      <c r="F846" s="63"/>
      <c r="G846" s="38">
        <v>254700</v>
      </c>
      <c r="H846" s="38"/>
      <c r="I846" s="38">
        <f t="shared" si="385"/>
        <v>254700</v>
      </c>
      <c r="J846" s="63"/>
      <c r="K846" s="63"/>
      <c r="L846" s="63"/>
      <c r="M846" s="218" t="str">
        <f t="shared" si="352"/>
        <v/>
      </c>
      <c r="N846" s="218" t="str">
        <f t="shared" si="353"/>
        <v/>
      </c>
      <c r="O846" s="218">
        <f t="shared" si="354"/>
        <v>0</v>
      </c>
      <c r="P846" s="218"/>
    </row>
    <row r="847" spans="1:16" s="3" customFormat="1" ht="12.75" customHeight="1">
      <c r="A847" s="36" t="s">
        <v>2347</v>
      </c>
      <c r="B847" s="211" t="s">
        <v>2346</v>
      </c>
      <c r="C847" s="211" t="s">
        <v>2251</v>
      </c>
      <c r="D847" s="63"/>
      <c r="E847" s="63"/>
      <c r="F847" s="63"/>
      <c r="G847" s="38">
        <v>15500</v>
      </c>
      <c r="H847" s="38"/>
      <c r="I847" s="38">
        <f t="shared" si="385"/>
        <v>15500</v>
      </c>
      <c r="J847" s="63"/>
      <c r="K847" s="63"/>
      <c r="L847" s="63"/>
      <c r="M847" s="218" t="str">
        <f t="shared" ref="M847:M910" si="387">IF(D847&gt;0,IF(J847&gt;=0,J847/D847*100,""),"")</f>
        <v/>
      </c>
      <c r="N847" s="218" t="str">
        <f t="shared" ref="N847:N910" si="388">IF(F847&gt;0,IF(L847&gt;=0,L847/F847*100,""),"")</f>
        <v/>
      </c>
      <c r="O847" s="218">
        <f t="shared" ref="O847:O910" si="389">IF(G847&gt;0,IF(J847&gt;=0,J847/G847*100,""),"")</f>
        <v>0</v>
      </c>
      <c r="P847" s="218"/>
    </row>
    <row r="848" spans="1:16" s="3" customFormat="1" hidden="1">
      <c r="A848" s="46" t="s">
        <v>791</v>
      </c>
      <c r="B848" s="211" t="s">
        <v>151</v>
      </c>
      <c r="C848" s="211" t="s">
        <v>1370</v>
      </c>
      <c r="D848" s="63"/>
      <c r="E848" s="63"/>
      <c r="F848" s="63">
        <f t="shared" si="384"/>
        <v>0</v>
      </c>
      <c r="G848" s="38"/>
      <c r="H848" s="38"/>
      <c r="I848" s="38">
        <f t="shared" si="385"/>
        <v>0</v>
      </c>
      <c r="J848" s="63"/>
      <c r="K848" s="63"/>
      <c r="L848" s="63">
        <f t="shared" si="386"/>
        <v>0</v>
      </c>
      <c r="M848" s="218" t="str">
        <f t="shared" si="387"/>
        <v/>
      </c>
      <c r="N848" s="218" t="str">
        <f t="shared" si="388"/>
        <v/>
      </c>
      <c r="O848" s="218" t="str">
        <f t="shared" si="389"/>
        <v/>
      </c>
      <c r="P848" s="218" t="str">
        <f t="shared" ref="P848:P854" si="390">IF(I848&gt;0,IF(L848&gt;=0,L848/I848*100,""),"")</f>
        <v/>
      </c>
    </row>
    <row r="849" spans="1:16" s="3" customFormat="1" ht="6" customHeight="1">
      <c r="A849" s="36"/>
      <c r="B849" s="211"/>
      <c r="C849" s="211" t="s">
        <v>268</v>
      </c>
      <c r="D849" s="38"/>
      <c r="E849" s="38"/>
      <c r="F849" s="63"/>
      <c r="G849" s="38"/>
      <c r="H849" s="38"/>
      <c r="I849" s="38"/>
      <c r="J849" s="63"/>
      <c r="K849" s="38"/>
      <c r="L849" s="63"/>
      <c r="M849" s="218" t="str">
        <f t="shared" si="387"/>
        <v/>
      </c>
      <c r="N849" s="218" t="str">
        <f t="shared" si="388"/>
        <v/>
      </c>
      <c r="O849" s="218" t="str">
        <f t="shared" si="389"/>
        <v/>
      </c>
      <c r="P849" s="218" t="str">
        <f t="shared" si="390"/>
        <v/>
      </c>
    </row>
    <row r="850" spans="1:16" s="3" customFormat="1" ht="12.75">
      <c r="A850" s="58" t="s">
        <v>344</v>
      </c>
      <c r="B850" s="65" t="s">
        <v>265</v>
      </c>
      <c r="C850" s="308" t="s">
        <v>940</v>
      </c>
      <c r="D850" s="42">
        <f>SUM(D852:D860)</f>
        <v>5184690</v>
      </c>
      <c r="E850" s="42">
        <f>SUM(E852:E860)</f>
        <v>0</v>
      </c>
      <c r="F850" s="42">
        <f t="shared" ref="F850:F853" si="391">SUM(D850:E850)</f>
        <v>5184690</v>
      </c>
      <c r="G850" s="55">
        <f>SUM(G852:G860)</f>
        <v>5553810</v>
      </c>
      <c r="H850" s="55">
        <f>SUM(H852:H860)</f>
        <v>0</v>
      </c>
      <c r="I850" s="55">
        <f t="shared" ref="I850:I860" si="392">SUM(G850:H850)</f>
        <v>5553810</v>
      </c>
      <c r="J850" s="42">
        <f>SUM(J852:J860)</f>
        <v>6273660</v>
      </c>
      <c r="K850" s="42">
        <f>SUM(K852:K860)</f>
        <v>0</v>
      </c>
      <c r="L850" s="42">
        <f t="shared" ref="L850:L853" si="393">SUM(J850:K850)</f>
        <v>6273660</v>
      </c>
      <c r="M850" s="225">
        <f t="shared" si="387"/>
        <v>121.00357012666139</v>
      </c>
      <c r="N850" s="225">
        <f t="shared" si="388"/>
        <v>121.00357012666139</v>
      </c>
      <c r="O850" s="225">
        <f t="shared" si="389"/>
        <v>112.96137246322795</v>
      </c>
      <c r="P850" s="225">
        <f t="shared" si="390"/>
        <v>112.96137246322795</v>
      </c>
    </row>
    <row r="851" spans="1:16" s="3" customFormat="1" hidden="1">
      <c r="A851" s="80" t="s">
        <v>267</v>
      </c>
      <c r="B851" s="79"/>
      <c r="C851" s="302" t="s">
        <v>268</v>
      </c>
      <c r="D851" s="116">
        <f>SUM(D852:D859)</f>
        <v>5184690</v>
      </c>
      <c r="E851" s="116">
        <f>SUM(E852:E859)</f>
        <v>0</v>
      </c>
      <c r="F851" s="76">
        <f t="shared" si="391"/>
        <v>5184690</v>
      </c>
      <c r="G851" s="116">
        <f>SUM(G852:G859)</f>
        <v>5553810</v>
      </c>
      <c r="H851" s="116">
        <f>SUM(H852:H859)</f>
        <v>0</v>
      </c>
      <c r="I851" s="116">
        <f t="shared" si="392"/>
        <v>5553810</v>
      </c>
      <c r="J851" s="76">
        <f>SUM(J852:J859)</f>
        <v>6273660</v>
      </c>
      <c r="K851" s="116">
        <f>SUM(K852:K859)</f>
        <v>0</v>
      </c>
      <c r="L851" s="76">
        <f t="shared" si="393"/>
        <v>6273660</v>
      </c>
      <c r="M851" s="226">
        <f t="shared" si="387"/>
        <v>121.00357012666139</v>
      </c>
      <c r="N851" s="226">
        <f t="shared" si="388"/>
        <v>121.00357012666139</v>
      </c>
      <c r="O851" s="226">
        <f t="shared" si="389"/>
        <v>112.96137246322795</v>
      </c>
      <c r="P851" s="226">
        <f t="shared" si="390"/>
        <v>112.96137246322795</v>
      </c>
    </row>
    <row r="852" spans="1:16" s="3" customFormat="1" ht="12.75" customHeight="1">
      <c r="A852" s="36" t="s">
        <v>180</v>
      </c>
      <c r="B852" s="33" t="s">
        <v>419</v>
      </c>
      <c r="C852" s="211" t="s">
        <v>1371</v>
      </c>
      <c r="D852" s="38">
        <v>4953790</v>
      </c>
      <c r="E852" s="38"/>
      <c r="F852" s="63">
        <f t="shared" si="391"/>
        <v>4953790</v>
      </c>
      <c r="G852" s="38">
        <v>5078335</v>
      </c>
      <c r="H852" s="38"/>
      <c r="I852" s="38">
        <f t="shared" si="392"/>
        <v>5078335</v>
      </c>
      <c r="J852" s="63">
        <v>5909060</v>
      </c>
      <c r="K852" s="38"/>
      <c r="L852" s="63">
        <f t="shared" si="393"/>
        <v>5909060</v>
      </c>
      <c r="M852" s="218">
        <f t="shared" si="387"/>
        <v>119.28361920872706</v>
      </c>
      <c r="N852" s="218">
        <f t="shared" si="388"/>
        <v>119.28361920872706</v>
      </c>
      <c r="O852" s="218">
        <f t="shared" si="389"/>
        <v>116.35821583255141</v>
      </c>
      <c r="P852" s="218">
        <f t="shared" si="390"/>
        <v>116.35821583255141</v>
      </c>
    </row>
    <row r="853" spans="1:16" s="3" customFormat="1" ht="12.75" customHeight="1">
      <c r="A853" s="36" t="s">
        <v>368</v>
      </c>
      <c r="B853" s="33" t="s">
        <v>418</v>
      </c>
      <c r="C853" s="211" t="s">
        <v>1372</v>
      </c>
      <c r="D853" s="63">
        <v>29700</v>
      </c>
      <c r="E853" s="63"/>
      <c r="F853" s="63">
        <f t="shared" si="391"/>
        <v>29700</v>
      </c>
      <c r="G853" s="38">
        <v>103325</v>
      </c>
      <c r="H853" s="38"/>
      <c r="I853" s="38">
        <f t="shared" si="392"/>
        <v>103325</v>
      </c>
      <c r="J853" s="63">
        <v>48900</v>
      </c>
      <c r="K853" s="63"/>
      <c r="L853" s="63">
        <f t="shared" si="393"/>
        <v>48900</v>
      </c>
      <c r="M853" s="218">
        <f t="shared" si="387"/>
        <v>164.64646464646464</v>
      </c>
      <c r="N853" s="218">
        <f t="shared" si="388"/>
        <v>164.64646464646464</v>
      </c>
      <c r="O853" s="218">
        <f t="shared" si="389"/>
        <v>47.32639729010404</v>
      </c>
      <c r="P853" s="218">
        <f t="shared" si="390"/>
        <v>47.32639729010404</v>
      </c>
    </row>
    <row r="854" spans="1:16" ht="12.75" customHeight="1">
      <c r="A854" s="36" t="s">
        <v>358</v>
      </c>
      <c r="B854" s="47" t="s">
        <v>417</v>
      </c>
      <c r="C854" s="212" t="s">
        <v>1374</v>
      </c>
      <c r="D854" s="112">
        <v>106000</v>
      </c>
      <c r="E854" s="112"/>
      <c r="F854" s="63">
        <f>SUM(D854:E854)</f>
        <v>106000</v>
      </c>
      <c r="G854" s="112">
        <v>149750</v>
      </c>
      <c r="H854" s="112"/>
      <c r="I854" s="38">
        <f t="shared" si="392"/>
        <v>149750</v>
      </c>
      <c r="J854" s="63">
        <v>183000</v>
      </c>
      <c r="K854" s="112"/>
      <c r="L854" s="63">
        <f>SUM(J854:K854)</f>
        <v>183000</v>
      </c>
      <c r="M854" s="218">
        <f t="shared" si="387"/>
        <v>172.64150943396226</v>
      </c>
      <c r="N854" s="218">
        <f t="shared" si="388"/>
        <v>172.64150943396226</v>
      </c>
      <c r="O854" s="218">
        <f t="shared" si="389"/>
        <v>122.20367278797997</v>
      </c>
      <c r="P854" s="218">
        <f t="shared" si="390"/>
        <v>122.20367278797997</v>
      </c>
    </row>
    <row r="855" spans="1:16" ht="12.75" customHeight="1">
      <c r="A855" s="36" t="s">
        <v>2466</v>
      </c>
      <c r="B855" s="47" t="s">
        <v>2451</v>
      </c>
      <c r="C855" s="212"/>
      <c r="D855" s="84"/>
      <c r="E855" s="84"/>
      <c r="F855" s="63"/>
      <c r="G855" s="84"/>
      <c r="H855" s="84"/>
      <c r="I855" s="38"/>
      <c r="J855" s="63">
        <f>34000+6000</f>
        <v>40000</v>
      </c>
      <c r="K855" s="84"/>
      <c r="L855" s="63">
        <f>SUM(J855:K855)</f>
        <v>40000</v>
      </c>
      <c r="M855" s="218" t="str">
        <f t="shared" si="387"/>
        <v/>
      </c>
      <c r="N855" s="218" t="str">
        <f t="shared" si="388"/>
        <v/>
      </c>
      <c r="O855" s="218" t="str">
        <f t="shared" si="389"/>
        <v/>
      </c>
      <c r="P855" s="218" t="str">
        <f t="shared" ref="P855" si="394">IF(I855&gt;0,IF(L855&gt;=0,L855/I855*100,""),"")</f>
        <v/>
      </c>
    </row>
    <row r="856" spans="1:16" s="3" customFormat="1" ht="12.75" customHeight="1">
      <c r="A856" s="46" t="s">
        <v>651</v>
      </c>
      <c r="B856" s="33" t="s">
        <v>650</v>
      </c>
      <c r="C856" s="211" t="s">
        <v>1373</v>
      </c>
      <c r="D856" s="63">
        <v>88200</v>
      </c>
      <c r="E856" s="63"/>
      <c r="F856" s="63">
        <f>SUM(D856:E856)</f>
        <v>88200</v>
      </c>
      <c r="G856" s="38">
        <v>96200</v>
      </c>
      <c r="H856" s="38"/>
      <c r="I856" s="38">
        <f>SUM(G856:H856)</f>
        <v>96200</v>
      </c>
      <c r="J856" s="63">
        <v>84700</v>
      </c>
      <c r="K856" s="63"/>
      <c r="L856" s="63">
        <f>SUM(J856:K856)</f>
        <v>84700</v>
      </c>
      <c r="M856" s="218">
        <f t="shared" si="387"/>
        <v>96.031746031746039</v>
      </c>
      <c r="N856" s="218">
        <f t="shared" si="388"/>
        <v>96.031746031746039</v>
      </c>
      <c r="O856" s="218">
        <f t="shared" si="389"/>
        <v>88.045738045738048</v>
      </c>
      <c r="P856" s="218">
        <f>IF(I856&gt;0,IF(L856&gt;=0,L856/I856*100,""),"")</f>
        <v>88.045738045738048</v>
      </c>
    </row>
    <row r="857" spans="1:16" s="3" customFormat="1" ht="12.75" customHeight="1">
      <c r="A857" s="46" t="s">
        <v>375</v>
      </c>
      <c r="B857" s="33" t="s">
        <v>150</v>
      </c>
      <c r="C857" s="211" t="s">
        <v>1375</v>
      </c>
      <c r="D857" s="63">
        <v>7000</v>
      </c>
      <c r="E857" s="63"/>
      <c r="F857" s="63">
        <f>SUM(D857:E857)</f>
        <v>7000</v>
      </c>
      <c r="G857" s="38">
        <v>7000</v>
      </c>
      <c r="H857" s="38"/>
      <c r="I857" s="38">
        <f>SUM(G857:H857)</f>
        <v>7000</v>
      </c>
      <c r="J857" s="63">
        <v>8000</v>
      </c>
      <c r="K857" s="63"/>
      <c r="L857" s="63">
        <f>SUM(J857:K857)</f>
        <v>8000</v>
      </c>
      <c r="M857" s="218">
        <f t="shared" si="387"/>
        <v>114.28571428571428</v>
      </c>
      <c r="N857" s="218">
        <f t="shared" si="388"/>
        <v>114.28571428571428</v>
      </c>
      <c r="O857" s="218">
        <f t="shared" si="389"/>
        <v>114.28571428571428</v>
      </c>
      <c r="P857" s="218">
        <f>IF(I857&gt;0,IF(L857&gt;=0,L857/I857*100,""),"")</f>
        <v>114.28571428571428</v>
      </c>
    </row>
    <row r="858" spans="1:16" ht="12.75" customHeight="1">
      <c r="A858" s="36" t="s">
        <v>2074</v>
      </c>
      <c r="B858" s="212" t="s">
        <v>2075</v>
      </c>
      <c r="C858" s="212" t="s">
        <v>2156</v>
      </c>
      <c r="D858" s="84"/>
      <c r="E858" s="84"/>
      <c r="F858" s="63"/>
      <c r="G858" s="84">
        <v>104100</v>
      </c>
      <c r="H858" s="84"/>
      <c r="I858" s="38">
        <f t="shared" si="392"/>
        <v>104100</v>
      </c>
      <c r="J858" s="63"/>
      <c r="K858" s="84"/>
      <c r="L858" s="63"/>
      <c r="M858" s="218" t="str">
        <f t="shared" si="387"/>
        <v/>
      </c>
      <c r="N858" s="218" t="str">
        <f t="shared" si="388"/>
        <v/>
      </c>
      <c r="O858" s="218">
        <f t="shared" si="389"/>
        <v>0</v>
      </c>
      <c r="P858" s="218"/>
    </row>
    <row r="859" spans="1:16" ht="12.75" customHeight="1">
      <c r="A859" s="36" t="s">
        <v>2347</v>
      </c>
      <c r="B859" s="212" t="s">
        <v>2346</v>
      </c>
      <c r="C859" s="212" t="s">
        <v>2242</v>
      </c>
      <c r="D859" s="84"/>
      <c r="E859" s="84"/>
      <c r="F859" s="63"/>
      <c r="G859" s="84">
        <v>15100</v>
      </c>
      <c r="H859" s="84"/>
      <c r="I859" s="38">
        <f t="shared" si="392"/>
        <v>15100</v>
      </c>
      <c r="J859" s="63"/>
      <c r="K859" s="84"/>
      <c r="L859" s="63"/>
      <c r="M859" s="218" t="str">
        <f t="shared" si="387"/>
        <v/>
      </c>
      <c r="N859" s="218" t="str">
        <f t="shared" si="388"/>
        <v/>
      </c>
      <c r="O859" s="218">
        <f t="shared" si="389"/>
        <v>0</v>
      </c>
      <c r="P859" s="218"/>
    </row>
    <row r="860" spans="1:16" s="3" customFormat="1" hidden="1">
      <c r="A860" s="46" t="s">
        <v>791</v>
      </c>
      <c r="B860" s="33" t="s">
        <v>151</v>
      </c>
      <c r="C860" s="211" t="s">
        <v>1376</v>
      </c>
      <c r="D860" s="63"/>
      <c r="E860" s="63"/>
      <c r="F860" s="63">
        <f t="shared" ref="F860" si="395">SUM(D860:E860)</f>
        <v>0</v>
      </c>
      <c r="G860" s="38"/>
      <c r="H860" s="38"/>
      <c r="I860" s="38">
        <f t="shared" si="392"/>
        <v>0</v>
      </c>
      <c r="J860" s="63"/>
      <c r="K860" s="63"/>
      <c r="L860" s="63">
        <f t="shared" ref="L860" si="396">SUM(J860:K860)</f>
        <v>0</v>
      </c>
      <c r="M860" s="218" t="str">
        <f t="shared" si="387"/>
        <v/>
      </c>
      <c r="N860" s="218" t="str">
        <f t="shared" si="388"/>
        <v/>
      </c>
      <c r="O860" s="218" t="str">
        <f t="shared" si="389"/>
        <v/>
      </c>
      <c r="P860" s="218" t="str">
        <f t="shared" ref="P860:P869" si="397">IF(I860&gt;0,IF(L860&gt;=0,L860/I860*100,""),"")</f>
        <v/>
      </c>
    </row>
    <row r="861" spans="1:16" s="3" customFormat="1" ht="6" customHeight="1">
      <c r="A861" s="46"/>
      <c r="B861" s="33"/>
      <c r="C861" s="211" t="s">
        <v>268</v>
      </c>
      <c r="D861" s="63"/>
      <c r="E861" s="63"/>
      <c r="F861" s="63"/>
      <c r="G861" s="38"/>
      <c r="H861" s="38"/>
      <c r="I861" s="38"/>
      <c r="J861" s="63"/>
      <c r="K861" s="63"/>
      <c r="L861" s="63"/>
      <c r="M861" s="218" t="str">
        <f t="shared" si="387"/>
        <v/>
      </c>
      <c r="N861" s="218" t="str">
        <f t="shared" si="388"/>
        <v/>
      </c>
      <c r="O861" s="218" t="str">
        <f t="shared" si="389"/>
        <v/>
      </c>
      <c r="P861" s="218" t="str">
        <f t="shared" si="397"/>
        <v/>
      </c>
    </row>
    <row r="862" spans="1:16" s="3" customFormat="1" ht="12.75">
      <c r="A862" s="58" t="s">
        <v>700</v>
      </c>
      <c r="B862" s="65" t="s">
        <v>265</v>
      </c>
      <c r="C862" s="308" t="s">
        <v>940</v>
      </c>
      <c r="D862" s="42">
        <f>SUM(D864:D871)</f>
        <v>8819270</v>
      </c>
      <c r="E862" s="42">
        <f>SUM(E864:E871)</f>
        <v>0</v>
      </c>
      <c r="F862" s="42">
        <f t="shared" ref="F862:F865" si="398">SUM(D862:E862)</f>
        <v>8819270</v>
      </c>
      <c r="G862" s="55">
        <f>SUM(G864:G871)</f>
        <v>10555188</v>
      </c>
      <c r="H862" s="55">
        <f>SUM(H864:H871)</f>
        <v>0</v>
      </c>
      <c r="I862" s="55">
        <f t="shared" ref="I862:I871" si="399">SUM(G862:H862)</f>
        <v>10555188</v>
      </c>
      <c r="J862" s="42">
        <f>SUM(J864:J871)</f>
        <v>10316130</v>
      </c>
      <c r="K862" s="42">
        <f>SUM(K864:K871)</f>
        <v>0</v>
      </c>
      <c r="L862" s="42">
        <f t="shared" ref="L862:L868" si="400">SUM(J862:K862)</f>
        <v>10316130</v>
      </c>
      <c r="M862" s="225">
        <f t="shared" si="387"/>
        <v>116.97260657628125</v>
      </c>
      <c r="N862" s="225">
        <f t="shared" si="388"/>
        <v>116.97260657628125</v>
      </c>
      <c r="O862" s="225">
        <f t="shared" si="389"/>
        <v>97.735161135926703</v>
      </c>
      <c r="P862" s="225">
        <f t="shared" si="397"/>
        <v>97.735161135926703</v>
      </c>
    </row>
    <row r="863" spans="1:16" s="3" customFormat="1" hidden="1">
      <c r="A863" s="46" t="s">
        <v>267</v>
      </c>
      <c r="B863" s="184"/>
      <c r="C863" s="320" t="s">
        <v>268</v>
      </c>
      <c r="D863" s="38">
        <f>SUM(D864:D871)</f>
        <v>8819270</v>
      </c>
      <c r="E863" s="77"/>
      <c r="F863" s="63">
        <f t="shared" si="398"/>
        <v>8819270</v>
      </c>
      <c r="G863" s="38">
        <f>SUM(G864:G871)</f>
        <v>10555188</v>
      </c>
      <c r="H863" s="109"/>
      <c r="I863" s="38">
        <f t="shared" si="399"/>
        <v>10555188</v>
      </c>
      <c r="J863" s="63">
        <f>SUM(J864:J871)</f>
        <v>10316130</v>
      </c>
      <c r="K863" s="77"/>
      <c r="L863" s="63">
        <f t="shared" si="400"/>
        <v>10316130</v>
      </c>
      <c r="M863" s="218">
        <f t="shared" si="387"/>
        <v>116.97260657628125</v>
      </c>
      <c r="N863" s="218">
        <f t="shared" si="388"/>
        <v>116.97260657628125</v>
      </c>
      <c r="O863" s="218">
        <f t="shared" si="389"/>
        <v>97.735161135926703</v>
      </c>
      <c r="P863" s="218">
        <f t="shared" si="397"/>
        <v>97.735161135926703</v>
      </c>
    </row>
    <row r="864" spans="1:16" s="3" customFormat="1" ht="12.75" customHeight="1">
      <c r="A864" s="36" t="s">
        <v>180</v>
      </c>
      <c r="B864" s="33" t="s">
        <v>419</v>
      </c>
      <c r="C864" s="211" t="s">
        <v>1377</v>
      </c>
      <c r="D864" s="38">
        <v>8531220</v>
      </c>
      <c r="E864" s="38"/>
      <c r="F864" s="63">
        <f t="shared" si="398"/>
        <v>8531220</v>
      </c>
      <c r="G864" s="38">
        <v>9712680</v>
      </c>
      <c r="H864" s="38"/>
      <c r="I864" s="38">
        <f t="shared" si="399"/>
        <v>9712680</v>
      </c>
      <c r="J864" s="63">
        <v>10217030</v>
      </c>
      <c r="K864" s="38"/>
      <c r="L864" s="63">
        <f t="shared" si="400"/>
        <v>10217030</v>
      </c>
      <c r="M864" s="218">
        <f t="shared" si="387"/>
        <v>119.76047974381154</v>
      </c>
      <c r="N864" s="218">
        <f t="shared" si="388"/>
        <v>119.76047974381154</v>
      </c>
      <c r="O864" s="218">
        <f t="shared" si="389"/>
        <v>105.1926965574898</v>
      </c>
      <c r="P864" s="218">
        <f t="shared" si="397"/>
        <v>105.1926965574898</v>
      </c>
    </row>
    <row r="865" spans="1:16" s="3" customFormat="1" ht="12.75" customHeight="1">
      <c r="A865" s="36" t="s">
        <v>368</v>
      </c>
      <c r="B865" s="33" t="s">
        <v>418</v>
      </c>
      <c r="C865" s="211" t="s">
        <v>1378</v>
      </c>
      <c r="D865" s="63">
        <v>12100</v>
      </c>
      <c r="E865" s="63"/>
      <c r="F865" s="63">
        <f t="shared" si="398"/>
        <v>12100</v>
      </c>
      <c r="G865" s="38">
        <v>100658</v>
      </c>
      <c r="H865" s="38"/>
      <c r="I865" s="38">
        <f t="shared" si="399"/>
        <v>100658</v>
      </c>
      <c r="J865" s="63">
        <v>20100</v>
      </c>
      <c r="K865" s="63"/>
      <c r="L865" s="63">
        <f t="shared" si="400"/>
        <v>20100</v>
      </c>
      <c r="M865" s="218">
        <f t="shared" si="387"/>
        <v>166.11570247933884</v>
      </c>
      <c r="N865" s="218">
        <f t="shared" si="388"/>
        <v>166.11570247933884</v>
      </c>
      <c r="O865" s="218">
        <f t="shared" si="389"/>
        <v>19.968606568777446</v>
      </c>
      <c r="P865" s="218">
        <f t="shared" si="397"/>
        <v>19.968606568777446</v>
      </c>
    </row>
    <row r="866" spans="1:16" s="3" customFormat="1" ht="12.75" customHeight="1">
      <c r="A866" s="46" t="s">
        <v>651</v>
      </c>
      <c r="B866" s="33" t="s">
        <v>650</v>
      </c>
      <c r="C866" s="211" t="s">
        <v>1379</v>
      </c>
      <c r="D866" s="63">
        <v>60000</v>
      </c>
      <c r="E866" s="63"/>
      <c r="F866" s="63">
        <f>SUM(D866:E866)</f>
        <v>60000</v>
      </c>
      <c r="G866" s="38">
        <v>76100</v>
      </c>
      <c r="H866" s="38"/>
      <c r="I866" s="38">
        <f>SUM(G866:H866)</f>
        <v>76100</v>
      </c>
      <c r="J866" s="63">
        <v>60000</v>
      </c>
      <c r="K866" s="63"/>
      <c r="L866" s="63">
        <f>SUM(J866:K866)</f>
        <v>60000</v>
      </c>
      <c r="M866" s="218">
        <f t="shared" si="387"/>
        <v>100</v>
      </c>
      <c r="N866" s="218">
        <f t="shared" si="388"/>
        <v>100</v>
      </c>
      <c r="O866" s="218">
        <f t="shared" si="389"/>
        <v>78.843626806833115</v>
      </c>
      <c r="P866" s="218">
        <f>IF(I866&gt;0,IF(L866&gt;=0,L866/I866*100,""),"")</f>
        <v>78.843626806833115</v>
      </c>
    </row>
    <row r="867" spans="1:16" s="3" customFormat="1" ht="12.75" customHeight="1">
      <c r="A867" s="36" t="s">
        <v>375</v>
      </c>
      <c r="B867" s="33" t="s">
        <v>150</v>
      </c>
      <c r="C867" s="211" t="s">
        <v>1382</v>
      </c>
      <c r="D867" s="63">
        <v>18000</v>
      </c>
      <c r="E867" s="63"/>
      <c r="F867" s="63">
        <f>SUM(D867:E867)</f>
        <v>18000</v>
      </c>
      <c r="G867" s="38">
        <v>218000</v>
      </c>
      <c r="H867" s="38"/>
      <c r="I867" s="38">
        <f>SUM(G867:H867)</f>
        <v>218000</v>
      </c>
      <c r="J867" s="63">
        <v>19000</v>
      </c>
      <c r="K867" s="63"/>
      <c r="L867" s="63">
        <f>SUM(J867:K867)</f>
        <v>19000</v>
      </c>
      <c r="M867" s="218">
        <f t="shared" si="387"/>
        <v>105.55555555555556</v>
      </c>
      <c r="N867" s="218">
        <f t="shared" si="388"/>
        <v>105.55555555555556</v>
      </c>
      <c r="O867" s="218">
        <f t="shared" si="389"/>
        <v>8.7155963302752291</v>
      </c>
      <c r="P867" s="218">
        <f>IF(I867&gt;0,IF(L867&gt;=0,L867/I867*100,""),"")</f>
        <v>8.7155963302752291</v>
      </c>
    </row>
    <row r="868" spans="1:16" s="3" customFormat="1" ht="12.75" customHeight="1">
      <c r="A868" s="36" t="s">
        <v>772</v>
      </c>
      <c r="B868" s="211" t="s">
        <v>766</v>
      </c>
      <c r="C868" s="211" t="s">
        <v>1380</v>
      </c>
      <c r="D868" s="63">
        <v>9950</v>
      </c>
      <c r="E868" s="63"/>
      <c r="F868" s="63">
        <f t="shared" ref="F868:F869" si="401">SUM(D868:E868)</f>
        <v>9950</v>
      </c>
      <c r="G868" s="38">
        <v>9950</v>
      </c>
      <c r="H868" s="38"/>
      <c r="I868" s="38">
        <f t="shared" si="399"/>
        <v>9950</v>
      </c>
      <c r="J868" s="63"/>
      <c r="K868" s="63"/>
      <c r="L868" s="63">
        <f t="shared" si="400"/>
        <v>0</v>
      </c>
      <c r="M868" s="218">
        <f t="shared" si="387"/>
        <v>0</v>
      </c>
      <c r="N868" s="218">
        <f t="shared" si="388"/>
        <v>0</v>
      </c>
      <c r="O868" s="218">
        <f t="shared" si="389"/>
        <v>0</v>
      </c>
      <c r="P868" s="218">
        <f t="shared" si="397"/>
        <v>0</v>
      </c>
    </row>
    <row r="869" spans="1:16" s="3" customFormat="1" ht="12.75" customHeight="1">
      <c r="A869" s="46" t="s">
        <v>145</v>
      </c>
      <c r="B869" s="211" t="s">
        <v>144</v>
      </c>
      <c r="C869" s="211" t="s">
        <v>1381</v>
      </c>
      <c r="D869" s="63">
        <v>188000</v>
      </c>
      <c r="E869" s="63"/>
      <c r="F869" s="63">
        <f t="shared" si="401"/>
        <v>188000</v>
      </c>
      <c r="G869" s="38">
        <v>188000</v>
      </c>
      <c r="H869" s="38"/>
      <c r="I869" s="38">
        <f t="shared" si="399"/>
        <v>188000</v>
      </c>
      <c r="J869" s="63"/>
      <c r="K869" s="63"/>
      <c r="L869" s="63">
        <f t="shared" ref="L869" si="402">SUM(J869:K869)</f>
        <v>0</v>
      </c>
      <c r="M869" s="218">
        <f t="shared" si="387"/>
        <v>0</v>
      </c>
      <c r="N869" s="218">
        <f t="shared" si="388"/>
        <v>0</v>
      </c>
      <c r="O869" s="218">
        <f t="shared" si="389"/>
        <v>0</v>
      </c>
      <c r="P869" s="218">
        <f t="shared" si="397"/>
        <v>0</v>
      </c>
    </row>
    <row r="870" spans="1:16" s="3" customFormat="1" ht="12.75" customHeight="1">
      <c r="A870" s="46" t="s">
        <v>2074</v>
      </c>
      <c r="B870" s="211" t="s">
        <v>2075</v>
      </c>
      <c r="C870" s="211" t="s">
        <v>2157</v>
      </c>
      <c r="D870" s="63"/>
      <c r="E870" s="63"/>
      <c r="F870" s="63"/>
      <c r="G870" s="38">
        <v>234300</v>
      </c>
      <c r="H870" s="38"/>
      <c r="I870" s="38">
        <f t="shared" si="399"/>
        <v>234300</v>
      </c>
      <c r="J870" s="63"/>
      <c r="K870" s="63"/>
      <c r="L870" s="63"/>
      <c r="M870" s="218" t="str">
        <f t="shared" si="387"/>
        <v/>
      </c>
      <c r="N870" s="218" t="str">
        <f t="shared" si="388"/>
        <v/>
      </c>
      <c r="O870" s="218">
        <f t="shared" si="389"/>
        <v>0</v>
      </c>
      <c r="P870" s="218"/>
    </row>
    <row r="871" spans="1:16" s="3" customFormat="1" ht="12.75" customHeight="1">
      <c r="A871" s="46" t="s">
        <v>2347</v>
      </c>
      <c r="B871" s="211" t="s">
        <v>2346</v>
      </c>
      <c r="C871" s="211" t="s">
        <v>2250</v>
      </c>
      <c r="D871" s="63"/>
      <c r="E871" s="63"/>
      <c r="F871" s="63"/>
      <c r="G871" s="38">
        <v>15500</v>
      </c>
      <c r="H871" s="38"/>
      <c r="I871" s="38">
        <f t="shared" si="399"/>
        <v>15500</v>
      </c>
      <c r="J871" s="63"/>
      <c r="K871" s="63"/>
      <c r="L871" s="63"/>
      <c r="M871" s="218" t="str">
        <f t="shared" si="387"/>
        <v/>
      </c>
      <c r="N871" s="218" t="str">
        <f t="shared" si="388"/>
        <v/>
      </c>
      <c r="O871" s="218">
        <f t="shared" si="389"/>
        <v>0</v>
      </c>
      <c r="P871" s="218"/>
    </row>
    <row r="872" spans="1:16" s="3" customFormat="1" ht="6" customHeight="1">
      <c r="A872" s="36"/>
      <c r="B872" s="33"/>
      <c r="C872" s="211" t="s">
        <v>268</v>
      </c>
      <c r="D872" s="63"/>
      <c r="E872" s="63"/>
      <c r="F872" s="63"/>
      <c r="G872" s="38"/>
      <c r="H872" s="38"/>
      <c r="I872" s="38"/>
      <c r="J872" s="63"/>
      <c r="K872" s="63"/>
      <c r="L872" s="63"/>
      <c r="M872" s="218" t="str">
        <f t="shared" si="387"/>
        <v/>
      </c>
      <c r="N872" s="218" t="str">
        <f t="shared" si="388"/>
        <v/>
      </c>
      <c r="O872" s="218" t="str">
        <f t="shared" si="389"/>
        <v/>
      </c>
      <c r="P872" s="218" t="str">
        <f t="shared" ref="P872:P879" si="403">IF(I872&gt;0,IF(L872&gt;=0,L872/I872*100,""),"")</f>
        <v/>
      </c>
    </row>
    <row r="873" spans="1:16" s="3" customFormat="1" ht="12.75">
      <c r="A873" s="58" t="s">
        <v>827</v>
      </c>
      <c r="B873" s="65" t="s">
        <v>265</v>
      </c>
      <c r="C873" s="308" t="s">
        <v>940</v>
      </c>
      <c r="D873" s="42">
        <f>SUM(D875:D883)</f>
        <v>6383730</v>
      </c>
      <c r="E873" s="42">
        <f>SUM(E875:E882)</f>
        <v>0</v>
      </c>
      <c r="F873" s="42">
        <f t="shared" ref="F873:F876" si="404">SUM(D873:E873)</f>
        <v>6383730</v>
      </c>
      <c r="G873" s="55">
        <f>SUM(G875:G883)</f>
        <v>7255647</v>
      </c>
      <c r="H873" s="55">
        <f>SUM(H875:H882)</f>
        <v>0</v>
      </c>
      <c r="I873" s="55">
        <f t="shared" ref="I873:I883" si="405">SUM(G873:H873)</f>
        <v>7255647</v>
      </c>
      <c r="J873" s="42">
        <f>SUM(J875:J883)</f>
        <v>7799700</v>
      </c>
      <c r="K873" s="42">
        <f>SUM(K875:K882)</f>
        <v>0</v>
      </c>
      <c r="L873" s="42">
        <f t="shared" ref="L873:L883" si="406">SUM(J873:K873)</f>
        <v>7799700</v>
      </c>
      <c r="M873" s="225">
        <f t="shared" si="387"/>
        <v>122.18091930579772</v>
      </c>
      <c r="N873" s="225">
        <f t="shared" si="388"/>
        <v>122.18091930579772</v>
      </c>
      <c r="O873" s="225">
        <f t="shared" si="389"/>
        <v>107.4983388800475</v>
      </c>
      <c r="P873" s="225">
        <f t="shared" si="403"/>
        <v>107.4983388800475</v>
      </c>
    </row>
    <row r="874" spans="1:16" s="3" customFormat="1" ht="12.75" customHeight="1">
      <c r="A874" s="46" t="s">
        <v>267</v>
      </c>
      <c r="B874" s="184"/>
      <c r="C874" s="320" t="s">
        <v>268</v>
      </c>
      <c r="D874" s="63">
        <f>SUM(D875:D882)</f>
        <v>6383730</v>
      </c>
      <c r="E874" s="77"/>
      <c r="F874" s="63">
        <f t="shared" si="404"/>
        <v>6383730</v>
      </c>
      <c r="G874" s="38">
        <f>SUM(G875:G882)</f>
        <v>7240647</v>
      </c>
      <c r="H874" s="109"/>
      <c r="I874" s="38">
        <f t="shared" si="405"/>
        <v>7240647</v>
      </c>
      <c r="J874" s="63">
        <f>SUM(J875:J882)</f>
        <v>7799700</v>
      </c>
      <c r="K874" s="77"/>
      <c r="L874" s="63">
        <f t="shared" si="406"/>
        <v>7799700</v>
      </c>
      <c r="M874" s="218">
        <f t="shared" si="387"/>
        <v>122.18091930579772</v>
      </c>
      <c r="N874" s="218">
        <f t="shared" si="388"/>
        <v>122.18091930579772</v>
      </c>
      <c r="O874" s="218">
        <f t="shared" si="389"/>
        <v>107.7210365316801</v>
      </c>
      <c r="P874" s="218">
        <f t="shared" si="403"/>
        <v>107.7210365316801</v>
      </c>
    </row>
    <row r="875" spans="1:16" s="3" customFormat="1" ht="12.75" customHeight="1">
      <c r="A875" s="36" t="s">
        <v>180</v>
      </c>
      <c r="B875" s="33" t="s">
        <v>419</v>
      </c>
      <c r="C875" s="211" t="s">
        <v>1383</v>
      </c>
      <c r="D875" s="38">
        <v>6335460</v>
      </c>
      <c r="E875" s="38"/>
      <c r="F875" s="63">
        <f t="shared" si="404"/>
        <v>6335460</v>
      </c>
      <c r="G875" s="38">
        <v>7024220</v>
      </c>
      <c r="H875" s="38"/>
      <c r="I875" s="38">
        <f t="shared" si="405"/>
        <v>7024220</v>
      </c>
      <c r="J875" s="63">
        <v>7678600</v>
      </c>
      <c r="K875" s="38"/>
      <c r="L875" s="63">
        <f t="shared" si="406"/>
        <v>7678600</v>
      </c>
      <c r="M875" s="218">
        <f t="shared" si="387"/>
        <v>121.20035482822085</v>
      </c>
      <c r="N875" s="218">
        <f t="shared" si="388"/>
        <v>121.20035482822085</v>
      </c>
      <c r="O875" s="218">
        <f t="shared" si="389"/>
        <v>109.3160521737645</v>
      </c>
      <c r="P875" s="218">
        <f t="shared" si="403"/>
        <v>109.3160521737645</v>
      </c>
    </row>
    <row r="876" spans="1:16" s="3" customFormat="1" ht="12.75" customHeight="1">
      <c r="A876" s="36" t="s">
        <v>368</v>
      </c>
      <c r="B876" s="33" t="s">
        <v>418</v>
      </c>
      <c r="C876" s="211" t="s">
        <v>1384</v>
      </c>
      <c r="D876" s="63">
        <v>7000</v>
      </c>
      <c r="E876" s="63"/>
      <c r="F876" s="63">
        <f t="shared" si="404"/>
        <v>7000</v>
      </c>
      <c r="G876" s="38">
        <v>66807</v>
      </c>
      <c r="H876" s="38"/>
      <c r="I876" s="38">
        <f t="shared" si="405"/>
        <v>66807</v>
      </c>
      <c r="J876" s="63">
        <v>10600</v>
      </c>
      <c r="K876" s="63"/>
      <c r="L876" s="63">
        <f t="shared" si="406"/>
        <v>10600</v>
      </c>
      <c r="M876" s="218">
        <f t="shared" si="387"/>
        <v>151.42857142857142</v>
      </c>
      <c r="N876" s="218">
        <f t="shared" si="388"/>
        <v>151.42857142857142</v>
      </c>
      <c r="O876" s="218">
        <f t="shared" si="389"/>
        <v>15.866600805304834</v>
      </c>
      <c r="P876" s="218">
        <f t="shared" si="403"/>
        <v>15.866600805304834</v>
      </c>
    </row>
    <row r="877" spans="1:16" s="3" customFormat="1" ht="12.75" customHeight="1">
      <c r="A877" s="46" t="s">
        <v>651</v>
      </c>
      <c r="B877" s="33" t="s">
        <v>650</v>
      </c>
      <c r="C877" s="211" t="s">
        <v>1385</v>
      </c>
      <c r="D877" s="63">
        <v>25000</v>
      </c>
      <c r="E877" s="63"/>
      <c r="F877" s="63">
        <f>SUM(D877:E877)</f>
        <v>25000</v>
      </c>
      <c r="G877" s="38">
        <v>51500</v>
      </c>
      <c r="H877" s="38"/>
      <c r="I877" s="38">
        <f>SUM(G877:H877)</f>
        <v>51500</v>
      </c>
      <c r="J877" s="63">
        <v>98000</v>
      </c>
      <c r="K877" s="63"/>
      <c r="L877" s="63">
        <f>SUM(J877:K877)</f>
        <v>98000</v>
      </c>
      <c r="M877" s="218">
        <f t="shared" si="387"/>
        <v>392</v>
      </c>
      <c r="N877" s="218">
        <f t="shared" si="388"/>
        <v>392</v>
      </c>
      <c r="O877" s="218">
        <f t="shared" si="389"/>
        <v>190.29126213592232</v>
      </c>
      <c r="P877" s="218">
        <f>IF(I877&gt;0,IF(L877&gt;=0,L877/I877*100,""),"")</f>
        <v>190.29126213592232</v>
      </c>
    </row>
    <row r="878" spans="1:16" s="3" customFormat="1" ht="12.75" customHeight="1">
      <c r="A878" s="36" t="s">
        <v>375</v>
      </c>
      <c r="B878" s="33" t="s">
        <v>150</v>
      </c>
      <c r="C878" s="211" t="s">
        <v>1387</v>
      </c>
      <c r="D878" s="63">
        <v>11500</v>
      </c>
      <c r="E878" s="63"/>
      <c r="F878" s="63">
        <f>SUM(D878:E878)</f>
        <v>11500</v>
      </c>
      <c r="G878" s="38">
        <v>11500</v>
      </c>
      <c r="H878" s="38"/>
      <c r="I878" s="38">
        <f>SUM(G878:H878)</f>
        <v>11500</v>
      </c>
      <c r="J878" s="63">
        <v>12500</v>
      </c>
      <c r="K878" s="63"/>
      <c r="L878" s="63">
        <f>SUM(J878:K878)</f>
        <v>12500</v>
      </c>
      <c r="M878" s="218">
        <f t="shared" si="387"/>
        <v>108.69565217391303</v>
      </c>
      <c r="N878" s="218">
        <f t="shared" si="388"/>
        <v>108.69565217391303</v>
      </c>
      <c r="O878" s="218">
        <f t="shared" si="389"/>
        <v>108.69565217391303</v>
      </c>
      <c r="P878" s="218">
        <f>IF(I878&gt;0,IF(L878&gt;=0,L878/I878*100,""),"")</f>
        <v>108.69565217391303</v>
      </c>
    </row>
    <row r="879" spans="1:16" s="3" customFormat="1" ht="12.75" customHeight="1">
      <c r="A879" s="36" t="s">
        <v>772</v>
      </c>
      <c r="B879" s="211" t="s">
        <v>766</v>
      </c>
      <c r="C879" s="211" t="s">
        <v>1386</v>
      </c>
      <c r="D879" s="63">
        <v>4770</v>
      </c>
      <c r="E879" s="63"/>
      <c r="F879" s="63">
        <f t="shared" ref="F879" si="407">SUM(D879:E879)</f>
        <v>4770</v>
      </c>
      <c r="G879" s="38">
        <v>4770</v>
      </c>
      <c r="H879" s="38"/>
      <c r="I879" s="38">
        <f t="shared" si="405"/>
        <v>4770</v>
      </c>
      <c r="J879" s="63"/>
      <c r="K879" s="63"/>
      <c r="L879" s="63">
        <f t="shared" si="406"/>
        <v>0</v>
      </c>
      <c r="M879" s="218">
        <f t="shared" si="387"/>
        <v>0</v>
      </c>
      <c r="N879" s="218">
        <f t="shared" si="388"/>
        <v>0</v>
      </c>
      <c r="O879" s="218">
        <f t="shared" si="389"/>
        <v>0</v>
      </c>
      <c r="P879" s="218">
        <f t="shared" si="403"/>
        <v>0</v>
      </c>
    </row>
    <row r="880" spans="1:16" s="3" customFormat="1" ht="12.75" customHeight="1">
      <c r="A880" s="36" t="s">
        <v>358</v>
      </c>
      <c r="B880" s="211" t="s">
        <v>417</v>
      </c>
      <c r="C880" s="211" t="s">
        <v>2249</v>
      </c>
      <c r="D880" s="63"/>
      <c r="E880" s="63"/>
      <c r="F880" s="63"/>
      <c r="G880" s="38">
        <v>43750</v>
      </c>
      <c r="H880" s="38"/>
      <c r="I880" s="38">
        <f t="shared" si="405"/>
        <v>43750</v>
      </c>
      <c r="J880" s="63"/>
      <c r="K880" s="63"/>
      <c r="L880" s="63"/>
      <c r="M880" s="218" t="str">
        <f t="shared" si="387"/>
        <v/>
      </c>
      <c r="N880" s="218" t="str">
        <f t="shared" si="388"/>
        <v/>
      </c>
      <c r="O880" s="218">
        <f t="shared" si="389"/>
        <v>0</v>
      </c>
      <c r="P880" s="218"/>
    </row>
    <row r="881" spans="1:16" s="3" customFormat="1" ht="12.75" customHeight="1">
      <c r="A881" s="36" t="s">
        <v>2074</v>
      </c>
      <c r="B881" s="211" t="s">
        <v>2075</v>
      </c>
      <c r="C881" s="211" t="s">
        <v>2158</v>
      </c>
      <c r="D881" s="63"/>
      <c r="E881" s="63"/>
      <c r="F881" s="63"/>
      <c r="G881" s="38">
        <v>4600</v>
      </c>
      <c r="H881" s="38"/>
      <c r="I881" s="38">
        <f t="shared" si="405"/>
        <v>4600</v>
      </c>
      <c r="J881" s="63"/>
      <c r="K881" s="63"/>
      <c r="L881" s="63"/>
      <c r="M881" s="218" t="str">
        <f t="shared" si="387"/>
        <v/>
      </c>
      <c r="N881" s="218" t="str">
        <f t="shared" si="388"/>
        <v/>
      </c>
      <c r="O881" s="218">
        <f t="shared" si="389"/>
        <v>0</v>
      </c>
      <c r="P881" s="218"/>
    </row>
    <row r="882" spans="1:16" s="3" customFormat="1" ht="12.75" customHeight="1">
      <c r="A882" s="36" t="s">
        <v>2347</v>
      </c>
      <c r="B882" s="211" t="s">
        <v>2346</v>
      </c>
      <c r="C882" s="211" t="s">
        <v>2248</v>
      </c>
      <c r="D882" s="63"/>
      <c r="E882" s="63"/>
      <c r="F882" s="63"/>
      <c r="G882" s="38">
        <v>33500</v>
      </c>
      <c r="H882" s="38"/>
      <c r="I882" s="38">
        <f t="shared" si="405"/>
        <v>33500</v>
      </c>
      <c r="J882" s="63"/>
      <c r="K882" s="63"/>
      <c r="L882" s="63"/>
      <c r="M882" s="218" t="str">
        <f t="shared" si="387"/>
        <v/>
      </c>
      <c r="N882" s="218" t="str">
        <f t="shared" si="388"/>
        <v/>
      </c>
      <c r="O882" s="218">
        <f t="shared" si="389"/>
        <v>0</v>
      </c>
      <c r="P882" s="218"/>
    </row>
    <row r="883" spans="1:16" s="3" customFormat="1" ht="12.75" customHeight="1">
      <c r="A883" s="36" t="s">
        <v>791</v>
      </c>
      <c r="B883" s="211" t="s">
        <v>151</v>
      </c>
      <c r="C883" s="211" t="s">
        <v>1388</v>
      </c>
      <c r="D883" s="63"/>
      <c r="E883" s="63"/>
      <c r="F883" s="63"/>
      <c r="G883" s="38">
        <v>15000</v>
      </c>
      <c r="H883" s="38"/>
      <c r="I883" s="38">
        <f t="shared" si="405"/>
        <v>15000</v>
      </c>
      <c r="J883" s="63"/>
      <c r="K883" s="63"/>
      <c r="L883" s="63">
        <f t="shared" si="406"/>
        <v>0</v>
      </c>
      <c r="M883" s="218" t="str">
        <f t="shared" si="387"/>
        <v/>
      </c>
      <c r="N883" s="218" t="str">
        <f t="shared" si="388"/>
        <v/>
      </c>
      <c r="O883" s="218">
        <f t="shared" si="389"/>
        <v>0</v>
      </c>
      <c r="P883" s="218">
        <f t="shared" ref="P883:P888" si="408">IF(I883&gt;0,IF(L883&gt;=0,L883/I883*100,""),"")</f>
        <v>0</v>
      </c>
    </row>
    <row r="884" spans="1:16" s="3" customFormat="1" ht="6" customHeight="1">
      <c r="A884" s="36"/>
      <c r="B884" s="33"/>
      <c r="C884" s="211" t="s">
        <v>268</v>
      </c>
      <c r="D884" s="63"/>
      <c r="E884" s="63"/>
      <c r="F884" s="63"/>
      <c r="G884" s="38"/>
      <c r="H884" s="38"/>
      <c r="I884" s="38"/>
      <c r="J884" s="63"/>
      <c r="K884" s="63"/>
      <c r="L884" s="63"/>
      <c r="M884" s="218" t="str">
        <f t="shared" si="387"/>
        <v/>
      </c>
      <c r="N884" s="218" t="str">
        <f t="shared" si="388"/>
        <v/>
      </c>
      <c r="O884" s="218" t="str">
        <f t="shared" si="389"/>
        <v/>
      </c>
      <c r="P884" s="218" t="str">
        <f t="shared" si="408"/>
        <v/>
      </c>
    </row>
    <row r="885" spans="1:16" s="3" customFormat="1" ht="12.75">
      <c r="A885" s="58" t="s">
        <v>815</v>
      </c>
      <c r="B885" s="65" t="s">
        <v>265</v>
      </c>
      <c r="C885" s="308" t="s">
        <v>940</v>
      </c>
      <c r="D885" s="42">
        <f>SUM(D887:D895)</f>
        <v>4523900</v>
      </c>
      <c r="E885" s="42">
        <f>SUM(E887:E893)</f>
        <v>0</v>
      </c>
      <c r="F885" s="42">
        <f t="shared" ref="F885:F888" si="409">SUM(D885:E885)</f>
        <v>4523900</v>
      </c>
      <c r="G885" s="55">
        <f>SUM(G887:G895)</f>
        <v>5586233</v>
      </c>
      <c r="H885" s="55">
        <f>SUM(H887:H893)</f>
        <v>0</v>
      </c>
      <c r="I885" s="55">
        <f t="shared" ref="I885:I895" si="410">SUM(G885:H885)</f>
        <v>5586233</v>
      </c>
      <c r="J885" s="42">
        <f>SUM(J887:J895)</f>
        <v>5743020</v>
      </c>
      <c r="K885" s="42">
        <f>SUM(K887:K893)</f>
        <v>0</v>
      </c>
      <c r="L885" s="42">
        <f t="shared" ref="L885:L886" si="411">SUM(J885:K885)</f>
        <v>5743020</v>
      </c>
      <c r="M885" s="225">
        <f t="shared" si="387"/>
        <v>126.94842945246359</v>
      </c>
      <c r="N885" s="225">
        <f t="shared" si="388"/>
        <v>126.94842945246359</v>
      </c>
      <c r="O885" s="225">
        <f t="shared" si="389"/>
        <v>102.8066677490896</v>
      </c>
      <c r="P885" s="225">
        <f t="shared" si="408"/>
        <v>102.8066677490896</v>
      </c>
    </row>
    <row r="886" spans="1:16" s="3" customFormat="1" ht="12.75" customHeight="1">
      <c r="A886" s="46" t="s">
        <v>267</v>
      </c>
      <c r="B886" s="44"/>
      <c r="C886" s="304" t="s">
        <v>268</v>
      </c>
      <c r="D886" s="63">
        <f>SUM(D887:D893)</f>
        <v>4523900</v>
      </c>
      <c r="E886" s="63"/>
      <c r="F886" s="63">
        <f t="shared" si="409"/>
        <v>4523900</v>
      </c>
      <c r="G886" s="38">
        <f>SUM(G887:G893)</f>
        <v>5574233</v>
      </c>
      <c r="H886" s="38"/>
      <c r="I886" s="38">
        <f t="shared" si="410"/>
        <v>5574233</v>
      </c>
      <c r="J886" s="63">
        <f>SUM(J887:J893)</f>
        <v>5743020</v>
      </c>
      <c r="K886" s="63"/>
      <c r="L886" s="63">
        <f t="shared" si="411"/>
        <v>5743020</v>
      </c>
      <c r="M886" s="218">
        <f t="shared" si="387"/>
        <v>126.94842945246359</v>
      </c>
      <c r="N886" s="218">
        <f t="shared" si="388"/>
        <v>126.94842945246359</v>
      </c>
      <c r="O886" s="218">
        <f t="shared" si="389"/>
        <v>103.02798609243639</v>
      </c>
      <c r="P886" s="218">
        <f t="shared" si="408"/>
        <v>103.02798609243639</v>
      </c>
    </row>
    <row r="887" spans="1:16" s="3" customFormat="1" ht="12.75" customHeight="1">
      <c r="A887" s="36" t="s">
        <v>180</v>
      </c>
      <c r="B887" s="33" t="s">
        <v>419</v>
      </c>
      <c r="C887" s="211" t="s">
        <v>1389</v>
      </c>
      <c r="D887" s="38">
        <v>4470400</v>
      </c>
      <c r="E887" s="38"/>
      <c r="F887" s="63">
        <f t="shared" si="409"/>
        <v>4470400</v>
      </c>
      <c r="G887" s="38">
        <v>5334940</v>
      </c>
      <c r="H887" s="38"/>
      <c r="I887" s="38">
        <f t="shared" si="410"/>
        <v>5334940</v>
      </c>
      <c r="J887" s="63">
        <v>5690020</v>
      </c>
      <c r="K887" s="38"/>
      <c r="L887" s="63">
        <f t="shared" ref="L887:L895" si="412">SUM(J887:K887)</f>
        <v>5690020</v>
      </c>
      <c r="M887" s="218">
        <f t="shared" si="387"/>
        <v>127.28212240515391</v>
      </c>
      <c r="N887" s="218">
        <f t="shared" si="388"/>
        <v>127.28212240515391</v>
      </c>
      <c r="O887" s="218">
        <f t="shared" si="389"/>
        <v>106.65574495683174</v>
      </c>
      <c r="P887" s="218">
        <f t="shared" si="408"/>
        <v>106.65574495683174</v>
      </c>
    </row>
    <row r="888" spans="1:16" s="3" customFormat="1" ht="12.75" customHeight="1">
      <c r="A888" s="36" t="s">
        <v>368</v>
      </c>
      <c r="B888" s="33" t="s">
        <v>418</v>
      </c>
      <c r="C888" s="211" t="s">
        <v>1390</v>
      </c>
      <c r="D888" s="63">
        <v>7000</v>
      </c>
      <c r="E888" s="63"/>
      <c r="F888" s="63">
        <f t="shared" si="409"/>
        <v>7000</v>
      </c>
      <c r="G888" s="38">
        <v>47833</v>
      </c>
      <c r="H888" s="38"/>
      <c r="I888" s="38">
        <f t="shared" si="410"/>
        <v>47833</v>
      </c>
      <c r="J888" s="63">
        <v>15000</v>
      </c>
      <c r="K888" s="63"/>
      <c r="L888" s="63">
        <f t="shared" si="412"/>
        <v>15000</v>
      </c>
      <c r="M888" s="218">
        <f t="shared" si="387"/>
        <v>214.28571428571428</v>
      </c>
      <c r="N888" s="218">
        <f t="shared" si="388"/>
        <v>214.28571428571428</v>
      </c>
      <c r="O888" s="218">
        <f t="shared" si="389"/>
        <v>31.359103547759915</v>
      </c>
      <c r="P888" s="218">
        <f t="shared" si="408"/>
        <v>31.359103547759915</v>
      </c>
    </row>
    <row r="889" spans="1:16" s="3" customFormat="1" ht="12.75" customHeight="1">
      <c r="A889" s="36" t="s">
        <v>2466</v>
      </c>
      <c r="B889" s="33" t="s">
        <v>2451</v>
      </c>
      <c r="C889" s="211"/>
      <c r="D889" s="63"/>
      <c r="E889" s="63"/>
      <c r="F889" s="63"/>
      <c r="G889" s="38"/>
      <c r="H889" s="38"/>
      <c r="I889" s="38"/>
      <c r="J889" s="63">
        <v>25000</v>
      </c>
      <c r="K889" s="63"/>
      <c r="L889" s="63">
        <f t="shared" si="412"/>
        <v>25000</v>
      </c>
      <c r="M889" s="218" t="str">
        <f t="shared" si="387"/>
        <v/>
      </c>
      <c r="N889" s="218" t="str">
        <f t="shared" si="388"/>
        <v/>
      </c>
      <c r="O889" s="218" t="str">
        <f t="shared" si="389"/>
        <v/>
      </c>
      <c r="P889" s="218" t="str">
        <f t="shared" ref="P889" si="413">IF(I889&gt;0,IF(L889&gt;=0,L889/I889*100,""),"")</f>
        <v/>
      </c>
    </row>
    <row r="890" spans="1:16" s="3" customFormat="1" ht="12.75" customHeight="1">
      <c r="A890" s="46" t="s">
        <v>651</v>
      </c>
      <c r="B890" s="33" t="s">
        <v>650</v>
      </c>
      <c r="C890" s="211" t="s">
        <v>1391</v>
      </c>
      <c r="D890" s="63">
        <v>37500</v>
      </c>
      <c r="E890" s="63"/>
      <c r="F890" s="63">
        <f>SUM(D890:E890)</f>
        <v>37500</v>
      </c>
      <c r="G890" s="38">
        <v>100500</v>
      </c>
      <c r="H890" s="38"/>
      <c r="I890" s="38">
        <f>SUM(G890:H890)</f>
        <v>100500</v>
      </c>
      <c r="J890" s="63">
        <v>3000</v>
      </c>
      <c r="K890" s="63"/>
      <c r="L890" s="63">
        <f>SUM(J890:K890)</f>
        <v>3000</v>
      </c>
      <c r="M890" s="218">
        <f t="shared" si="387"/>
        <v>8</v>
      </c>
      <c r="N890" s="218">
        <f t="shared" si="388"/>
        <v>8</v>
      </c>
      <c r="O890" s="218">
        <f t="shared" si="389"/>
        <v>2.9850746268656714</v>
      </c>
      <c r="P890" s="218">
        <f>IF(I890&gt;0,IF(L890&gt;=0,L890/I890*100,""),"")</f>
        <v>2.9850746268656714</v>
      </c>
    </row>
    <row r="891" spans="1:16" s="3" customFormat="1" ht="12.75" customHeight="1">
      <c r="A891" s="36" t="s">
        <v>375</v>
      </c>
      <c r="B891" s="33" t="s">
        <v>150</v>
      </c>
      <c r="C891" s="211" t="s">
        <v>1392</v>
      </c>
      <c r="D891" s="63">
        <v>9000</v>
      </c>
      <c r="E891" s="63"/>
      <c r="F891" s="63">
        <f>SUM(D891:E891)</f>
        <v>9000</v>
      </c>
      <c r="G891" s="38">
        <v>9000</v>
      </c>
      <c r="H891" s="38"/>
      <c r="I891" s="38">
        <f>SUM(G891:H891)</f>
        <v>9000</v>
      </c>
      <c r="J891" s="63">
        <v>10000</v>
      </c>
      <c r="K891" s="63"/>
      <c r="L891" s="63">
        <f>SUM(J891:K891)</f>
        <v>10000</v>
      </c>
      <c r="M891" s="218">
        <f t="shared" si="387"/>
        <v>111.11111111111111</v>
      </c>
      <c r="N891" s="218">
        <f t="shared" si="388"/>
        <v>111.11111111111111</v>
      </c>
      <c r="O891" s="218">
        <f t="shared" si="389"/>
        <v>111.11111111111111</v>
      </c>
      <c r="P891" s="218">
        <f>IF(I891&gt;0,IF(L891&gt;=0,L891/I891*100,""),"")</f>
        <v>111.11111111111111</v>
      </c>
    </row>
    <row r="892" spans="1:16" s="3" customFormat="1" ht="12.75" customHeight="1">
      <c r="A892" s="36" t="s">
        <v>2074</v>
      </c>
      <c r="B892" s="211" t="s">
        <v>2075</v>
      </c>
      <c r="C892" s="211" t="s">
        <v>2159</v>
      </c>
      <c r="D892" s="63"/>
      <c r="E892" s="63"/>
      <c r="F892" s="63"/>
      <c r="G892" s="38">
        <v>39660</v>
      </c>
      <c r="H892" s="38"/>
      <c r="I892" s="38">
        <f t="shared" si="410"/>
        <v>39660</v>
      </c>
      <c r="J892" s="63"/>
      <c r="K892" s="63"/>
      <c r="L892" s="63"/>
      <c r="M892" s="218" t="str">
        <f t="shared" si="387"/>
        <v/>
      </c>
      <c r="N892" s="218" t="str">
        <f t="shared" si="388"/>
        <v/>
      </c>
      <c r="O892" s="218">
        <f t="shared" si="389"/>
        <v>0</v>
      </c>
      <c r="P892" s="218"/>
    </row>
    <row r="893" spans="1:16" s="3" customFormat="1" ht="12.75" customHeight="1">
      <c r="A893" s="36" t="s">
        <v>2347</v>
      </c>
      <c r="B893" s="211" t="s">
        <v>2346</v>
      </c>
      <c r="C893" s="211" t="s">
        <v>2246</v>
      </c>
      <c r="D893" s="63"/>
      <c r="E893" s="63"/>
      <c r="F893" s="63"/>
      <c r="G893" s="38">
        <v>42300</v>
      </c>
      <c r="H893" s="38"/>
      <c r="I893" s="38">
        <f t="shared" si="410"/>
        <v>42300</v>
      </c>
      <c r="J893" s="63"/>
      <c r="K893" s="63"/>
      <c r="L893" s="63"/>
      <c r="M893" s="218" t="str">
        <f t="shared" si="387"/>
        <v/>
      </c>
      <c r="N893" s="218" t="str">
        <f t="shared" si="388"/>
        <v/>
      </c>
      <c r="O893" s="218">
        <f t="shared" si="389"/>
        <v>0</v>
      </c>
      <c r="P893" s="218"/>
    </row>
    <row r="894" spans="1:16" s="3" customFormat="1" ht="12.75" customHeight="1">
      <c r="A894" s="36" t="s">
        <v>792</v>
      </c>
      <c r="B894" s="211" t="s">
        <v>152</v>
      </c>
      <c r="C894" s="211" t="s">
        <v>2247</v>
      </c>
      <c r="D894" s="63"/>
      <c r="E894" s="63"/>
      <c r="F894" s="63"/>
      <c r="G894" s="38">
        <v>12000</v>
      </c>
      <c r="H894" s="38"/>
      <c r="I894" s="38">
        <f t="shared" si="410"/>
        <v>12000</v>
      </c>
      <c r="J894" s="63"/>
      <c r="K894" s="63"/>
      <c r="L894" s="63"/>
      <c r="M894" s="218" t="str">
        <f t="shared" si="387"/>
        <v/>
      </c>
      <c r="N894" s="218" t="str">
        <f t="shared" si="388"/>
        <v/>
      </c>
      <c r="O894" s="218">
        <f t="shared" si="389"/>
        <v>0</v>
      </c>
      <c r="P894" s="218"/>
    </row>
    <row r="895" spans="1:16" s="3" customFormat="1" hidden="1">
      <c r="A895" s="36" t="s">
        <v>791</v>
      </c>
      <c r="B895" s="33" t="s">
        <v>151</v>
      </c>
      <c r="C895" s="211" t="s">
        <v>1393</v>
      </c>
      <c r="D895" s="63"/>
      <c r="E895" s="63"/>
      <c r="F895" s="63">
        <f t="shared" ref="F895" si="414">SUM(D895:E895)</f>
        <v>0</v>
      </c>
      <c r="G895" s="38"/>
      <c r="H895" s="38"/>
      <c r="I895" s="38">
        <f t="shared" si="410"/>
        <v>0</v>
      </c>
      <c r="J895" s="63"/>
      <c r="K895" s="63"/>
      <c r="L895" s="63">
        <f t="shared" si="412"/>
        <v>0</v>
      </c>
      <c r="M895" s="218" t="str">
        <f t="shared" si="387"/>
        <v/>
      </c>
      <c r="N895" s="218" t="str">
        <f t="shared" si="388"/>
        <v/>
      </c>
      <c r="O895" s="218" t="str">
        <f t="shared" si="389"/>
        <v/>
      </c>
      <c r="P895" s="218" t="str">
        <f t="shared" ref="P895:P904" si="415">IF(I895&gt;0,IF(L895&gt;=0,L895/I895*100,""),"")</f>
        <v/>
      </c>
    </row>
    <row r="896" spans="1:16" s="3" customFormat="1" ht="6" customHeight="1">
      <c r="A896" s="36"/>
      <c r="B896" s="33"/>
      <c r="C896" s="211" t="s">
        <v>268</v>
      </c>
      <c r="D896" s="63"/>
      <c r="E896" s="63"/>
      <c r="F896" s="63"/>
      <c r="G896" s="38"/>
      <c r="H896" s="38"/>
      <c r="I896" s="38"/>
      <c r="J896" s="63"/>
      <c r="K896" s="63"/>
      <c r="L896" s="63"/>
      <c r="M896" s="218" t="str">
        <f t="shared" si="387"/>
        <v/>
      </c>
      <c r="N896" s="218" t="str">
        <f t="shared" si="388"/>
        <v/>
      </c>
      <c r="O896" s="218" t="str">
        <f t="shared" si="389"/>
        <v/>
      </c>
      <c r="P896" s="218" t="str">
        <f t="shared" si="415"/>
        <v/>
      </c>
    </row>
    <row r="897" spans="1:16" s="3" customFormat="1" ht="12.75">
      <c r="A897" s="58" t="s">
        <v>828</v>
      </c>
      <c r="B897" s="65" t="s">
        <v>265</v>
      </c>
      <c r="C897" s="308" t="s">
        <v>940</v>
      </c>
      <c r="D897" s="42">
        <f>SUM(D899:D907)</f>
        <v>13056300</v>
      </c>
      <c r="E897" s="42">
        <f>SUM(E899:E906)</f>
        <v>0</v>
      </c>
      <c r="F897" s="42">
        <f t="shared" ref="F897:F900" si="416">SUM(D897:E897)</f>
        <v>13056300</v>
      </c>
      <c r="G897" s="55">
        <f>SUM(G899:G907)</f>
        <v>15196717</v>
      </c>
      <c r="H897" s="55">
        <f>SUM(H899:H906)</f>
        <v>0</v>
      </c>
      <c r="I897" s="55">
        <f t="shared" ref="I897:I907" si="417">SUM(G897:H897)</f>
        <v>15196717</v>
      </c>
      <c r="J897" s="42">
        <f>SUM(J899:J907)</f>
        <v>13330430</v>
      </c>
      <c r="K897" s="42">
        <f>SUM(K899:K906)</f>
        <v>0</v>
      </c>
      <c r="L897" s="42">
        <f t="shared" ref="L897:L898" si="418">SUM(J897:K897)</f>
        <v>13330430</v>
      </c>
      <c r="M897" s="225">
        <f t="shared" si="387"/>
        <v>102.09959942709649</v>
      </c>
      <c r="N897" s="225">
        <f t="shared" si="388"/>
        <v>102.09959942709649</v>
      </c>
      <c r="O897" s="225">
        <f t="shared" si="389"/>
        <v>87.719143549228434</v>
      </c>
      <c r="P897" s="225">
        <f t="shared" si="415"/>
        <v>87.719143549228434</v>
      </c>
    </row>
    <row r="898" spans="1:16" s="3" customFormat="1" ht="12.75" customHeight="1">
      <c r="A898" s="43" t="s">
        <v>267</v>
      </c>
      <c r="B898" s="184"/>
      <c r="C898" s="320" t="s">
        <v>268</v>
      </c>
      <c r="D898" s="116">
        <f>SUM(D899:D906)</f>
        <v>13056300</v>
      </c>
      <c r="E898" s="111"/>
      <c r="F898" s="76">
        <f t="shared" si="416"/>
        <v>13056300</v>
      </c>
      <c r="G898" s="116">
        <f>SUM(G899:G906)</f>
        <v>15156717</v>
      </c>
      <c r="H898" s="193"/>
      <c r="I898" s="116">
        <f t="shared" si="417"/>
        <v>15156717</v>
      </c>
      <c r="J898" s="116">
        <f>SUM(J899:J906)</f>
        <v>13330430</v>
      </c>
      <c r="K898" s="111"/>
      <c r="L898" s="76">
        <f t="shared" si="418"/>
        <v>13330430</v>
      </c>
      <c r="M898" s="226">
        <f t="shared" si="387"/>
        <v>102.09959942709649</v>
      </c>
      <c r="N898" s="226">
        <f t="shared" si="388"/>
        <v>102.09959942709649</v>
      </c>
      <c r="O898" s="226">
        <f t="shared" si="389"/>
        <v>87.950642609478024</v>
      </c>
      <c r="P898" s="226">
        <f t="shared" si="415"/>
        <v>87.950642609478024</v>
      </c>
    </row>
    <row r="899" spans="1:16" s="3" customFormat="1" ht="12.75" customHeight="1">
      <c r="A899" s="36" t="s">
        <v>180</v>
      </c>
      <c r="B899" s="33" t="s">
        <v>419</v>
      </c>
      <c r="C899" s="211" t="s">
        <v>1394</v>
      </c>
      <c r="D899" s="38">
        <v>12867210</v>
      </c>
      <c r="E899" s="38"/>
      <c r="F899" s="63">
        <f t="shared" si="416"/>
        <v>12867210</v>
      </c>
      <c r="G899" s="38">
        <v>14601890</v>
      </c>
      <c r="H899" s="38"/>
      <c r="I899" s="38">
        <f t="shared" si="417"/>
        <v>14601890</v>
      </c>
      <c r="J899" s="63">
        <v>13096430</v>
      </c>
      <c r="K899" s="38"/>
      <c r="L899" s="63">
        <f t="shared" ref="L899:L904" si="419">SUM(J899:K899)</f>
        <v>13096430</v>
      </c>
      <c r="M899" s="218">
        <f t="shared" si="387"/>
        <v>101.78142736459574</v>
      </c>
      <c r="N899" s="218">
        <f t="shared" si="388"/>
        <v>101.78142736459574</v>
      </c>
      <c r="O899" s="218">
        <f t="shared" si="389"/>
        <v>89.689964792228949</v>
      </c>
      <c r="P899" s="218">
        <f t="shared" si="415"/>
        <v>89.689964792228949</v>
      </c>
    </row>
    <row r="900" spans="1:16" s="3" customFormat="1" ht="12.75" customHeight="1">
      <c r="A900" s="354" t="s">
        <v>368</v>
      </c>
      <c r="B900" s="66" t="s">
        <v>418</v>
      </c>
      <c r="C900" s="311" t="s">
        <v>1395</v>
      </c>
      <c r="D900" s="67">
        <v>29200</v>
      </c>
      <c r="E900" s="67"/>
      <c r="F900" s="67">
        <f t="shared" si="416"/>
        <v>29200</v>
      </c>
      <c r="G900" s="61">
        <v>102937</v>
      </c>
      <c r="H900" s="61"/>
      <c r="I900" s="61">
        <f t="shared" si="417"/>
        <v>102937</v>
      </c>
      <c r="J900" s="67">
        <v>10000</v>
      </c>
      <c r="K900" s="67"/>
      <c r="L900" s="67">
        <f t="shared" si="419"/>
        <v>10000</v>
      </c>
      <c r="M900" s="273">
        <f t="shared" si="387"/>
        <v>34.246575342465754</v>
      </c>
      <c r="N900" s="273">
        <f t="shared" si="388"/>
        <v>34.246575342465754</v>
      </c>
      <c r="O900" s="273">
        <f t="shared" si="389"/>
        <v>9.7146798527254532</v>
      </c>
      <c r="P900" s="273">
        <f t="shared" si="415"/>
        <v>9.7146798527254532</v>
      </c>
    </row>
    <row r="901" spans="1:16" s="3" customFormat="1" ht="12.75" customHeight="1">
      <c r="A901" s="43" t="s">
        <v>358</v>
      </c>
      <c r="B901" s="79" t="s">
        <v>417</v>
      </c>
      <c r="C901" s="302" t="s">
        <v>1398</v>
      </c>
      <c r="D901" s="76">
        <v>93000</v>
      </c>
      <c r="E901" s="76"/>
      <c r="F901" s="76">
        <f>SUM(D901:E901)</f>
        <v>93000</v>
      </c>
      <c r="G901" s="116">
        <v>93000</v>
      </c>
      <c r="H901" s="116"/>
      <c r="I901" s="116">
        <f>SUM(G901:H901)</f>
        <v>93000</v>
      </c>
      <c r="J901" s="76">
        <v>103000</v>
      </c>
      <c r="K901" s="76"/>
      <c r="L901" s="76">
        <f>SUM(J901:K901)</f>
        <v>103000</v>
      </c>
      <c r="M901" s="226">
        <f t="shared" si="387"/>
        <v>110.75268817204301</v>
      </c>
      <c r="N901" s="226">
        <f t="shared" si="388"/>
        <v>110.75268817204301</v>
      </c>
      <c r="O901" s="226">
        <f t="shared" si="389"/>
        <v>110.75268817204301</v>
      </c>
      <c r="P901" s="226">
        <f>IF(I901&gt;0,IF(L901&gt;=0,L901/I901*100,""),"")</f>
        <v>110.75268817204301</v>
      </c>
    </row>
    <row r="902" spans="1:16" s="3" customFormat="1" ht="12.75" customHeight="1">
      <c r="A902" s="46" t="s">
        <v>651</v>
      </c>
      <c r="B902" s="33" t="s">
        <v>650</v>
      </c>
      <c r="C902" s="211" t="s">
        <v>1396</v>
      </c>
      <c r="D902" s="63">
        <v>45000</v>
      </c>
      <c r="E902" s="63"/>
      <c r="F902" s="63">
        <f>SUM(D902:E902)</f>
        <v>45000</v>
      </c>
      <c r="G902" s="38">
        <v>45000</v>
      </c>
      <c r="H902" s="38"/>
      <c r="I902" s="38">
        <f>SUM(G902:H902)</f>
        <v>45000</v>
      </c>
      <c r="J902" s="63">
        <v>104000</v>
      </c>
      <c r="K902" s="63"/>
      <c r="L902" s="63">
        <f>SUM(J902:K902)</f>
        <v>104000</v>
      </c>
      <c r="M902" s="218">
        <f t="shared" si="387"/>
        <v>231.11111111111109</v>
      </c>
      <c r="N902" s="218">
        <f t="shared" si="388"/>
        <v>231.11111111111109</v>
      </c>
      <c r="O902" s="218">
        <f t="shared" si="389"/>
        <v>231.11111111111109</v>
      </c>
      <c r="P902" s="218">
        <f>IF(I902&gt;0,IF(L902&gt;=0,L902/I902*100,""),"")</f>
        <v>231.11111111111109</v>
      </c>
    </row>
    <row r="903" spans="1:16" s="3" customFormat="1" ht="12.75" customHeight="1">
      <c r="A903" s="36" t="s">
        <v>375</v>
      </c>
      <c r="B903" s="33" t="s">
        <v>150</v>
      </c>
      <c r="C903" s="211" t="s">
        <v>1399</v>
      </c>
      <c r="D903" s="63">
        <v>16000</v>
      </c>
      <c r="E903" s="63"/>
      <c r="F903" s="63">
        <f>SUM(D903:E903)</f>
        <v>16000</v>
      </c>
      <c r="G903" s="38">
        <v>26000</v>
      </c>
      <c r="H903" s="38"/>
      <c r="I903" s="38">
        <f>SUM(G903:H903)</f>
        <v>26000</v>
      </c>
      <c r="J903" s="63">
        <v>17000</v>
      </c>
      <c r="K903" s="63"/>
      <c r="L903" s="63">
        <f>SUM(J903:K903)</f>
        <v>17000</v>
      </c>
      <c r="M903" s="218">
        <f t="shared" si="387"/>
        <v>106.25</v>
      </c>
      <c r="N903" s="218">
        <f t="shared" si="388"/>
        <v>106.25</v>
      </c>
      <c r="O903" s="218">
        <f t="shared" si="389"/>
        <v>65.384615384615387</v>
      </c>
      <c r="P903" s="218">
        <f>IF(I903&gt;0,IF(L903&gt;=0,L903/I903*100,""),"")</f>
        <v>65.384615384615387</v>
      </c>
    </row>
    <row r="904" spans="1:16" s="3" customFormat="1" ht="12.75" customHeight="1">
      <c r="A904" s="36" t="s">
        <v>772</v>
      </c>
      <c r="B904" s="211" t="s">
        <v>766</v>
      </c>
      <c r="C904" s="211" t="s">
        <v>1397</v>
      </c>
      <c r="D904" s="63">
        <v>5890</v>
      </c>
      <c r="E904" s="63"/>
      <c r="F904" s="63">
        <f t="shared" ref="F904" si="420">SUM(D904:E904)</f>
        <v>5890</v>
      </c>
      <c r="G904" s="38">
        <v>5890</v>
      </c>
      <c r="H904" s="38"/>
      <c r="I904" s="38">
        <f t="shared" si="417"/>
        <v>5890</v>
      </c>
      <c r="J904" s="63"/>
      <c r="K904" s="63"/>
      <c r="L904" s="63">
        <f t="shared" si="419"/>
        <v>0</v>
      </c>
      <c r="M904" s="218">
        <f t="shared" si="387"/>
        <v>0</v>
      </c>
      <c r="N904" s="218">
        <f t="shared" si="388"/>
        <v>0</v>
      </c>
      <c r="O904" s="218">
        <f t="shared" si="389"/>
        <v>0</v>
      </c>
      <c r="P904" s="218">
        <f t="shared" si="415"/>
        <v>0</v>
      </c>
    </row>
    <row r="905" spans="1:16" s="3" customFormat="1" ht="12.75" customHeight="1">
      <c r="A905" s="46" t="s">
        <v>2074</v>
      </c>
      <c r="B905" s="211" t="s">
        <v>2075</v>
      </c>
      <c r="C905" s="211" t="s">
        <v>2160</v>
      </c>
      <c r="D905" s="63"/>
      <c r="E905" s="63"/>
      <c r="F905" s="63"/>
      <c r="G905" s="38">
        <v>218700</v>
      </c>
      <c r="H905" s="38"/>
      <c r="I905" s="38">
        <f t="shared" si="417"/>
        <v>218700</v>
      </c>
      <c r="J905" s="63"/>
      <c r="K905" s="63"/>
      <c r="L905" s="63"/>
      <c r="M905" s="218" t="str">
        <f t="shared" si="387"/>
        <v/>
      </c>
      <c r="N905" s="218" t="str">
        <f t="shared" si="388"/>
        <v/>
      </c>
      <c r="O905" s="218">
        <f t="shared" si="389"/>
        <v>0</v>
      </c>
      <c r="P905" s="218"/>
    </row>
    <row r="906" spans="1:16" s="3" customFormat="1" ht="12.75" customHeight="1">
      <c r="A906" s="46" t="s">
        <v>2347</v>
      </c>
      <c r="B906" s="211" t="s">
        <v>2346</v>
      </c>
      <c r="C906" s="211" t="s">
        <v>2244</v>
      </c>
      <c r="D906" s="63"/>
      <c r="E906" s="63"/>
      <c r="F906" s="63"/>
      <c r="G906" s="38">
        <v>63300</v>
      </c>
      <c r="H906" s="38"/>
      <c r="I906" s="38">
        <f t="shared" si="417"/>
        <v>63300</v>
      </c>
      <c r="J906" s="63"/>
      <c r="K906" s="63"/>
      <c r="L906" s="63"/>
      <c r="M906" s="218" t="str">
        <f t="shared" si="387"/>
        <v/>
      </c>
      <c r="N906" s="218" t="str">
        <f t="shared" si="388"/>
        <v/>
      </c>
      <c r="O906" s="218">
        <f t="shared" si="389"/>
        <v>0</v>
      </c>
      <c r="P906" s="218"/>
    </row>
    <row r="907" spans="1:16" s="3" customFormat="1" ht="12.75" customHeight="1">
      <c r="A907" s="36" t="s">
        <v>791</v>
      </c>
      <c r="B907" s="211" t="s">
        <v>151</v>
      </c>
      <c r="C907" s="211" t="s">
        <v>2245</v>
      </c>
      <c r="D907" s="63"/>
      <c r="E907" s="63"/>
      <c r="F907" s="63"/>
      <c r="G907" s="38">
        <v>40000</v>
      </c>
      <c r="H907" s="38"/>
      <c r="I907" s="38">
        <f t="shared" si="417"/>
        <v>40000</v>
      </c>
      <c r="J907" s="63"/>
      <c r="K907" s="63"/>
      <c r="L907" s="63"/>
      <c r="M907" s="218" t="str">
        <f t="shared" si="387"/>
        <v/>
      </c>
      <c r="N907" s="218" t="str">
        <f t="shared" si="388"/>
        <v/>
      </c>
      <c r="O907" s="218">
        <f t="shared" si="389"/>
        <v>0</v>
      </c>
      <c r="P907" s="218"/>
    </row>
    <row r="908" spans="1:16" s="3" customFormat="1" ht="6" customHeight="1">
      <c r="A908" s="46"/>
      <c r="B908" s="33"/>
      <c r="C908" s="211" t="s">
        <v>268</v>
      </c>
      <c r="D908" s="63"/>
      <c r="E908" s="63"/>
      <c r="F908" s="63"/>
      <c r="G908" s="38"/>
      <c r="H908" s="38"/>
      <c r="I908" s="38"/>
      <c r="J908" s="63"/>
      <c r="K908" s="63"/>
      <c r="L908" s="63"/>
      <c r="M908" s="218" t="str">
        <f t="shared" si="387"/>
        <v/>
      </c>
      <c r="N908" s="218" t="str">
        <f t="shared" si="388"/>
        <v/>
      </c>
      <c r="O908" s="218" t="str">
        <f t="shared" si="389"/>
        <v/>
      </c>
      <c r="P908" s="218" t="str">
        <f t="shared" ref="P908:P914" si="421">IF(I908&gt;0,IF(L908&gt;=0,L908/I908*100,""),"")</f>
        <v/>
      </c>
    </row>
    <row r="909" spans="1:16" s="3" customFormat="1" ht="12.75">
      <c r="A909" s="58" t="s">
        <v>883</v>
      </c>
      <c r="B909" s="65" t="s">
        <v>265</v>
      </c>
      <c r="C909" s="308" t="s">
        <v>940</v>
      </c>
      <c r="D909" s="42">
        <f>SUM(D911:D915)</f>
        <v>3837460</v>
      </c>
      <c r="E909" s="42">
        <f>SUM(E911:E927)</f>
        <v>0</v>
      </c>
      <c r="F909" s="42">
        <f t="shared" ref="F909:F912" si="422">SUM(D909:E909)</f>
        <v>3837460</v>
      </c>
      <c r="G909" s="55">
        <f>SUM(G911:G915)</f>
        <v>4429122</v>
      </c>
      <c r="H909" s="55">
        <f>SUM(H911:H927)</f>
        <v>0</v>
      </c>
      <c r="I909" s="55">
        <f t="shared" ref="I909:I915" si="423">SUM(G909:H909)</f>
        <v>4429122</v>
      </c>
      <c r="J909" s="42">
        <f>SUM(J911:J915)</f>
        <v>4766180</v>
      </c>
      <c r="K909" s="42">
        <f>SUM(K911:K927)</f>
        <v>0</v>
      </c>
      <c r="L909" s="42">
        <f t="shared" ref="L909:L915" si="424">SUM(J909:K909)</f>
        <v>4766180</v>
      </c>
      <c r="M909" s="225">
        <f t="shared" si="387"/>
        <v>124.20142490084586</v>
      </c>
      <c r="N909" s="225">
        <f t="shared" si="388"/>
        <v>124.20142490084586</v>
      </c>
      <c r="O909" s="225">
        <f t="shared" si="389"/>
        <v>107.61004099683863</v>
      </c>
      <c r="P909" s="225">
        <f t="shared" si="421"/>
        <v>107.61004099683863</v>
      </c>
    </row>
    <row r="910" spans="1:16" s="3" customFormat="1" hidden="1">
      <c r="A910" s="46" t="s">
        <v>267</v>
      </c>
      <c r="B910" s="184"/>
      <c r="C910" s="320" t="s">
        <v>268</v>
      </c>
      <c r="D910" s="63">
        <f>SUM(D911:D915)</f>
        <v>3837460</v>
      </c>
      <c r="E910" s="77"/>
      <c r="F910" s="63">
        <f t="shared" si="422"/>
        <v>3837460</v>
      </c>
      <c r="G910" s="38">
        <f>SUM(G911:G915)</f>
        <v>4429122</v>
      </c>
      <c r="H910" s="109"/>
      <c r="I910" s="38">
        <f t="shared" si="423"/>
        <v>4429122</v>
      </c>
      <c r="J910" s="63">
        <f>SUM(J911:J915)</f>
        <v>4766180</v>
      </c>
      <c r="K910" s="77"/>
      <c r="L910" s="63">
        <f t="shared" si="424"/>
        <v>4766180</v>
      </c>
      <c r="M910" s="218">
        <f t="shared" si="387"/>
        <v>124.20142490084586</v>
      </c>
      <c r="N910" s="218">
        <f t="shared" si="388"/>
        <v>124.20142490084586</v>
      </c>
      <c r="O910" s="218">
        <f t="shared" si="389"/>
        <v>107.61004099683863</v>
      </c>
      <c r="P910" s="218">
        <f t="shared" si="421"/>
        <v>107.61004099683863</v>
      </c>
    </row>
    <row r="911" spans="1:16" s="3" customFormat="1" ht="12.75" customHeight="1">
      <c r="A911" s="36" t="s">
        <v>180</v>
      </c>
      <c r="B911" s="33" t="s">
        <v>419</v>
      </c>
      <c r="C911" s="211" t="s">
        <v>1400</v>
      </c>
      <c r="D911" s="38">
        <v>3764260</v>
      </c>
      <c r="E911" s="38"/>
      <c r="F911" s="63">
        <f t="shared" si="422"/>
        <v>3764260</v>
      </c>
      <c r="G911" s="38">
        <v>4081410</v>
      </c>
      <c r="H911" s="38"/>
      <c r="I911" s="38">
        <f t="shared" si="423"/>
        <v>4081410</v>
      </c>
      <c r="J911" s="63">
        <v>4686180</v>
      </c>
      <c r="K911" s="38"/>
      <c r="L911" s="63">
        <f t="shared" si="424"/>
        <v>4686180</v>
      </c>
      <c r="M911" s="218">
        <f t="shared" ref="M911:M974" si="425">IF(D911&gt;0,IF(J911&gt;=0,J911/D911*100,""),"")</f>
        <v>124.49140070027045</v>
      </c>
      <c r="N911" s="218">
        <f t="shared" ref="N911:N974" si="426">IF(F911&gt;0,IF(L911&gt;=0,L911/F911*100,""),"")</f>
        <v>124.49140070027045</v>
      </c>
      <c r="O911" s="218">
        <f t="shared" ref="O911:O974" si="427">IF(G911&gt;0,IF(J911&gt;=0,J911/G911*100,""),"")</f>
        <v>114.81767330407872</v>
      </c>
      <c r="P911" s="218">
        <f t="shared" si="421"/>
        <v>114.81767330407872</v>
      </c>
    </row>
    <row r="912" spans="1:16" s="3" customFormat="1" ht="12.75" customHeight="1">
      <c r="A912" s="36" t="s">
        <v>368</v>
      </c>
      <c r="B912" s="33" t="s">
        <v>418</v>
      </c>
      <c r="C912" s="211" t="s">
        <v>1401</v>
      </c>
      <c r="D912" s="63">
        <v>16200</v>
      </c>
      <c r="E912" s="63"/>
      <c r="F912" s="63">
        <f t="shared" si="422"/>
        <v>16200</v>
      </c>
      <c r="G912" s="38">
        <v>63612</v>
      </c>
      <c r="H912" s="38"/>
      <c r="I912" s="38">
        <f t="shared" si="423"/>
        <v>63612</v>
      </c>
      <c r="J912" s="63">
        <v>12000</v>
      </c>
      <c r="K912" s="63"/>
      <c r="L912" s="63">
        <f t="shared" si="424"/>
        <v>12000</v>
      </c>
      <c r="M912" s="218">
        <f t="shared" si="425"/>
        <v>74.074074074074076</v>
      </c>
      <c r="N912" s="218">
        <f t="shared" si="426"/>
        <v>74.074074074074076</v>
      </c>
      <c r="O912" s="218">
        <f t="shared" si="427"/>
        <v>18.864365214110546</v>
      </c>
      <c r="P912" s="218">
        <f t="shared" si="421"/>
        <v>18.864365214110546</v>
      </c>
    </row>
    <row r="913" spans="1:16" s="3" customFormat="1" ht="12.75" customHeight="1">
      <c r="A913" s="36" t="s">
        <v>651</v>
      </c>
      <c r="B913" s="33" t="s">
        <v>650</v>
      </c>
      <c r="C913" s="211" t="s">
        <v>1402</v>
      </c>
      <c r="D913" s="63">
        <v>50000</v>
      </c>
      <c r="E913" s="63"/>
      <c r="F913" s="63">
        <f>SUM(D913:E913)</f>
        <v>50000</v>
      </c>
      <c r="G913" s="38">
        <v>91600</v>
      </c>
      <c r="H913" s="38"/>
      <c r="I913" s="38">
        <f>SUM(G913:H913)</f>
        <v>91600</v>
      </c>
      <c r="J913" s="63">
        <v>60000</v>
      </c>
      <c r="K913" s="63"/>
      <c r="L913" s="63">
        <f>SUM(J913:K913)</f>
        <v>60000</v>
      </c>
      <c r="M913" s="218">
        <f t="shared" si="425"/>
        <v>120</v>
      </c>
      <c r="N913" s="218">
        <f t="shared" si="426"/>
        <v>120</v>
      </c>
      <c r="O913" s="218">
        <f t="shared" si="427"/>
        <v>65.502183406113531</v>
      </c>
      <c r="P913" s="218">
        <f t="shared" si="421"/>
        <v>65.502183406113531</v>
      </c>
    </row>
    <row r="914" spans="1:16" s="3" customFormat="1" ht="12.75" customHeight="1">
      <c r="A914" s="36" t="s">
        <v>375</v>
      </c>
      <c r="B914" s="33" t="s">
        <v>150</v>
      </c>
      <c r="C914" s="211" t="s">
        <v>1403</v>
      </c>
      <c r="D914" s="63">
        <v>7000</v>
      </c>
      <c r="E914" s="63"/>
      <c r="F914" s="63">
        <f>SUM(D914:E914)</f>
        <v>7000</v>
      </c>
      <c r="G914" s="38">
        <v>182000</v>
      </c>
      <c r="H914" s="38"/>
      <c r="I914" s="38">
        <f>SUM(G914:H914)</f>
        <v>182000</v>
      </c>
      <c r="J914" s="63">
        <v>8000</v>
      </c>
      <c r="K914" s="63"/>
      <c r="L914" s="63">
        <f>SUM(J914:K914)</f>
        <v>8000</v>
      </c>
      <c r="M914" s="218">
        <f t="shared" si="425"/>
        <v>114.28571428571428</v>
      </c>
      <c r="N914" s="218">
        <f t="shared" si="426"/>
        <v>114.28571428571428</v>
      </c>
      <c r="O914" s="218">
        <f t="shared" si="427"/>
        <v>4.395604395604396</v>
      </c>
      <c r="P914" s="218">
        <f t="shared" si="421"/>
        <v>4.395604395604396</v>
      </c>
    </row>
    <row r="915" spans="1:16" s="3" customFormat="1" ht="12.75" customHeight="1">
      <c r="A915" s="36" t="s">
        <v>2347</v>
      </c>
      <c r="B915" s="211" t="s">
        <v>2346</v>
      </c>
      <c r="C915" s="211" t="s">
        <v>2243</v>
      </c>
      <c r="D915" s="63"/>
      <c r="E915" s="63"/>
      <c r="F915" s="63"/>
      <c r="G915" s="38">
        <v>10500</v>
      </c>
      <c r="H915" s="38"/>
      <c r="I915" s="38">
        <f t="shared" si="423"/>
        <v>10500</v>
      </c>
      <c r="J915" s="63"/>
      <c r="K915" s="63"/>
      <c r="L915" s="63">
        <f t="shared" si="424"/>
        <v>0</v>
      </c>
      <c r="M915" s="218" t="str">
        <f t="shared" si="425"/>
        <v/>
      </c>
      <c r="N915" s="218" t="str">
        <f t="shared" si="426"/>
        <v/>
      </c>
      <c r="O915" s="218">
        <f t="shared" si="427"/>
        <v>0</v>
      </c>
      <c r="P915" s="218"/>
    </row>
    <row r="916" spans="1:16" s="3" customFormat="1" ht="6" customHeight="1">
      <c r="A916" s="46"/>
      <c r="B916" s="33"/>
      <c r="C916" s="211" t="s">
        <v>268</v>
      </c>
      <c r="D916" s="63"/>
      <c r="E916" s="63"/>
      <c r="F916" s="63"/>
      <c r="G916" s="38"/>
      <c r="H916" s="38"/>
      <c r="I916" s="38"/>
      <c r="J916" s="63"/>
      <c r="K916" s="63"/>
      <c r="L916" s="63"/>
      <c r="M916" s="218" t="str">
        <f t="shared" si="425"/>
        <v/>
      </c>
      <c r="N916" s="218" t="str">
        <f t="shared" si="426"/>
        <v/>
      </c>
      <c r="O916" s="218" t="str">
        <f t="shared" si="427"/>
        <v/>
      </c>
      <c r="P916" s="218" t="str">
        <f t="shared" ref="P916:P923" si="428">IF(I916&gt;0,IF(L916&gt;=0,L916/I916*100,""),"")</f>
        <v/>
      </c>
    </row>
    <row r="917" spans="1:16" s="11" customFormat="1" ht="12.75">
      <c r="A917" s="58" t="s">
        <v>215</v>
      </c>
      <c r="B917" s="65" t="s">
        <v>265</v>
      </c>
      <c r="C917" s="308" t="s">
        <v>940</v>
      </c>
      <c r="D917" s="42">
        <f>SUM(D919:D927)</f>
        <v>3299950</v>
      </c>
      <c r="E917" s="42">
        <f>SUM(E919:E927)</f>
        <v>0</v>
      </c>
      <c r="F917" s="42">
        <f t="shared" ref="F917:F922" si="429">SUM(D917:E917)</f>
        <v>3299950</v>
      </c>
      <c r="G917" s="55">
        <f>SUM(G919:G927)</f>
        <v>3741237</v>
      </c>
      <c r="H917" s="55">
        <f>SUM(H919:H927)</f>
        <v>0</v>
      </c>
      <c r="I917" s="55">
        <f t="shared" ref="I917:I927" si="430">SUM(G917:H917)</f>
        <v>3741237</v>
      </c>
      <c r="J917" s="42">
        <f>SUM(J919:J927)</f>
        <v>3787880</v>
      </c>
      <c r="K917" s="42">
        <f>SUM(K919:K927)</f>
        <v>0</v>
      </c>
      <c r="L917" s="42">
        <f t="shared" ref="L917:L922" si="431">SUM(J917:K917)</f>
        <v>3787880</v>
      </c>
      <c r="M917" s="225">
        <f t="shared" si="425"/>
        <v>114.7859816057819</v>
      </c>
      <c r="N917" s="225">
        <f t="shared" si="426"/>
        <v>114.7859816057819</v>
      </c>
      <c r="O917" s="225">
        <f t="shared" si="427"/>
        <v>101.24672668424908</v>
      </c>
      <c r="P917" s="225">
        <f t="shared" si="428"/>
        <v>101.24672668424908</v>
      </c>
    </row>
    <row r="918" spans="1:16" s="11" customFormat="1" hidden="1">
      <c r="A918" s="36" t="s">
        <v>267</v>
      </c>
      <c r="B918" s="184"/>
      <c r="C918" s="320" t="s">
        <v>268</v>
      </c>
      <c r="D918" s="38">
        <f>SUM(D919:D927)</f>
        <v>3299950</v>
      </c>
      <c r="E918" s="77"/>
      <c r="F918" s="63">
        <f t="shared" si="429"/>
        <v>3299950</v>
      </c>
      <c r="G918" s="38">
        <f>SUM(G919:G927)</f>
        <v>3741237</v>
      </c>
      <c r="H918" s="109"/>
      <c r="I918" s="38">
        <f t="shared" si="430"/>
        <v>3741237</v>
      </c>
      <c r="J918" s="63">
        <f>SUM(J919:J927)</f>
        <v>3787880</v>
      </c>
      <c r="K918" s="77"/>
      <c r="L918" s="63">
        <f t="shared" si="431"/>
        <v>3787880</v>
      </c>
      <c r="M918" s="218">
        <f t="shared" si="425"/>
        <v>114.7859816057819</v>
      </c>
      <c r="N918" s="218">
        <f t="shared" si="426"/>
        <v>114.7859816057819</v>
      </c>
      <c r="O918" s="218">
        <f t="shared" si="427"/>
        <v>101.24672668424908</v>
      </c>
      <c r="P918" s="218">
        <f t="shared" si="428"/>
        <v>101.24672668424908</v>
      </c>
    </row>
    <row r="919" spans="1:16" s="11" customFormat="1" ht="12.75" customHeight="1">
      <c r="A919" s="36" t="s">
        <v>180</v>
      </c>
      <c r="B919" s="33" t="s">
        <v>419</v>
      </c>
      <c r="C919" s="211" t="s">
        <v>1404</v>
      </c>
      <c r="D919" s="38">
        <v>3244190</v>
      </c>
      <c r="E919" s="77"/>
      <c r="F919" s="63">
        <f t="shared" si="429"/>
        <v>3244190</v>
      </c>
      <c r="G919" s="38">
        <v>3386053</v>
      </c>
      <c r="H919" s="109"/>
      <c r="I919" s="38">
        <f t="shared" si="430"/>
        <v>3386053</v>
      </c>
      <c r="J919" s="63">
        <v>3683980</v>
      </c>
      <c r="K919" s="77"/>
      <c r="L919" s="63">
        <f t="shared" si="431"/>
        <v>3683980</v>
      </c>
      <c r="M919" s="218">
        <f t="shared" si="425"/>
        <v>113.55623437591508</v>
      </c>
      <c r="N919" s="218">
        <f t="shared" si="426"/>
        <v>113.55623437591508</v>
      </c>
      <c r="O919" s="218">
        <f t="shared" si="427"/>
        <v>108.79865140917759</v>
      </c>
      <c r="P919" s="218">
        <f t="shared" si="428"/>
        <v>108.79865140917759</v>
      </c>
    </row>
    <row r="920" spans="1:16" s="3" customFormat="1" ht="12.75" customHeight="1">
      <c r="A920" s="46" t="s">
        <v>651</v>
      </c>
      <c r="B920" s="33" t="s">
        <v>650</v>
      </c>
      <c r="C920" s="211" t="s">
        <v>1405</v>
      </c>
      <c r="D920" s="48">
        <v>47500</v>
      </c>
      <c r="E920" s="48"/>
      <c r="F920" s="48">
        <f t="shared" si="429"/>
        <v>47500</v>
      </c>
      <c r="G920" s="85">
        <v>62500</v>
      </c>
      <c r="H920" s="85"/>
      <c r="I920" s="38">
        <f>SUM(G920:H920)</f>
        <v>62500</v>
      </c>
      <c r="J920" s="63">
        <v>95900</v>
      </c>
      <c r="K920" s="48"/>
      <c r="L920" s="48">
        <f t="shared" si="431"/>
        <v>95900</v>
      </c>
      <c r="M920" s="219">
        <f t="shared" si="425"/>
        <v>201.89473684210526</v>
      </c>
      <c r="N920" s="219">
        <f t="shared" si="426"/>
        <v>201.89473684210526</v>
      </c>
      <c r="O920" s="219">
        <f t="shared" si="427"/>
        <v>153.44</v>
      </c>
      <c r="P920" s="219">
        <f>IF(I920&gt;0,IF(L920&gt;=0,L920/I920*100,""),"")</f>
        <v>153.44</v>
      </c>
    </row>
    <row r="921" spans="1:16" s="3" customFormat="1" ht="12.75" customHeight="1">
      <c r="A921" s="36" t="s">
        <v>375</v>
      </c>
      <c r="B921" s="33" t="s">
        <v>150</v>
      </c>
      <c r="C921" s="211" t="s">
        <v>1407</v>
      </c>
      <c r="D921" s="48">
        <v>7000</v>
      </c>
      <c r="E921" s="48"/>
      <c r="F921" s="48">
        <f t="shared" si="429"/>
        <v>7000</v>
      </c>
      <c r="G921" s="85">
        <v>207000</v>
      </c>
      <c r="H921" s="85"/>
      <c r="I921" s="85">
        <f>SUM(G921:H921)</f>
        <v>207000</v>
      </c>
      <c r="J921" s="63">
        <v>8000</v>
      </c>
      <c r="K921" s="48"/>
      <c r="L921" s="48">
        <f t="shared" si="431"/>
        <v>8000</v>
      </c>
      <c r="M921" s="219">
        <f t="shared" si="425"/>
        <v>114.28571428571428</v>
      </c>
      <c r="N921" s="219">
        <f t="shared" si="426"/>
        <v>114.28571428571428</v>
      </c>
      <c r="O921" s="219">
        <f t="shared" si="427"/>
        <v>3.8647342995169081</v>
      </c>
      <c r="P921" s="219">
        <f>IF(I921&gt;0,IF(L921&gt;=0,L921/I921*100,""),"")</f>
        <v>3.8647342995169081</v>
      </c>
    </row>
    <row r="922" spans="1:16" s="3" customFormat="1" ht="12.75" customHeight="1">
      <c r="A922" s="36" t="s">
        <v>368</v>
      </c>
      <c r="B922" s="211" t="s">
        <v>418</v>
      </c>
      <c r="C922" s="211" t="s">
        <v>1408</v>
      </c>
      <c r="D922" s="63"/>
      <c r="E922" s="63"/>
      <c r="F922" s="48">
        <f t="shared" si="429"/>
        <v>0</v>
      </c>
      <c r="G922" s="38">
        <v>15334</v>
      </c>
      <c r="H922" s="38"/>
      <c r="I922" s="85">
        <f t="shared" si="430"/>
        <v>15334</v>
      </c>
      <c r="J922" s="63"/>
      <c r="K922" s="63"/>
      <c r="L922" s="48">
        <f t="shared" si="431"/>
        <v>0</v>
      </c>
      <c r="M922" s="219" t="str">
        <f t="shared" si="425"/>
        <v/>
      </c>
      <c r="N922" s="219" t="str">
        <f t="shared" si="426"/>
        <v/>
      </c>
      <c r="O922" s="219">
        <f t="shared" si="427"/>
        <v>0</v>
      </c>
      <c r="P922" s="219">
        <f t="shared" si="428"/>
        <v>0</v>
      </c>
    </row>
    <row r="923" spans="1:16" s="11" customFormat="1" ht="12.75" customHeight="1">
      <c r="A923" s="36" t="s">
        <v>772</v>
      </c>
      <c r="B923" s="211" t="s">
        <v>766</v>
      </c>
      <c r="C923" s="211" t="s">
        <v>1406</v>
      </c>
      <c r="D923" s="38">
        <v>1260</v>
      </c>
      <c r="E923" s="77"/>
      <c r="F923" s="63">
        <f t="shared" ref="F923" si="432">SUM(D923:E923)</f>
        <v>1260</v>
      </c>
      <c r="G923" s="38">
        <v>2350</v>
      </c>
      <c r="H923" s="109"/>
      <c r="I923" s="38">
        <f t="shared" si="430"/>
        <v>2350</v>
      </c>
      <c r="J923" s="63"/>
      <c r="K923" s="77"/>
      <c r="L923" s="63">
        <f t="shared" ref="L923" si="433">SUM(J923:K923)</f>
        <v>0</v>
      </c>
      <c r="M923" s="218">
        <f t="shared" si="425"/>
        <v>0</v>
      </c>
      <c r="N923" s="218">
        <f t="shared" si="426"/>
        <v>0</v>
      </c>
      <c r="O923" s="218">
        <f t="shared" si="427"/>
        <v>0</v>
      </c>
      <c r="P923" s="218">
        <f t="shared" si="428"/>
        <v>0</v>
      </c>
    </row>
    <row r="924" spans="1:16" s="11" customFormat="1" ht="12.75" customHeight="1">
      <c r="A924" s="36" t="s">
        <v>2074</v>
      </c>
      <c r="B924" s="211" t="s">
        <v>2075</v>
      </c>
      <c r="C924" s="211" t="s">
        <v>2161</v>
      </c>
      <c r="D924" s="38"/>
      <c r="E924" s="77"/>
      <c r="F924" s="63"/>
      <c r="G924" s="38">
        <v>30000</v>
      </c>
      <c r="H924" s="109"/>
      <c r="I924" s="38">
        <f t="shared" si="430"/>
        <v>30000</v>
      </c>
      <c r="J924" s="63"/>
      <c r="K924" s="77"/>
      <c r="L924" s="63"/>
      <c r="M924" s="218" t="str">
        <f t="shared" si="425"/>
        <v/>
      </c>
      <c r="N924" s="218" t="str">
        <f t="shared" si="426"/>
        <v/>
      </c>
      <c r="O924" s="218">
        <f t="shared" si="427"/>
        <v>0</v>
      </c>
      <c r="P924" s="218"/>
    </row>
    <row r="925" spans="1:16" s="3" customFormat="1" ht="12.75" customHeight="1">
      <c r="A925" s="36" t="s">
        <v>2073</v>
      </c>
      <c r="B925" s="211" t="s">
        <v>624</v>
      </c>
      <c r="C925" s="211" t="s">
        <v>2162</v>
      </c>
      <c r="D925" s="63"/>
      <c r="E925" s="63"/>
      <c r="F925" s="48"/>
      <c r="G925" s="38">
        <v>5000</v>
      </c>
      <c r="H925" s="38"/>
      <c r="I925" s="38">
        <f t="shared" si="430"/>
        <v>5000</v>
      </c>
      <c r="J925" s="63"/>
      <c r="K925" s="63"/>
      <c r="L925" s="48"/>
      <c r="M925" s="219" t="str">
        <f t="shared" si="425"/>
        <v/>
      </c>
      <c r="N925" s="219" t="str">
        <f t="shared" si="426"/>
        <v/>
      </c>
      <c r="O925" s="219">
        <f t="shared" si="427"/>
        <v>0</v>
      </c>
      <c r="P925" s="219"/>
    </row>
    <row r="926" spans="1:16" s="3" customFormat="1" ht="12.75" customHeight="1">
      <c r="A926" s="36" t="s">
        <v>358</v>
      </c>
      <c r="B926" s="211" t="s">
        <v>417</v>
      </c>
      <c r="C926" s="211" t="s">
        <v>2256</v>
      </c>
      <c r="D926" s="63"/>
      <c r="E926" s="63"/>
      <c r="F926" s="48"/>
      <c r="G926" s="38">
        <v>17500</v>
      </c>
      <c r="H926" s="38"/>
      <c r="I926" s="38">
        <f t="shared" si="430"/>
        <v>17500</v>
      </c>
      <c r="J926" s="63"/>
      <c r="K926" s="63"/>
      <c r="L926" s="48"/>
      <c r="M926" s="219" t="str">
        <f t="shared" si="425"/>
        <v/>
      </c>
      <c r="N926" s="219" t="str">
        <f t="shared" si="426"/>
        <v/>
      </c>
      <c r="O926" s="219">
        <f t="shared" si="427"/>
        <v>0</v>
      </c>
      <c r="P926" s="219"/>
    </row>
    <row r="927" spans="1:16" s="3" customFormat="1" ht="12.75" customHeight="1">
      <c r="A927" s="36" t="s">
        <v>2347</v>
      </c>
      <c r="B927" s="211" t="s">
        <v>2346</v>
      </c>
      <c r="C927" s="211" t="s">
        <v>2255</v>
      </c>
      <c r="D927" s="63"/>
      <c r="E927" s="63"/>
      <c r="F927" s="48"/>
      <c r="G927" s="38">
        <v>15500</v>
      </c>
      <c r="H927" s="38"/>
      <c r="I927" s="38">
        <f t="shared" si="430"/>
        <v>15500</v>
      </c>
      <c r="J927" s="63"/>
      <c r="K927" s="63"/>
      <c r="L927" s="48"/>
      <c r="M927" s="219" t="str">
        <f t="shared" si="425"/>
        <v/>
      </c>
      <c r="N927" s="219" t="str">
        <f t="shared" si="426"/>
        <v/>
      </c>
      <c r="O927" s="219">
        <f t="shared" si="427"/>
        <v>0</v>
      </c>
      <c r="P927" s="219"/>
    </row>
    <row r="928" spans="1:16" s="7" customFormat="1" ht="6" customHeight="1">
      <c r="A928" s="46"/>
      <c r="B928" s="47"/>
      <c r="C928" s="212" t="s">
        <v>268</v>
      </c>
      <c r="D928" s="63"/>
      <c r="E928" s="63"/>
      <c r="F928" s="63">
        <f t="shared" ref="F928:F929" si="434">SUM(D928:E928)</f>
        <v>0</v>
      </c>
      <c r="G928" s="38"/>
      <c r="H928" s="38"/>
      <c r="I928" s="38">
        <f>SUM(G928:H928)</f>
        <v>0</v>
      </c>
      <c r="J928" s="63"/>
      <c r="K928" s="63"/>
      <c r="L928" s="63">
        <f t="shared" ref="L928:L929" si="435">SUM(J928:K928)</f>
        <v>0</v>
      </c>
      <c r="M928" s="218" t="str">
        <f t="shared" si="425"/>
        <v/>
      </c>
      <c r="N928" s="218" t="str">
        <f t="shared" si="426"/>
        <v/>
      </c>
      <c r="O928" s="218" t="str">
        <f t="shared" si="427"/>
        <v/>
      </c>
      <c r="P928" s="218" t="str">
        <f t="shared" ref="P928:P932" si="436">IF(I928&gt;0,IF(L928&gt;=0,L928/I928*100,""),"")</f>
        <v/>
      </c>
    </row>
    <row r="929" spans="1:17" s="10" customFormat="1" ht="12.75">
      <c r="A929" s="58" t="s">
        <v>214</v>
      </c>
      <c r="B929" s="78" t="s">
        <v>265</v>
      </c>
      <c r="C929" s="301" t="s">
        <v>940</v>
      </c>
      <c r="D929" s="42">
        <f>SUM(D931:D939)</f>
        <v>6457460</v>
      </c>
      <c r="E929" s="42">
        <f>SUM(E931:E939)</f>
        <v>0</v>
      </c>
      <c r="F929" s="42">
        <f t="shared" si="434"/>
        <v>6457460</v>
      </c>
      <c r="G929" s="55">
        <f>SUM(G931:G939)</f>
        <v>7166136</v>
      </c>
      <c r="H929" s="55">
        <f>SUM(H931:H939)</f>
        <v>0</v>
      </c>
      <c r="I929" s="55">
        <f>SUM(G929:H929)</f>
        <v>7166136</v>
      </c>
      <c r="J929" s="42">
        <f>SUM(J931:J939)</f>
        <v>7713600</v>
      </c>
      <c r="K929" s="42">
        <f>SUM(K931:K939)</f>
        <v>0</v>
      </c>
      <c r="L929" s="42">
        <f t="shared" si="435"/>
        <v>7713600</v>
      </c>
      <c r="M929" s="225">
        <f t="shared" si="425"/>
        <v>119.45254016285041</v>
      </c>
      <c r="N929" s="225">
        <f t="shared" si="426"/>
        <v>119.45254016285041</v>
      </c>
      <c r="O929" s="225">
        <f t="shared" si="427"/>
        <v>107.63959824373973</v>
      </c>
      <c r="P929" s="225">
        <f t="shared" si="436"/>
        <v>107.63959824373973</v>
      </c>
    </row>
    <row r="930" spans="1:17" s="10" customFormat="1" ht="12.75" hidden="1">
      <c r="A930" s="36" t="s">
        <v>267</v>
      </c>
      <c r="B930" s="162"/>
      <c r="C930" s="317" t="s">
        <v>268</v>
      </c>
      <c r="D930" s="38">
        <f>SUM(D931:D938)</f>
        <v>6457460</v>
      </c>
      <c r="E930" s="77"/>
      <c r="F930" s="38">
        <f>SUM(F931:F938)</f>
        <v>6457460</v>
      </c>
      <c r="G930" s="38">
        <f>SUM(G931:G938)</f>
        <v>7166136</v>
      </c>
      <c r="H930" s="109"/>
      <c r="I930" s="38">
        <f>SUM(I931:I938)</f>
        <v>7166136</v>
      </c>
      <c r="J930" s="38">
        <f>SUM(J931:J938)</f>
        <v>7713600</v>
      </c>
      <c r="K930" s="77"/>
      <c r="L930" s="38">
        <f>SUM(L931:L938)</f>
        <v>7713600</v>
      </c>
      <c r="M930" s="228">
        <f t="shared" si="425"/>
        <v>119.45254016285041</v>
      </c>
      <c r="N930" s="228">
        <f t="shared" si="426"/>
        <v>119.45254016285041</v>
      </c>
      <c r="O930" s="228">
        <f t="shared" si="427"/>
        <v>107.63959824373973</v>
      </c>
      <c r="P930" s="228">
        <f t="shared" si="436"/>
        <v>107.63959824373973</v>
      </c>
    </row>
    <row r="931" spans="1:17" s="10" customFormat="1" ht="12.75" customHeight="1">
      <c r="A931" s="36" t="s">
        <v>180</v>
      </c>
      <c r="B931" s="33" t="s">
        <v>419</v>
      </c>
      <c r="C931" s="211" t="s">
        <v>1409</v>
      </c>
      <c r="D931" s="38">
        <v>6379360</v>
      </c>
      <c r="E931" s="77"/>
      <c r="F931" s="63">
        <f>SUM(D931:E931)</f>
        <v>6379360</v>
      </c>
      <c r="G931" s="38">
        <v>6771905</v>
      </c>
      <c r="H931" s="109"/>
      <c r="I931" s="38">
        <f t="shared" ref="I931:I938" si="437">SUM(G931:H931)</f>
        <v>6771905</v>
      </c>
      <c r="J931" s="63">
        <v>7444280</v>
      </c>
      <c r="K931" s="77"/>
      <c r="L931" s="63">
        <f>SUM(J931:K931)</f>
        <v>7444280</v>
      </c>
      <c r="M931" s="218">
        <f t="shared" si="425"/>
        <v>116.69321060419855</v>
      </c>
      <c r="N931" s="218">
        <f t="shared" si="426"/>
        <v>116.69321060419855</v>
      </c>
      <c r="O931" s="218">
        <f t="shared" si="427"/>
        <v>109.92889002429894</v>
      </c>
      <c r="P931" s="218">
        <f t="shared" si="436"/>
        <v>109.92889002429894</v>
      </c>
    </row>
    <row r="932" spans="1:17" s="3" customFormat="1" ht="12.75" customHeight="1">
      <c r="A932" s="36" t="s">
        <v>368</v>
      </c>
      <c r="B932" s="33" t="s">
        <v>418</v>
      </c>
      <c r="C932" s="211" t="s">
        <v>1410</v>
      </c>
      <c r="D932" s="63">
        <v>31500</v>
      </c>
      <c r="E932" s="63"/>
      <c r="F932" s="63">
        <f>SUM(D932:E932)</f>
        <v>31500</v>
      </c>
      <c r="G932" s="38">
        <v>123141</v>
      </c>
      <c r="H932" s="38"/>
      <c r="I932" s="38">
        <f t="shared" si="437"/>
        <v>123141</v>
      </c>
      <c r="J932" s="63">
        <v>73800</v>
      </c>
      <c r="K932" s="63"/>
      <c r="L932" s="63">
        <f>SUM(J932:K932)</f>
        <v>73800</v>
      </c>
      <c r="M932" s="218">
        <f t="shared" si="425"/>
        <v>234.28571428571431</v>
      </c>
      <c r="N932" s="218">
        <f t="shared" si="426"/>
        <v>234.28571428571431</v>
      </c>
      <c r="O932" s="218">
        <f t="shared" si="427"/>
        <v>59.931298267839303</v>
      </c>
      <c r="P932" s="218">
        <f t="shared" si="436"/>
        <v>59.931298267839303</v>
      </c>
    </row>
    <row r="933" spans="1:17" s="3" customFormat="1" ht="12.75" customHeight="1">
      <c r="A933" s="36" t="s">
        <v>2073</v>
      </c>
      <c r="B933" s="33" t="s">
        <v>624</v>
      </c>
      <c r="C933" s="211" t="s">
        <v>2163</v>
      </c>
      <c r="D933" s="84"/>
      <c r="E933" s="63"/>
      <c r="F933" s="63"/>
      <c r="G933" s="84">
        <v>5000</v>
      </c>
      <c r="H933" s="38"/>
      <c r="I933" s="38">
        <f t="shared" si="437"/>
        <v>5000</v>
      </c>
      <c r="J933" s="63">
        <v>6000</v>
      </c>
      <c r="K933" s="63"/>
      <c r="L933" s="63">
        <f t="shared" ref="L933:L938" si="438">SUM(J933:K933)</f>
        <v>6000</v>
      </c>
      <c r="M933" s="218" t="str">
        <f t="shared" si="425"/>
        <v/>
      </c>
      <c r="N933" s="218" t="str">
        <f t="shared" si="426"/>
        <v/>
      </c>
      <c r="O933" s="218">
        <f t="shared" si="427"/>
        <v>120</v>
      </c>
      <c r="P933" s="218"/>
    </row>
    <row r="934" spans="1:17" s="3" customFormat="1" ht="12.75" customHeight="1">
      <c r="A934" s="36" t="s">
        <v>2071</v>
      </c>
      <c r="B934" s="33" t="s">
        <v>2072</v>
      </c>
      <c r="C934" s="211" t="s">
        <v>2413</v>
      </c>
      <c r="D934" s="84"/>
      <c r="E934" s="63"/>
      <c r="F934" s="63"/>
      <c r="G934" s="84"/>
      <c r="H934" s="38"/>
      <c r="I934" s="38"/>
      <c r="J934" s="63">
        <v>145920</v>
      </c>
      <c r="K934" s="63"/>
      <c r="L934" s="63">
        <f t="shared" si="438"/>
        <v>145920</v>
      </c>
      <c r="M934" s="218" t="str">
        <f t="shared" si="425"/>
        <v/>
      </c>
      <c r="N934" s="218" t="str">
        <f t="shared" si="426"/>
        <v/>
      </c>
      <c r="O934" s="218" t="str">
        <f t="shared" si="427"/>
        <v/>
      </c>
      <c r="P934" s="218"/>
    </row>
    <row r="935" spans="1:17" s="3" customFormat="1" ht="12.75" customHeight="1">
      <c r="A935" s="46" t="s">
        <v>651</v>
      </c>
      <c r="B935" s="33" t="s">
        <v>650</v>
      </c>
      <c r="C935" s="211" t="s">
        <v>1411</v>
      </c>
      <c r="D935" s="63">
        <v>40600</v>
      </c>
      <c r="E935" s="63"/>
      <c r="F935" s="63">
        <f>SUM(D935:E935)</f>
        <v>40600</v>
      </c>
      <c r="G935" s="38">
        <v>56600</v>
      </c>
      <c r="H935" s="38"/>
      <c r="I935" s="38">
        <f>SUM(G935:H935)</f>
        <v>56600</v>
      </c>
      <c r="J935" s="63">
        <v>36600</v>
      </c>
      <c r="K935" s="63"/>
      <c r="L935" s="63">
        <f>SUM(J935:K935)</f>
        <v>36600</v>
      </c>
      <c r="M935" s="218">
        <f t="shared" si="425"/>
        <v>90.14778325123153</v>
      </c>
      <c r="N935" s="218">
        <f t="shared" si="426"/>
        <v>90.14778325123153</v>
      </c>
      <c r="O935" s="218">
        <f t="shared" si="427"/>
        <v>64.664310954063609</v>
      </c>
      <c r="P935" s="218">
        <f>IF(I935&gt;0,IF(L935&gt;=0,L935/I935*100,""),"")</f>
        <v>64.664310954063609</v>
      </c>
    </row>
    <row r="936" spans="1:17" s="3" customFormat="1" ht="12.75" customHeight="1">
      <c r="A936" s="36" t="s">
        <v>375</v>
      </c>
      <c r="B936" s="33" t="s">
        <v>150</v>
      </c>
      <c r="C936" s="211" t="s">
        <v>1412</v>
      </c>
      <c r="D936" s="112">
        <v>6000</v>
      </c>
      <c r="E936" s="63"/>
      <c r="F936" s="63">
        <f>SUM(D936:E936)</f>
        <v>6000</v>
      </c>
      <c r="G936" s="112">
        <v>141000</v>
      </c>
      <c r="H936" s="38"/>
      <c r="I936" s="38">
        <f>SUM(G936:H936)</f>
        <v>141000</v>
      </c>
      <c r="J936" s="63">
        <v>7000</v>
      </c>
      <c r="K936" s="63"/>
      <c r="L936" s="63">
        <f>SUM(J936:K936)</f>
        <v>7000</v>
      </c>
      <c r="M936" s="218">
        <f t="shared" si="425"/>
        <v>116.66666666666667</v>
      </c>
      <c r="N936" s="218">
        <f t="shared" si="426"/>
        <v>116.66666666666667</v>
      </c>
      <c r="O936" s="218">
        <f t="shared" si="427"/>
        <v>4.9645390070921991</v>
      </c>
      <c r="P936" s="218">
        <f>IF(I936&gt;0,IF(L936&gt;=0,L936/I936*100,""),"")</f>
        <v>4.9645390070921991</v>
      </c>
    </row>
    <row r="937" spans="1:17" s="3" customFormat="1" ht="12.75" customHeight="1">
      <c r="A937" s="36" t="s">
        <v>358</v>
      </c>
      <c r="B937" s="211" t="s">
        <v>417</v>
      </c>
      <c r="C937" s="211" t="s">
        <v>2254</v>
      </c>
      <c r="D937" s="84"/>
      <c r="E937" s="63"/>
      <c r="F937" s="63"/>
      <c r="G937" s="84">
        <v>34990</v>
      </c>
      <c r="H937" s="38"/>
      <c r="I937" s="38">
        <f t="shared" si="437"/>
        <v>34990</v>
      </c>
      <c r="J937" s="63"/>
      <c r="K937" s="63"/>
      <c r="L937" s="63">
        <f t="shared" si="438"/>
        <v>0</v>
      </c>
      <c r="M937" s="218" t="str">
        <f t="shared" si="425"/>
        <v/>
      </c>
      <c r="N937" s="218" t="str">
        <f t="shared" si="426"/>
        <v/>
      </c>
      <c r="O937" s="218">
        <f t="shared" si="427"/>
        <v>0</v>
      </c>
      <c r="P937" s="218"/>
    </row>
    <row r="938" spans="1:17" s="3" customFormat="1" ht="12.75" customHeight="1">
      <c r="A938" s="36" t="s">
        <v>2347</v>
      </c>
      <c r="B938" s="211" t="s">
        <v>2346</v>
      </c>
      <c r="C938" s="211" t="s">
        <v>2253</v>
      </c>
      <c r="D938" s="84"/>
      <c r="E938" s="63"/>
      <c r="F938" s="63"/>
      <c r="G938" s="84">
        <v>33500</v>
      </c>
      <c r="H938" s="38"/>
      <c r="I938" s="38">
        <f t="shared" si="437"/>
        <v>33500</v>
      </c>
      <c r="J938" s="63"/>
      <c r="K938" s="63"/>
      <c r="L938" s="63">
        <f t="shared" si="438"/>
        <v>0</v>
      </c>
      <c r="M938" s="218" t="str">
        <f t="shared" si="425"/>
        <v/>
      </c>
      <c r="N938" s="218" t="str">
        <f t="shared" si="426"/>
        <v/>
      </c>
      <c r="O938" s="218">
        <f t="shared" si="427"/>
        <v>0</v>
      </c>
      <c r="P938" s="218"/>
    </row>
    <row r="939" spans="1:17" s="11" customFormat="1" hidden="1">
      <c r="A939" s="36" t="s">
        <v>791</v>
      </c>
      <c r="B939" s="47" t="s">
        <v>151</v>
      </c>
      <c r="C939" s="212" t="s">
        <v>1413</v>
      </c>
      <c r="D939" s="38"/>
      <c r="E939" s="77"/>
      <c r="F939" s="63">
        <f t="shared" ref="F939:F942" si="439">SUM(D939:E939)</f>
        <v>0</v>
      </c>
      <c r="G939" s="38"/>
      <c r="H939" s="109"/>
      <c r="I939" s="38">
        <f t="shared" ref="I939:I949" si="440">SUM(G939:H939)</f>
        <v>0</v>
      </c>
      <c r="J939" s="38"/>
      <c r="K939" s="77"/>
      <c r="L939" s="63">
        <f t="shared" ref="L939:L940" si="441">SUM(J939:K939)</f>
        <v>0</v>
      </c>
      <c r="M939" s="218" t="str">
        <f t="shared" si="425"/>
        <v/>
      </c>
      <c r="N939" s="218" t="str">
        <f t="shared" si="426"/>
        <v/>
      </c>
      <c r="O939" s="218" t="str">
        <f t="shared" si="427"/>
        <v/>
      </c>
      <c r="P939" s="218" t="str">
        <f t="shared" ref="P939:P944" si="442">IF(I939&gt;0,IF(L939&gt;=0,L939/I939*100,""),"")</f>
        <v/>
      </c>
    </row>
    <row r="940" spans="1:17" s="3" customFormat="1" ht="6" customHeight="1">
      <c r="A940" s="36"/>
      <c r="B940" s="33"/>
      <c r="C940" s="211" t="s">
        <v>268</v>
      </c>
      <c r="D940" s="63"/>
      <c r="E940" s="63"/>
      <c r="F940" s="63">
        <f t="shared" si="439"/>
        <v>0</v>
      </c>
      <c r="G940" s="38"/>
      <c r="H940" s="38"/>
      <c r="I940" s="38">
        <f t="shared" si="440"/>
        <v>0</v>
      </c>
      <c r="J940" s="63"/>
      <c r="K940" s="63"/>
      <c r="L940" s="63">
        <f t="shared" si="441"/>
        <v>0</v>
      </c>
      <c r="M940" s="218" t="str">
        <f t="shared" si="425"/>
        <v/>
      </c>
      <c r="N940" s="218" t="str">
        <f t="shared" si="426"/>
        <v/>
      </c>
      <c r="O940" s="218" t="str">
        <f t="shared" si="427"/>
        <v/>
      </c>
      <c r="P940" s="218" t="str">
        <f t="shared" si="442"/>
        <v/>
      </c>
    </row>
    <row r="941" spans="1:17" s="3" customFormat="1" ht="12.75">
      <c r="A941" s="58" t="s">
        <v>208</v>
      </c>
      <c r="B941" s="65" t="s">
        <v>265</v>
      </c>
      <c r="C941" s="308" t="s">
        <v>940</v>
      </c>
      <c r="D941" s="114">
        <f>SUM(D943:D949)</f>
        <v>3003050</v>
      </c>
      <c r="E941" s="114">
        <f>SUM(E943:E949)</f>
        <v>0</v>
      </c>
      <c r="F941" s="86">
        <f t="shared" si="439"/>
        <v>3003050</v>
      </c>
      <c r="G941" s="260">
        <f>SUM(G943:G949)</f>
        <v>3751064</v>
      </c>
      <c r="H941" s="260">
        <f>SUM(H943:H949)</f>
        <v>0</v>
      </c>
      <c r="I941" s="262">
        <f t="shared" si="440"/>
        <v>3751064</v>
      </c>
      <c r="J941" s="86">
        <f>SUM(J943:J949)</f>
        <v>4015560</v>
      </c>
      <c r="K941" s="114">
        <f>SUM(K943:K949)</f>
        <v>0</v>
      </c>
      <c r="L941" s="86">
        <f t="shared" ref="L941:L942" si="443">SUM(J941:K941)</f>
        <v>4015560</v>
      </c>
      <c r="M941" s="236">
        <f t="shared" si="425"/>
        <v>133.71605534373387</v>
      </c>
      <c r="N941" s="236">
        <f t="shared" si="426"/>
        <v>133.71605534373387</v>
      </c>
      <c r="O941" s="236">
        <f t="shared" si="427"/>
        <v>107.05122599880994</v>
      </c>
      <c r="P941" s="236">
        <f t="shared" si="442"/>
        <v>107.05122599880994</v>
      </c>
      <c r="Q941" s="11"/>
    </row>
    <row r="942" spans="1:17" s="3" customFormat="1" hidden="1">
      <c r="A942" s="36" t="s">
        <v>267</v>
      </c>
      <c r="B942" s="184"/>
      <c r="C942" s="320" t="s">
        <v>268</v>
      </c>
      <c r="D942" s="87">
        <f>SUM(D943:D949)</f>
        <v>3003050</v>
      </c>
      <c r="E942" s="95"/>
      <c r="F942" s="63">
        <f t="shared" si="439"/>
        <v>3003050</v>
      </c>
      <c r="G942" s="87">
        <f>SUM(G943:G949)</f>
        <v>3751064</v>
      </c>
      <c r="H942" s="261"/>
      <c r="I942" s="38">
        <f t="shared" si="440"/>
        <v>3751064</v>
      </c>
      <c r="J942" s="63">
        <f>SUM(J943:J949)</f>
        <v>4015560</v>
      </c>
      <c r="K942" s="95"/>
      <c r="L942" s="63">
        <f t="shared" si="443"/>
        <v>4015560</v>
      </c>
      <c r="M942" s="218">
        <f t="shared" si="425"/>
        <v>133.71605534373387</v>
      </c>
      <c r="N942" s="218">
        <f t="shared" si="426"/>
        <v>133.71605534373387</v>
      </c>
      <c r="O942" s="218">
        <f t="shared" si="427"/>
        <v>107.05122599880994</v>
      </c>
      <c r="P942" s="218">
        <f t="shared" si="442"/>
        <v>107.05122599880994</v>
      </c>
      <c r="Q942" s="11"/>
    </row>
    <row r="943" spans="1:17" s="3" customFormat="1" ht="12.75" customHeight="1">
      <c r="A943" s="36" t="s">
        <v>180</v>
      </c>
      <c r="B943" s="33" t="s">
        <v>419</v>
      </c>
      <c r="C943" s="211" t="s">
        <v>1414</v>
      </c>
      <c r="D943" s="87">
        <v>2947050</v>
      </c>
      <c r="E943" s="95"/>
      <c r="F943" s="63">
        <f>SUM(D943:E943)</f>
        <v>2947050</v>
      </c>
      <c r="G943" s="87">
        <v>3531829</v>
      </c>
      <c r="H943" s="261"/>
      <c r="I943" s="38">
        <f t="shared" si="440"/>
        <v>3531829</v>
      </c>
      <c r="J943" s="63">
        <v>3944960</v>
      </c>
      <c r="K943" s="95"/>
      <c r="L943" s="63">
        <f>SUM(J943:K943)</f>
        <v>3944960</v>
      </c>
      <c r="M943" s="218">
        <f t="shared" si="425"/>
        <v>133.8613189460647</v>
      </c>
      <c r="N943" s="218">
        <f t="shared" si="426"/>
        <v>133.8613189460647</v>
      </c>
      <c r="O943" s="218">
        <f t="shared" si="427"/>
        <v>111.69736700163004</v>
      </c>
      <c r="P943" s="218">
        <f t="shared" si="442"/>
        <v>111.69736700163004</v>
      </c>
      <c r="Q943" s="11"/>
    </row>
    <row r="944" spans="1:17" s="3" customFormat="1" ht="12.75" customHeight="1">
      <c r="A944" s="36" t="s">
        <v>368</v>
      </c>
      <c r="B944" s="33" t="s">
        <v>418</v>
      </c>
      <c r="C944" s="211" t="s">
        <v>1417</v>
      </c>
      <c r="D944" s="87"/>
      <c r="E944" s="95"/>
      <c r="F944" s="63">
        <f>SUM(D944:E944)</f>
        <v>0</v>
      </c>
      <c r="G944" s="87">
        <v>65235</v>
      </c>
      <c r="H944" s="261"/>
      <c r="I944" s="38">
        <f t="shared" si="440"/>
        <v>65235</v>
      </c>
      <c r="J944" s="63">
        <v>10600</v>
      </c>
      <c r="K944" s="95"/>
      <c r="L944" s="63">
        <f>SUM(J944:K944)</f>
        <v>10600</v>
      </c>
      <c r="M944" s="218" t="str">
        <f t="shared" si="425"/>
        <v/>
      </c>
      <c r="N944" s="218" t="str">
        <f t="shared" si="426"/>
        <v/>
      </c>
      <c r="O944" s="218">
        <f t="shared" si="427"/>
        <v>16.248946117881506</v>
      </c>
      <c r="P944" s="218">
        <f t="shared" si="442"/>
        <v>16.248946117881506</v>
      </c>
      <c r="Q944" s="11"/>
    </row>
    <row r="945" spans="1:17" s="3" customFormat="1" ht="12.75" customHeight="1">
      <c r="A945" s="36" t="s">
        <v>2073</v>
      </c>
      <c r="B945" s="33" t="s">
        <v>624</v>
      </c>
      <c r="C945" s="211" t="s">
        <v>2165</v>
      </c>
      <c r="D945" s="87"/>
      <c r="E945" s="95"/>
      <c r="F945" s="63"/>
      <c r="G945" s="87">
        <v>5000</v>
      </c>
      <c r="H945" s="261"/>
      <c r="I945" s="38">
        <f>SUM(G945:H945)</f>
        <v>5000</v>
      </c>
      <c r="J945" s="63">
        <v>6000</v>
      </c>
      <c r="K945" s="95"/>
      <c r="L945" s="63">
        <f>SUM(J945:K945)</f>
        <v>6000</v>
      </c>
      <c r="M945" s="218" t="str">
        <f t="shared" si="425"/>
        <v/>
      </c>
      <c r="N945" s="218" t="str">
        <f t="shared" si="426"/>
        <v/>
      </c>
      <c r="O945" s="218">
        <f t="shared" si="427"/>
        <v>120</v>
      </c>
      <c r="P945" s="218"/>
      <c r="Q945" s="11"/>
    </row>
    <row r="946" spans="1:17" s="3" customFormat="1" ht="12.75" customHeight="1">
      <c r="A946" s="46" t="s">
        <v>651</v>
      </c>
      <c r="B946" s="33" t="s">
        <v>650</v>
      </c>
      <c r="C946" s="211" t="s">
        <v>1415</v>
      </c>
      <c r="D946" s="87">
        <v>50000</v>
      </c>
      <c r="E946" s="95"/>
      <c r="F946" s="63">
        <f>SUM(D946:E946)</f>
        <v>50000</v>
      </c>
      <c r="G946" s="87">
        <v>56000</v>
      </c>
      <c r="H946" s="261"/>
      <c r="I946" s="38">
        <f>SUM(G946:H946)</f>
        <v>56000</v>
      </c>
      <c r="J946" s="63">
        <v>47000</v>
      </c>
      <c r="K946" s="95"/>
      <c r="L946" s="63">
        <f>SUM(J946:K946)</f>
        <v>47000</v>
      </c>
      <c r="M946" s="218">
        <f t="shared" si="425"/>
        <v>94</v>
      </c>
      <c r="N946" s="218">
        <f t="shared" si="426"/>
        <v>94</v>
      </c>
      <c r="O946" s="218">
        <f t="shared" si="427"/>
        <v>83.928571428571431</v>
      </c>
      <c r="P946" s="218">
        <f>IF(I946&gt;0,IF(L946&gt;=0,L946/I946*100,""),"")</f>
        <v>83.928571428571431</v>
      </c>
      <c r="Q946" s="11"/>
    </row>
    <row r="947" spans="1:17" s="3" customFormat="1" ht="12.75" customHeight="1">
      <c r="A947" s="36" t="s">
        <v>375</v>
      </c>
      <c r="B947" s="33" t="s">
        <v>150</v>
      </c>
      <c r="C947" s="211" t="s">
        <v>1416</v>
      </c>
      <c r="D947" s="87">
        <v>6000</v>
      </c>
      <c r="E947" s="95"/>
      <c r="F947" s="63">
        <f>SUM(D947:E947)</f>
        <v>6000</v>
      </c>
      <c r="G947" s="87">
        <v>67500</v>
      </c>
      <c r="H947" s="261"/>
      <c r="I947" s="38">
        <f>SUM(G947:H947)</f>
        <v>67500</v>
      </c>
      <c r="J947" s="63">
        <v>7000</v>
      </c>
      <c r="K947" s="95"/>
      <c r="L947" s="63">
        <f>SUM(J947:K947)</f>
        <v>7000</v>
      </c>
      <c r="M947" s="218">
        <f t="shared" si="425"/>
        <v>116.66666666666667</v>
      </c>
      <c r="N947" s="218">
        <f t="shared" si="426"/>
        <v>116.66666666666667</v>
      </c>
      <c r="O947" s="218">
        <f t="shared" si="427"/>
        <v>10.37037037037037</v>
      </c>
      <c r="P947" s="218">
        <f>IF(I947&gt;0,IF(L947&gt;=0,L947/I947*100,""),"")</f>
        <v>10.37037037037037</v>
      </c>
      <c r="Q947" s="11"/>
    </row>
    <row r="948" spans="1:17" s="3" customFormat="1" ht="12.75" customHeight="1">
      <c r="A948" s="46" t="s">
        <v>358</v>
      </c>
      <c r="B948" s="211" t="s">
        <v>417</v>
      </c>
      <c r="C948" s="211" t="s">
        <v>2164</v>
      </c>
      <c r="D948" s="87"/>
      <c r="E948" s="95"/>
      <c r="F948" s="63"/>
      <c r="G948" s="87">
        <v>15000</v>
      </c>
      <c r="H948" s="261"/>
      <c r="I948" s="38">
        <f t="shared" si="440"/>
        <v>15000</v>
      </c>
      <c r="J948" s="63"/>
      <c r="K948" s="95"/>
      <c r="L948" s="63">
        <f t="shared" ref="L948:L949" si="444">SUM(J948:K948)</f>
        <v>0</v>
      </c>
      <c r="M948" s="218" t="str">
        <f t="shared" si="425"/>
        <v/>
      </c>
      <c r="N948" s="218" t="str">
        <f t="shared" si="426"/>
        <v/>
      </c>
      <c r="O948" s="218">
        <f t="shared" si="427"/>
        <v>0</v>
      </c>
      <c r="P948" s="218"/>
      <c r="Q948" s="11"/>
    </row>
    <row r="949" spans="1:17" s="3" customFormat="1" ht="12.75" customHeight="1">
      <c r="A949" s="36" t="s">
        <v>2347</v>
      </c>
      <c r="B949" s="211" t="s">
        <v>2346</v>
      </c>
      <c r="C949" s="211" t="s">
        <v>2259</v>
      </c>
      <c r="D949" s="87"/>
      <c r="E949" s="95"/>
      <c r="F949" s="63"/>
      <c r="G949" s="87">
        <v>10500</v>
      </c>
      <c r="H949" s="261"/>
      <c r="I949" s="38">
        <f t="shared" si="440"/>
        <v>10500</v>
      </c>
      <c r="J949" s="63"/>
      <c r="K949" s="95"/>
      <c r="L949" s="63">
        <f t="shared" si="444"/>
        <v>0</v>
      </c>
      <c r="M949" s="218" t="str">
        <f t="shared" si="425"/>
        <v/>
      </c>
      <c r="N949" s="218" t="str">
        <f t="shared" si="426"/>
        <v/>
      </c>
      <c r="O949" s="218">
        <f t="shared" si="427"/>
        <v>0</v>
      </c>
      <c r="P949" s="218"/>
      <c r="Q949" s="11"/>
    </row>
    <row r="950" spans="1:17" s="3" customFormat="1" ht="6" customHeight="1">
      <c r="A950" s="36"/>
      <c r="B950" s="33"/>
      <c r="C950" s="211" t="s">
        <v>268</v>
      </c>
      <c r="D950" s="63"/>
      <c r="E950" s="63"/>
      <c r="F950" s="63"/>
      <c r="G950" s="38"/>
      <c r="H950" s="38"/>
      <c r="I950" s="38"/>
      <c r="J950" s="63"/>
      <c r="K950" s="63"/>
      <c r="L950" s="63"/>
      <c r="M950" s="218" t="str">
        <f t="shared" si="425"/>
        <v/>
      </c>
      <c r="N950" s="218" t="str">
        <f t="shared" si="426"/>
        <v/>
      </c>
      <c r="O950" s="218" t="str">
        <f t="shared" si="427"/>
        <v/>
      </c>
      <c r="P950" s="218" t="str">
        <f t="shared" ref="P950:P957" si="445">IF(I950&gt;0,IF(L950&gt;=0,L950/I950*100,""),"")</f>
        <v/>
      </c>
    </row>
    <row r="951" spans="1:17" s="3" customFormat="1" ht="12.75">
      <c r="A951" s="58" t="s">
        <v>336</v>
      </c>
      <c r="B951" s="65" t="s">
        <v>265</v>
      </c>
      <c r="C951" s="308" t="s">
        <v>940</v>
      </c>
      <c r="D951" s="114">
        <f>SUM(D953:D959)</f>
        <v>4826630</v>
      </c>
      <c r="E951" s="114">
        <f>SUM(E953:E959)</f>
        <v>0</v>
      </c>
      <c r="F951" s="86">
        <f t="shared" ref="F951:F953" si="446">SUM(D951:E951)</f>
        <v>4826630</v>
      </c>
      <c r="G951" s="260">
        <f>SUM(G953:G959)</f>
        <v>5321755</v>
      </c>
      <c r="H951" s="260">
        <f>SUM(H953:H959)</f>
        <v>0</v>
      </c>
      <c r="I951" s="262">
        <f t="shared" ref="I951:I959" si="447">SUM(G951:H951)</f>
        <v>5321755</v>
      </c>
      <c r="J951" s="86">
        <f>SUM(J953:J959)</f>
        <v>6089230</v>
      </c>
      <c r="K951" s="114">
        <f>SUM(K953:K959)</f>
        <v>0</v>
      </c>
      <c r="L951" s="86">
        <f t="shared" ref="L951:L959" si="448">SUM(J951:K951)</f>
        <v>6089230</v>
      </c>
      <c r="M951" s="236">
        <f t="shared" si="425"/>
        <v>126.15903850098309</v>
      </c>
      <c r="N951" s="236">
        <f t="shared" si="426"/>
        <v>126.15903850098309</v>
      </c>
      <c r="O951" s="236">
        <f t="shared" si="427"/>
        <v>114.42146434775746</v>
      </c>
      <c r="P951" s="236">
        <f t="shared" si="445"/>
        <v>114.42146434775746</v>
      </c>
      <c r="Q951" s="11"/>
    </row>
    <row r="952" spans="1:17" s="3" customFormat="1" hidden="1">
      <c r="A952" s="36" t="s">
        <v>267</v>
      </c>
      <c r="B952" s="184"/>
      <c r="C952" s="320" t="s">
        <v>268</v>
      </c>
      <c r="D952" s="87">
        <f>SUM(D953:D959)</f>
        <v>4826630</v>
      </c>
      <c r="E952" s="95"/>
      <c r="F952" s="63">
        <f t="shared" si="446"/>
        <v>4826630</v>
      </c>
      <c r="G952" s="87">
        <f>SUM(G953:G959)</f>
        <v>5321755</v>
      </c>
      <c r="H952" s="261"/>
      <c r="I952" s="38">
        <f t="shared" si="447"/>
        <v>5321755</v>
      </c>
      <c r="J952" s="63">
        <f>SUM(J953:J959)</f>
        <v>6089230</v>
      </c>
      <c r="K952" s="95"/>
      <c r="L952" s="63">
        <f t="shared" si="448"/>
        <v>6089230</v>
      </c>
      <c r="M952" s="218">
        <f t="shared" si="425"/>
        <v>126.15903850098309</v>
      </c>
      <c r="N952" s="218">
        <f t="shared" si="426"/>
        <v>126.15903850098309</v>
      </c>
      <c r="O952" s="218">
        <f t="shared" si="427"/>
        <v>114.42146434775746</v>
      </c>
      <c r="P952" s="218">
        <f t="shared" si="445"/>
        <v>114.42146434775746</v>
      </c>
      <c r="Q952" s="11"/>
    </row>
    <row r="953" spans="1:17" s="3" customFormat="1" ht="12.75" customHeight="1">
      <c r="A953" s="36" t="s">
        <v>180</v>
      </c>
      <c r="B953" s="33" t="s">
        <v>419</v>
      </c>
      <c r="C953" s="211" t="s">
        <v>1418</v>
      </c>
      <c r="D953" s="87">
        <v>4765630</v>
      </c>
      <c r="E953" s="95"/>
      <c r="F953" s="63">
        <f t="shared" si="446"/>
        <v>4765630</v>
      </c>
      <c r="G953" s="87">
        <v>5159849</v>
      </c>
      <c r="H953" s="261"/>
      <c r="I953" s="38">
        <f t="shared" si="447"/>
        <v>5159849</v>
      </c>
      <c r="J953" s="63">
        <v>5959230</v>
      </c>
      <c r="K953" s="95"/>
      <c r="L953" s="63">
        <f t="shared" si="448"/>
        <v>5959230</v>
      </c>
      <c r="M953" s="218">
        <f t="shared" si="425"/>
        <v>125.04600650910793</v>
      </c>
      <c r="N953" s="218">
        <f t="shared" si="426"/>
        <v>125.04600650910793</v>
      </c>
      <c r="O953" s="218">
        <f t="shared" si="427"/>
        <v>115.49233320587481</v>
      </c>
      <c r="P953" s="218">
        <f t="shared" si="445"/>
        <v>115.49233320587481</v>
      </c>
      <c r="Q953" s="11"/>
    </row>
    <row r="954" spans="1:17" s="3" customFormat="1" ht="12.75" customHeight="1">
      <c r="A954" s="36" t="s">
        <v>399</v>
      </c>
      <c r="B954" s="33" t="s">
        <v>624</v>
      </c>
      <c r="C954" s="211" t="s">
        <v>2414</v>
      </c>
      <c r="D954" s="38"/>
      <c r="E954" s="95"/>
      <c r="F954" s="63"/>
      <c r="G954" s="38"/>
      <c r="H954" s="261"/>
      <c r="I954" s="38"/>
      <c r="J954" s="63">
        <v>6000</v>
      </c>
      <c r="K954" s="95"/>
      <c r="L954" s="63">
        <f>SUM(J954:K954)</f>
        <v>6000</v>
      </c>
      <c r="M954" s="218" t="str">
        <f t="shared" si="425"/>
        <v/>
      </c>
      <c r="N954" s="218" t="str">
        <f t="shared" si="426"/>
        <v/>
      </c>
      <c r="O954" s="218" t="str">
        <f t="shared" si="427"/>
        <v/>
      </c>
      <c r="P954" s="218"/>
      <c r="Q954" s="11"/>
    </row>
    <row r="955" spans="1:17" s="3" customFormat="1" ht="12.75" customHeight="1">
      <c r="A955" s="46" t="s">
        <v>651</v>
      </c>
      <c r="B955" s="33" t="s">
        <v>650</v>
      </c>
      <c r="C955" s="211" t="s">
        <v>1419</v>
      </c>
      <c r="D955" s="87">
        <v>55000</v>
      </c>
      <c r="E955" s="95"/>
      <c r="F955" s="63">
        <f>SUM(D955:E955)</f>
        <v>55000</v>
      </c>
      <c r="G955" s="87">
        <v>60099</v>
      </c>
      <c r="H955" s="261"/>
      <c r="I955" s="38">
        <f>SUM(G955:H955)</f>
        <v>60099</v>
      </c>
      <c r="J955" s="63">
        <v>117000</v>
      </c>
      <c r="K955" s="95"/>
      <c r="L955" s="63">
        <f>SUM(J955:K955)</f>
        <v>117000</v>
      </c>
      <c r="M955" s="218">
        <f t="shared" si="425"/>
        <v>212.72727272727275</v>
      </c>
      <c r="N955" s="218">
        <f t="shared" si="426"/>
        <v>212.72727272727275</v>
      </c>
      <c r="O955" s="218">
        <f t="shared" si="427"/>
        <v>194.67878001297859</v>
      </c>
      <c r="P955" s="218">
        <f>IF(I955&gt;0,IF(L955&gt;=0,L955/I955*100,""),"")</f>
        <v>194.67878001297859</v>
      </c>
      <c r="Q955" s="11"/>
    </row>
    <row r="956" spans="1:17" s="3" customFormat="1" ht="12.75" customHeight="1">
      <c r="A956" s="36" t="s">
        <v>375</v>
      </c>
      <c r="B956" s="33" t="s">
        <v>150</v>
      </c>
      <c r="C956" s="211" t="s">
        <v>1420</v>
      </c>
      <c r="D956" s="87">
        <v>6000</v>
      </c>
      <c r="E956" s="95"/>
      <c r="F956" s="63">
        <f>SUM(D956:E956)</f>
        <v>6000</v>
      </c>
      <c r="G956" s="87">
        <v>52000</v>
      </c>
      <c r="H956" s="261"/>
      <c r="I956" s="38">
        <f>SUM(G956:H956)</f>
        <v>52000</v>
      </c>
      <c r="J956" s="63">
        <v>7000</v>
      </c>
      <c r="K956" s="95"/>
      <c r="L956" s="63">
        <f>SUM(J956:K956)</f>
        <v>7000</v>
      </c>
      <c r="M956" s="218">
        <f t="shared" si="425"/>
        <v>116.66666666666667</v>
      </c>
      <c r="N956" s="218">
        <f t="shared" si="426"/>
        <v>116.66666666666667</v>
      </c>
      <c r="O956" s="218">
        <f t="shared" si="427"/>
        <v>13.461538461538462</v>
      </c>
      <c r="P956" s="218">
        <f>IF(I956&gt;0,IF(L956&gt;=0,L956/I956*100,""),"")</f>
        <v>13.461538461538462</v>
      </c>
      <c r="Q956" s="11"/>
    </row>
    <row r="957" spans="1:17" s="3" customFormat="1" ht="12.75" customHeight="1">
      <c r="A957" s="36" t="s">
        <v>368</v>
      </c>
      <c r="B957" s="211" t="s">
        <v>418</v>
      </c>
      <c r="C957" s="211" t="s">
        <v>1421</v>
      </c>
      <c r="D957" s="85"/>
      <c r="E957" s="95"/>
      <c r="F957" s="63">
        <f t="shared" ref="F957" si="449">SUM(D957:E957)</f>
        <v>0</v>
      </c>
      <c r="G957" s="85">
        <v>12807</v>
      </c>
      <c r="H957" s="261"/>
      <c r="I957" s="38">
        <f t="shared" si="447"/>
        <v>12807</v>
      </c>
      <c r="J957" s="63"/>
      <c r="K957" s="95"/>
      <c r="L957" s="63">
        <f t="shared" si="448"/>
        <v>0</v>
      </c>
      <c r="M957" s="218" t="str">
        <f t="shared" si="425"/>
        <v/>
      </c>
      <c r="N957" s="218" t="str">
        <f t="shared" si="426"/>
        <v/>
      </c>
      <c r="O957" s="218">
        <f t="shared" si="427"/>
        <v>0</v>
      </c>
      <c r="P957" s="218">
        <f t="shared" si="445"/>
        <v>0</v>
      </c>
      <c r="Q957" s="11"/>
    </row>
    <row r="958" spans="1:17" s="3" customFormat="1" ht="12.75" customHeight="1">
      <c r="A958" s="36" t="s">
        <v>358</v>
      </c>
      <c r="B958" s="211" t="s">
        <v>417</v>
      </c>
      <c r="C958" s="211" t="s">
        <v>2258</v>
      </c>
      <c r="D958" s="38"/>
      <c r="E958" s="95"/>
      <c r="F958" s="63"/>
      <c r="G958" s="38">
        <v>17500</v>
      </c>
      <c r="H958" s="261"/>
      <c r="I958" s="38">
        <f t="shared" si="447"/>
        <v>17500</v>
      </c>
      <c r="J958" s="63"/>
      <c r="K958" s="95"/>
      <c r="L958" s="63">
        <f t="shared" si="448"/>
        <v>0</v>
      </c>
      <c r="M958" s="218" t="str">
        <f t="shared" si="425"/>
        <v/>
      </c>
      <c r="N958" s="218" t="str">
        <f t="shared" si="426"/>
        <v/>
      </c>
      <c r="O958" s="218">
        <f t="shared" si="427"/>
        <v>0</v>
      </c>
      <c r="P958" s="218"/>
      <c r="Q958" s="11"/>
    </row>
    <row r="959" spans="1:17" s="3" customFormat="1" ht="12.75" customHeight="1">
      <c r="A959" s="36" t="s">
        <v>2347</v>
      </c>
      <c r="B959" s="211" t="s">
        <v>2346</v>
      </c>
      <c r="C959" s="211" t="s">
        <v>2257</v>
      </c>
      <c r="D959" s="38"/>
      <c r="E959" s="95"/>
      <c r="F959" s="63"/>
      <c r="G959" s="38">
        <v>19500</v>
      </c>
      <c r="H959" s="261"/>
      <c r="I959" s="38">
        <f t="shared" si="447"/>
        <v>19500</v>
      </c>
      <c r="J959" s="63"/>
      <c r="K959" s="95"/>
      <c r="L959" s="63">
        <f t="shared" si="448"/>
        <v>0</v>
      </c>
      <c r="M959" s="218" t="str">
        <f t="shared" si="425"/>
        <v/>
      </c>
      <c r="N959" s="218" t="str">
        <f t="shared" si="426"/>
        <v/>
      </c>
      <c r="O959" s="218">
        <f t="shared" si="427"/>
        <v>0</v>
      </c>
      <c r="P959" s="218"/>
      <c r="Q959" s="11"/>
    </row>
    <row r="960" spans="1:17" s="3" customFormat="1" ht="6" customHeight="1">
      <c r="A960" s="36"/>
      <c r="B960" s="33"/>
      <c r="C960" s="211" t="s">
        <v>268</v>
      </c>
      <c r="D960" s="87"/>
      <c r="E960" s="95"/>
      <c r="F960" s="63"/>
      <c r="G960" s="87"/>
      <c r="H960" s="261"/>
      <c r="I960" s="38"/>
      <c r="J960" s="63"/>
      <c r="K960" s="95"/>
      <c r="L960" s="63"/>
      <c r="M960" s="218" t="str">
        <f t="shared" si="425"/>
        <v/>
      </c>
      <c r="N960" s="218" t="str">
        <f t="shared" si="426"/>
        <v/>
      </c>
      <c r="O960" s="218" t="str">
        <f t="shared" si="427"/>
        <v/>
      </c>
      <c r="P960" s="218" t="str">
        <f t="shared" ref="P960:P967" si="450">IF(I960&gt;0,IF(L960&gt;=0,L960/I960*100,""),"")</f>
        <v/>
      </c>
      <c r="Q960" s="11"/>
    </row>
    <row r="961" spans="1:16" s="11" customFormat="1" ht="12.75">
      <c r="A961" s="58" t="s">
        <v>489</v>
      </c>
      <c r="B961" s="65" t="s">
        <v>265</v>
      </c>
      <c r="C961" s="308" t="s">
        <v>940</v>
      </c>
      <c r="D961" s="83">
        <f>SUM(D963:D968)</f>
        <v>7135220</v>
      </c>
      <c r="E961" s="83">
        <f>SUM(E963:E968)</f>
        <v>0</v>
      </c>
      <c r="F961" s="69">
        <f t="shared" ref="F961:F963" si="451">SUM(D961:E961)</f>
        <v>7135220</v>
      </c>
      <c r="G961" s="121">
        <f>SUM(G963:G968)</f>
        <v>7519190</v>
      </c>
      <c r="H961" s="121">
        <f>SUM(H963:H968)</f>
        <v>0</v>
      </c>
      <c r="I961" s="115">
        <f t="shared" ref="I961:I968" si="452">SUM(G961:H961)</f>
        <v>7519190</v>
      </c>
      <c r="J961" s="69">
        <f>SUM(J963:J968)</f>
        <v>7911870</v>
      </c>
      <c r="K961" s="83">
        <f>SUM(K963:K968)</f>
        <v>0</v>
      </c>
      <c r="L961" s="69">
        <f t="shared" ref="L961:L968" si="453">SUM(J961:K961)</f>
        <v>7911870</v>
      </c>
      <c r="M961" s="217">
        <f t="shared" si="425"/>
        <v>110.88473796182879</v>
      </c>
      <c r="N961" s="217">
        <f t="shared" si="426"/>
        <v>110.88473796182879</v>
      </c>
      <c r="O961" s="217">
        <f t="shared" si="427"/>
        <v>105.22237102666642</v>
      </c>
      <c r="P961" s="217">
        <f t="shared" si="450"/>
        <v>105.22237102666642</v>
      </c>
    </row>
    <row r="962" spans="1:16" s="11" customFormat="1" hidden="1">
      <c r="A962" s="36" t="s">
        <v>267</v>
      </c>
      <c r="B962" s="184"/>
      <c r="C962" s="320" t="s">
        <v>268</v>
      </c>
      <c r="D962" s="84">
        <f>SUM(D963:D968)</f>
        <v>7135220</v>
      </c>
      <c r="E962" s="110"/>
      <c r="F962" s="63">
        <f t="shared" si="451"/>
        <v>7135220</v>
      </c>
      <c r="G962" s="84">
        <f>SUM(G963:G968)</f>
        <v>7519190</v>
      </c>
      <c r="H962" s="259"/>
      <c r="I962" s="38">
        <f t="shared" si="452"/>
        <v>7519190</v>
      </c>
      <c r="J962" s="63">
        <f>SUM(J963:J968)</f>
        <v>7911870</v>
      </c>
      <c r="K962" s="110"/>
      <c r="L962" s="63">
        <f t="shared" si="453"/>
        <v>7911870</v>
      </c>
      <c r="M962" s="218">
        <f t="shared" si="425"/>
        <v>110.88473796182879</v>
      </c>
      <c r="N962" s="218">
        <f t="shared" si="426"/>
        <v>110.88473796182879</v>
      </c>
      <c r="O962" s="218">
        <f t="shared" si="427"/>
        <v>105.22237102666642</v>
      </c>
      <c r="P962" s="218">
        <f t="shared" si="450"/>
        <v>105.22237102666642</v>
      </c>
    </row>
    <row r="963" spans="1:16" s="11" customFormat="1" ht="12.75" customHeight="1">
      <c r="A963" s="36" t="s">
        <v>180</v>
      </c>
      <c r="B963" s="33" t="s">
        <v>419</v>
      </c>
      <c r="C963" s="211" t="s">
        <v>1422</v>
      </c>
      <c r="D963" s="84">
        <v>7121020</v>
      </c>
      <c r="E963" s="110"/>
      <c r="F963" s="63">
        <f t="shared" si="451"/>
        <v>7121020</v>
      </c>
      <c r="G963" s="84">
        <v>7195050</v>
      </c>
      <c r="H963" s="259"/>
      <c r="I963" s="38">
        <f t="shared" si="452"/>
        <v>7195050</v>
      </c>
      <c r="J963" s="63">
        <v>7896670</v>
      </c>
      <c r="K963" s="110"/>
      <c r="L963" s="63">
        <f t="shared" si="453"/>
        <v>7896670</v>
      </c>
      <c r="M963" s="218">
        <f t="shared" si="425"/>
        <v>110.89240024603217</v>
      </c>
      <c r="N963" s="218">
        <f t="shared" si="426"/>
        <v>110.89240024603217</v>
      </c>
      <c r="O963" s="218">
        <f t="shared" si="427"/>
        <v>109.7514263278226</v>
      </c>
      <c r="P963" s="218">
        <f t="shared" si="450"/>
        <v>109.7514263278226</v>
      </c>
    </row>
    <row r="964" spans="1:16" s="11" customFormat="1" ht="12.75" customHeight="1">
      <c r="A964" s="36" t="s">
        <v>2482</v>
      </c>
      <c r="B964" s="33" t="s">
        <v>2369</v>
      </c>
      <c r="C964" s="211" t="s">
        <v>2415</v>
      </c>
      <c r="D964" s="84"/>
      <c r="E964" s="110"/>
      <c r="F964" s="63"/>
      <c r="G964" s="84"/>
      <c r="H964" s="259"/>
      <c r="I964" s="38"/>
      <c r="J964" s="63">
        <v>4200</v>
      </c>
      <c r="K964" s="110"/>
      <c r="L964" s="63">
        <f>SUM(J964:K964)</f>
        <v>4200</v>
      </c>
      <c r="M964" s="218" t="str">
        <f t="shared" si="425"/>
        <v/>
      </c>
      <c r="N964" s="218" t="str">
        <f t="shared" si="426"/>
        <v/>
      </c>
      <c r="O964" s="218" t="str">
        <f t="shared" si="427"/>
        <v/>
      </c>
      <c r="P964" s="218"/>
    </row>
    <row r="965" spans="1:16" s="11" customFormat="1" ht="12.75" customHeight="1">
      <c r="A965" s="36" t="s">
        <v>375</v>
      </c>
      <c r="B965" s="33" t="s">
        <v>150</v>
      </c>
      <c r="C965" s="211" t="s">
        <v>1424</v>
      </c>
      <c r="D965" s="38">
        <v>10000</v>
      </c>
      <c r="E965" s="77"/>
      <c r="F965" s="63">
        <f>SUM(D965:E965)</f>
        <v>10000</v>
      </c>
      <c r="G965" s="38">
        <v>233000</v>
      </c>
      <c r="H965" s="109"/>
      <c r="I965" s="38">
        <f>SUM(G965:H965)</f>
        <v>233000</v>
      </c>
      <c r="J965" s="63">
        <v>11000</v>
      </c>
      <c r="K965" s="77"/>
      <c r="L965" s="63">
        <f>SUM(J965:K965)</f>
        <v>11000</v>
      </c>
      <c r="M965" s="218">
        <f t="shared" si="425"/>
        <v>110.00000000000001</v>
      </c>
      <c r="N965" s="218">
        <f t="shared" si="426"/>
        <v>110.00000000000001</v>
      </c>
      <c r="O965" s="218">
        <f t="shared" si="427"/>
        <v>4.7210300429184553</v>
      </c>
      <c r="P965" s="218">
        <f>IF(I965&gt;0,IF(L965&gt;=0,L965/I965*100,""),"")</f>
        <v>4.7210300429184553</v>
      </c>
    </row>
    <row r="966" spans="1:16" s="11" customFormat="1" ht="12.75" customHeight="1">
      <c r="A966" s="36" t="s">
        <v>368</v>
      </c>
      <c r="B966" s="211" t="s">
        <v>418</v>
      </c>
      <c r="C966" s="211" t="s">
        <v>1425</v>
      </c>
      <c r="D966" s="84"/>
      <c r="E966" s="110"/>
      <c r="F966" s="63"/>
      <c r="G966" s="84">
        <v>35000</v>
      </c>
      <c r="H966" s="259"/>
      <c r="I966" s="38">
        <f t="shared" si="452"/>
        <v>35000</v>
      </c>
      <c r="J966" s="63"/>
      <c r="K966" s="110"/>
      <c r="L966" s="63">
        <f t="shared" si="453"/>
        <v>0</v>
      </c>
      <c r="M966" s="218" t="str">
        <f t="shared" si="425"/>
        <v/>
      </c>
      <c r="N966" s="218" t="str">
        <f t="shared" si="426"/>
        <v/>
      </c>
      <c r="O966" s="218">
        <f t="shared" si="427"/>
        <v>0</v>
      </c>
      <c r="P966" s="218">
        <f t="shared" si="450"/>
        <v>0</v>
      </c>
    </row>
    <row r="967" spans="1:16" s="3" customFormat="1" ht="12.75" customHeight="1">
      <c r="A967" s="36" t="s">
        <v>835</v>
      </c>
      <c r="B967" s="211" t="s">
        <v>698</v>
      </c>
      <c r="C967" s="211" t="s">
        <v>1423</v>
      </c>
      <c r="D967" s="63">
        <v>4200</v>
      </c>
      <c r="E967" s="63"/>
      <c r="F967" s="63">
        <f>SUM(D967:E967)</f>
        <v>4200</v>
      </c>
      <c r="G967" s="38">
        <v>29140</v>
      </c>
      <c r="H967" s="38"/>
      <c r="I967" s="38">
        <f t="shared" si="452"/>
        <v>29140</v>
      </c>
      <c r="J967" s="63"/>
      <c r="K967" s="63"/>
      <c r="L967" s="63">
        <f t="shared" si="453"/>
        <v>0</v>
      </c>
      <c r="M967" s="218">
        <f t="shared" si="425"/>
        <v>0</v>
      </c>
      <c r="N967" s="218">
        <f t="shared" si="426"/>
        <v>0</v>
      </c>
      <c r="O967" s="218">
        <f t="shared" si="427"/>
        <v>0</v>
      </c>
      <c r="P967" s="218">
        <f t="shared" si="450"/>
        <v>0</v>
      </c>
    </row>
    <row r="968" spans="1:16" s="3" customFormat="1" ht="12.75" customHeight="1">
      <c r="A968" s="354" t="s">
        <v>2347</v>
      </c>
      <c r="B968" s="311" t="s">
        <v>2346</v>
      </c>
      <c r="C968" s="311" t="s">
        <v>2338</v>
      </c>
      <c r="D968" s="67"/>
      <c r="E968" s="67"/>
      <c r="F968" s="67"/>
      <c r="G968" s="61">
        <v>27000</v>
      </c>
      <c r="H968" s="61"/>
      <c r="I968" s="61">
        <f t="shared" si="452"/>
        <v>27000</v>
      </c>
      <c r="J968" s="67"/>
      <c r="K968" s="67"/>
      <c r="L968" s="67">
        <f t="shared" si="453"/>
        <v>0</v>
      </c>
      <c r="M968" s="273" t="str">
        <f t="shared" si="425"/>
        <v/>
      </c>
      <c r="N968" s="273" t="str">
        <f t="shared" si="426"/>
        <v/>
      </c>
      <c r="O968" s="273">
        <f t="shared" si="427"/>
        <v>0</v>
      </c>
      <c r="P968" s="273"/>
    </row>
    <row r="969" spans="1:16" s="3" customFormat="1" ht="6" customHeight="1">
      <c r="A969" s="43"/>
      <c r="B969" s="79"/>
      <c r="C969" s="302" t="s">
        <v>268</v>
      </c>
      <c r="D969" s="76"/>
      <c r="E969" s="76"/>
      <c r="F969" s="76"/>
      <c r="G969" s="116"/>
      <c r="H969" s="116"/>
      <c r="I969" s="116"/>
      <c r="J969" s="76"/>
      <c r="K969" s="76"/>
      <c r="L969" s="76"/>
      <c r="M969" s="226" t="str">
        <f t="shared" si="425"/>
        <v/>
      </c>
      <c r="N969" s="226" t="str">
        <f t="shared" si="426"/>
        <v/>
      </c>
      <c r="O969" s="226" t="str">
        <f t="shared" si="427"/>
        <v/>
      </c>
      <c r="P969" s="226" t="str">
        <f t="shared" ref="P969:P978" si="454">IF(I969&gt;0,IF(L969&gt;=0,L969/I969*100,""),"")</f>
        <v/>
      </c>
    </row>
    <row r="970" spans="1:16" s="3" customFormat="1" ht="12.75">
      <c r="A970" s="58" t="s">
        <v>660</v>
      </c>
      <c r="B970" s="65" t="s">
        <v>265</v>
      </c>
      <c r="C970" s="308" t="s">
        <v>940</v>
      </c>
      <c r="D970" s="42">
        <f>SUM(D972:D979)</f>
        <v>6063950</v>
      </c>
      <c r="E970" s="42">
        <f>SUM(E972:E979)</f>
        <v>0</v>
      </c>
      <c r="F970" s="42">
        <f t="shared" ref="F970:F972" si="455">SUM(D970:E970)</f>
        <v>6063950</v>
      </c>
      <c r="G970" s="55">
        <f>SUM(G972:G979)</f>
        <v>6408630</v>
      </c>
      <c r="H970" s="55">
        <f>SUM(H972:H979)</f>
        <v>0</v>
      </c>
      <c r="I970" s="55">
        <f>SUM(G970:H970)</f>
        <v>6408630</v>
      </c>
      <c r="J970" s="42">
        <f>SUM(J972:J979)</f>
        <v>6667190</v>
      </c>
      <c r="K970" s="42">
        <f>SUM(K972:K979)</f>
        <v>0</v>
      </c>
      <c r="L970" s="42">
        <f t="shared" ref="L970:L979" si="456">SUM(J970:K970)</f>
        <v>6667190</v>
      </c>
      <c r="M970" s="225">
        <f t="shared" si="425"/>
        <v>109.94797120688659</v>
      </c>
      <c r="N970" s="225">
        <f t="shared" si="426"/>
        <v>109.94797120688659</v>
      </c>
      <c r="O970" s="225">
        <f t="shared" si="427"/>
        <v>104.03455964847402</v>
      </c>
      <c r="P970" s="225">
        <f t="shared" si="454"/>
        <v>104.03455964847402</v>
      </c>
    </row>
    <row r="971" spans="1:16" s="3" customFormat="1" hidden="1">
      <c r="A971" s="36" t="s">
        <v>267</v>
      </c>
      <c r="B971" s="184"/>
      <c r="C971" s="320" t="s">
        <v>268</v>
      </c>
      <c r="D971" s="38">
        <f>SUM(D972:D979)</f>
        <v>6063950</v>
      </c>
      <c r="E971" s="77"/>
      <c r="F971" s="63">
        <f t="shared" si="455"/>
        <v>6063950</v>
      </c>
      <c r="G971" s="38">
        <f>SUM(G972:G979)</f>
        <v>6408630</v>
      </c>
      <c r="H971" s="109"/>
      <c r="I971" s="38">
        <f>SUM(G971:H971)</f>
        <v>6408630</v>
      </c>
      <c r="J971" s="63">
        <f>SUM(J972:J979)</f>
        <v>6667190</v>
      </c>
      <c r="K971" s="77"/>
      <c r="L971" s="63">
        <f t="shared" si="456"/>
        <v>6667190</v>
      </c>
      <c r="M971" s="218">
        <f t="shared" si="425"/>
        <v>109.94797120688659</v>
      </c>
      <c r="N971" s="218">
        <f t="shared" si="426"/>
        <v>109.94797120688659</v>
      </c>
      <c r="O971" s="218">
        <f t="shared" si="427"/>
        <v>104.03455964847402</v>
      </c>
      <c r="P971" s="218">
        <f t="shared" si="454"/>
        <v>104.03455964847402</v>
      </c>
    </row>
    <row r="972" spans="1:16" s="3" customFormat="1" ht="12.75" customHeight="1">
      <c r="A972" s="36" t="s">
        <v>180</v>
      </c>
      <c r="B972" s="33" t="s">
        <v>419</v>
      </c>
      <c r="C972" s="211" t="s">
        <v>1426</v>
      </c>
      <c r="D972" s="63">
        <v>6036850</v>
      </c>
      <c r="E972" s="63"/>
      <c r="F972" s="63">
        <f t="shared" si="455"/>
        <v>6036850</v>
      </c>
      <c r="G972" s="38">
        <v>6086290</v>
      </c>
      <c r="H972" s="38"/>
      <c r="I972" s="38">
        <f>SUM(G972:H972)</f>
        <v>6086290</v>
      </c>
      <c r="J972" s="63">
        <v>6613660</v>
      </c>
      <c r="K972" s="63"/>
      <c r="L972" s="63">
        <f t="shared" si="456"/>
        <v>6613660</v>
      </c>
      <c r="M972" s="218">
        <f t="shared" si="425"/>
        <v>109.55481749587948</v>
      </c>
      <c r="N972" s="218">
        <f t="shared" si="426"/>
        <v>109.55481749587948</v>
      </c>
      <c r="O972" s="218">
        <f t="shared" si="427"/>
        <v>108.66488451914056</v>
      </c>
      <c r="P972" s="218">
        <f t="shared" si="454"/>
        <v>108.66488451914056</v>
      </c>
    </row>
    <row r="973" spans="1:16" s="3" customFormat="1" ht="12.75" customHeight="1">
      <c r="A973" s="46" t="s">
        <v>2073</v>
      </c>
      <c r="B973" s="33" t="s">
        <v>624</v>
      </c>
      <c r="C973" s="211" t="s">
        <v>2166</v>
      </c>
      <c r="D973" s="63"/>
      <c r="E973" s="63"/>
      <c r="F973" s="63"/>
      <c r="G973" s="38">
        <v>5000</v>
      </c>
      <c r="H973" s="38"/>
      <c r="I973" s="38">
        <f>SUM(G973:H973)</f>
        <v>5000</v>
      </c>
      <c r="J973" s="63">
        <v>6000</v>
      </c>
      <c r="K973" s="63"/>
      <c r="L973" s="63">
        <f>SUM(J973:K973)</f>
        <v>6000</v>
      </c>
      <c r="M973" s="218" t="str">
        <f t="shared" si="425"/>
        <v/>
      </c>
      <c r="N973" s="218" t="str">
        <f t="shared" si="426"/>
        <v/>
      </c>
      <c r="O973" s="218">
        <f t="shared" si="427"/>
        <v>120</v>
      </c>
      <c r="P973" s="218">
        <f t="shared" ref="P973:P975" si="457">IF(I973&gt;0,IF(L973&gt;=0,L973/I973*100,""),"")</f>
        <v>120</v>
      </c>
    </row>
    <row r="974" spans="1:16" s="3" customFormat="1" ht="12.75" customHeight="1">
      <c r="A974" s="46" t="s">
        <v>2482</v>
      </c>
      <c r="B974" s="33" t="s">
        <v>2369</v>
      </c>
      <c r="C974" s="211" t="s">
        <v>2416</v>
      </c>
      <c r="D974" s="63"/>
      <c r="E974" s="63"/>
      <c r="F974" s="63"/>
      <c r="G974" s="38"/>
      <c r="H974" s="38"/>
      <c r="I974" s="38"/>
      <c r="J974" s="63">
        <v>1050</v>
      </c>
      <c r="K974" s="63"/>
      <c r="L974" s="63">
        <f>SUM(J974:K974)</f>
        <v>1050</v>
      </c>
      <c r="M974" s="218" t="str">
        <f t="shared" si="425"/>
        <v/>
      </c>
      <c r="N974" s="218" t="str">
        <f t="shared" si="426"/>
        <v/>
      </c>
      <c r="O974" s="218" t="str">
        <f t="shared" si="427"/>
        <v/>
      </c>
      <c r="P974" s="218" t="str">
        <f t="shared" si="457"/>
        <v/>
      </c>
    </row>
    <row r="975" spans="1:16" s="3" customFormat="1" ht="12.75" customHeight="1">
      <c r="A975" s="46" t="s">
        <v>2466</v>
      </c>
      <c r="B975" s="33" t="s">
        <v>2451</v>
      </c>
      <c r="C975" s="211"/>
      <c r="D975" s="63"/>
      <c r="E975" s="63"/>
      <c r="F975" s="63"/>
      <c r="G975" s="38"/>
      <c r="H975" s="38"/>
      <c r="I975" s="38"/>
      <c r="J975" s="63">
        <f>17410+3070</f>
        <v>20480</v>
      </c>
      <c r="K975" s="63"/>
      <c r="L975" s="63">
        <f>SUM(J975:K975)</f>
        <v>20480</v>
      </c>
      <c r="M975" s="218" t="str">
        <f t="shared" ref="M975:M1038" si="458">IF(D975&gt;0,IF(J975&gt;=0,J975/D975*100,""),"")</f>
        <v/>
      </c>
      <c r="N975" s="218" t="str">
        <f t="shared" ref="N975:N1038" si="459">IF(F975&gt;0,IF(L975&gt;=0,L975/F975*100,""),"")</f>
        <v/>
      </c>
      <c r="O975" s="218" t="str">
        <f t="shared" ref="O975:O1038" si="460">IF(G975&gt;0,IF(J975&gt;=0,J975/G975*100,""),"")</f>
        <v/>
      </c>
      <c r="P975" s="218" t="str">
        <f t="shared" si="457"/>
        <v/>
      </c>
    </row>
    <row r="976" spans="1:16" s="3" customFormat="1" ht="12.75" customHeight="1">
      <c r="A976" s="46" t="s">
        <v>651</v>
      </c>
      <c r="B976" s="33" t="s">
        <v>650</v>
      </c>
      <c r="C976" s="211" t="s">
        <v>1428</v>
      </c>
      <c r="D976" s="63">
        <v>5000</v>
      </c>
      <c r="E976" s="63"/>
      <c r="F976" s="63">
        <f>SUM(D976:E976)</f>
        <v>5000</v>
      </c>
      <c r="G976" s="38">
        <v>5000</v>
      </c>
      <c r="H976" s="38"/>
      <c r="I976" s="38">
        <f>SUM(G976:H976)</f>
        <v>5000</v>
      </c>
      <c r="J976" s="63">
        <v>5000</v>
      </c>
      <c r="K976" s="63"/>
      <c r="L976" s="63">
        <f>SUM(J976:K976)</f>
        <v>5000</v>
      </c>
      <c r="M976" s="218">
        <f t="shared" si="458"/>
        <v>100</v>
      </c>
      <c r="N976" s="218">
        <f t="shared" si="459"/>
        <v>100</v>
      </c>
      <c r="O976" s="218">
        <f t="shared" si="460"/>
        <v>100</v>
      </c>
      <c r="P976" s="218">
        <f>IF(I976&gt;0,IF(L976&gt;=0,L976/I976*100,""),"")</f>
        <v>100</v>
      </c>
    </row>
    <row r="977" spans="1:16" s="3" customFormat="1" ht="12.75" customHeight="1">
      <c r="A977" s="46" t="s">
        <v>375</v>
      </c>
      <c r="B977" s="33" t="s">
        <v>150</v>
      </c>
      <c r="C977" s="211" t="s">
        <v>1429</v>
      </c>
      <c r="D977" s="63">
        <v>20000</v>
      </c>
      <c r="E977" s="63"/>
      <c r="F977" s="63">
        <f>SUM(D977:E977)</f>
        <v>20000</v>
      </c>
      <c r="G977" s="38">
        <v>301500</v>
      </c>
      <c r="H977" s="38"/>
      <c r="I977" s="38">
        <f>SUM(G977:H977)</f>
        <v>301500</v>
      </c>
      <c r="J977" s="63">
        <v>21000</v>
      </c>
      <c r="K977" s="63"/>
      <c r="L977" s="63">
        <f>SUM(J977:K977)</f>
        <v>21000</v>
      </c>
      <c r="M977" s="218">
        <f t="shared" si="458"/>
        <v>105</v>
      </c>
      <c r="N977" s="218">
        <f t="shared" si="459"/>
        <v>105</v>
      </c>
      <c r="O977" s="218">
        <f t="shared" si="460"/>
        <v>6.9651741293532341</v>
      </c>
      <c r="P977" s="218">
        <f>IF(I977&gt;0,IF(L977&gt;=0,L977/I977*100,""),"")</f>
        <v>6.9651741293532341</v>
      </c>
    </row>
    <row r="978" spans="1:16" s="3" customFormat="1" ht="12.75" customHeight="1">
      <c r="A978" s="36" t="s">
        <v>835</v>
      </c>
      <c r="B978" s="211" t="s">
        <v>698</v>
      </c>
      <c r="C978" s="211" t="s">
        <v>1427</v>
      </c>
      <c r="D978" s="63">
        <v>2100</v>
      </c>
      <c r="E978" s="63"/>
      <c r="F978" s="63">
        <f>SUM(D978:E978)</f>
        <v>2100</v>
      </c>
      <c r="G978" s="38">
        <v>10840</v>
      </c>
      <c r="H978" s="38"/>
      <c r="I978" s="38">
        <f>SUM(G978:H978)</f>
        <v>10840</v>
      </c>
      <c r="J978" s="63"/>
      <c r="K978" s="63"/>
      <c r="L978" s="63">
        <f t="shared" si="456"/>
        <v>0</v>
      </c>
      <c r="M978" s="218">
        <f t="shared" si="458"/>
        <v>0</v>
      </c>
      <c r="N978" s="218">
        <f t="shared" si="459"/>
        <v>0</v>
      </c>
      <c r="O978" s="218">
        <f t="shared" si="460"/>
        <v>0</v>
      </c>
      <c r="P978" s="218">
        <f t="shared" si="454"/>
        <v>0</v>
      </c>
    </row>
    <row r="979" spans="1:16" s="3" customFormat="1" hidden="1">
      <c r="A979" s="36" t="s">
        <v>368</v>
      </c>
      <c r="B979" s="33" t="s">
        <v>418</v>
      </c>
      <c r="C979" s="211" t="s">
        <v>1430</v>
      </c>
      <c r="D979" s="63"/>
      <c r="E979" s="63"/>
      <c r="F979" s="63"/>
      <c r="G979" s="38"/>
      <c r="H979" s="38"/>
      <c r="I979" s="38">
        <f>SUM(G979:H979)</f>
        <v>0</v>
      </c>
      <c r="J979" s="63"/>
      <c r="K979" s="63"/>
      <c r="L979" s="63">
        <f t="shared" si="456"/>
        <v>0</v>
      </c>
      <c r="M979" s="218" t="str">
        <f t="shared" si="458"/>
        <v/>
      </c>
      <c r="N979" s="218" t="str">
        <f t="shared" si="459"/>
        <v/>
      </c>
      <c r="O979" s="218" t="str">
        <f t="shared" si="460"/>
        <v/>
      </c>
      <c r="P979" s="218" t="str">
        <f t="shared" ref="P979:P988" si="461">IF(I979&gt;0,IF(L979&gt;=0,L979/I979*100,""),"")</f>
        <v/>
      </c>
    </row>
    <row r="980" spans="1:16" s="3" customFormat="1" ht="6" customHeight="1">
      <c r="A980" s="46"/>
      <c r="B980" s="33"/>
      <c r="C980" s="211" t="s">
        <v>268</v>
      </c>
      <c r="D980" s="63"/>
      <c r="E980" s="63"/>
      <c r="F980" s="63"/>
      <c r="G980" s="38"/>
      <c r="H980" s="38"/>
      <c r="I980" s="38"/>
      <c r="J980" s="63"/>
      <c r="K980" s="63"/>
      <c r="L980" s="63"/>
      <c r="M980" s="218" t="str">
        <f t="shared" si="458"/>
        <v/>
      </c>
      <c r="N980" s="218" t="str">
        <f t="shared" si="459"/>
        <v/>
      </c>
      <c r="O980" s="218" t="str">
        <f t="shared" si="460"/>
        <v/>
      </c>
      <c r="P980" s="218" t="str">
        <f t="shared" si="461"/>
        <v/>
      </c>
    </row>
    <row r="981" spans="1:16" s="3" customFormat="1" ht="12.75">
      <c r="A981" s="58" t="s">
        <v>699</v>
      </c>
      <c r="B981" s="65" t="s">
        <v>265</v>
      </c>
      <c r="C981" s="308" t="s">
        <v>940</v>
      </c>
      <c r="D981" s="42">
        <f>SUM(D983:D989)</f>
        <v>6747260</v>
      </c>
      <c r="E981" s="42">
        <f>SUM(E983:E990)</f>
        <v>0</v>
      </c>
      <c r="F981" s="42">
        <f t="shared" ref="F981:F983" si="462">SUM(D981:E981)</f>
        <v>6747260</v>
      </c>
      <c r="G981" s="55">
        <f>SUM(G983:G989)</f>
        <v>7102580</v>
      </c>
      <c r="H981" s="55">
        <f>SUM(H983:H990)</f>
        <v>0</v>
      </c>
      <c r="I981" s="55">
        <f t="shared" ref="I981:I989" si="463">SUM(G981:H981)</f>
        <v>7102580</v>
      </c>
      <c r="J981" s="42">
        <f>SUM(J983:J989)</f>
        <v>7015880</v>
      </c>
      <c r="K981" s="42">
        <f>SUM(K983:K990)</f>
        <v>0</v>
      </c>
      <c r="L981" s="42">
        <f t="shared" ref="L981:L982" si="464">SUM(J981:K981)</f>
        <v>7015880</v>
      </c>
      <c r="M981" s="225">
        <f t="shared" si="458"/>
        <v>103.98117161633019</v>
      </c>
      <c r="N981" s="225">
        <f t="shared" si="459"/>
        <v>103.98117161633019</v>
      </c>
      <c r="O981" s="225">
        <f t="shared" si="460"/>
        <v>98.779316811637457</v>
      </c>
      <c r="P981" s="225">
        <f t="shared" si="461"/>
        <v>98.779316811637457</v>
      </c>
    </row>
    <row r="982" spans="1:16" s="3" customFormat="1" ht="12.75" customHeight="1">
      <c r="A982" s="36" t="s">
        <v>267</v>
      </c>
      <c r="B982" s="184"/>
      <c r="C982" s="320" t="s">
        <v>268</v>
      </c>
      <c r="D982" s="38">
        <f>SUM(D983:D988)</f>
        <v>6747260</v>
      </c>
      <c r="E982" s="77"/>
      <c r="F982" s="48">
        <f t="shared" si="462"/>
        <v>6747260</v>
      </c>
      <c r="G982" s="38">
        <f>SUM(G983:G988)</f>
        <v>7032580</v>
      </c>
      <c r="H982" s="109"/>
      <c r="I982" s="85">
        <f t="shared" si="463"/>
        <v>7032580</v>
      </c>
      <c r="J982" s="38">
        <f>SUM(J983:J988)</f>
        <v>7015880</v>
      </c>
      <c r="K982" s="77"/>
      <c r="L982" s="48">
        <f t="shared" si="464"/>
        <v>7015880</v>
      </c>
      <c r="M982" s="219">
        <f t="shared" si="458"/>
        <v>103.98117161633019</v>
      </c>
      <c r="N982" s="219">
        <f t="shared" si="459"/>
        <v>103.98117161633019</v>
      </c>
      <c r="O982" s="219">
        <f t="shared" si="460"/>
        <v>99.762533806938563</v>
      </c>
      <c r="P982" s="219">
        <f t="shared" si="461"/>
        <v>99.762533806938563</v>
      </c>
    </row>
    <row r="983" spans="1:16" s="3" customFormat="1" ht="12.75" customHeight="1">
      <c r="A983" s="36" t="s">
        <v>180</v>
      </c>
      <c r="B983" s="33" t="s">
        <v>419</v>
      </c>
      <c r="C983" s="211" t="s">
        <v>1431</v>
      </c>
      <c r="D983" s="63">
        <v>6730010</v>
      </c>
      <c r="E983" s="63"/>
      <c r="F983" s="48">
        <f t="shared" si="462"/>
        <v>6730010</v>
      </c>
      <c r="G983" s="38">
        <v>6759200</v>
      </c>
      <c r="H983" s="38"/>
      <c r="I983" s="85">
        <f t="shared" si="463"/>
        <v>6759200</v>
      </c>
      <c r="J983" s="63">
        <v>7000780</v>
      </c>
      <c r="K983" s="63"/>
      <c r="L983" s="48">
        <f t="shared" ref="L983:L988" si="465">SUM(J983:K983)</f>
        <v>7000780</v>
      </c>
      <c r="M983" s="219">
        <f t="shared" si="458"/>
        <v>104.02332240219553</v>
      </c>
      <c r="N983" s="219">
        <f t="shared" si="459"/>
        <v>104.02332240219553</v>
      </c>
      <c r="O983" s="219">
        <f t="shared" si="460"/>
        <v>103.57409160847438</v>
      </c>
      <c r="P983" s="219">
        <f t="shared" si="461"/>
        <v>103.57409160847438</v>
      </c>
    </row>
    <row r="984" spans="1:16" s="11" customFormat="1" ht="12.75" customHeight="1">
      <c r="A984" s="36" t="s">
        <v>2482</v>
      </c>
      <c r="B984" s="33" t="s">
        <v>2369</v>
      </c>
      <c r="C984" s="211" t="s">
        <v>2417</v>
      </c>
      <c r="D984" s="38"/>
      <c r="E984" s="77"/>
      <c r="F984" s="63"/>
      <c r="G984" s="38"/>
      <c r="H984" s="109"/>
      <c r="I984" s="85"/>
      <c r="J984" s="63">
        <v>2100</v>
      </c>
      <c r="K984" s="77"/>
      <c r="L984" s="48">
        <f>SUM(J984:K984)</f>
        <v>2100</v>
      </c>
      <c r="M984" s="218" t="str">
        <f t="shared" si="458"/>
        <v/>
      </c>
      <c r="N984" s="218" t="str">
        <f t="shared" si="459"/>
        <v/>
      </c>
      <c r="O984" s="218" t="str">
        <f t="shared" si="460"/>
        <v/>
      </c>
      <c r="P984" s="218"/>
    </row>
    <row r="985" spans="1:16" s="3" customFormat="1" ht="12.75" customHeight="1">
      <c r="A985" s="36" t="s">
        <v>651</v>
      </c>
      <c r="B985" s="33" t="s">
        <v>650</v>
      </c>
      <c r="C985" s="211" t="s">
        <v>1432</v>
      </c>
      <c r="D985" s="63">
        <v>4000</v>
      </c>
      <c r="E985" s="63"/>
      <c r="F985" s="48">
        <f>SUM(D985:E985)</f>
        <v>4000</v>
      </c>
      <c r="G985" s="38">
        <v>19000</v>
      </c>
      <c r="H985" s="38"/>
      <c r="I985" s="85">
        <f>SUM(G985:H985)</f>
        <v>19000</v>
      </c>
      <c r="J985" s="63">
        <v>4000</v>
      </c>
      <c r="K985" s="63"/>
      <c r="L985" s="48">
        <f>SUM(J985:K985)</f>
        <v>4000</v>
      </c>
      <c r="M985" s="219">
        <f t="shared" si="458"/>
        <v>100</v>
      </c>
      <c r="N985" s="219">
        <f t="shared" si="459"/>
        <v>100</v>
      </c>
      <c r="O985" s="219">
        <f t="shared" si="460"/>
        <v>21.052631578947366</v>
      </c>
      <c r="P985" s="219">
        <f>IF(I985&gt;0,IF(L985&gt;=0,L985/I985*100,""),"")</f>
        <v>21.052631578947366</v>
      </c>
    </row>
    <row r="986" spans="1:16" s="3" customFormat="1" ht="12.75" customHeight="1">
      <c r="A986" s="46" t="s">
        <v>375</v>
      </c>
      <c r="B986" s="33" t="s">
        <v>150</v>
      </c>
      <c r="C986" s="211" t="s">
        <v>1434</v>
      </c>
      <c r="D986" s="63">
        <v>8000</v>
      </c>
      <c r="E986" s="63"/>
      <c r="F986" s="48">
        <f>SUM(D986:E986)</f>
        <v>8000</v>
      </c>
      <c r="G986" s="38">
        <v>201000</v>
      </c>
      <c r="H986" s="38"/>
      <c r="I986" s="85">
        <f>SUM(G986:H986)</f>
        <v>201000</v>
      </c>
      <c r="J986" s="63">
        <v>9000</v>
      </c>
      <c r="K986" s="63"/>
      <c r="L986" s="48">
        <f>SUM(J986:K986)</f>
        <v>9000</v>
      </c>
      <c r="M986" s="219">
        <f t="shared" si="458"/>
        <v>112.5</v>
      </c>
      <c r="N986" s="219">
        <f t="shared" si="459"/>
        <v>112.5</v>
      </c>
      <c r="O986" s="219">
        <f t="shared" si="460"/>
        <v>4.4776119402985071</v>
      </c>
      <c r="P986" s="219">
        <f>IF(I986&gt;0,IF(L986&gt;=0,L986/I986*100,""),"")</f>
        <v>4.4776119402985071</v>
      </c>
    </row>
    <row r="987" spans="1:16" s="3" customFormat="1" ht="12.75" customHeight="1">
      <c r="A987" s="36" t="s">
        <v>368</v>
      </c>
      <c r="B987" s="211" t="s">
        <v>418</v>
      </c>
      <c r="C987" s="211" t="s">
        <v>1435</v>
      </c>
      <c r="D987" s="63"/>
      <c r="E987" s="63"/>
      <c r="F987" s="48"/>
      <c r="G987" s="38">
        <v>44000</v>
      </c>
      <c r="H987" s="38"/>
      <c r="I987" s="85">
        <f t="shared" si="463"/>
        <v>44000</v>
      </c>
      <c r="J987" s="63"/>
      <c r="K987" s="63"/>
      <c r="L987" s="48">
        <f t="shared" si="465"/>
        <v>0</v>
      </c>
      <c r="M987" s="219" t="str">
        <f t="shared" si="458"/>
        <v/>
      </c>
      <c r="N987" s="219" t="str">
        <f t="shared" si="459"/>
        <v/>
      </c>
      <c r="O987" s="219">
        <f t="shared" si="460"/>
        <v>0</v>
      </c>
      <c r="P987" s="219">
        <f t="shared" si="461"/>
        <v>0</v>
      </c>
    </row>
    <row r="988" spans="1:16" s="11" customFormat="1" ht="12.75" customHeight="1">
      <c r="A988" s="36" t="s">
        <v>835</v>
      </c>
      <c r="B988" s="211" t="s">
        <v>698</v>
      </c>
      <c r="C988" s="211" t="s">
        <v>1433</v>
      </c>
      <c r="D988" s="38">
        <v>5250</v>
      </c>
      <c r="E988" s="77"/>
      <c r="F988" s="63">
        <f>SUM(D988:E988)</f>
        <v>5250</v>
      </c>
      <c r="G988" s="38">
        <v>9380</v>
      </c>
      <c r="H988" s="109"/>
      <c r="I988" s="85">
        <f t="shared" si="463"/>
        <v>9380</v>
      </c>
      <c r="J988" s="63"/>
      <c r="K988" s="77"/>
      <c r="L988" s="48">
        <f t="shared" si="465"/>
        <v>0</v>
      </c>
      <c r="M988" s="218">
        <f t="shared" si="458"/>
        <v>0</v>
      </c>
      <c r="N988" s="218">
        <f t="shared" si="459"/>
        <v>0</v>
      </c>
      <c r="O988" s="218">
        <f t="shared" si="460"/>
        <v>0</v>
      </c>
      <c r="P988" s="218">
        <f t="shared" si="461"/>
        <v>0</v>
      </c>
    </row>
    <row r="989" spans="1:16" s="3" customFormat="1" ht="12.75" customHeight="1">
      <c r="A989" s="46" t="s">
        <v>791</v>
      </c>
      <c r="B989" s="211" t="s">
        <v>151</v>
      </c>
      <c r="C989" s="211" t="s">
        <v>2337</v>
      </c>
      <c r="D989" s="63"/>
      <c r="E989" s="63"/>
      <c r="F989" s="63"/>
      <c r="G989" s="38">
        <v>70000</v>
      </c>
      <c r="H989" s="38"/>
      <c r="I989" s="85">
        <f t="shared" si="463"/>
        <v>70000</v>
      </c>
      <c r="J989" s="63"/>
      <c r="K989" s="63"/>
      <c r="L989" s="63"/>
      <c r="M989" s="218" t="str">
        <f t="shared" si="458"/>
        <v/>
      </c>
      <c r="N989" s="218" t="str">
        <f t="shared" si="459"/>
        <v/>
      </c>
      <c r="O989" s="218">
        <f t="shared" si="460"/>
        <v>0</v>
      </c>
      <c r="P989" s="218"/>
    </row>
    <row r="990" spans="1:16" s="3" customFormat="1" ht="6" customHeight="1">
      <c r="A990" s="46"/>
      <c r="B990" s="33"/>
      <c r="C990" s="211" t="s">
        <v>268</v>
      </c>
      <c r="D990" s="63"/>
      <c r="E990" s="63"/>
      <c r="F990" s="63"/>
      <c r="G990" s="38"/>
      <c r="H990" s="38"/>
      <c r="I990" s="38"/>
      <c r="J990" s="63"/>
      <c r="K990" s="63"/>
      <c r="L990" s="63"/>
      <c r="M990" s="218" t="str">
        <f t="shared" si="458"/>
        <v/>
      </c>
      <c r="N990" s="218" t="str">
        <f t="shared" si="459"/>
        <v/>
      </c>
      <c r="O990" s="218" t="str">
        <f t="shared" si="460"/>
        <v/>
      </c>
      <c r="P990" s="218" t="str">
        <f t="shared" ref="P990:P997" si="466">IF(I990&gt;0,IF(L990&gt;=0,L990/I990*100,""),"")</f>
        <v/>
      </c>
    </row>
    <row r="991" spans="1:16" s="11" customFormat="1" ht="12.75">
      <c r="A991" s="58" t="s">
        <v>490</v>
      </c>
      <c r="B991" s="65" t="s">
        <v>265</v>
      </c>
      <c r="C991" s="308" t="s">
        <v>940</v>
      </c>
      <c r="D991" s="69">
        <f>SUM(D993:D999)</f>
        <v>8011820</v>
      </c>
      <c r="E991" s="69">
        <f>SUM(E993:E1000)</f>
        <v>0</v>
      </c>
      <c r="F991" s="83">
        <f>SUM(D991:E991)</f>
        <v>8011820</v>
      </c>
      <c r="G991" s="115">
        <f>SUM(G993:G999)</f>
        <v>14493504</v>
      </c>
      <c r="H991" s="115">
        <f>SUM(H993:H1000)</f>
        <v>0</v>
      </c>
      <c r="I991" s="121">
        <f>SUM(G991:H991)</f>
        <v>14493504</v>
      </c>
      <c r="J991" s="83">
        <f>SUM(J993:J999)</f>
        <v>8534240</v>
      </c>
      <c r="K991" s="69">
        <f>SUM(K993:K1000)</f>
        <v>0</v>
      </c>
      <c r="L991" s="83">
        <f>SUM(J991:K991)</f>
        <v>8534240</v>
      </c>
      <c r="M991" s="237">
        <f t="shared" si="458"/>
        <v>106.52061579017003</v>
      </c>
      <c r="N991" s="237">
        <f t="shared" si="459"/>
        <v>106.52061579017003</v>
      </c>
      <c r="O991" s="237">
        <f t="shared" si="460"/>
        <v>58.883207263060747</v>
      </c>
      <c r="P991" s="237">
        <f t="shared" si="466"/>
        <v>58.883207263060747</v>
      </c>
    </row>
    <row r="992" spans="1:16" s="3" customFormat="1" ht="12.75" customHeight="1">
      <c r="A992" s="36" t="s">
        <v>267</v>
      </c>
      <c r="B992" s="79"/>
      <c r="C992" s="302" t="s">
        <v>268</v>
      </c>
      <c r="D992" s="63">
        <f>SUM(D993:D998)</f>
        <v>8011820</v>
      </c>
      <c r="E992" s="63">
        <f>SUM(E993:E998)</f>
        <v>0</v>
      </c>
      <c r="F992" s="63">
        <f>SUM(D992:E992)</f>
        <v>8011820</v>
      </c>
      <c r="G992" s="38">
        <f>SUM(G993:G998)</f>
        <v>8093504</v>
      </c>
      <c r="H992" s="38">
        <f>SUM(H993:H998)</f>
        <v>0</v>
      </c>
      <c r="I992" s="38">
        <f>SUM(G992:H992)</f>
        <v>8093504</v>
      </c>
      <c r="J992" s="63">
        <f>SUM(J993:J998)</f>
        <v>8534240</v>
      </c>
      <c r="K992" s="63">
        <f>SUM(K993:K998)</f>
        <v>0</v>
      </c>
      <c r="L992" s="63">
        <f>SUM(J992:K992)</f>
        <v>8534240</v>
      </c>
      <c r="M992" s="218">
        <f t="shared" si="458"/>
        <v>106.52061579017003</v>
      </c>
      <c r="N992" s="218">
        <f t="shared" si="459"/>
        <v>106.52061579017003</v>
      </c>
      <c r="O992" s="218">
        <f t="shared" si="460"/>
        <v>105.44555238373886</v>
      </c>
      <c r="P992" s="218">
        <f t="shared" si="466"/>
        <v>105.44555238373886</v>
      </c>
    </row>
    <row r="993" spans="1:16" s="11" customFormat="1" ht="12.75" customHeight="1">
      <c r="A993" s="36" t="s">
        <v>180</v>
      </c>
      <c r="B993" s="33" t="s">
        <v>419</v>
      </c>
      <c r="C993" s="211" t="s">
        <v>1436</v>
      </c>
      <c r="D993" s="84">
        <v>7936520</v>
      </c>
      <c r="E993" s="110"/>
      <c r="F993" s="48">
        <f>E993+D993</f>
        <v>7936520</v>
      </c>
      <c r="G993" s="84">
        <v>7977790</v>
      </c>
      <c r="H993" s="259"/>
      <c r="I993" s="85">
        <f>H993+G993</f>
        <v>7977790</v>
      </c>
      <c r="J993" s="63">
        <v>8462140</v>
      </c>
      <c r="K993" s="110"/>
      <c r="L993" s="48">
        <f>K993+J993</f>
        <v>8462140</v>
      </c>
      <c r="M993" s="219">
        <f t="shared" si="458"/>
        <v>106.62280193334107</v>
      </c>
      <c r="N993" s="219">
        <f t="shared" si="459"/>
        <v>106.62280193334107</v>
      </c>
      <c r="O993" s="219">
        <f t="shared" si="460"/>
        <v>106.07123025298986</v>
      </c>
      <c r="P993" s="219">
        <f t="shared" si="466"/>
        <v>106.07123025298986</v>
      </c>
    </row>
    <row r="994" spans="1:16" s="11" customFormat="1" ht="12.75" customHeight="1">
      <c r="A994" s="36" t="s">
        <v>358</v>
      </c>
      <c r="B994" s="33" t="s">
        <v>417</v>
      </c>
      <c r="C994" s="211" t="s">
        <v>1438</v>
      </c>
      <c r="D994" s="84">
        <v>55000</v>
      </c>
      <c r="E994" s="110"/>
      <c r="F994" s="48">
        <f>SUM(D994:E994)</f>
        <v>55000</v>
      </c>
      <c r="G994" s="84">
        <v>72414</v>
      </c>
      <c r="H994" s="259"/>
      <c r="I994" s="85">
        <f>SUM(G994:H994)</f>
        <v>72414</v>
      </c>
      <c r="J994" s="63">
        <v>55000</v>
      </c>
      <c r="K994" s="110"/>
      <c r="L994" s="48">
        <f>SUM(J994:K994)</f>
        <v>55000</v>
      </c>
      <c r="M994" s="219">
        <f t="shared" si="458"/>
        <v>100</v>
      </c>
      <c r="N994" s="219">
        <f t="shared" si="459"/>
        <v>100</v>
      </c>
      <c r="O994" s="219">
        <f t="shared" si="460"/>
        <v>75.952163946198255</v>
      </c>
      <c r="P994" s="219">
        <f>IF(I994&gt;0,IF(L994&gt;=0,L994/I994*100,""),"")</f>
        <v>75.952163946198255</v>
      </c>
    </row>
    <row r="995" spans="1:16" s="11" customFormat="1" ht="12.75" customHeight="1">
      <c r="A995" s="36" t="s">
        <v>2482</v>
      </c>
      <c r="B995" s="33" t="s">
        <v>2369</v>
      </c>
      <c r="C995" s="211" t="s">
        <v>2418</v>
      </c>
      <c r="D995" s="84"/>
      <c r="E995" s="110"/>
      <c r="F995" s="48"/>
      <c r="G995" s="84"/>
      <c r="H995" s="259"/>
      <c r="I995" s="85"/>
      <c r="J995" s="63">
        <v>2100</v>
      </c>
      <c r="K995" s="110"/>
      <c r="L995" s="48">
        <f>SUM(J995:K995)</f>
        <v>2100</v>
      </c>
      <c r="M995" s="219" t="str">
        <f t="shared" si="458"/>
        <v/>
      </c>
      <c r="N995" s="219" t="str">
        <f t="shared" si="459"/>
        <v/>
      </c>
      <c r="O995" s="219" t="str">
        <f t="shared" si="460"/>
        <v/>
      </c>
      <c r="P995" s="219"/>
    </row>
    <row r="996" spans="1:16" s="3" customFormat="1" ht="12.75" customHeight="1">
      <c r="A996" s="46" t="s">
        <v>375</v>
      </c>
      <c r="B996" s="33" t="s">
        <v>150</v>
      </c>
      <c r="C996" s="211" t="s">
        <v>1439</v>
      </c>
      <c r="D996" s="63">
        <v>14000</v>
      </c>
      <c r="E996" s="63"/>
      <c r="F996" s="48">
        <f>SUM(D996:E996)</f>
        <v>14000</v>
      </c>
      <c r="G996" s="38">
        <v>32000</v>
      </c>
      <c r="H996" s="38"/>
      <c r="I996" s="85">
        <f>SUM(G996:H996)</f>
        <v>32000</v>
      </c>
      <c r="J996" s="63">
        <v>15000</v>
      </c>
      <c r="K996" s="63"/>
      <c r="L996" s="48">
        <f>SUM(J996:K996)</f>
        <v>15000</v>
      </c>
      <c r="M996" s="219">
        <f t="shared" si="458"/>
        <v>107.14285714285714</v>
      </c>
      <c r="N996" s="219">
        <f t="shared" si="459"/>
        <v>107.14285714285714</v>
      </c>
      <c r="O996" s="219">
        <f t="shared" si="460"/>
        <v>46.875</v>
      </c>
      <c r="P996" s="219">
        <f>IF(I996&gt;0,IF(L996&gt;=0,L996/I996*100,""),"")</f>
        <v>46.875</v>
      </c>
    </row>
    <row r="997" spans="1:16" s="11" customFormat="1" ht="12.75" customHeight="1">
      <c r="A997" s="36" t="s">
        <v>835</v>
      </c>
      <c r="B997" s="211" t="s">
        <v>698</v>
      </c>
      <c r="C997" s="211" t="s">
        <v>1437</v>
      </c>
      <c r="D997" s="84">
        <v>6300</v>
      </c>
      <c r="E997" s="110"/>
      <c r="F997" s="48">
        <f>E997+D997</f>
        <v>6300</v>
      </c>
      <c r="G997" s="84">
        <v>6300</v>
      </c>
      <c r="H997" s="259"/>
      <c r="I997" s="85">
        <f>H997+G997</f>
        <v>6300</v>
      </c>
      <c r="J997" s="63"/>
      <c r="K997" s="110"/>
      <c r="L997" s="48">
        <f>K997+J997</f>
        <v>0</v>
      </c>
      <c r="M997" s="219">
        <f t="shared" si="458"/>
        <v>0</v>
      </c>
      <c r="N997" s="219">
        <f t="shared" si="459"/>
        <v>0</v>
      </c>
      <c r="O997" s="219">
        <f t="shared" si="460"/>
        <v>0</v>
      </c>
      <c r="P997" s="219">
        <f t="shared" si="466"/>
        <v>0</v>
      </c>
    </row>
    <row r="998" spans="1:16" s="3" customFormat="1" ht="12.75" customHeight="1">
      <c r="A998" s="46" t="s">
        <v>2347</v>
      </c>
      <c r="B998" s="211" t="s">
        <v>2346</v>
      </c>
      <c r="C998" s="211" t="s">
        <v>2335</v>
      </c>
      <c r="D998" s="63"/>
      <c r="E998" s="63"/>
      <c r="F998" s="48"/>
      <c r="G998" s="38">
        <v>5000</v>
      </c>
      <c r="H998" s="38"/>
      <c r="I998" s="85">
        <f>SUM(G998:H998)</f>
        <v>5000</v>
      </c>
      <c r="J998" s="63"/>
      <c r="K998" s="63"/>
      <c r="L998" s="48"/>
      <c r="M998" s="219" t="str">
        <f t="shared" si="458"/>
        <v/>
      </c>
      <c r="N998" s="219" t="str">
        <f t="shared" si="459"/>
        <v/>
      </c>
      <c r="O998" s="219">
        <f t="shared" si="460"/>
        <v>0</v>
      </c>
      <c r="P998" s="219"/>
    </row>
    <row r="999" spans="1:16" s="3" customFormat="1" ht="12.75" customHeight="1">
      <c r="A999" s="46" t="s">
        <v>791</v>
      </c>
      <c r="B999" s="211" t="s">
        <v>151</v>
      </c>
      <c r="C999" s="211" t="s">
        <v>1440</v>
      </c>
      <c r="D999" s="38"/>
      <c r="E999" s="63"/>
      <c r="F999" s="48">
        <f>E999+D999</f>
        <v>0</v>
      </c>
      <c r="G999" s="38">
        <v>6400000</v>
      </c>
      <c r="H999" s="38"/>
      <c r="I999" s="85">
        <f>H999+G999</f>
        <v>6400000</v>
      </c>
      <c r="J999" s="38"/>
      <c r="K999" s="63"/>
      <c r="L999" s="48">
        <f>K999+J999</f>
        <v>0</v>
      </c>
      <c r="M999" s="219" t="str">
        <f t="shared" si="458"/>
        <v/>
      </c>
      <c r="N999" s="219" t="str">
        <f t="shared" si="459"/>
        <v/>
      </c>
      <c r="O999" s="219">
        <f t="shared" si="460"/>
        <v>0</v>
      </c>
      <c r="P999" s="219">
        <f t="shared" ref="P999:P1019" si="467">IF(I999&gt;0,IF(L999&gt;=0,L999/I999*100,""),"")</f>
        <v>0</v>
      </c>
    </row>
    <row r="1000" spans="1:16" s="3" customFormat="1" ht="6" customHeight="1">
      <c r="A1000" s="46"/>
      <c r="B1000" s="33"/>
      <c r="C1000" s="211" t="s">
        <v>268</v>
      </c>
      <c r="D1000" s="63"/>
      <c r="E1000" s="63"/>
      <c r="F1000" s="48">
        <f>E1000+D1000</f>
        <v>0</v>
      </c>
      <c r="G1000" s="38"/>
      <c r="H1000" s="38"/>
      <c r="I1000" s="85">
        <f>H1000+G1000</f>
        <v>0</v>
      </c>
      <c r="J1000" s="48"/>
      <c r="K1000" s="63"/>
      <c r="L1000" s="48">
        <f>K1000+J1000</f>
        <v>0</v>
      </c>
      <c r="M1000" s="219" t="str">
        <f t="shared" si="458"/>
        <v/>
      </c>
      <c r="N1000" s="219" t="str">
        <f t="shared" si="459"/>
        <v/>
      </c>
      <c r="O1000" s="219" t="str">
        <f t="shared" si="460"/>
        <v/>
      </c>
      <c r="P1000" s="219" t="str">
        <f t="shared" si="467"/>
        <v/>
      </c>
    </row>
    <row r="1001" spans="1:16" s="11" customFormat="1" ht="12.75">
      <c r="A1001" s="58" t="s">
        <v>491</v>
      </c>
      <c r="B1001" s="65" t="s">
        <v>265</v>
      </c>
      <c r="C1001" s="308" t="s">
        <v>940</v>
      </c>
      <c r="D1001" s="90">
        <f>SUM(D1003:D1010)</f>
        <v>8956310</v>
      </c>
      <c r="E1001" s="90">
        <f>SUM(E1003:E1009)</f>
        <v>0</v>
      </c>
      <c r="F1001" s="42">
        <f>SUM(D1001:E1001)</f>
        <v>8956310</v>
      </c>
      <c r="G1001" s="60">
        <f>SUM(G1003:G1010)</f>
        <v>11181120</v>
      </c>
      <c r="H1001" s="60">
        <f>SUM(H1003:H1009)</f>
        <v>0</v>
      </c>
      <c r="I1001" s="55">
        <f>SUM(G1001:H1001)</f>
        <v>11181120</v>
      </c>
      <c r="J1001" s="42">
        <f>SUM(J1003:J1010)</f>
        <v>9919510</v>
      </c>
      <c r="K1001" s="90">
        <f>SUM(K1003:K1009)</f>
        <v>0</v>
      </c>
      <c r="L1001" s="42">
        <f>SUM(J1001:K1001)</f>
        <v>9919510</v>
      </c>
      <c r="M1001" s="225">
        <f t="shared" si="458"/>
        <v>110.75442900033607</v>
      </c>
      <c r="N1001" s="225">
        <f t="shared" si="459"/>
        <v>110.75442900033607</v>
      </c>
      <c r="O1001" s="225">
        <f t="shared" si="460"/>
        <v>88.716604418877537</v>
      </c>
      <c r="P1001" s="225">
        <f t="shared" si="467"/>
        <v>88.716604418877537</v>
      </c>
    </row>
    <row r="1002" spans="1:16" s="7" customFormat="1" ht="12.75" hidden="1">
      <c r="A1002" s="169" t="s">
        <v>267</v>
      </c>
      <c r="B1002" s="44"/>
      <c r="C1002" s="304" t="s">
        <v>268</v>
      </c>
      <c r="D1002" s="63">
        <f>SUM(D1003:D1009)</f>
        <v>8956310</v>
      </c>
      <c r="E1002" s="63"/>
      <c r="F1002" s="48">
        <f>E1002+D1002</f>
        <v>8956310</v>
      </c>
      <c r="G1002" s="38">
        <f>SUM(G1003:G1009)</f>
        <v>11181120</v>
      </c>
      <c r="H1002" s="38"/>
      <c r="I1002" s="85">
        <f>H1002+G1002</f>
        <v>11181120</v>
      </c>
      <c r="J1002" s="48">
        <f>SUM(J1003:J1009)</f>
        <v>9919510</v>
      </c>
      <c r="K1002" s="63"/>
      <c r="L1002" s="48">
        <f>K1002+J1002</f>
        <v>9919510</v>
      </c>
      <c r="M1002" s="219">
        <f t="shared" si="458"/>
        <v>110.75442900033607</v>
      </c>
      <c r="N1002" s="219">
        <f t="shared" si="459"/>
        <v>110.75442900033607</v>
      </c>
      <c r="O1002" s="219">
        <f t="shared" si="460"/>
        <v>88.716604418877537</v>
      </c>
      <c r="P1002" s="219">
        <f t="shared" si="467"/>
        <v>88.716604418877537</v>
      </c>
    </row>
    <row r="1003" spans="1:16" s="3" customFormat="1" ht="12.75" customHeight="1">
      <c r="A1003" s="36" t="s">
        <v>180</v>
      </c>
      <c r="B1003" s="33" t="s">
        <v>419</v>
      </c>
      <c r="C1003" s="211" t="s">
        <v>1441</v>
      </c>
      <c r="D1003" s="63">
        <v>8224910</v>
      </c>
      <c r="E1003" s="63"/>
      <c r="F1003" s="48">
        <f>E1003+D1003</f>
        <v>8224910</v>
      </c>
      <c r="G1003" s="38">
        <v>8312120</v>
      </c>
      <c r="H1003" s="38"/>
      <c r="I1003" s="85">
        <f>H1003+G1003</f>
        <v>8312120</v>
      </c>
      <c r="J1003" s="63">
        <v>9453160</v>
      </c>
      <c r="K1003" s="63"/>
      <c r="L1003" s="48">
        <f>K1003+J1003</f>
        <v>9453160</v>
      </c>
      <c r="M1003" s="219">
        <f t="shared" si="458"/>
        <v>114.9332941029142</v>
      </c>
      <c r="N1003" s="219">
        <f t="shared" si="459"/>
        <v>114.9332941029142</v>
      </c>
      <c r="O1003" s="219">
        <f t="shared" si="460"/>
        <v>113.72742453188837</v>
      </c>
      <c r="P1003" s="219">
        <f t="shared" si="467"/>
        <v>113.72742453188837</v>
      </c>
    </row>
    <row r="1004" spans="1:16" s="3" customFormat="1" ht="12.75" customHeight="1">
      <c r="A1004" s="36" t="s">
        <v>2482</v>
      </c>
      <c r="B1004" s="33" t="s">
        <v>2369</v>
      </c>
      <c r="C1004" s="211" t="s">
        <v>2419</v>
      </c>
      <c r="D1004" s="63"/>
      <c r="E1004" s="63"/>
      <c r="F1004" s="48"/>
      <c r="G1004" s="38"/>
      <c r="H1004" s="38"/>
      <c r="I1004" s="85"/>
      <c r="J1004" s="63">
        <v>7350</v>
      </c>
      <c r="K1004" s="63"/>
      <c r="L1004" s="48">
        <f t="shared" ref="L1004:L1005" si="468">K1004+J1004</f>
        <v>7350</v>
      </c>
      <c r="M1004" s="219" t="str">
        <f t="shared" si="458"/>
        <v/>
      </c>
      <c r="N1004" s="219" t="str">
        <f t="shared" si="459"/>
        <v/>
      </c>
      <c r="O1004" s="219" t="str">
        <f t="shared" si="460"/>
        <v/>
      </c>
      <c r="P1004" s="219"/>
    </row>
    <row r="1005" spans="1:16" s="3" customFormat="1" ht="12.75" customHeight="1">
      <c r="A1005" s="36" t="s">
        <v>2071</v>
      </c>
      <c r="B1005" s="33" t="s">
        <v>2072</v>
      </c>
      <c r="C1005" s="211" t="s">
        <v>2420</v>
      </c>
      <c r="D1005" s="63"/>
      <c r="E1005" s="63"/>
      <c r="F1005" s="48"/>
      <c r="G1005" s="38"/>
      <c r="H1005" s="38"/>
      <c r="I1005" s="85"/>
      <c r="J1005" s="63">
        <v>170000</v>
      </c>
      <c r="K1005" s="63"/>
      <c r="L1005" s="48">
        <f t="shared" si="468"/>
        <v>170000</v>
      </c>
      <c r="M1005" s="219" t="str">
        <f t="shared" si="458"/>
        <v/>
      </c>
      <c r="N1005" s="219" t="str">
        <f t="shared" si="459"/>
        <v/>
      </c>
      <c r="O1005" s="219" t="str">
        <f t="shared" si="460"/>
        <v/>
      </c>
      <c r="P1005" s="219"/>
    </row>
    <row r="1006" spans="1:16" s="3" customFormat="1" ht="12.75" customHeight="1">
      <c r="A1006" s="46" t="s">
        <v>873</v>
      </c>
      <c r="B1006" s="33" t="s">
        <v>85</v>
      </c>
      <c r="C1006" s="211" t="s">
        <v>1443</v>
      </c>
      <c r="D1006" s="63">
        <v>275000</v>
      </c>
      <c r="E1006" s="63"/>
      <c r="F1006" s="48">
        <f>SUM(D1006:E1006)</f>
        <v>275000</v>
      </c>
      <c r="G1006" s="38">
        <v>281000</v>
      </c>
      <c r="H1006" s="38"/>
      <c r="I1006" s="85">
        <f>SUM(G1006:H1006)</f>
        <v>281000</v>
      </c>
      <c r="J1006" s="63">
        <v>280000</v>
      </c>
      <c r="K1006" s="63"/>
      <c r="L1006" s="48">
        <f>SUM(J1006:K1006)</f>
        <v>280000</v>
      </c>
      <c r="M1006" s="219">
        <f t="shared" si="458"/>
        <v>101.81818181818181</v>
      </c>
      <c r="N1006" s="219">
        <f t="shared" si="459"/>
        <v>101.81818181818181</v>
      </c>
      <c r="O1006" s="219">
        <f t="shared" si="460"/>
        <v>99.644128113879006</v>
      </c>
      <c r="P1006" s="219">
        <f t="shared" si="467"/>
        <v>99.644128113879006</v>
      </c>
    </row>
    <row r="1007" spans="1:16" s="3" customFormat="1" ht="12.75" customHeight="1">
      <c r="A1007" s="36" t="s">
        <v>375</v>
      </c>
      <c r="B1007" s="33" t="s">
        <v>150</v>
      </c>
      <c r="C1007" s="211" t="s">
        <v>1444</v>
      </c>
      <c r="D1007" s="48">
        <f>8000+440000</f>
        <v>448000</v>
      </c>
      <c r="E1007" s="63"/>
      <c r="F1007" s="48">
        <f>SUM(D1007:E1007)</f>
        <v>448000</v>
      </c>
      <c r="G1007" s="85">
        <v>2568000</v>
      </c>
      <c r="H1007" s="38"/>
      <c r="I1007" s="85">
        <f>SUM(G1007:H1007)</f>
        <v>2568000</v>
      </c>
      <c r="J1007" s="63">
        <v>9000</v>
      </c>
      <c r="K1007" s="63"/>
      <c r="L1007" s="48">
        <f>SUM(J1007:K1007)</f>
        <v>9000</v>
      </c>
      <c r="M1007" s="219">
        <f t="shared" si="458"/>
        <v>2.0089285714285716</v>
      </c>
      <c r="N1007" s="219">
        <f t="shared" si="459"/>
        <v>2.0089285714285716</v>
      </c>
      <c r="O1007" s="219">
        <f t="shared" si="460"/>
        <v>0.35046728971962615</v>
      </c>
      <c r="P1007" s="219">
        <f t="shared" si="467"/>
        <v>0.35046728971962615</v>
      </c>
    </row>
    <row r="1008" spans="1:16" s="3" customFormat="1" ht="12.75" customHeight="1">
      <c r="A1008" s="36" t="s">
        <v>835</v>
      </c>
      <c r="B1008" s="211" t="s">
        <v>698</v>
      </c>
      <c r="C1008" s="211" t="s">
        <v>1442</v>
      </c>
      <c r="D1008" s="63">
        <v>8400</v>
      </c>
      <c r="E1008" s="63"/>
      <c r="F1008" s="48">
        <f>E1008+D1008</f>
        <v>8400</v>
      </c>
      <c r="G1008" s="38">
        <v>20000</v>
      </c>
      <c r="H1008" s="38"/>
      <c r="I1008" s="85">
        <f>H1008+G1008</f>
        <v>20000</v>
      </c>
      <c r="J1008" s="63"/>
      <c r="K1008" s="63"/>
      <c r="L1008" s="48">
        <f>K1008+J1008</f>
        <v>0</v>
      </c>
      <c r="M1008" s="219">
        <f t="shared" si="458"/>
        <v>0</v>
      </c>
      <c r="N1008" s="219">
        <f t="shared" si="459"/>
        <v>0</v>
      </c>
      <c r="O1008" s="219">
        <f t="shared" si="460"/>
        <v>0</v>
      </c>
      <c r="P1008" s="219">
        <f>IF(I1008&gt;0,IF(L1008&gt;=0,L1008/I1008*100,""),"")</f>
        <v>0</v>
      </c>
    </row>
    <row r="1009" spans="1:16" s="3" customFormat="1" hidden="1">
      <c r="A1009" s="46" t="s">
        <v>651</v>
      </c>
      <c r="B1009" s="33" t="s">
        <v>650</v>
      </c>
      <c r="C1009" s="211" t="s">
        <v>1445</v>
      </c>
      <c r="D1009" s="48"/>
      <c r="E1009" s="63"/>
      <c r="F1009" s="48">
        <f>E1009+D1009</f>
        <v>0</v>
      </c>
      <c r="G1009" s="85"/>
      <c r="H1009" s="38"/>
      <c r="I1009" s="85">
        <f>H1009+G1009</f>
        <v>0</v>
      </c>
      <c r="J1009" s="48"/>
      <c r="K1009" s="63"/>
      <c r="L1009" s="48">
        <f>K1009+J1009</f>
        <v>0</v>
      </c>
      <c r="M1009" s="219" t="str">
        <f t="shared" si="458"/>
        <v/>
      </c>
      <c r="N1009" s="219" t="str">
        <f t="shared" si="459"/>
        <v/>
      </c>
      <c r="O1009" s="219" t="str">
        <f t="shared" si="460"/>
        <v/>
      </c>
      <c r="P1009" s="219" t="str">
        <f t="shared" si="467"/>
        <v/>
      </c>
    </row>
    <row r="1010" spans="1:16" s="3" customFormat="1" hidden="1">
      <c r="A1010" s="36" t="s">
        <v>791</v>
      </c>
      <c r="B1010" s="33" t="s">
        <v>151</v>
      </c>
      <c r="C1010" s="211" t="s">
        <v>1446</v>
      </c>
      <c r="D1010" s="63"/>
      <c r="E1010" s="63"/>
      <c r="F1010" s="48">
        <f>SUM(D1010:E1010)</f>
        <v>0</v>
      </c>
      <c r="G1010" s="38"/>
      <c r="H1010" s="38"/>
      <c r="I1010" s="85">
        <f>SUM(G1010:H1010)</f>
        <v>0</v>
      </c>
      <c r="J1010" s="63"/>
      <c r="K1010" s="63"/>
      <c r="L1010" s="48">
        <f>SUM(J1010:K1010)</f>
        <v>0</v>
      </c>
      <c r="M1010" s="219" t="str">
        <f t="shared" si="458"/>
        <v/>
      </c>
      <c r="N1010" s="219" t="str">
        <f t="shared" si="459"/>
        <v/>
      </c>
      <c r="O1010" s="219" t="str">
        <f t="shared" si="460"/>
        <v/>
      </c>
      <c r="P1010" s="219" t="str">
        <f t="shared" si="467"/>
        <v/>
      </c>
    </row>
    <row r="1011" spans="1:16" s="3" customFormat="1" ht="6" customHeight="1">
      <c r="A1011" s="36"/>
      <c r="B1011" s="33"/>
      <c r="C1011" s="211" t="s">
        <v>268</v>
      </c>
      <c r="D1011" s="63"/>
      <c r="E1011" s="63"/>
      <c r="F1011" s="48"/>
      <c r="G1011" s="38"/>
      <c r="H1011" s="38"/>
      <c r="I1011" s="85"/>
      <c r="J1011" s="48"/>
      <c r="K1011" s="63"/>
      <c r="L1011" s="48"/>
      <c r="M1011" s="219" t="str">
        <f t="shared" si="458"/>
        <v/>
      </c>
      <c r="N1011" s="219" t="str">
        <f t="shared" si="459"/>
        <v/>
      </c>
      <c r="O1011" s="219" t="str">
        <f t="shared" si="460"/>
        <v/>
      </c>
      <c r="P1011" s="219" t="str">
        <f t="shared" si="467"/>
        <v/>
      </c>
    </row>
    <row r="1012" spans="1:16" s="11" customFormat="1" ht="12.75">
      <c r="A1012" s="58" t="s">
        <v>492</v>
      </c>
      <c r="B1012" s="65" t="s">
        <v>265</v>
      </c>
      <c r="C1012" s="308" t="s">
        <v>940</v>
      </c>
      <c r="D1012" s="42">
        <f>SUM(D1014:D1020)</f>
        <v>6370040</v>
      </c>
      <c r="E1012" s="42">
        <f>SUM(E1014:E1016)</f>
        <v>0</v>
      </c>
      <c r="F1012" s="42">
        <f>SUM(D1012:E1012)</f>
        <v>6370040</v>
      </c>
      <c r="G1012" s="55">
        <f>SUM(G1014:G1020)</f>
        <v>6751780</v>
      </c>
      <c r="H1012" s="55">
        <f>SUM(H1014:H1016)</f>
        <v>0</v>
      </c>
      <c r="I1012" s="55">
        <f>SUM(G1012:H1012)</f>
        <v>6751780</v>
      </c>
      <c r="J1012" s="42">
        <f>SUM(J1014:J1021)</f>
        <v>6947570</v>
      </c>
      <c r="K1012" s="42">
        <f>SUM(K1014:K1016)</f>
        <v>0</v>
      </c>
      <c r="L1012" s="42">
        <f>SUM(J1012:K1012)</f>
        <v>6947570</v>
      </c>
      <c r="M1012" s="225">
        <f t="shared" si="458"/>
        <v>109.06634809200571</v>
      </c>
      <c r="N1012" s="225">
        <f t="shared" si="459"/>
        <v>109.06634809200571</v>
      </c>
      <c r="O1012" s="225">
        <f t="shared" si="460"/>
        <v>102.89982789723599</v>
      </c>
      <c r="P1012" s="225">
        <f t="shared" si="467"/>
        <v>102.89982789723599</v>
      </c>
    </row>
    <row r="1013" spans="1:16" s="11" customFormat="1" hidden="1">
      <c r="A1013" s="36" t="s">
        <v>267</v>
      </c>
      <c r="B1013" s="184"/>
      <c r="C1013" s="320" t="s">
        <v>268</v>
      </c>
      <c r="D1013" s="38">
        <f>SUM(D1014:D1020)</f>
        <v>6370040</v>
      </c>
      <c r="E1013" s="77"/>
      <c r="F1013" s="63">
        <f>SUM(D1013:E1013)</f>
        <v>6370040</v>
      </c>
      <c r="G1013" s="38">
        <f>SUM(G1014:G1020)</f>
        <v>6751780</v>
      </c>
      <c r="H1013" s="109"/>
      <c r="I1013" s="38">
        <f>SUM(G1013:H1013)</f>
        <v>6751780</v>
      </c>
      <c r="J1013" s="63">
        <f>SUM(J1014:J1020)</f>
        <v>6947570</v>
      </c>
      <c r="K1013" s="77"/>
      <c r="L1013" s="63">
        <f>SUM(J1013:K1013)</f>
        <v>6947570</v>
      </c>
      <c r="M1013" s="218">
        <f t="shared" si="458"/>
        <v>109.06634809200571</v>
      </c>
      <c r="N1013" s="218">
        <f t="shared" si="459"/>
        <v>109.06634809200571</v>
      </c>
      <c r="O1013" s="218">
        <f t="shared" si="460"/>
        <v>102.89982789723599</v>
      </c>
      <c r="P1013" s="218">
        <f t="shared" si="467"/>
        <v>102.89982789723599</v>
      </c>
    </row>
    <row r="1014" spans="1:16" s="3" customFormat="1" ht="12.75" customHeight="1">
      <c r="A1014" s="36" t="s">
        <v>180</v>
      </c>
      <c r="B1014" s="33" t="s">
        <v>419</v>
      </c>
      <c r="C1014" s="211" t="s">
        <v>1447</v>
      </c>
      <c r="D1014" s="63">
        <v>6342840</v>
      </c>
      <c r="E1014" s="63"/>
      <c r="F1014" s="63">
        <f>SUM(D1014:E1014)</f>
        <v>6342840</v>
      </c>
      <c r="G1014" s="38">
        <v>6514850</v>
      </c>
      <c r="H1014" s="38"/>
      <c r="I1014" s="38">
        <f>SUM(G1014:H1014)</f>
        <v>6514850</v>
      </c>
      <c r="J1014" s="63">
        <v>6916370</v>
      </c>
      <c r="K1014" s="63"/>
      <c r="L1014" s="63">
        <f>SUM(J1014:K1014)</f>
        <v>6916370</v>
      </c>
      <c r="M1014" s="218">
        <f t="shared" si="458"/>
        <v>109.04216407792093</v>
      </c>
      <c r="N1014" s="218">
        <f t="shared" si="459"/>
        <v>109.04216407792093</v>
      </c>
      <c r="O1014" s="218">
        <f t="shared" si="460"/>
        <v>106.16315034114369</v>
      </c>
      <c r="P1014" s="218">
        <f t="shared" si="467"/>
        <v>106.16315034114369</v>
      </c>
    </row>
    <row r="1015" spans="1:16" s="3" customFormat="1" ht="12.75" customHeight="1">
      <c r="A1015" s="36" t="s">
        <v>2482</v>
      </c>
      <c r="B1015" s="33" t="s">
        <v>2369</v>
      </c>
      <c r="C1015" s="211" t="s">
        <v>2421</v>
      </c>
      <c r="D1015" s="63"/>
      <c r="E1015" s="63"/>
      <c r="F1015" s="63"/>
      <c r="G1015" s="38"/>
      <c r="H1015" s="38"/>
      <c r="I1015" s="38"/>
      <c r="J1015" s="63">
        <v>4200</v>
      </c>
      <c r="K1015" s="63"/>
      <c r="L1015" s="63">
        <f t="shared" ref="L1015:L1019" si="469">SUM(J1015:K1015)</f>
        <v>4200</v>
      </c>
      <c r="M1015" s="218" t="str">
        <f t="shared" si="458"/>
        <v/>
      </c>
      <c r="N1015" s="218" t="str">
        <f t="shared" si="459"/>
        <v/>
      </c>
      <c r="O1015" s="218" t="str">
        <f t="shared" si="460"/>
        <v/>
      </c>
      <c r="P1015" s="218"/>
    </row>
    <row r="1016" spans="1:16" s="3" customFormat="1" ht="12.75" customHeight="1">
      <c r="A1016" s="46" t="s">
        <v>651</v>
      </c>
      <c r="B1016" s="33" t="s">
        <v>650</v>
      </c>
      <c r="C1016" s="211" t="s">
        <v>1451</v>
      </c>
      <c r="D1016" s="63"/>
      <c r="E1016" s="63"/>
      <c r="F1016" s="63">
        <f>SUM(D1016:E1016)</f>
        <v>0</v>
      </c>
      <c r="G1016" s="38">
        <v>4000</v>
      </c>
      <c r="H1016" s="38"/>
      <c r="I1016" s="85">
        <f>H1016+G1016</f>
        <v>4000</v>
      </c>
      <c r="J1016" s="63">
        <v>3000</v>
      </c>
      <c r="K1016" s="63"/>
      <c r="L1016" s="63">
        <f>SUM(J1016:K1016)</f>
        <v>3000</v>
      </c>
      <c r="M1016" s="218" t="str">
        <f t="shared" si="458"/>
        <v/>
      </c>
      <c r="N1016" s="218" t="str">
        <f t="shared" si="459"/>
        <v/>
      </c>
      <c r="O1016" s="218">
        <f t="shared" si="460"/>
        <v>75</v>
      </c>
      <c r="P1016" s="218">
        <f>IF(I1016&gt;0,IF(L1016&gt;=0,L1016/I1016*100,""),"")</f>
        <v>75</v>
      </c>
    </row>
    <row r="1017" spans="1:16" s="3" customFormat="1" ht="12.75" customHeight="1">
      <c r="A1017" s="36" t="s">
        <v>375</v>
      </c>
      <c r="B1017" s="33" t="s">
        <v>150</v>
      </c>
      <c r="C1017" s="211" t="s">
        <v>1449</v>
      </c>
      <c r="D1017" s="63">
        <v>23000</v>
      </c>
      <c r="E1017" s="48"/>
      <c r="F1017" s="48">
        <f>SUM(D1017:E1017)</f>
        <v>23000</v>
      </c>
      <c r="G1017" s="38">
        <v>173600</v>
      </c>
      <c r="H1017" s="85"/>
      <c r="I1017" s="85">
        <f>SUM(G1017:H1017)</f>
        <v>173600</v>
      </c>
      <c r="J1017" s="63">
        <v>24000</v>
      </c>
      <c r="K1017" s="48"/>
      <c r="L1017" s="48">
        <f>SUM(J1017:K1017)</f>
        <v>24000</v>
      </c>
      <c r="M1017" s="219">
        <f t="shared" si="458"/>
        <v>104.34782608695652</v>
      </c>
      <c r="N1017" s="219">
        <f t="shared" si="459"/>
        <v>104.34782608695652</v>
      </c>
      <c r="O1017" s="219">
        <f t="shared" si="460"/>
        <v>13.82488479262673</v>
      </c>
      <c r="P1017" s="219">
        <f>IF(I1017&gt;0,IF(L1017&gt;=0,L1017/I1017*100,""),"")</f>
        <v>13.82488479262673</v>
      </c>
    </row>
    <row r="1018" spans="1:16" s="11" customFormat="1" ht="12.75" customHeight="1">
      <c r="A1018" s="36" t="s">
        <v>839</v>
      </c>
      <c r="B1018" s="211" t="s">
        <v>698</v>
      </c>
      <c r="C1018" s="211" t="s">
        <v>1448</v>
      </c>
      <c r="D1018" s="84">
        <v>4200</v>
      </c>
      <c r="E1018" s="110"/>
      <c r="F1018" s="48">
        <f>E1018+D1018</f>
        <v>4200</v>
      </c>
      <c r="G1018" s="84">
        <v>15330</v>
      </c>
      <c r="H1018" s="259"/>
      <c r="I1018" s="85">
        <f>H1018+G1018</f>
        <v>15330</v>
      </c>
      <c r="J1018" s="63"/>
      <c r="K1018" s="110"/>
      <c r="L1018" s="63">
        <f t="shared" si="469"/>
        <v>0</v>
      </c>
      <c r="M1018" s="219">
        <f t="shared" si="458"/>
        <v>0</v>
      </c>
      <c r="N1018" s="219">
        <f t="shared" si="459"/>
        <v>0</v>
      </c>
      <c r="O1018" s="219">
        <f t="shared" si="460"/>
        <v>0</v>
      </c>
      <c r="P1018" s="219">
        <f t="shared" si="467"/>
        <v>0</v>
      </c>
    </row>
    <row r="1019" spans="1:16" s="3" customFormat="1" ht="12.75" customHeight="1">
      <c r="A1019" s="36" t="s">
        <v>368</v>
      </c>
      <c r="B1019" s="211" t="s">
        <v>418</v>
      </c>
      <c r="C1019" s="211" t="s">
        <v>1450</v>
      </c>
      <c r="D1019" s="63"/>
      <c r="E1019" s="63"/>
      <c r="F1019" s="63"/>
      <c r="G1019" s="38">
        <v>30000</v>
      </c>
      <c r="H1019" s="38"/>
      <c r="I1019" s="85">
        <f>H1019+G1019</f>
        <v>30000</v>
      </c>
      <c r="J1019" s="63"/>
      <c r="K1019" s="63"/>
      <c r="L1019" s="63">
        <f t="shared" si="469"/>
        <v>0</v>
      </c>
      <c r="M1019" s="218" t="str">
        <f t="shared" si="458"/>
        <v/>
      </c>
      <c r="N1019" s="218" t="str">
        <f t="shared" si="459"/>
        <v/>
      </c>
      <c r="O1019" s="218">
        <f t="shared" si="460"/>
        <v>0</v>
      </c>
      <c r="P1019" s="218">
        <f t="shared" si="467"/>
        <v>0</v>
      </c>
    </row>
    <row r="1020" spans="1:16" s="3" customFormat="1" ht="12.75" customHeight="1">
      <c r="A1020" s="46" t="s">
        <v>2347</v>
      </c>
      <c r="B1020" s="211" t="s">
        <v>2346</v>
      </c>
      <c r="C1020" s="211" t="s">
        <v>2334</v>
      </c>
      <c r="D1020" s="63"/>
      <c r="E1020" s="63"/>
      <c r="F1020" s="63"/>
      <c r="G1020" s="38">
        <v>14000</v>
      </c>
      <c r="H1020" s="38"/>
      <c r="I1020" s="85">
        <f>H1020+G1020</f>
        <v>14000</v>
      </c>
      <c r="J1020" s="63"/>
      <c r="K1020" s="63"/>
      <c r="L1020" s="63"/>
      <c r="M1020" s="218" t="str">
        <f t="shared" si="458"/>
        <v/>
      </c>
      <c r="N1020" s="218" t="str">
        <f t="shared" si="459"/>
        <v/>
      </c>
      <c r="O1020" s="218">
        <f t="shared" si="460"/>
        <v>0</v>
      </c>
      <c r="P1020" s="218"/>
    </row>
    <row r="1021" spans="1:16" s="3" customFormat="1" ht="6" customHeight="1">
      <c r="A1021" s="36"/>
      <c r="B1021" s="33"/>
      <c r="C1021" s="211" t="s">
        <v>268</v>
      </c>
      <c r="D1021" s="48"/>
      <c r="E1021" s="48"/>
      <c r="F1021" s="48"/>
      <c r="G1021" s="85"/>
      <c r="H1021" s="85"/>
      <c r="I1021" s="85"/>
      <c r="J1021" s="48"/>
      <c r="K1021" s="48"/>
      <c r="L1021" s="48"/>
      <c r="M1021" s="219" t="str">
        <f t="shared" si="458"/>
        <v/>
      </c>
      <c r="N1021" s="219" t="str">
        <f t="shared" si="459"/>
        <v/>
      </c>
      <c r="O1021" s="219" t="str">
        <f t="shared" si="460"/>
        <v/>
      </c>
      <c r="P1021" s="219" t="str">
        <f t="shared" ref="P1021:P1030" si="470">IF(I1021&gt;0,IF(L1021&gt;=0,L1021/I1021*100,""),"")</f>
        <v/>
      </c>
    </row>
    <row r="1022" spans="1:16" s="11" customFormat="1" ht="12.75">
      <c r="A1022" s="58" t="s">
        <v>493</v>
      </c>
      <c r="B1022" s="65" t="s">
        <v>265</v>
      </c>
      <c r="C1022" s="308" t="s">
        <v>940</v>
      </c>
      <c r="D1022" s="42">
        <f>SUM(D1024:D1031)</f>
        <v>6680050</v>
      </c>
      <c r="E1022" s="42">
        <f>SUM(E1024:E1031)</f>
        <v>0</v>
      </c>
      <c r="F1022" s="42">
        <f>SUM(D1022:E1022)</f>
        <v>6680050</v>
      </c>
      <c r="G1022" s="55">
        <f>SUM(G1024:G1031)</f>
        <v>7050380</v>
      </c>
      <c r="H1022" s="55">
        <f>SUM(H1024:H1031)</f>
        <v>0</v>
      </c>
      <c r="I1022" s="55">
        <f>SUM(G1022:H1022)</f>
        <v>7050380</v>
      </c>
      <c r="J1022" s="42">
        <f>SUM(J1024:J1031)</f>
        <v>7174100</v>
      </c>
      <c r="K1022" s="42">
        <f>SUM(K1024:K1031)</f>
        <v>0</v>
      </c>
      <c r="L1022" s="42">
        <f>SUM(J1022:K1022)</f>
        <v>7174100</v>
      </c>
      <c r="M1022" s="225">
        <f t="shared" si="458"/>
        <v>107.39590272527902</v>
      </c>
      <c r="N1022" s="225">
        <f t="shared" si="459"/>
        <v>107.39590272527902</v>
      </c>
      <c r="O1022" s="225">
        <f t="shared" si="460"/>
        <v>101.75479903210891</v>
      </c>
      <c r="P1022" s="225">
        <f t="shared" si="470"/>
        <v>101.75479903210891</v>
      </c>
    </row>
    <row r="1023" spans="1:16" s="11" customFormat="1" hidden="1">
      <c r="A1023" s="36" t="s">
        <v>267</v>
      </c>
      <c r="B1023" s="184"/>
      <c r="C1023" s="320" t="s">
        <v>268</v>
      </c>
      <c r="D1023" s="38">
        <f>SUM(D1024:D1031)</f>
        <v>6680050</v>
      </c>
      <c r="E1023" s="77"/>
      <c r="F1023" s="48">
        <f>E1023+D1023</f>
        <v>6680050</v>
      </c>
      <c r="G1023" s="38">
        <f>SUM(G1024:G1031)</f>
        <v>7050380</v>
      </c>
      <c r="H1023" s="109"/>
      <c r="I1023" s="85">
        <f>H1023+G1023</f>
        <v>7050380</v>
      </c>
      <c r="J1023" s="48">
        <f>SUM(J1024:J1031)</f>
        <v>7174100</v>
      </c>
      <c r="K1023" s="77"/>
      <c r="L1023" s="48">
        <f t="shared" ref="L1023:L1030" si="471">K1023+J1023</f>
        <v>7174100</v>
      </c>
      <c r="M1023" s="219">
        <f t="shared" si="458"/>
        <v>107.39590272527902</v>
      </c>
      <c r="N1023" s="219">
        <f t="shared" si="459"/>
        <v>107.39590272527902</v>
      </c>
      <c r="O1023" s="219">
        <f t="shared" si="460"/>
        <v>101.75479903210891</v>
      </c>
      <c r="P1023" s="219">
        <f t="shared" si="470"/>
        <v>101.75479903210891</v>
      </c>
    </row>
    <row r="1024" spans="1:16" s="3" customFormat="1" ht="12.75" customHeight="1">
      <c r="A1024" s="36" t="s">
        <v>180</v>
      </c>
      <c r="B1024" s="33" t="s">
        <v>419</v>
      </c>
      <c r="C1024" s="211" t="s">
        <v>1452</v>
      </c>
      <c r="D1024" s="48">
        <v>6573720</v>
      </c>
      <c r="E1024" s="63"/>
      <c r="F1024" s="48">
        <f>E1024+D1024</f>
        <v>6573720</v>
      </c>
      <c r="G1024" s="85">
        <v>6777510</v>
      </c>
      <c r="H1024" s="38"/>
      <c r="I1024" s="85">
        <f>H1024+G1024</f>
        <v>6777510</v>
      </c>
      <c r="J1024" s="63">
        <v>7156950</v>
      </c>
      <c r="K1024" s="63"/>
      <c r="L1024" s="48">
        <f t="shared" si="471"/>
        <v>7156950</v>
      </c>
      <c r="M1024" s="219">
        <f t="shared" si="458"/>
        <v>108.87214545189026</v>
      </c>
      <c r="N1024" s="219">
        <f t="shared" si="459"/>
        <v>108.87214545189026</v>
      </c>
      <c r="O1024" s="219">
        <f t="shared" si="460"/>
        <v>105.59851626924932</v>
      </c>
      <c r="P1024" s="219">
        <f t="shared" si="470"/>
        <v>105.59851626924932</v>
      </c>
    </row>
    <row r="1025" spans="1:16" s="3" customFormat="1" ht="12.75" customHeight="1">
      <c r="A1025" s="36" t="s">
        <v>2073</v>
      </c>
      <c r="B1025" s="33" t="s">
        <v>624</v>
      </c>
      <c r="C1025" s="211" t="s">
        <v>2167</v>
      </c>
      <c r="D1025" s="63"/>
      <c r="E1025" s="63"/>
      <c r="F1025" s="63"/>
      <c r="G1025" s="38">
        <v>5000</v>
      </c>
      <c r="H1025" s="38"/>
      <c r="I1025" s="38">
        <f>SUM(G1025:H1025)</f>
        <v>5000</v>
      </c>
      <c r="J1025" s="63">
        <v>6000</v>
      </c>
      <c r="K1025" s="63"/>
      <c r="L1025" s="48">
        <f>K1025+J1025</f>
        <v>6000</v>
      </c>
      <c r="M1025" s="218" t="str">
        <f t="shared" si="458"/>
        <v/>
      </c>
      <c r="N1025" s="218" t="str">
        <f t="shared" si="459"/>
        <v/>
      </c>
      <c r="O1025" s="218">
        <f t="shared" si="460"/>
        <v>120</v>
      </c>
      <c r="P1025" s="218"/>
    </row>
    <row r="1026" spans="1:16" s="3" customFormat="1" ht="12.75" customHeight="1">
      <c r="A1026" s="36" t="s">
        <v>2482</v>
      </c>
      <c r="B1026" s="33" t="s">
        <v>2369</v>
      </c>
      <c r="C1026" s="211" t="s">
        <v>2422</v>
      </c>
      <c r="D1026" s="63"/>
      <c r="E1026" s="63"/>
      <c r="F1026" s="48"/>
      <c r="G1026" s="38"/>
      <c r="H1026" s="38"/>
      <c r="I1026" s="38"/>
      <c r="J1026" s="63">
        <v>3150</v>
      </c>
      <c r="K1026" s="63"/>
      <c r="L1026" s="48">
        <f t="shared" si="471"/>
        <v>3150</v>
      </c>
      <c r="M1026" s="219" t="str">
        <f t="shared" si="458"/>
        <v/>
      </c>
      <c r="N1026" s="219" t="str">
        <f t="shared" si="459"/>
        <v/>
      </c>
      <c r="O1026" s="219" t="str">
        <f t="shared" si="460"/>
        <v/>
      </c>
      <c r="P1026" s="219"/>
    </row>
    <row r="1027" spans="1:16" s="3" customFormat="1" ht="12.75" customHeight="1">
      <c r="A1027" s="36" t="s">
        <v>375</v>
      </c>
      <c r="B1027" s="33" t="s">
        <v>150</v>
      </c>
      <c r="C1027" s="211" t="s">
        <v>1455</v>
      </c>
      <c r="D1027" s="63">
        <v>7000</v>
      </c>
      <c r="E1027" s="63"/>
      <c r="F1027" s="63">
        <f>SUM(D1027:E1027)</f>
        <v>7000</v>
      </c>
      <c r="G1027" s="38">
        <v>117000</v>
      </c>
      <c r="H1027" s="38"/>
      <c r="I1027" s="38">
        <f>SUM(G1027:H1027)</f>
        <v>117000</v>
      </c>
      <c r="J1027" s="63">
        <v>8000</v>
      </c>
      <c r="K1027" s="63"/>
      <c r="L1027" s="63">
        <f>SUM(J1027:K1027)</f>
        <v>8000</v>
      </c>
      <c r="M1027" s="218">
        <f t="shared" si="458"/>
        <v>114.28571428571428</v>
      </c>
      <c r="N1027" s="218">
        <f t="shared" si="459"/>
        <v>114.28571428571428</v>
      </c>
      <c r="O1027" s="218">
        <f t="shared" si="460"/>
        <v>6.8376068376068382</v>
      </c>
      <c r="P1027" s="218">
        <f>IF(I1027&gt;0,IF(L1027&gt;=0,L1027/I1027*100,""),"")</f>
        <v>6.8376068376068382</v>
      </c>
    </row>
    <row r="1028" spans="1:16" s="3" customFormat="1" ht="12.75" customHeight="1">
      <c r="A1028" s="36" t="s">
        <v>368</v>
      </c>
      <c r="B1028" s="211" t="s">
        <v>418</v>
      </c>
      <c r="C1028" s="211" t="s">
        <v>1456</v>
      </c>
      <c r="D1028" s="63"/>
      <c r="E1028" s="63"/>
      <c r="F1028" s="48"/>
      <c r="G1028" s="38">
        <v>13700</v>
      </c>
      <c r="H1028" s="38"/>
      <c r="I1028" s="38">
        <f>SUM(G1028:H1028)</f>
        <v>13700</v>
      </c>
      <c r="J1028" s="63"/>
      <c r="K1028" s="63"/>
      <c r="L1028" s="48">
        <f t="shared" si="471"/>
        <v>0</v>
      </c>
      <c r="M1028" s="219" t="str">
        <f t="shared" si="458"/>
        <v/>
      </c>
      <c r="N1028" s="219" t="str">
        <f t="shared" si="459"/>
        <v/>
      </c>
      <c r="O1028" s="219">
        <f t="shared" si="460"/>
        <v>0</v>
      </c>
      <c r="P1028" s="219">
        <f t="shared" si="470"/>
        <v>0</v>
      </c>
    </row>
    <row r="1029" spans="1:16" s="11" customFormat="1" ht="12.75" customHeight="1">
      <c r="A1029" s="36" t="s">
        <v>839</v>
      </c>
      <c r="B1029" s="211" t="s">
        <v>698</v>
      </c>
      <c r="C1029" s="211" t="s">
        <v>1453</v>
      </c>
      <c r="D1029" s="84">
        <v>4200</v>
      </c>
      <c r="E1029" s="110"/>
      <c r="F1029" s="48">
        <f>E1029+D1029</f>
        <v>4200</v>
      </c>
      <c r="G1029" s="84">
        <v>16940</v>
      </c>
      <c r="H1029" s="259"/>
      <c r="I1029" s="85">
        <f>H1029+G1029</f>
        <v>16940</v>
      </c>
      <c r="J1029" s="63"/>
      <c r="K1029" s="110"/>
      <c r="L1029" s="48">
        <f t="shared" si="471"/>
        <v>0</v>
      </c>
      <c r="M1029" s="219">
        <f t="shared" si="458"/>
        <v>0</v>
      </c>
      <c r="N1029" s="219">
        <f t="shared" si="459"/>
        <v>0</v>
      </c>
      <c r="O1029" s="219">
        <f t="shared" si="460"/>
        <v>0</v>
      </c>
      <c r="P1029" s="219">
        <f t="shared" si="470"/>
        <v>0</v>
      </c>
    </row>
    <row r="1030" spans="1:16" s="3" customFormat="1" ht="12.75" customHeight="1">
      <c r="A1030" s="36" t="s">
        <v>935</v>
      </c>
      <c r="B1030" s="211" t="s">
        <v>701</v>
      </c>
      <c r="C1030" s="211" t="s">
        <v>1454</v>
      </c>
      <c r="D1030" s="63">
        <v>95130</v>
      </c>
      <c r="E1030" s="63"/>
      <c r="F1030" s="63">
        <f>E1030+D1030</f>
        <v>95130</v>
      </c>
      <c r="G1030" s="38">
        <v>120230</v>
      </c>
      <c r="H1030" s="38"/>
      <c r="I1030" s="38">
        <f>H1030+G1030</f>
        <v>120230</v>
      </c>
      <c r="J1030" s="63"/>
      <c r="K1030" s="63"/>
      <c r="L1030" s="48">
        <f t="shared" si="471"/>
        <v>0</v>
      </c>
      <c r="M1030" s="218">
        <f t="shared" si="458"/>
        <v>0</v>
      </c>
      <c r="N1030" s="218">
        <f t="shared" si="459"/>
        <v>0</v>
      </c>
      <c r="O1030" s="218">
        <f t="shared" si="460"/>
        <v>0</v>
      </c>
      <c r="P1030" s="218">
        <f t="shared" si="470"/>
        <v>0</v>
      </c>
    </row>
    <row r="1031" spans="1:16" s="3" customFormat="1" hidden="1">
      <c r="A1031" s="36" t="s">
        <v>651</v>
      </c>
      <c r="B1031" s="33" t="s">
        <v>650</v>
      </c>
      <c r="C1031" s="211" t="s">
        <v>1457</v>
      </c>
      <c r="D1031" s="48"/>
      <c r="E1031" s="63"/>
      <c r="F1031" s="48">
        <f>E1031+D1031</f>
        <v>0</v>
      </c>
      <c r="G1031" s="85"/>
      <c r="H1031" s="38"/>
      <c r="I1031" s="38">
        <f>SUM(G1031:H1031)</f>
        <v>0</v>
      </c>
      <c r="J1031" s="63"/>
      <c r="K1031" s="63"/>
      <c r="L1031" s="48">
        <f>K1031+J1031</f>
        <v>0</v>
      </c>
      <c r="M1031" s="219" t="str">
        <f t="shared" si="458"/>
        <v/>
      </c>
      <c r="N1031" s="219" t="str">
        <f t="shared" si="459"/>
        <v/>
      </c>
      <c r="O1031" s="219" t="str">
        <f t="shared" si="460"/>
        <v/>
      </c>
      <c r="P1031" s="219" t="str">
        <f t="shared" ref="P1031:P1038" si="472">IF(I1031&gt;0,IF(L1031&gt;=0,L1031/I1031*100,""),"")</f>
        <v/>
      </c>
    </row>
    <row r="1032" spans="1:16" s="3" customFormat="1" ht="6" customHeight="1">
      <c r="A1032" s="36"/>
      <c r="B1032" s="33"/>
      <c r="C1032" s="211" t="s">
        <v>268</v>
      </c>
      <c r="D1032" s="63"/>
      <c r="E1032" s="63"/>
      <c r="F1032" s="63"/>
      <c r="G1032" s="38"/>
      <c r="H1032" s="38"/>
      <c r="I1032" s="38"/>
      <c r="J1032" s="63"/>
      <c r="K1032" s="63"/>
      <c r="L1032" s="63"/>
      <c r="M1032" s="218" t="str">
        <f t="shared" si="458"/>
        <v/>
      </c>
      <c r="N1032" s="218" t="str">
        <f t="shared" si="459"/>
        <v/>
      </c>
      <c r="O1032" s="218" t="str">
        <f t="shared" si="460"/>
        <v/>
      </c>
      <c r="P1032" s="218" t="str">
        <f t="shared" si="472"/>
        <v/>
      </c>
    </row>
    <row r="1033" spans="1:16" s="11" customFormat="1" ht="12.75">
      <c r="A1033" s="58" t="s">
        <v>494</v>
      </c>
      <c r="B1033" s="65" t="s">
        <v>265</v>
      </c>
      <c r="C1033" s="308" t="s">
        <v>940</v>
      </c>
      <c r="D1033" s="42">
        <f>SUM(D1035:D1040)</f>
        <v>4348010</v>
      </c>
      <c r="E1033" s="42">
        <f>SUM(E1035:E1039)</f>
        <v>0</v>
      </c>
      <c r="F1033" s="42">
        <f t="shared" ref="F1033:F1035" si="473">SUM(D1033:E1033)</f>
        <v>4348010</v>
      </c>
      <c r="G1033" s="55">
        <f>SUM(G1035:G1040)</f>
        <v>4456585</v>
      </c>
      <c r="H1033" s="55">
        <f>SUM(H1035:H1039)</f>
        <v>0</v>
      </c>
      <c r="I1033" s="55">
        <f t="shared" ref="I1033:I1039" si="474">SUM(G1033:H1033)</f>
        <v>4456585</v>
      </c>
      <c r="J1033" s="42">
        <f>SUM(J1035:J1040)</f>
        <v>4569520</v>
      </c>
      <c r="K1033" s="42">
        <f>SUM(K1035:K1039)</f>
        <v>0</v>
      </c>
      <c r="L1033" s="42">
        <f t="shared" ref="L1033:L1035" si="475">SUM(J1033:K1033)</f>
        <v>4569520</v>
      </c>
      <c r="M1033" s="225">
        <f t="shared" si="458"/>
        <v>105.09451450203657</v>
      </c>
      <c r="N1033" s="225">
        <f t="shared" si="459"/>
        <v>105.09451450203657</v>
      </c>
      <c r="O1033" s="225">
        <f t="shared" si="460"/>
        <v>102.53411524743723</v>
      </c>
      <c r="P1033" s="225">
        <f t="shared" si="472"/>
        <v>102.53411524743723</v>
      </c>
    </row>
    <row r="1034" spans="1:16" s="7" customFormat="1" hidden="1">
      <c r="A1034" s="46" t="s">
        <v>267</v>
      </c>
      <c r="B1034" s="44"/>
      <c r="C1034" s="304" t="s">
        <v>268</v>
      </c>
      <c r="D1034" s="63">
        <f>SUM(D1035:D1039)</f>
        <v>4348010</v>
      </c>
      <c r="E1034" s="63"/>
      <c r="F1034" s="48">
        <f t="shared" si="473"/>
        <v>4348010</v>
      </c>
      <c r="G1034" s="38">
        <f>SUM(G1035:G1039)</f>
        <v>4456585</v>
      </c>
      <c r="H1034" s="38"/>
      <c r="I1034" s="85">
        <f t="shared" si="474"/>
        <v>4456585</v>
      </c>
      <c r="J1034" s="48">
        <f>SUM(J1035:J1039)</f>
        <v>4569520</v>
      </c>
      <c r="K1034" s="63"/>
      <c r="L1034" s="48">
        <f t="shared" si="475"/>
        <v>4569520</v>
      </c>
      <c r="M1034" s="219">
        <f t="shared" si="458"/>
        <v>105.09451450203657</v>
      </c>
      <c r="N1034" s="219">
        <f t="shared" si="459"/>
        <v>105.09451450203657</v>
      </c>
      <c r="O1034" s="219">
        <f t="shared" si="460"/>
        <v>102.53411524743723</v>
      </c>
      <c r="P1034" s="219">
        <f t="shared" si="472"/>
        <v>102.53411524743723</v>
      </c>
    </row>
    <row r="1035" spans="1:16" s="3" customFormat="1" ht="12.75" customHeight="1">
      <c r="A1035" s="36" t="s">
        <v>180</v>
      </c>
      <c r="B1035" s="33" t="s">
        <v>419</v>
      </c>
      <c r="C1035" s="211" t="s">
        <v>1458</v>
      </c>
      <c r="D1035" s="63">
        <v>4341010</v>
      </c>
      <c r="E1035" s="63"/>
      <c r="F1035" s="48">
        <f t="shared" si="473"/>
        <v>4341010</v>
      </c>
      <c r="G1035" s="38">
        <v>4419585</v>
      </c>
      <c r="H1035" s="38"/>
      <c r="I1035" s="85">
        <f t="shared" si="474"/>
        <v>4419585</v>
      </c>
      <c r="J1035" s="63">
        <v>4559020</v>
      </c>
      <c r="K1035" s="63"/>
      <c r="L1035" s="48">
        <f t="shared" si="475"/>
        <v>4559020</v>
      </c>
      <c r="M1035" s="219">
        <f t="shared" si="458"/>
        <v>105.02210315111</v>
      </c>
      <c r="N1035" s="219">
        <f t="shared" si="459"/>
        <v>105.02210315111</v>
      </c>
      <c r="O1035" s="219">
        <f t="shared" si="460"/>
        <v>103.15493423025013</v>
      </c>
      <c r="P1035" s="219">
        <f t="shared" si="472"/>
        <v>103.15493423025013</v>
      </c>
    </row>
    <row r="1036" spans="1:16" s="3" customFormat="1" ht="12.75" customHeight="1">
      <c r="A1036" s="36" t="s">
        <v>651</v>
      </c>
      <c r="B1036" s="33" t="s">
        <v>650</v>
      </c>
      <c r="C1036" s="211" t="s">
        <v>1461</v>
      </c>
      <c r="D1036" s="63"/>
      <c r="E1036" s="63"/>
      <c r="F1036" s="48">
        <f t="shared" ref="F1036" si="476">SUM(D1036:E1036)</f>
        <v>0</v>
      </c>
      <c r="G1036" s="38"/>
      <c r="H1036" s="38"/>
      <c r="I1036" s="85">
        <f>SUM(G1036:H1036)</f>
        <v>0</v>
      </c>
      <c r="J1036" s="63">
        <v>2500</v>
      </c>
      <c r="K1036" s="63"/>
      <c r="L1036" s="48">
        <f>SUM(J1036:K1036)</f>
        <v>2500</v>
      </c>
      <c r="M1036" s="219" t="str">
        <f t="shared" si="458"/>
        <v/>
      </c>
      <c r="N1036" s="219" t="str">
        <f t="shared" si="459"/>
        <v/>
      </c>
      <c r="O1036" s="219" t="str">
        <f t="shared" si="460"/>
        <v/>
      </c>
      <c r="P1036" s="219" t="str">
        <f>IF(I1036&gt;0,IF(L1036&gt;=0,L1036/I1036*100,""),"")</f>
        <v/>
      </c>
    </row>
    <row r="1037" spans="1:16" s="3" customFormat="1" ht="12.75" customHeight="1">
      <c r="A1037" s="36" t="s">
        <v>375</v>
      </c>
      <c r="B1037" s="33" t="s">
        <v>150</v>
      </c>
      <c r="C1037" s="211" t="s">
        <v>1459</v>
      </c>
      <c r="D1037" s="48">
        <v>7000</v>
      </c>
      <c r="E1037" s="48"/>
      <c r="F1037" s="48">
        <f>SUM(D1037:E1037)</f>
        <v>7000</v>
      </c>
      <c r="G1037" s="85">
        <v>7000</v>
      </c>
      <c r="H1037" s="85"/>
      <c r="I1037" s="85">
        <f>SUM(G1037:H1037)</f>
        <v>7000</v>
      </c>
      <c r="J1037" s="63">
        <v>8000</v>
      </c>
      <c r="K1037" s="48"/>
      <c r="L1037" s="48">
        <f>SUM(J1037:K1037)</f>
        <v>8000</v>
      </c>
      <c r="M1037" s="219">
        <f t="shared" si="458"/>
        <v>114.28571428571428</v>
      </c>
      <c r="N1037" s="219">
        <f t="shared" si="459"/>
        <v>114.28571428571428</v>
      </c>
      <c r="O1037" s="219">
        <f t="shared" si="460"/>
        <v>114.28571428571428</v>
      </c>
      <c r="P1037" s="219">
        <f>IF(I1037&gt;0,IF(L1037&gt;=0,L1037/I1037*100,""),"")</f>
        <v>114.28571428571428</v>
      </c>
    </row>
    <row r="1038" spans="1:16" s="3" customFormat="1" ht="12.75" customHeight="1">
      <c r="A1038" s="36" t="s">
        <v>368</v>
      </c>
      <c r="B1038" s="211" t="s">
        <v>418</v>
      </c>
      <c r="C1038" s="211" t="s">
        <v>1460</v>
      </c>
      <c r="D1038" s="63"/>
      <c r="E1038" s="63"/>
      <c r="F1038" s="48"/>
      <c r="G1038" s="38">
        <v>16000</v>
      </c>
      <c r="H1038" s="38"/>
      <c r="I1038" s="85">
        <f t="shared" si="474"/>
        <v>16000</v>
      </c>
      <c r="J1038" s="63"/>
      <c r="K1038" s="63"/>
      <c r="L1038" s="48">
        <f>SUM(J1038:K1038)</f>
        <v>0</v>
      </c>
      <c r="M1038" s="219" t="str">
        <f t="shared" si="458"/>
        <v/>
      </c>
      <c r="N1038" s="219" t="str">
        <f t="shared" si="459"/>
        <v/>
      </c>
      <c r="O1038" s="219">
        <f t="shared" si="460"/>
        <v>0</v>
      </c>
      <c r="P1038" s="219">
        <f t="shared" si="472"/>
        <v>0</v>
      </c>
    </row>
    <row r="1039" spans="1:16" s="3" customFormat="1" ht="12.75" customHeight="1">
      <c r="A1039" s="354" t="s">
        <v>2347</v>
      </c>
      <c r="B1039" s="311" t="s">
        <v>2346</v>
      </c>
      <c r="C1039" s="311" t="s">
        <v>2336</v>
      </c>
      <c r="D1039" s="67"/>
      <c r="E1039" s="67"/>
      <c r="F1039" s="364"/>
      <c r="G1039" s="61">
        <v>14000</v>
      </c>
      <c r="H1039" s="61"/>
      <c r="I1039" s="365">
        <f t="shared" si="474"/>
        <v>14000</v>
      </c>
      <c r="J1039" s="67"/>
      <c r="K1039" s="67"/>
      <c r="L1039" s="364"/>
      <c r="M1039" s="366" t="str">
        <f t="shared" ref="M1039:M1102" si="477">IF(D1039&gt;0,IF(J1039&gt;=0,J1039/D1039*100,""),"")</f>
        <v/>
      </c>
      <c r="N1039" s="366" t="str">
        <f t="shared" ref="N1039:N1102" si="478">IF(F1039&gt;0,IF(L1039&gt;=0,L1039/F1039*100,""),"")</f>
        <v/>
      </c>
      <c r="O1039" s="366">
        <f t="shared" ref="O1039:O1102" si="479">IF(G1039&gt;0,IF(J1039&gt;=0,J1039/G1039*100,""),"")</f>
        <v>0</v>
      </c>
      <c r="P1039" s="366"/>
    </row>
    <row r="1040" spans="1:16" s="3" customFormat="1" hidden="1">
      <c r="A1040" s="367" t="s">
        <v>791</v>
      </c>
      <c r="B1040" s="68" t="s">
        <v>151</v>
      </c>
      <c r="C1040" s="330" t="s">
        <v>1462</v>
      </c>
      <c r="D1040" s="368"/>
      <c r="E1040" s="368"/>
      <c r="F1040" s="369"/>
      <c r="G1040" s="370"/>
      <c r="H1040" s="370"/>
      <c r="I1040" s="371"/>
      <c r="J1040" s="369"/>
      <c r="K1040" s="368"/>
      <c r="L1040" s="369"/>
      <c r="M1040" s="372" t="str">
        <f t="shared" si="477"/>
        <v/>
      </c>
      <c r="N1040" s="372" t="str">
        <f t="shared" si="478"/>
        <v/>
      </c>
      <c r="O1040" s="372" t="str">
        <f t="shared" si="479"/>
        <v/>
      </c>
      <c r="P1040" s="372" t="str">
        <f t="shared" ref="P1040:P1044" si="480">IF(I1040&gt;0,IF(L1040&gt;=0,L1040/I1040*100,""),"")</f>
        <v/>
      </c>
    </row>
    <row r="1041" spans="1:16" s="3" customFormat="1" ht="6" customHeight="1">
      <c r="A1041" s="43"/>
      <c r="B1041" s="79"/>
      <c r="C1041" s="302" t="s">
        <v>268</v>
      </c>
      <c r="D1041" s="76"/>
      <c r="E1041" s="76"/>
      <c r="F1041" s="45">
        <f t="shared" ref="F1041:F1044" si="481">SUM(D1041:E1041)</f>
        <v>0</v>
      </c>
      <c r="G1041" s="116"/>
      <c r="H1041" s="116"/>
      <c r="I1041" s="88">
        <f>SUM(G1041:H1041)</f>
        <v>0</v>
      </c>
      <c r="J1041" s="45"/>
      <c r="K1041" s="76"/>
      <c r="L1041" s="45">
        <f t="shared" ref="L1041:L1044" si="482">SUM(J1041:K1041)</f>
        <v>0</v>
      </c>
      <c r="M1041" s="229" t="str">
        <f t="shared" si="477"/>
        <v/>
      </c>
      <c r="N1041" s="229" t="str">
        <f t="shared" si="478"/>
        <v/>
      </c>
      <c r="O1041" s="229" t="str">
        <f t="shared" si="479"/>
        <v/>
      </c>
      <c r="P1041" s="229" t="str">
        <f t="shared" si="480"/>
        <v/>
      </c>
    </row>
    <row r="1042" spans="1:16" s="11" customFormat="1" ht="12.75">
      <c r="A1042" s="58" t="s">
        <v>495</v>
      </c>
      <c r="B1042" s="65" t="s">
        <v>265</v>
      </c>
      <c r="C1042" s="308" t="s">
        <v>940</v>
      </c>
      <c r="D1042" s="86">
        <f>SUM(D1044:D1052)</f>
        <v>6733790</v>
      </c>
      <c r="E1042" s="86">
        <f>SUM(E1044:E1052)</f>
        <v>0</v>
      </c>
      <c r="F1042" s="86">
        <f t="shared" si="481"/>
        <v>6733790</v>
      </c>
      <c r="G1042" s="262">
        <f>SUM(G1044:G1052)</f>
        <v>7089975</v>
      </c>
      <c r="H1042" s="262">
        <f>SUM(H1044:H1052)</f>
        <v>0</v>
      </c>
      <c r="I1042" s="262">
        <f>SUM(G1042:H1042)</f>
        <v>7089975</v>
      </c>
      <c r="J1042" s="86">
        <f>SUM(J1044:J1052)</f>
        <v>7177520</v>
      </c>
      <c r="K1042" s="86">
        <f>SUM(K1044:K1052)</f>
        <v>0</v>
      </c>
      <c r="L1042" s="86">
        <f t="shared" si="482"/>
        <v>7177520</v>
      </c>
      <c r="M1042" s="236">
        <f t="shared" si="477"/>
        <v>106.58960258635923</v>
      </c>
      <c r="N1042" s="236">
        <f t="shared" si="478"/>
        <v>106.58960258635923</v>
      </c>
      <c r="O1042" s="236">
        <f t="shared" si="479"/>
        <v>101.23477163177586</v>
      </c>
      <c r="P1042" s="236">
        <f t="shared" si="480"/>
        <v>101.23477163177586</v>
      </c>
    </row>
    <row r="1043" spans="1:16" s="3" customFormat="1" hidden="1">
      <c r="A1043" s="36" t="s">
        <v>267</v>
      </c>
      <c r="B1043" s="79"/>
      <c r="C1043" s="302" t="s">
        <v>268</v>
      </c>
      <c r="D1043" s="63">
        <f>SUM(D1044:D1051)</f>
        <v>6733790</v>
      </c>
      <c r="E1043" s="63">
        <f>SUM(E1044:E1051)</f>
        <v>0</v>
      </c>
      <c r="F1043" s="63">
        <f t="shared" si="481"/>
        <v>6733790</v>
      </c>
      <c r="G1043" s="38">
        <f>SUM(G1044:G1051)</f>
        <v>7089975</v>
      </c>
      <c r="H1043" s="38">
        <f>SUM(H1044:H1051)</f>
        <v>0</v>
      </c>
      <c r="I1043" s="38">
        <f>SUM(G1043:H1043)</f>
        <v>7089975</v>
      </c>
      <c r="J1043" s="63">
        <f>SUM(J1044:J1051)</f>
        <v>7177520</v>
      </c>
      <c r="K1043" s="63">
        <f>SUM(K1044:K1051)</f>
        <v>0</v>
      </c>
      <c r="L1043" s="63">
        <f t="shared" si="482"/>
        <v>7177520</v>
      </c>
      <c r="M1043" s="218">
        <f t="shared" si="477"/>
        <v>106.58960258635923</v>
      </c>
      <c r="N1043" s="218">
        <f t="shared" si="478"/>
        <v>106.58960258635923</v>
      </c>
      <c r="O1043" s="218">
        <f t="shared" si="479"/>
        <v>101.23477163177586</v>
      </c>
      <c r="P1043" s="218">
        <f t="shared" si="480"/>
        <v>101.23477163177586</v>
      </c>
    </row>
    <row r="1044" spans="1:16" s="11" customFormat="1" ht="12.75" customHeight="1">
      <c r="A1044" s="36" t="s">
        <v>180</v>
      </c>
      <c r="B1044" s="33" t="s">
        <v>419</v>
      </c>
      <c r="C1044" s="211" t="s">
        <v>1463</v>
      </c>
      <c r="D1044" s="87">
        <v>6450190</v>
      </c>
      <c r="E1044" s="95"/>
      <c r="F1044" s="63">
        <f t="shared" si="481"/>
        <v>6450190</v>
      </c>
      <c r="G1044" s="87">
        <v>6603535</v>
      </c>
      <c r="H1044" s="261"/>
      <c r="I1044" s="38">
        <f>SUM(G1044:H1044)</f>
        <v>6603535</v>
      </c>
      <c r="J1044" s="63">
        <v>7148420</v>
      </c>
      <c r="K1044" s="95"/>
      <c r="L1044" s="63">
        <f t="shared" si="482"/>
        <v>7148420</v>
      </c>
      <c r="M1044" s="218">
        <f t="shared" si="477"/>
        <v>110.82495244326137</v>
      </c>
      <c r="N1044" s="218">
        <f t="shared" si="478"/>
        <v>110.82495244326137</v>
      </c>
      <c r="O1044" s="218">
        <f t="shared" si="479"/>
        <v>108.25141382607953</v>
      </c>
      <c r="P1044" s="218">
        <f t="shared" si="480"/>
        <v>108.25141382607953</v>
      </c>
    </row>
    <row r="1045" spans="1:16" s="11" customFormat="1" ht="12.75" customHeight="1">
      <c r="A1045" s="36" t="s">
        <v>2482</v>
      </c>
      <c r="B1045" s="33" t="s">
        <v>2369</v>
      </c>
      <c r="C1045" s="211" t="s">
        <v>2423</v>
      </c>
      <c r="D1045" s="84"/>
      <c r="E1045" s="110"/>
      <c r="F1045" s="63"/>
      <c r="G1045" s="84"/>
      <c r="H1045" s="259"/>
      <c r="I1045" s="38"/>
      <c r="J1045" s="63">
        <v>2100</v>
      </c>
      <c r="K1045" s="110"/>
      <c r="L1045" s="48">
        <f>K1045+J1045</f>
        <v>2100</v>
      </c>
      <c r="M1045" s="218" t="str">
        <f t="shared" si="477"/>
        <v/>
      </c>
      <c r="N1045" s="218" t="str">
        <f t="shared" si="478"/>
        <v/>
      </c>
      <c r="O1045" s="218" t="str">
        <f t="shared" si="479"/>
        <v/>
      </c>
      <c r="P1045" s="218"/>
    </row>
    <row r="1046" spans="1:16" s="3" customFormat="1" ht="12.75" customHeight="1">
      <c r="A1046" s="36" t="s">
        <v>935</v>
      </c>
      <c r="B1046" s="33" t="s">
        <v>701</v>
      </c>
      <c r="C1046" s="211" t="s">
        <v>1465</v>
      </c>
      <c r="D1046" s="63">
        <v>274500</v>
      </c>
      <c r="E1046" s="63"/>
      <c r="F1046" s="63">
        <f>E1046+D1046</f>
        <v>274500</v>
      </c>
      <c r="G1046" s="38">
        <v>274500</v>
      </c>
      <c r="H1046" s="38"/>
      <c r="I1046" s="38">
        <f>H1046+G1046</f>
        <v>274500</v>
      </c>
      <c r="J1046" s="63">
        <v>19000</v>
      </c>
      <c r="K1046" s="63"/>
      <c r="L1046" s="63">
        <f>K1046+J1046</f>
        <v>19000</v>
      </c>
      <c r="M1046" s="218">
        <f t="shared" si="477"/>
        <v>6.9216757741347905</v>
      </c>
      <c r="N1046" s="218">
        <f t="shared" si="478"/>
        <v>6.9216757741347905</v>
      </c>
      <c r="O1046" s="218">
        <f t="shared" si="479"/>
        <v>6.9216757741347905</v>
      </c>
      <c r="P1046" s="218">
        <f>IF(I1046&gt;0,IF(L1046&gt;=0,L1046/I1046*100,""),"")</f>
        <v>6.9216757741347905</v>
      </c>
    </row>
    <row r="1047" spans="1:16" s="3" customFormat="1" ht="12.75" customHeight="1">
      <c r="A1047" s="36" t="s">
        <v>375</v>
      </c>
      <c r="B1047" s="33" t="s">
        <v>150</v>
      </c>
      <c r="C1047" s="211" t="s">
        <v>1466</v>
      </c>
      <c r="D1047" s="38">
        <v>7000</v>
      </c>
      <c r="E1047" s="63"/>
      <c r="F1047" s="63">
        <f>SUM(D1047:E1047)</f>
        <v>7000</v>
      </c>
      <c r="G1047" s="38">
        <v>145000</v>
      </c>
      <c r="H1047" s="38"/>
      <c r="I1047" s="38">
        <f>SUM(G1047:H1047)</f>
        <v>145000</v>
      </c>
      <c r="J1047" s="63">
        <v>8000</v>
      </c>
      <c r="K1047" s="63"/>
      <c r="L1047" s="63">
        <f>SUM(J1047:K1047)</f>
        <v>8000</v>
      </c>
      <c r="M1047" s="218">
        <f t="shared" si="477"/>
        <v>114.28571428571428</v>
      </c>
      <c r="N1047" s="218">
        <f t="shared" si="478"/>
        <v>114.28571428571428</v>
      </c>
      <c r="O1047" s="218">
        <f t="shared" si="479"/>
        <v>5.5172413793103452</v>
      </c>
      <c r="P1047" s="218">
        <f>IF(I1047&gt;0,IF(L1047&gt;=0,L1047/I1047*100,""),"")</f>
        <v>5.5172413793103452</v>
      </c>
    </row>
    <row r="1048" spans="1:16" s="11" customFormat="1" ht="12.75" customHeight="1">
      <c r="A1048" s="36" t="s">
        <v>368</v>
      </c>
      <c r="B1048" s="211" t="s">
        <v>418</v>
      </c>
      <c r="C1048" s="211" t="s">
        <v>2333</v>
      </c>
      <c r="D1048" s="87"/>
      <c r="E1048" s="95"/>
      <c r="F1048" s="63"/>
      <c r="G1048" s="87">
        <v>40000</v>
      </c>
      <c r="H1048" s="261"/>
      <c r="I1048" s="38">
        <f>SUM(G1048:H1048)</f>
        <v>40000</v>
      </c>
      <c r="J1048" s="63"/>
      <c r="K1048" s="95"/>
      <c r="L1048" s="63"/>
      <c r="M1048" s="218" t="str">
        <f t="shared" si="477"/>
        <v/>
      </c>
      <c r="N1048" s="218" t="str">
        <f t="shared" si="478"/>
        <v/>
      </c>
      <c r="O1048" s="218">
        <f t="shared" si="479"/>
        <v>0</v>
      </c>
      <c r="P1048" s="218"/>
    </row>
    <row r="1049" spans="1:16" s="11" customFormat="1" ht="12.75" customHeight="1">
      <c r="A1049" s="36" t="s">
        <v>839</v>
      </c>
      <c r="B1049" s="211" t="s">
        <v>698</v>
      </c>
      <c r="C1049" s="211" t="s">
        <v>1464</v>
      </c>
      <c r="D1049" s="84">
        <v>2100</v>
      </c>
      <c r="E1049" s="110"/>
      <c r="F1049" s="48">
        <f>E1049+D1049</f>
        <v>2100</v>
      </c>
      <c r="G1049" s="84">
        <v>8340</v>
      </c>
      <c r="H1049" s="259"/>
      <c r="I1049" s="85">
        <f>H1049+G1049</f>
        <v>8340</v>
      </c>
      <c r="J1049" s="63"/>
      <c r="K1049" s="110"/>
      <c r="L1049" s="48">
        <f>K1049+J1049</f>
        <v>0</v>
      </c>
      <c r="M1049" s="219">
        <f t="shared" si="477"/>
        <v>0</v>
      </c>
      <c r="N1049" s="219">
        <f t="shared" si="478"/>
        <v>0</v>
      </c>
      <c r="O1049" s="219">
        <f t="shared" si="479"/>
        <v>0</v>
      </c>
      <c r="P1049" s="219">
        <f>IF(I1049&gt;0,IF(L1049&gt;=0,L1049/I1049*100,""),"")</f>
        <v>0</v>
      </c>
    </row>
    <row r="1050" spans="1:16" s="3" customFormat="1" ht="12.75" customHeight="1">
      <c r="A1050" s="36" t="s">
        <v>2073</v>
      </c>
      <c r="B1050" s="211" t="s">
        <v>624</v>
      </c>
      <c r="C1050" s="211" t="s">
        <v>2168</v>
      </c>
      <c r="D1050" s="38"/>
      <c r="E1050" s="63"/>
      <c r="F1050" s="63">
        <f>SUM(D1050:E1050)</f>
        <v>0</v>
      </c>
      <c r="G1050" s="38">
        <v>5000</v>
      </c>
      <c r="H1050" s="38"/>
      <c r="I1050" s="38">
        <f>H1050+G1050</f>
        <v>5000</v>
      </c>
      <c r="J1050" s="63"/>
      <c r="K1050" s="63"/>
      <c r="L1050" s="63"/>
      <c r="M1050" s="218" t="str">
        <f t="shared" si="477"/>
        <v/>
      </c>
      <c r="N1050" s="218" t="str">
        <f t="shared" si="478"/>
        <v/>
      </c>
      <c r="O1050" s="218">
        <f t="shared" si="479"/>
        <v>0</v>
      </c>
      <c r="P1050" s="218"/>
    </row>
    <row r="1051" spans="1:16" s="3" customFormat="1" ht="12.75" customHeight="1">
      <c r="A1051" s="36" t="s">
        <v>2347</v>
      </c>
      <c r="B1051" s="211" t="s">
        <v>2346</v>
      </c>
      <c r="C1051" s="211" t="s">
        <v>2332</v>
      </c>
      <c r="D1051" s="38"/>
      <c r="E1051" s="63"/>
      <c r="F1051" s="63"/>
      <c r="G1051" s="38">
        <v>13600</v>
      </c>
      <c r="H1051" s="38"/>
      <c r="I1051" s="38">
        <f>H1051+G1051</f>
        <v>13600</v>
      </c>
      <c r="J1051" s="63"/>
      <c r="K1051" s="63"/>
      <c r="L1051" s="63"/>
      <c r="M1051" s="218" t="str">
        <f t="shared" si="477"/>
        <v/>
      </c>
      <c r="N1051" s="218" t="str">
        <f t="shared" si="478"/>
        <v/>
      </c>
      <c r="O1051" s="218">
        <f t="shared" si="479"/>
        <v>0</v>
      </c>
      <c r="P1051" s="218"/>
    </row>
    <row r="1052" spans="1:16" s="3" customFormat="1" hidden="1">
      <c r="A1052" s="36" t="s">
        <v>791</v>
      </c>
      <c r="B1052" s="33" t="s">
        <v>151</v>
      </c>
      <c r="C1052" s="211" t="s">
        <v>1467</v>
      </c>
      <c r="D1052" s="38"/>
      <c r="E1052" s="63"/>
      <c r="F1052" s="63">
        <f>SUM(D1052:E1052)</f>
        <v>0</v>
      </c>
      <c r="G1052" s="38"/>
      <c r="H1052" s="38"/>
      <c r="I1052" s="38">
        <f>SUM(G1052:H1052)</f>
        <v>0</v>
      </c>
      <c r="J1052" s="63"/>
      <c r="K1052" s="63"/>
      <c r="L1052" s="63">
        <f>SUM(J1052:K1052)</f>
        <v>0</v>
      </c>
      <c r="M1052" s="218" t="str">
        <f t="shared" si="477"/>
        <v/>
      </c>
      <c r="N1052" s="218" t="str">
        <f t="shared" si="478"/>
        <v/>
      </c>
      <c r="O1052" s="218" t="str">
        <f t="shared" si="479"/>
        <v/>
      </c>
      <c r="P1052" s="218" t="str">
        <f t="shared" ref="P1052:P1056" si="483">IF(I1052&gt;0,IF(L1052&gt;=0,L1052/I1052*100,""),"")</f>
        <v/>
      </c>
    </row>
    <row r="1053" spans="1:16" s="3" customFormat="1" ht="6" customHeight="1">
      <c r="A1053" s="36"/>
      <c r="B1053" s="33"/>
      <c r="C1053" s="211" t="s">
        <v>268</v>
      </c>
      <c r="D1053" s="38"/>
      <c r="E1053" s="63"/>
      <c r="F1053" s="63"/>
      <c r="G1053" s="38"/>
      <c r="H1053" s="38"/>
      <c r="I1053" s="38"/>
      <c r="J1053" s="63"/>
      <c r="K1053" s="63"/>
      <c r="L1053" s="63"/>
      <c r="M1053" s="218" t="str">
        <f t="shared" si="477"/>
        <v/>
      </c>
      <c r="N1053" s="218" t="str">
        <f t="shared" si="478"/>
        <v/>
      </c>
      <c r="O1053" s="218" t="str">
        <f t="shared" si="479"/>
        <v/>
      </c>
      <c r="P1053" s="218" t="str">
        <f t="shared" si="483"/>
        <v/>
      </c>
    </row>
    <row r="1054" spans="1:16" s="3" customFormat="1" ht="12.75">
      <c r="A1054" s="58" t="s">
        <v>749</v>
      </c>
      <c r="B1054" s="65" t="s">
        <v>265</v>
      </c>
      <c r="C1054" s="308" t="s">
        <v>940</v>
      </c>
      <c r="D1054" s="42">
        <f>SUM(D1056:D1065)</f>
        <v>5735740</v>
      </c>
      <c r="E1054" s="42">
        <f>SUM(E1056:E1065)</f>
        <v>0</v>
      </c>
      <c r="F1054" s="42">
        <f>SUM(D1054:E1054)</f>
        <v>5735740</v>
      </c>
      <c r="G1054" s="55">
        <f>SUM(G1056:G1065)</f>
        <v>6680155</v>
      </c>
      <c r="H1054" s="55">
        <f>SUM(H1056:H1065)</f>
        <v>0</v>
      </c>
      <c r="I1054" s="55">
        <f>SUM(G1054:H1054)</f>
        <v>6680155</v>
      </c>
      <c r="J1054" s="42">
        <f>SUM(J1056:J1065)</f>
        <v>6019970</v>
      </c>
      <c r="K1054" s="42">
        <f>SUM(K1056:K1065)</f>
        <v>0</v>
      </c>
      <c r="L1054" s="42">
        <f>SUM(J1054:K1054)</f>
        <v>6019970</v>
      </c>
      <c r="M1054" s="225">
        <f t="shared" si="477"/>
        <v>104.95541987607528</v>
      </c>
      <c r="N1054" s="225">
        <f t="shared" si="478"/>
        <v>104.95541987607528</v>
      </c>
      <c r="O1054" s="225">
        <f t="shared" si="479"/>
        <v>90.11722033395931</v>
      </c>
      <c r="P1054" s="225">
        <f t="shared" si="483"/>
        <v>90.11722033395931</v>
      </c>
    </row>
    <row r="1055" spans="1:16" s="3" customFormat="1" hidden="1">
      <c r="A1055" s="80" t="s">
        <v>267</v>
      </c>
      <c r="B1055" s="184"/>
      <c r="C1055" s="320" t="s">
        <v>268</v>
      </c>
      <c r="D1055" s="116">
        <f>SUM(D1056:D1065)</f>
        <v>5735740</v>
      </c>
      <c r="E1055" s="111"/>
      <c r="F1055" s="48">
        <f>E1055+D1055</f>
        <v>5735740</v>
      </c>
      <c r="G1055" s="116">
        <f>SUM(G1056:G1065)</f>
        <v>6680155</v>
      </c>
      <c r="H1055" s="193"/>
      <c r="I1055" s="85">
        <f t="shared" ref="I1055:I1065" si="484">H1055+G1055</f>
        <v>6680155</v>
      </c>
      <c r="J1055" s="48">
        <f>SUM(J1056:J1065)</f>
        <v>6019970</v>
      </c>
      <c r="K1055" s="111"/>
      <c r="L1055" s="48">
        <f>K1055+J1055</f>
        <v>6019970</v>
      </c>
      <c r="M1055" s="219">
        <f t="shared" si="477"/>
        <v>104.95541987607528</v>
      </c>
      <c r="N1055" s="219">
        <f t="shared" si="478"/>
        <v>104.95541987607528</v>
      </c>
      <c r="O1055" s="219">
        <f t="shared" si="479"/>
        <v>90.11722033395931</v>
      </c>
      <c r="P1055" s="219">
        <f t="shared" si="483"/>
        <v>90.11722033395931</v>
      </c>
    </row>
    <row r="1056" spans="1:16" s="3" customFormat="1" ht="12.75" customHeight="1">
      <c r="A1056" s="36" t="s">
        <v>180</v>
      </c>
      <c r="B1056" s="33" t="s">
        <v>419</v>
      </c>
      <c r="C1056" s="211" t="s">
        <v>1468</v>
      </c>
      <c r="D1056" s="48">
        <v>5392540</v>
      </c>
      <c r="E1056" s="63"/>
      <c r="F1056" s="48">
        <f>E1056+D1056</f>
        <v>5392540</v>
      </c>
      <c r="G1056" s="85">
        <v>6089245</v>
      </c>
      <c r="H1056" s="38"/>
      <c r="I1056" s="85">
        <f t="shared" si="484"/>
        <v>6089245</v>
      </c>
      <c r="J1056" s="63">
        <v>5917770</v>
      </c>
      <c r="K1056" s="63"/>
      <c r="L1056" s="48">
        <f>K1056+J1056</f>
        <v>5917770</v>
      </c>
      <c r="M1056" s="219">
        <f t="shared" si="477"/>
        <v>109.73993702411109</v>
      </c>
      <c r="N1056" s="219">
        <f t="shared" si="478"/>
        <v>109.73993702411109</v>
      </c>
      <c r="O1056" s="219">
        <f t="shared" si="479"/>
        <v>97.183969441203303</v>
      </c>
      <c r="P1056" s="219">
        <f t="shared" si="483"/>
        <v>97.183969441203303</v>
      </c>
    </row>
    <row r="1057" spans="1:16" s="3" customFormat="1" ht="12.75" customHeight="1">
      <c r="A1057" s="36" t="s">
        <v>2482</v>
      </c>
      <c r="B1057" s="33" t="s">
        <v>2369</v>
      </c>
      <c r="C1057" s="211" t="s">
        <v>2424</v>
      </c>
      <c r="D1057" s="63"/>
      <c r="E1057" s="63"/>
      <c r="F1057" s="63"/>
      <c r="G1057" s="38"/>
      <c r="H1057" s="38"/>
      <c r="I1057" s="85"/>
      <c r="J1057" s="63">
        <v>4200</v>
      </c>
      <c r="K1057" s="63"/>
      <c r="L1057" s="48">
        <f>K1057+J1057</f>
        <v>4200</v>
      </c>
      <c r="M1057" s="219" t="str">
        <f t="shared" si="477"/>
        <v/>
      </c>
      <c r="N1057" s="219" t="str">
        <f t="shared" si="478"/>
        <v/>
      </c>
      <c r="O1057" s="219" t="str">
        <f t="shared" si="479"/>
        <v/>
      </c>
      <c r="P1057" s="219" t="str">
        <f t="shared" ref="P1057:P1065" si="485">IF(I1057&gt;0,IF(L1057&gt;=0,L1057/I1057*100,""),"")</f>
        <v/>
      </c>
    </row>
    <row r="1058" spans="1:16" s="3" customFormat="1" ht="12.75" customHeight="1">
      <c r="A1058" s="36" t="s">
        <v>2466</v>
      </c>
      <c r="B1058" s="33" t="s">
        <v>2451</v>
      </c>
      <c r="C1058" s="211"/>
      <c r="D1058" s="63"/>
      <c r="E1058" s="63"/>
      <c r="F1058" s="63"/>
      <c r="G1058" s="38"/>
      <c r="H1058" s="38"/>
      <c r="I1058" s="38"/>
      <c r="J1058" s="63">
        <v>25000</v>
      </c>
      <c r="K1058" s="63"/>
      <c r="L1058" s="48">
        <f>K1058+J1058</f>
        <v>25000</v>
      </c>
      <c r="M1058" s="219" t="str">
        <f t="shared" si="477"/>
        <v/>
      </c>
      <c r="N1058" s="219" t="str">
        <f t="shared" si="478"/>
        <v/>
      </c>
      <c r="O1058" s="219" t="str">
        <f t="shared" si="479"/>
        <v/>
      </c>
      <c r="P1058" s="219" t="str">
        <f t="shared" si="485"/>
        <v/>
      </c>
    </row>
    <row r="1059" spans="1:16" s="3" customFormat="1" ht="12.75" customHeight="1">
      <c r="A1059" s="36" t="s">
        <v>651</v>
      </c>
      <c r="B1059" s="33" t="s">
        <v>650</v>
      </c>
      <c r="C1059" s="211" t="s">
        <v>1473</v>
      </c>
      <c r="D1059" s="63"/>
      <c r="E1059" s="63"/>
      <c r="F1059" s="63"/>
      <c r="G1059" s="38"/>
      <c r="H1059" s="38"/>
      <c r="I1059" s="38"/>
      <c r="J1059" s="63">
        <v>15000</v>
      </c>
      <c r="K1059" s="63"/>
      <c r="L1059" s="48">
        <f t="shared" ref="L1059" si="486">K1059+J1059</f>
        <v>15000</v>
      </c>
      <c r="M1059" s="219" t="str">
        <f t="shared" si="477"/>
        <v/>
      </c>
      <c r="N1059" s="219" t="str">
        <f t="shared" si="478"/>
        <v/>
      </c>
      <c r="O1059" s="219" t="str">
        <f t="shared" si="479"/>
        <v/>
      </c>
      <c r="P1059" s="219" t="str">
        <f t="shared" si="485"/>
        <v/>
      </c>
    </row>
    <row r="1060" spans="1:16" s="3" customFormat="1" ht="12.75" customHeight="1">
      <c r="A1060" s="36" t="s">
        <v>375</v>
      </c>
      <c r="B1060" s="33" t="s">
        <v>150</v>
      </c>
      <c r="C1060" s="211" t="s">
        <v>1471</v>
      </c>
      <c r="D1060" s="63">
        <f>7000+200000</f>
        <v>207000</v>
      </c>
      <c r="E1060" s="63"/>
      <c r="F1060" s="63">
        <f>SUM(D1060:E1060)</f>
        <v>207000</v>
      </c>
      <c r="G1060" s="38">
        <v>400000</v>
      </c>
      <c r="H1060" s="38"/>
      <c r="I1060" s="38">
        <f>SUM(G1060:H1060)</f>
        <v>400000</v>
      </c>
      <c r="J1060" s="63">
        <v>8000</v>
      </c>
      <c r="K1060" s="63"/>
      <c r="L1060" s="63">
        <f>SUM(J1060:K1060)</f>
        <v>8000</v>
      </c>
      <c r="M1060" s="219">
        <f t="shared" si="477"/>
        <v>3.8647342995169081</v>
      </c>
      <c r="N1060" s="219">
        <f t="shared" si="478"/>
        <v>3.8647342995169081</v>
      </c>
      <c r="O1060" s="219">
        <f t="shared" si="479"/>
        <v>2</v>
      </c>
      <c r="P1060" s="219">
        <f t="shared" si="485"/>
        <v>2</v>
      </c>
    </row>
    <row r="1061" spans="1:16" s="3" customFormat="1" ht="12.75" customHeight="1">
      <c r="A1061" s="36" t="s">
        <v>368</v>
      </c>
      <c r="B1061" s="33" t="s">
        <v>418</v>
      </c>
      <c r="C1061" s="211" t="s">
        <v>1472</v>
      </c>
      <c r="D1061" s="63"/>
      <c r="E1061" s="63"/>
      <c r="F1061" s="63"/>
      <c r="G1061" s="38">
        <v>30000</v>
      </c>
      <c r="H1061" s="38"/>
      <c r="I1061" s="85">
        <f t="shared" si="484"/>
        <v>30000</v>
      </c>
      <c r="J1061" s="63">
        <v>50000</v>
      </c>
      <c r="K1061" s="63"/>
      <c r="L1061" s="48">
        <f>K1061+J1061</f>
        <v>50000</v>
      </c>
      <c r="M1061" s="219" t="str">
        <f t="shared" si="477"/>
        <v/>
      </c>
      <c r="N1061" s="219" t="str">
        <f t="shared" si="478"/>
        <v/>
      </c>
      <c r="O1061" s="219">
        <f t="shared" si="479"/>
        <v>166.66666666666669</v>
      </c>
      <c r="P1061" s="219">
        <f t="shared" si="485"/>
        <v>166.66666666666669</v>
      </c>
    </row>
    <row r="1062" spans="1:16" s="3" customFormat="1" ht="12.75" customHeight="1">
      <c r="A1062" s="341" t="s">
        <v>2475</v>
      </c>
      <c r="B1062" s="33"/>
      <c r="C1062" s="211"/>
      <c r="D1062" s="63"/>
      <c r="E1062" s="63"/>
      <c r="F1062" s="63"/>
      <c r="G1062" s="38"/>
      <c r="H1062" s="38"/>
      <c r="I1062" s="85"/>
      <c r="J1062" s="63"/>
      <c r="K1062" s="63"/>
      <c r="L1062" s="48"/>
      <c r="M1062" s="219" t="str">
        <f t="shared" si="477"/>
        <v/>
      </c>
      <c r="N1062" s="219" t="str">
        <f t="shared" si="478"/>
        <v/>
      </c>
      <c r="O1062" s="219" t="str">
        <f t="shared" si="479"/>
        <v/>
      </c>
      <c r="P1062" s="219" t="str">
        <f t="shared" si="485"/>
        <v/>
      </c>
    </row>
    <row r="1063" spans="1:16" s="3" customFormat="1" ht="12.75" customHeight="1">
      <c r="A1063" s="36" t="s">
        <v>839</v>
      </c>
      <c r="B1063" s="211" t="s">
        <v>698</v>
      </c>
      <c r="C1063" s="211" t="s">
        <v>1469</v>
      </c>
      <c r="D1063" s="63">
        <v>4200</v>
      </c>
      <c r="E1063" s="63"/>
      <c r="F1063" s="63">
        <f>SUM(D1063:E1063)</f>
        <v>4200</v>
      </c>
      <c r="G1063" s="38">
        <v>11410</v>
      </c>
      <c r="H1063" s="38"/>
      <c r="I1063" s="85">
        <f t="shared" si="484"/>
        <v>11410</v>
      </c>
      <c r="J1063" s="63"/>
      <c r="K1063" s="63"/>
      <c r="L1063" s="48">
        <f>K1063+J1063</f>
        <v>0</v>
      </c>
      <c r="M1063" s="219">
        <f t="shared" si="477"/>
        <v>0</v>
      </c>
      <c r="N1063" s="219">
        <f t="shared" si="478"/>
        <v>0</v>
      </c>
      <c r="O1063" s="219">
        <f t="shared" si="479"/>
        <v>0</v>
      </c>
      <c r="P1063" s="219">
        <f t="shared" si="485"/>
        <v>0</v>
      </c>
    </row>
    <row r="1064" spans="1:16" s="3" customFormat="1" ht="12.75" customHeight="1">
      <c r="A1064" s="36" t="s">
        <v>358</v>
      </c>
      <c r="B1064" s="211" t="s">
        <v>417</v>
      </c>
      <c r="C1064" s="211" t="s">
        <v>2331</v>
      </c>
      <c r="D1064" s="63"/>
      <c r="E1064" s="63"/>
      <c r="F1064" s="63"/>
      <c r="G1064" s="38">
        <v>17500</v>
      </c>
      <c r="H1064" s="38"/>
      <c r="I1064" s="85">
        <f t="shared" si="484"/>
        <v>17500</v>
      </c>
      <c r="J1064" s="63"/>
      <c r="K1064" s="63"/>
      <c r="L1064" s="48"/>
      <c r="M1064" s="219" t="str">
        <f t="shared" si="477"/>
        <v/>
      </c>
      <c r="N1064" s="219" t="str">
        <f t="shared" si="478"/>
        <v/>
      </c>
      <c r="O1064" s="219">
        <f t="shared" si="479"/>
        <v>0</v>
      </c>
      <c r="P1064" s="219">
        <f t="shared" si="485"/>
        <v>0</v>
      </c>
    </row>
    <row r="1065" spans="1:16" s="3" customFormat="1" ht="12.75" customHeight="1">
      <c r="A1065" s="36" t="s">
        <v>884</v>
      </c>
      <c r="B1065" s="211" t="s">
        <v>701</v>
      </c>
      <c r="C1065" s="211" t="s">
        <v>1470</v>
      </c>
      <c r="D1065" s="63">
        <v>132000</v>
      </c>
      <c r="E1065" s="63"/>
      <c r="F1065" s="63">
        <f>SUM(D1065:E1065)</f>
        <v>132000</v>
      </c>
      <c r="G1065" s="38">
        <v>132000</v>
      </c>
      <c r="H1065" s="38"/>
      <c r="I1065" s="85">
        <f t="shared" si="484"/>
        <v>132000</v>
      </c>
      <c r="J1065" s="63"/>
      <c r="K1065" s="63"/>
      <c r="L1065" s="48">
        <f>K1065+J1065</f>
        <v>0</v>
      </c>
      <c r="M1065" s="219">
        <f t="shared" si="477"/>
        <v>0</v>
      </c>
      <c r="N1065" s="219">
        <f t="shared" si="478"/>
        <v>0</v>
      </c>
      <c r="O1065" s="219">
        <f t="shared" si="479"/>
        <v>0</v>
      </c>
      <c r="P1065" s="219">
        <f t="shared" si="485"/>
        <v>0</v>
      </c>
    </row>
    <row r="1066" spans="1:16" s="3" customFormat="1" ht="6" customHeight="1">
      <c r="A1066" s="36"/>
      <c r="B1066" s="33"/>
      <c r="C1066" s="211" t="s">
        <v>268</v>
      </c>
      <c r="D1066" s="63"/>
      <c r="E1066" s="63"/>
      <c r="F1066" s="63"/>
      <c r="G1066" s="38"/>
      <c r="H1066" s="38"/>
      <c r="I1066" s="38"/>
      <c r="J1066" s="63"/>
      <c r="K1066" s="63"/>
      <c r="L1066" s="63"/>
      <c r="M1066" s="218" t="str">
        <f t="shared" si="477"/>
        <v/>
      </c>
      <c r="N1066" s="218" t="str">
        <f t="shared" si="478"/>
        <v/>
      </c>
      <c r="O1066" s="218" t="str">
        <f t="shared" si="479"/>
        <v/>
      </c>
      <c r="P1066" s="218" t="str">
        <f t="shared" ref="P1066:P1081" si="487">IF(I1066&gt;0,IF(L1066&gt;=0,L1066/I1066*100,""),"")</f>
        <v/>
      </c>
    </row>
    <row r="1067" spans="1:16" s="3" customFormat="1" ht="12.75">
      <c r="A1067" s="58" t="s">
        <v>750</v>
      </c>
      <c r="B1067" s="65" t="s">
        <v>265</v>
      </c>
      <c r="C1067" s="308" t="s">
        <v>940</v>
      </c>
      <c r="D1067" s="86">
        <f>SUM(D1069:D1071)</f>
        <v>5688950</v>
      </c>
      <c r="E1067" s="86">
        <f>SUM(E1069:E1071)</f>
        <v>0</v>
      </c>
      <c r="F1067" s="86">
        <f>SUM(D1067:E1067)</f>
        <v>5688950</v>
      </c>
      <c r="G1067" s="262">
        <f>SUM(G1069:G1071)</f>
        <v>5733170</v>
      </c>
      <c r="H1067" s="262">
        <f>SUM(H1069:H1071)</f>
        <v>0</v>
      </c>
      <c r="I1067" s="262">
        <f>SUM(G1067:H1067)</f>
        <v>5733170</v>
      </c>
      <c r="J1067" s="86">
        <f>SUM(J1069:J1071)</f>
        <v>6044280</v>
      </c>
      <c r="K1067" s="86">
        <f>SUM(K1069:K1071)</f>
        <v>0</v>
      </c>
      <c r="L1067" s="86">
        <f>SUM(J1067:K1067)</f>
        <v>6044280</v>
      </c>
      <c r="M1067" s="236">
        <f t="shared" si="477"/>
        <v>106.24596806088998</v>
      </c>
      <c r="N1067" s="236">
        <f t="shared" si="478"/>
        <v>106.24596806088998</v>
      </c>
      <c r="O1067" s="236">
        <f t="shared" si="479"/>
        <v>105.42649180121992</v>
      </c>
      <c r="P1067" s="236">
        <f t="shared" si="487"/>
        <v>105.42649180121992</v>
      </c>
    </row>
    <row r="1068" spans="1:16" s="3" customFormat="1" hidden="1">
      <c r="A1068" s="36" t="s">
        <v>267</v>
      </c>
      <c r="B1068" s="184"/>
      <c r="C1068" s="320" t="s">
        <v>268</v>
      </c>
      <c r="D1068" s="87">
        <f>SUM(D1069:D1071)</f>
        <v>5688950</v>
      </c>
      <c r="E1068" s="95"/>
      <c r="F1068" s="63">
        <f>SUM(D1068:E1068)</f>
        <v>5688950</v>
      </c>
      <c r="G1068" s="87">
        <f>SUM(G1069:G1071)</f>
        <v>5733170</v>
      </c>
      <c r="H1068" s="261"/>
      <c r="I1068" s="38">
        <f>SUM(G1068:H1068)</f>
        <v>5733170</v>
      </c>
      <c r="J1068" s="63">
        <f>SUM(J1069:J1071)</f>
        <v>6044280</v>
      </c>
      <c r="K1068" s="95"/>
      <c r="L1068" s="63">
        <f>SUM(J1068:K1068)</f>
        <v>6044280</v>
      </c>
      <c r="M1068" s="218">
        <f t="shared" si="477"/>
        <v>106.24596806088998</v>
      </c>
      <c r="N1068" s="218">
        <f t="shared" si="478"/>
        <v>106.24596806088998</v>
      </c>
      <c r="O1068" s="218">
        <f t="shared" si="479"/>
        <v>105.42649180121992</v>
      </c>
      <c r="P1068" s="218">
        <f t="shared" si="487"/>
        <v>105.42649180121992</v>
      </c>
    </row>
    <row r="1069" spans="1:16" s="3" customFormat="1" ht="12.75" customHeight="1">
      <c r="A1069" s="36" t="s">
        <v>180</v>
      </c>
      <c r="B1069" s="33" t="s">
        <v>419</v>
      </c>
      <c r="C1069" s="211" t="s">
        <v>1474</v>
      </c>
      <c r="D1069" s="87">
        <v>5681950</v>
      </c>
      <c r="E1069" s="95"/>
      <c r="F1069" s="63">
        <f>SUM(D1069:E1069)</f>
        <v>5681950</v>
      </c>
      <c r="G1069" s="87">
        <v>5696170</v>
      </c>
      <c r="H1069" s="261"/>
      <c r="I1069" s="38">
        <f>SUM(G1069:H1069)</f>
        <v>5696170</v>
      </c>
      <c r="J1069" s="63">
        <v>6036280</v>
      </c>
      <c r="K1069" s="95"/>
      <c r="L1069" s="63">
        <f>SUM(J1069:K1069)</f>
        <v>6036280</v>
      </c>
      <c r="M1069" s="218">
        <f t="shared" si="477"/>
        <v>106.23606332333091</v>
      </c>
      <c r="N1069" s="218">
        <f t="shared" si="478"/>
        <v>106.23606332333091</v>
      </c>
      <c r="O1069" s="218">
        <f t="shared" si="479"/>
        <v>105.97085410021118</v>
      </c>
      <c r="P1069" s="218">
        <f t="shared" si="487"/>
        <v>105.97085410021118</v>
      </c>
    </row>
    <row r="1070" spans="1:16" s="3" customFormat="1" ht="12.75" customHeight="1">
      <c r="A1070" s="36" t="s">
        <v>375</v>
      </c>
      <c r="B1070" s="33" t="s">
        <v>150</v>
      </c>
      <c r="C1070" s="211" t="s">
        <v>1475</v>
      </c>
      <c r="D1070" s="38">
        <v>7000</v>
      </c>
      <c r="E1070" s="63"/>
      <c r="F1070" s="63">
        <f t="shared" ref="F1070" si="488">SUM(D1070:E1070)</f>
        <v>7000</v>
      </c>
      <c r="G1070" s="38">
        <v>7000</v>
      </c>
      <c r="H1070" s="38"/>
      <c r="I1070" s="38">
        <f>SUM(G1070:H1070)</f>
        <v>7000</v>
      </c>
      <c r="J1070" s="63">
        <v>8000</v>
      </c>
      <c r="K1070" s="63"/>
      <c r="L1070" s="63">
        <f t="shared" ref="L1070" si="489">SUM(J1070:K1070)</f>
        <v>8000</v>
      </c>
      <c r="M1070" s="218">
        <f t="shared" si="477"/>
        <v>114.28571428571428</v>
      </c>
      <c r="N1070" s="218">
        <f t="shared" si="478"/>
        <v>114.28571428571428</v>
      </c>
      <c r="O1070" s="218">
        <f t="shared" si="479"/>
        <v>114.28571428571428</v>
      </c>
      <c r="P1070" s="218">
        <f>IF(I1070&gt;0,IF(L1070&gt;=0,L1070/I1070*100,""),"")</f>
        <v>114.28571428571428</v>
      </c>
    </row>
    <row r="1071" spans="1:16" s="3" customFormat="1" ht="12.75" customHeight="1">
      <c r="A1071" s="36" t="s">
        <v>368</v>
      </c>
      <c r="B1071" s="211" t="s">
        <v>418</v>
      </c>
      <c r="C1071" s="211" t="s">
        <v>1476</v>
      </c>
      <c r="D1071" s="87"/>
      <c r="E1071" s="95"/>
      <c r="F1071" s="63"/>
      <c r="G1071" s="87">
        <v>30000</v>
      </c>
      <c r="H1071" s="261"/>
      <c r="I1071" s="38">
        <f>SUM(G1071:H1071)</f>
        <v>30000</v>
      </c>
      <c r="J1071" s="63"/>
      <c r="K1071" s="95"/>
      <c r="L1071" s="63">
        <f>SUM(J1071:K1071)</f>
        <v>0</v>
      </c>
      <c r="M1071" s="218" t="str">
        <f t="shared" si="477"/>
        <v/>
      </c>
      <c r="N1071" s="218" t="str">
        <f t="shared" si="478"/>
        <v/>
      </c>
      <c r="O1071" s="218">
        <f t="shared" si="479"/>
        <v>0</v>
      </c>
      <c r="P1071" s="218">
        <f t="shared" si="487"/>
        <v>0</v>
      </c>
    </row>
    <row r="1072" spans="1:16" s="3" customFormat="1" ht="6" customHeight="1">
      <c r="A1072" s="36"/>
      <c r="B1072" s="33"/>
      <c r="C1072" s="211" t="s">
        <v>268</v>
      </c>
      <c r="D1072" s="38"/>
      <c r="E1072" s="63"/>
      <c r="F1072" s="63"/>
      <c r="G1072" s="38"/>
      <c r="H1072" s="38"/>
      <c r="I1072" s="38"/>
      <c r="J1072" s="63"/>
      <c r="K1072" s="63"/>
      <c r="L1072" s="63"/>
      <c r="M1072" s="218" t="str">
        <f t="shared" si="477"/>
        <v/>
      </c>
      <c r="N1072" s="218" t="str">
        <f t="shared" si="478"/>
        <v/>
      </c>
      <c r="O1072" s="218" t="str">
        <f t="shared" si="479"/>
        <v/>
      </c>
      <c r="P1072" s="218" t="str">
        <f t="shared" si="487"/>
        <v/>
      </c>
    </row>
    <row r="1073" spans="1:16" s="11" customFormat="1" ht="12.75">
      <c r="A1073" s="58" t="s">
        <v>496</v>
      </c>
      <c r="B1073" s="65" t="s">
        <v>265</v>
      </c>
      <c r="C1073" s="308" t="s">
        <v>940</v>
      </c>
      <c r="D1073" s="42">
        <f>SUM(D1075:D1082)</f>
        <v>6083310</v>
      </c>
      <c r="E1073" s="42">
        <f>SUM(E1075:E1081)</f>
        <v>0</v>
      </c>
      <c r="F1073" s="42">
        <f t="shared" ref="F1073:F1075" si="490">SUM(D1073:E1073)</f>
        <v>6083310</v>
      </c>
      <c r="G1073" s="55">
        <f>SUM(G1075:G1082)</f>
        <v>6300290</v>
      </c>
      <c r="H1073" s="55">
        <f>SUM(H1075:H1081)</f>
        <v>0</v>
      </c>
      <c r="I1073" s="55">
        <f t="shared" ref="I1073:I1115" si="491">SUM(G1073:H1073)</f>
        <v>6300290</v>
      </c>
      <c r="J1073" s="42">
        <f>SUM(J1075:J1083)</f>
        <v>6644740</v>
      </c>
      <c r="K1073" s="42">
        <f>SUM(K1075:K1081)</f>
        <v>0</v>
      </c>
      <c r="L1073" s="42">
        <f t="shared" ref="L1073" si="492">SUM(J1073:K1073)</f>
        <v>6644740</v>
      </c>
      <c r="M1073" s="225">
        <f t="shared" si="477"/>
        <v>109.22902170035719</v>
      </c>
      <c r="N1073" s="225">
        <f t="shared" si="478"/>
        <v>109.22902170035719</v>
      </c>
      <c r="O1073" s="225">
        <f t="shared" si="479"/>
        <v>105.46720865230013</v>
      </c>
      <c r="P1073" s="225">
        <f t="shared" si="487"/>
        <v>105.46720865230013</v>
      </c>
    </row>
    <row r="1074" spans="1:16" s="11" customFormat="1" hidden="1">
      <c r="A1074" s="36" t="s">
        <v>267</v>
      </c>
      <c r="B1074" s="184"/>
      <c r="C1074" s="320" t="s">
        <v>268</v>
      </c>
      <c r="D1074" s="38">
        <f>SUM(D1075:D1082)</f>
        <v>6083310</v>
      </c>
      <c r="E1074" s="77"/>
      <c r="F1074" s="63">
        <f t="shared" si="490"/>
        <v>6083310</v>
      </c>
      <c r="G1074" s="38">
        <f>SUM(G1075:G1082)</f>
        <v>6300290</v>
      </c>
      <c r="H1074" s="109"/>
      <c r="I1074" s="38">
        <f t="shared" si="491"/>
        <v>6300290</v>
      </c>
      <c r="J1074" s="63">
        <f>SUM(J1075:J1082)</f>
        <v>6644740</v>
      </c>
      <c r="K1074" s="77"/>
      <c r="L1074" s="63">
        <f t="shared" ref="L1074" si="493">SUM(J1074:K1074)</f>
        <v>6644740</v>
      </c>
      <c r="M1074" s="218">
        <f t="shared" si="477"/>
        <v>109.22902170035719</v>
      </c>
      <c r="N1074" s="218">
        <f t="shared" si="478"/>
        <v>109.22902170035719</v>
      </c>
      <c r="O1074" s="218">
        <f t="shared" si="479"/>
        <v>105.46720865230013</v>
      </c>
      <c r="P1074" s="218">
        <f t="shared" si="487"/>
        <v>105.46720865230013</v>
      </c>
    </row>
    <row r="1075" spans="1:16" s="3" customFormat="1" ht="12.75" customHeight="1">
      <c r="A1075" s="36" t="s">
        <v>180</v>
      </c>
      <c r="B1075" s="33" t="s">
        <v>419</v>
      </c>
      <c r="C1075" s="211" t="s">
        <v>1477</v>
      </c>
      <c r="D1075" s="63">
        <v>6064310</v>
      </c>
      <c r="E1075" s="63"/>
      <c r="F1075" s="63">
        <f t="shared" si="490"/>
        <v>6064310</v>
      </c>
      <c r="G1075" s="38">
        <v>6107890</v>
      </c>
      <c r="H1075" s="38"/>
      <c r="I1075" s="38">
        <f t="shared" si="491"/>
        <v>6107890</v>
      </c>
      <c r="J1075" s="63">
        <v>6606740</v>
      </c>
      <c r="K1075" s="63"/>
      <c r="L1075" s="63">
        <f t="shared" ref="L1075:L1082" si="494">SUM(J1075:K1075)</f>
        <v>6606740</v>
      </c>
      <c r="M1075" s="218">
        <f t="shared" si="477"/>
        <v>108.94462849029816</v>
      </c>
      <c r="N1075" s="218">
        <f t="shared" si="478"/>
        <v>108.94462849029816</v>
      </c>
      <c r="O1075" s="218">
        <f t="shared" si="479"/>
        <v>108.16730491217098</v>
      </c>
      <c r="P1075" s="218">
        <f t="shared" si="487"/>
        <v>108.16730491217098</v>
      </c>
    </row>
    <row r="1076" spans="1:16" s="3" customFormat="1" ht="12.75" customHeight="1">
      <c r="A1076" s="36" t="s">
        <v>2073</v>
      </c>
      <c r="B1076" s="33" t="s">
        <v>624</v>
      </c>
      <c r="C1076" s="211" t="s">
        <v>2425</v>
      </c>
      <c r="D1076" s="63"/>
      <c r="E1076" s="63"/>
      <c r="F1076" s="63"/>
      <c r="G1076" s="38"/>
      <c r="H1076" s="38"/>
      <c r="I1076" s="38"/>
      <c r="J1076" s="63">
        <v>6000</v>
      </c>
      <c r="K1076" s="63"/>
      <c r="L1076" s="63">
        <f>SUM(J1076:K1076)</f>
        <v>6000</v>
      </c>
      <c r="M1076" s="218" t="str">
        <f t="shared" si="477"/>
        <v/>
      </c>
      <c r="N1076" s="218" t="str">
        <f t="shared" si="478"/>
        <v/>
      </c>
      <c r="O1076" s="218" t="str">
        <f t="shared" si="479"/>
        <v/>
      </c>
      <c r="P1076" s="218"/>
    </row>
    <row r="1077" spans="1:16" s="3" customFormat="1" ht="12.75" customHeight="1">
      <c r="A1077" s="36" t="s">
        <v>651</v>
      </c>
      <c r="B1077" s="33" t="s">
        <v>650</v>
      </c>
      <c r="C1077" s="211" t="s">
        <v>1478</v>
      </c>
      <c r="D1077" s="63">
        <v>12000</v>
      </c>
      <c r="E1077" s="63"/>
      <c r="F1077" s="63">
        <f>SUM(D1077:E1077)</f>
        <v>12000</v>
      </c>
      <c r="G1077" s="38">
        <v>23000</v>
      </c>
      <c r="H1077" s="38"/>
      <c r="I1077" s="38">
        <f>SUM(G1077:H1077)</f>
        <v>23000</v>
      </c>
      <c r="J1077" s="63">
        <v>24000</v>
      </c>
      <c r="K1077" s="63"/>
      <c r="L1077" s="63">
        <f>SUM(J1077:K1077)</f>
        <v>24000</v>
      </c>
      <c r="M1077" s="218">
        <f t="shared" si="477"/>
        <v>200</v>
      </c>
      <c r="N1077" s="218">
        <f t="shared" si="478"/>
        <v>200</v>
      </c>
      <c r="O1077" s="218">
        <f t="shared" si="479"/>
        <v>104.34782608695652</v>
      </c>
      <c r="P1077" s="218">
        <f>IF(I1077&gt;0,IF(L1077&gt;=0,L1077/I1077*100,""),"")</f>
        <v>104.34782608695652</v>
      </c>
    </row>
    <row r="1078" spans="1:16" s="3" customFormat="1" ht="12.75" customHeight="1">
      <c r="A1078" s="36" t="s">
        <v>375</v>
      </c>
      <c r="B1078" s="33" t="s">
        <v>150</v>
      </c>
      <c r="C1078" s="211" t="s">
        <v>1479</v>
      </c>
      <c r="D1078" s="63">
        <v>7000</v>
      </c>
      <c r="E1078" s="63"/>
      <c r="F1078" s="48">
        <f>SUM(D1078:E1078)</f>
        <v>7000</v>
      </c>
      <c r="G1078" s="38">
        <v>63000</v>
      </c>
      <c r="H1078" s="38"/>
      <c r="I1078" s="85">
        <f>SUM(G1078:H1078)</f>
        <v>63000</v>
      </c>
      <c r="J1078" s="63">
        <v>8000</v>
      </c>
      <c r="K1078" s="63"/>
      <c r="L1078" s="48">
        <f>SUM(J1078:K1078)</f>
        <v>8000</v>
      </c>
      <c r="M1078" s="219">
        <f t="shared" si="477"/>
        <v>114.28571428571428</v>
      </c>
      <c r="N1078" s="219">
        <f t="shared" si="478"/>
        <v>114.28571428571428</v>
      </c>
      <c r="O1078" s="219">
        <f t="shared" si="479"/>
        <v>12.698412698412698</v>
      </c>
      <c r="P1078" s="219">
        <f>IF(I1078&gt;0,IF(L1078&gt;=0,L1078/I1078*100,""),"")</f>
        <v>12.698412698412698</v>
      </c>
    </row>
    <row r="1079" spans="1:16" s="3" customFormat="1" ht="12.75" customHeight="1">
      <c r="A1079" s="36" t="s">
        <v>368</v>
      </c>
      <c r="B1079" s="211" t="s">
        <v>418</v>
      </c>
      <c r="C1079" s="211" t="s">
        <v>1480</v>
      </c>
      <c r="D1079" s="63"/>
      <c r="E1079" s="63"/>
      <c r="F1079" s="63"/>
      <c r="G1079" s="38">
        <v>40000</v>
      </c>
      <c r="H1079" s="38"/>
      <c r="I1079" s="38">
        <f t="shared" si="491"/>
        <v>40000</v>
      </c>
      <c r="J1079" s="63"/>
      <c r="K1079" s="63"/>
      <c r="L1079" s="63">
        <f t="shared" si="494"/>
        <v>0</v>
      </c>
      <c r="M1079" s="218" t="str">
        <f t="shared" si="477"/>
        <v/>
      </c>
      <c r="N1079" s="218" t="str">
        <f t="shared" si="478"/>
        <v/>
      </c>
      <c r="O1079" s="218">
        <f t="shared" si="479"/>
        <v>0</v>
      </c>
      <c r="P1079" s="218">
        <f t="shared" si="487"/>
        <v>0</v>
      </c>
    </row>
    <row r="1080" spans="1:16" s="3" customFormat="1" ht="12.75" customHeight="1">
      <c r="A1080" s="36" t="s">
        <v>358</v>
      </c>
      <c r="B1080" s="211" t="s">
        <v>417</v>
      </c>
      <c r="C1080" s="211" t="s">
        <v>1481</v>
      </c>
      <c r="D1080" s="63"/>
      <c r="E1080" s="63"/>
      <c r="F1080" s="63">
        <f>SUM(D1080:E1080)</f>
        <v>0</v>
      </c>
      <c r="G1080" s="38">
        <v>24200</v>
      </c>
      <c r="H1080" s="38"/>
      <c r="I1080" s="38">
        <f t="shared" si="491"/>
        <v>24200</v>
      </c>
      <c r="J1080" s="63"/>
      <c r="K1080" s="63"/>
      <c r="L1080" s="63">
        <f t="shared" si="494"/>
        <v>0</v>
      </c>
      <c r="M1080" s="218" t="str">
        <f t="shared" si="477"/>
        <v/>
      </c>
      <c r="N1080" s="218" t="str">
        <f t="shared" si="478"/>
        <v/>
      </c>
      <c r="O1080" s="218">
        <f t="shared" si="479"/>
        <v>0</v>
      </c>
      <c r="P1080" s="218">
        <f t="shared" si="487"/>
        <v>0</v>
      </c>
    </row>
    <row r="1081" spans="1:16" s="3" customFormat="1" ht="12.75" customHeight="1">
      <c r="A1081" s="36" t="s">
        <v>145</v>
      </c>
      <c r="B1081" s="211" t="s">
        <v>144</v>
      </c>
      <c r="C1081" s="211" t="s">
        <v>1482</v>
      </c>
      <c r="D1081" s="63"/>
      <c r="E1081" s="63"/>
      <c r="F1081" s="63">
        <f>SUM(D1081:E1081)</f>
        <v>0</v>
      </c>
      <c r="G1081" s="38">
        <v>28200</v>
      </c>
      <c r="H1081" s="38"/>
      <c r="I1081" s="38">
        <f t="shared" si="491"/>
        <v>28200</v>
      </c>
      <c r="J1081" s="63"/>
      <c r="K1081" s="63"/>
      <c r="L1081" s="63">
        <f t="shared" si="494"/>
        <v>0</v>
      </c>
      <c r="M1081" s="218" t="str">
        <f t="shared" si="477"/>
        <v/>
      </c>
      <c r="N1081" s="218" t="str">
        <f t="shared" si="478"/>
        <v/>
      </c>
      <c r="O1081" s="218">
        <f t="shared" si="479"/>
        <v>0</v>
      </c>
      <c r="P1081" s="218">
        <f t="shared" si="487"/>
        <v>0</v>
      </c>
    </row>
    <row r="1082" spans="1:16" s="3" customFormat="1" ht="12.75" customHeight="1">
      <c r="A1082" s="36" t="s">
        <v>2347</v>
      </c>
      <c r="B1082" s="211" t="s">
        <v>2346</v>
      </c>
      <c r="C1082" s="211" t="s">
        <v>2330</v>
      </c>
      <c r="D1082" s="63"/>
      <c r="E1082" s="63"/>
      <c r="F1082" s="63"/>
      <c r="G1082" s="38">
        <v>14000</v>
      </c>
      <c r="H1082" s="38"/>
      <c r="I1082" s="38">
        <f t="shared" si="491"/>
        <v>14000</v>
      </c>
      <c r="J1082" s="63"/>
      <c r="K1082" s="63"/>
      <c r="L1082" s="63">
        <f t="shared" si="494"/>
        <v>0</v>
      </c>
      <c r="M1082" s="218" t="str">
        <f t="shared" si="477"/>
        <v/>
      </c>
      <c r="N1082" s="218" t="str">
        <f t="shared" si="478"/>
        <v/>
      </c>
      <c r="O1082" s="218">
        <f t="shared" si="479"/>
        <v>0</v>
      </c>
      <c r="P1082" s="218"/>
    </row>
    <row r="1083" spans="1:16" s="3" customFormat="1" ht="6" customHeight="1">
      <c r="A1083" s="36"/>
      <c r="B1083" s="33"/>
      <c r="C1083" s="211" t="s">
        <v>268</v>
      </c>
      <c r="D1083" s="63"/>
      <c r="E1083" s="63"/>
      <c r="F1083" s="63">
        <f t="shared" ref="F1083:F1086" si="495">SUM(D1083:E1083)</f>
        <v>0</v>
      </c>
      <c r="G1083" s="38"/>
      <c r="H1083" s="38"/>
      <c r="I1083" s="38">
        <f t="shared" si="491"/>
        <v>0</v>
      </c>
      <c r="J1083" s="63"/>
      <c r="K1083" s="63"/>
      <c r="L1083" s="63">
        <f t="shared" ref="L1083:L1084" si="496">SUM(J1083:K1083)</f>
        <v>0</v>
      </c>
      <c r="M1083" s="218" t="str">
        <f t="shared" si="477"/>
        <v/>
      </c>
      <c r="N1083" s="218" t="str">
        <f t="shared" si="478"/>
        <v/>
      </c>
      <c r="O1083" s="218" t="str">
        <f t="shared" si="479"/>
        <v/>
      </c>
      <c r="P1083" s="218" t="str">
        <f t="shared" ref="P1083:P1089" si="497">IF(I1083&gt;0,IF(L1083&gt;=0,L1083/I1083*100,""),"")</f>
        <v/>
      </c>
    </row>
    <row r="1084" spans="1:16" s="11" customFormat="1" ht="12.75">
      <c r="A1084" s="58" t="s">
        <v>89</v>
      </c>
      <c r="B1084" s="65" t="s">
        <v>265</v>
      </c>
      <c r="C1084" s="308" t="s">
        <v>940</v>
      </c>
      <c r="D1084" s="42">
        <f>SUM(D1086:D1090)</f>
        <v>3630190</v>
      </c>
      <c r="E1084" s="42">
        <f>SUM(E1086:E1091)</f>
        <v>0</v>
      </c>
      <c r="F1084" s="42">
        <f t="shared" si="495"/>
        <v>3630190</v>
      </c>
      <c r="G1084" s="55">
        <f>SUM(G1086:G1090)</f>
        <v>4037500</v>
      </c>
      <c r="H1084" s="55">
        <f>SUM(H1086:H1091)</f>
        <v>0</v>
      </c>
      <c r="I1084" s="55">
        <f t="shared" si="491"/>
        <v>4037500</v>
      </c>
      <c r="J1084" s="42">
        <f>SUM(J1086:J1090)</f>
        <v>4299020</v>
      </c>
      <c r="K1084" s="42">
        <f>SUM(K1086:K1091)</f>
        <v>0</v>
      </c>
      <c r="L1084" s="42">
        <f t="shared" si="496"/>
        <v>4299020</v>
      </c>
      <c r="M1084" s="225">
        <f t="shared" si="477"/>
        <v>118.42410452345469</v>
      </c>
      <c r="N1084" s="225">
        <f t="shared" si="478"/>
        <v>118.42410452345469</v>
      </c>
      <c r="O1084" s="225">
        <f t="shared" si="479"/>
        <v>106.47727554179566</v>
      </c>
      <c r="P1084" s="225">
        <f t="shared" si="497"/>
        <v>106.47727554179566</v>
      </c>
    </row>
    <row r="1085" spans="1:16" s="11" customFormat="1" hidden="1">
      <c r="A1085" s="36" t="s">
        <v>267</v>
      </c>
      <c r="B1085" s="184"/>
      <c r="C1085" s="320" t="s">
        <v>268</v>
      </c>
      <c r="D1085" s="38">
        <f>SUM(D1086:D1090)</f>
        <v>3630190</v>
      </c>
      <c r="E1085" s="77"/>
      <c r="F1085" s="63">
        <f t="shared" si="495"/>
        <v>3630190</v>
      </c>
      <c r="G1085" s="38">
        <f>SUM(G1086:G1090)</f>
        <v>4037500</v>
      </c>
      <c r="H1085" s="109"/>
      <c r="I1085" s="38">
        <f t="shared" si="491"/>
        <v>4037500</v>
      </c>
      <c r="J1085" s="63">
        <f>SUM(J1086:J1090)</f>
        <v>4299020</v>
      </c>
      <c r="K1085" s="77"/>
      <c r="L1085" s="63">
        <f t="shared" ref="L1085" si="498">SUM(J1085:K1085)</f>
        <v>4299020</v>
      </c>
      <c r="M1085" s="218">
        <f t="shared" si="477"/>
        <v>118.42410452345469</v>
      </c>
      <c r="N1085" s="218">
        <f t="shared" si="478"/>
        <v>118.42410452345469</v>
      </c>
      <c r="O1085" s="218">
        <f t="shared" si="479"/>
        <v>106.47727554179566</v>
      </c>
      <c r="P1085" s="218">
        <f t="shared" si="497"/>
        <v>106.47727554179566</v>
      </c>
    </row>
    <row r="1086" spans="1:16" s="3" customFormat="1" ht="12.75" customHeight="1">
      <c r="A1086" s="36" t="s">
        <v>180</v>
      </c>
      <c r="B1086" s="33" t="s">
        <v>419</v>
      </c>
      <c r="C1086" s="211" t="s">
        <v>1483</v>
      </c>
      <c r="D1086" s="63">
        <v>3623190</v>
      </c>
      <c r="E1086" s="63"/>
      <c r="F1086" s="63">
        <f t="shared" si="495"/>
        <v>3623190</v>
      </c>
      <c r="G1086" s="38">
        <v>3859500</v>
      </c>
      <c r="H1086" s="38"/>
      <c r="I1086" s="38">
        <f t="shared" si="491"/>
        <v>3859500</v>
      </c>
      <c r="J1086" s="63">
        <v>4266020</v>
      </c>
      <c r="K1086" s="63"/>
      <c r="L1086" s="63">
        <f t="shared" ref="L1086:L1087" si="499">SUM(J1086:K1086)</f>
        <v>4266020</v>
      </c>
      <c r="M1086" s="218">
        <f t="shared" si="477"/>
        <v>117.74210019347591</v>
      </c>
      <c r="N1086" s="218">
        <f t="shared" si="478"/>
        <v>117.74210019347591</v>
      </c>
      <c r="O1086" s="218">
        <f t="shared" si="479"/>
        <v>110.53297059204561</v>
      </c>
      <c r="P1086" s="218">
        <f t="shared" si="497"/>
        <v>110.53297059204561</v>
      </c>
    </row>
    <row r="1087" spans="1:16" s="3" customFormat="1" ht="12.75" customHeight="1">
      <c r="A1087" s="36" t="s">
        <v>2466</v>
      </c>
      <c r="B1087" s="33" t="s">
        <v>2451</v>
      </c>
      <c r="C1087" s="211"/>
      <c r="D1087" s="63"/>
      <c r="E1087" s="63"/>
      <c r="F1087" s="63"/>
      <c r="G1087" s="38"/>
      <c r="H1087" s="38"/>
      <c r="I1087" s="38"/>
      <c r="J1087" s="63">
        <v>25000</v>
      </c>
      <c r="K1087" s="63"/>
      <c r="L1087" s="63">
        <f t="shared" si="499"/>
        <v>25000</v>
      </c>
      <c r="M1087" s="218" t="str">
        <f t="shared" si="477"/>
        <v/>
      </c>
      <c r="N1087" s="218" t="str">
        <f t="shared" si="478"/>
        <v/>
      </c>
      <c r="O1087" s="218" t="str">
        <f t="shared" si="479"/>
        <v/>
      </c>
      <c r="P1087" s="218" t="str">
        <f t="shared" ref="P1087" si="500">IF(I1087&gt;0,IF(L1087&gt;=0,L1087/I1087*100,""),"")</f>
        <v/>
      </c>
    </row>
    <row r="1088" spans="1:16" s="3" customFormat="1" ht="12.75" customHeight="1">
      <c r="A1088" s="36" t="s">
        <v>375</v>
      </c>
      <c r="B1088" s="33" t="s">
        <v>150</v>
      </c>
      <c r="C1088" s="211" t="s">
        <v>1484</v>
      </c>
      <c r="D1088" s="63">
        <v>7000</v>
      </c>
      <c r="E1088" s="63"/>
      <c r="F1088" s="48">
        <f>SUM(D1088:E1088)</f>
        <v>7000</v>
      </c>
      <c r="G1088" s="38">
        <v>134000</v>
      </c>
      <c r="H1088" s="38"/>
      <c r="I1088" s="85">
        <f>SUM(G1088:H1088)</f>
        <v>134000</v>
      </c>
      <c r="J1088" s="63">
        <v>8000</v>
      </c>
      <c r="K1088" s="63"/>
      <c r="L1088" s="48">
        <f>SUM(J1088:K1088)</f>
        <v>8000</v>
      </c>
      <c r="M1088" s="219">
        <f t="shared" si="477"/>
        <v>114.28571428571428</v>
      </c>
      <c r="N1088" s="219">
        <f t="shared" si="478"/>
        <v>114.28571428571428</v>
      </c>
      <c r="O1088" s="219">
        <f t="shared" si="479"/>
        <v>5.9701492537313428</v>
      </c>
      <c r="P1088" s="219">
        <f>IF(I1088&gt;0,IF(L1088&gt;=0,L1088/I1088*100,""),"")</f>
        <v>5.9701492537313428</v>
      </c>
    </row>
    <row r="1089" spans="1:16" s="3" customFormat="1" ht="12.75" customHeight="1">
      <c r="A1089" s="36" t="s">
        <v>368</v>
      </c>
      <c r="B1089" s="211" t="s">
        <v>418</v>
      </c>
      <c r="C1089" s="211" t="s">
        <v>1485</v>
      </c>
      <c r="D1089" s="63"/>
      <c r="E1089" s="63"/>
      <c r="F1089" s="63"/>
      <c r="G1089" s="38">
        <v>30000</v>
      </c>
      <c r="H1089" s="38"/>
      <c r="I1089" s="38">
        <f t="shared" si="491"/>
        <v>30000</v>
      </c>
      <c r="J1089" s="63"/>
      <c r="K1089" s="63"/>
      <c r="L1089" s="63">
        <f>SUM(J1089:K1089)</f>
        <v>0</v>
      </c>
      <c r="M1089" s="218" t="str">
        <f t="shared" si="477"/>
        <v/>
      </c>
      <c r="N1089" s="218" t="str">
        <f t="shared" si="478"/>
        <v/>
      </c>
      <c r="O1089" s="218">
        <f t="shared" si="479"/>
        <v>0</v>
      </c>
      <c r="P1089" s="218">
        <f t="shared" si="497"/>
        <v>0</v>
      </c>
    </row>
    <row r="1090" spans="1:16" s="3" customFormat="1" ht="12.75" customHeight="1">
      <c r="A1090" s="36" t="s">
        <v>2347</v>
      </c>
      <c r="B1090" s="211" t="s">
        <v>2346</v>
      </c>
      <c r="C1090" s="211" t="s">
        <v>2329</v>
      </c>
      <c r="D1090" s="63"/>
      <c r="E1090" s="63"/>
      <c r="F1090" s="63"/>
      <c r="G1090" s="38">
        <v>14000</v>
      </c>
      <c r="H1090" s="38"/>
      <c r="I1090" s="38">
        <f t="shared" si="491"/>
        <v>14000</v>
      </c>
      <c r="J1090" s="63"/>
      <c r="K1090" s="63"/>
      <c r="L1090" s="63"/>
      <c r="M1090" s="218" t="str">
        <f t="shared" si="477"/>
        <v/>
      </c>
      <c r="N1090" s="218" t="str">
        <f t="shared" si="478"/>
        <v/>
      </c>
      <c r="O1090" s="218">
        <f t="shared" si="479"/>
        <v>0</v>
      </c>
      <c r="P1090" s="218"/>
    </row>
    <row r="1091" spans="1:16" s="3" customFormat="1" ht="6" customHeight="1">
      <c r="A1091" s="93"/>
      <c r="B1091" s="93"/>
      <c r="C1091" s="322" t="s">
        <v>268</v>
      </c>
      <c r="D1091" s="63"/>
      <c r="E1091" s="63"/>
      <c r="F1091" s="63">
        <f>SUM(D1091:E1091)</f>
        <v>0</v>
      </c>
      <c r="G1091" s="38"/>
      <c r="H1091" s="38"/>
      <c r="I1091" s="38">
        <f t="shared" si="491"/>
        <v>0</v>
      </c>
      <c r="J1091" s="63"/>
      <c r="K1091" s="63"/>
      <c r="L1091" s="63">
        <f>SUM(J1091:K1091)</f>
        <v>0</v>
      </c>
      <c r="M1091" s="218" t="str">
        <f t="shared" si="477"/>
        <v/>
      </c>
      <c r="N1091" s="218" t="str">
        <f t="shared" si="478"/>
        <v/>
      </c>
      <c r="O1091" s="218" t="str">
        <f t="shared" si="479"/>
        <v/>
      </c>
      <c r="P1091" s="218" t="str">
        <f t="shared" ref="P1091:P1094" si="501">IF(I1091&gt;0,IF(L1091&gt;=0,L1091/I1091*100,""),"")</f>
        <v/>
      </c>
    </row>
    <row r="1092" spans="1:16" s="3" customFormat="1" ht="12.75">
      <c r="A1092" s="58" t="s">
        <v>661</v>
      </c>
      <c r="B1092" s="65" t="s">
        <v>265</v>
      </c>
      <c r="C1092" s="308" t="s">
        <v>940</v>
      </c>
      <c r="D1092" s="42">
        <f>SUM(D1094:D1101)</f>
        <v>4865680</v>
      </c>
      <c r="E1092" s="42">
        <f>SUM(E1094:E1100)</f>
        <v>0</v>
      </c>
      <c r="F1092" s="42">
        <f t="shared" ref="F1092:F1094" si="502">SUM(D1092:E1092)</f>
        <v>4865680</v>
      </c>
      <c r="G1092" s="55">
        <f>SUM(G1094:G1101)</f>
        <v>5318750</v>
      </c>
      <c r="H1092" s="55">
        <f>SUM(H1094:H1100)</f>
        <v>0</v>
      </c>
      <c r="I1092" s="55">
        <f t="shared" si="491"/>
        <v>5318750</v>
      </c>
      <c r="J1092" s="42">
        <f>SUM(J1094:J1101)</f>
        <v>5977350</v>
      </c>
      <c r="K1092" s="42">
        <f>SUM(K1094:K1100)</f>
        <v>0</v>
      </c>
      <c r="L1092" s="42">
        <f t="shared" ref="L1092:L1100" si="503">SUM(J1092:K1092)</f>
        <v>5977350</v>
      </c>
      <c r="M1092" s="225">
        <f t="shared" si="477"/>
        <v>122.84716627480641</v>
      </c>
      <c r="N1092" s="225">
        <f t="shared" si="478"/>
        <v>122.84716627480641</v>
      </c>
      <c r="O1092" s="225">
        <f t="shared" si="479"/>
        <v>112.38260869565218</v>
      </c>
      <c r="P1092" s="225">
        <f t="shared" si="501"/>
        <v>112.38260869565218</v>
      </c>
    </row>
    <row r="1093" spans="1:16" s="3" customFormat="1" ht="12.75" customHeight="1">
      <c r="A1093" s="36" t="s">
        <v>267</v>
      </c>
      <c r="B1093" s="184"/>
      <c r="C1093" s="320" t="s">
        <v>268</v>
      </c>
      <c r="D1093" s="63">
        <f>SUM(D1094:D1100)</f>
        <v>4865680</v>
      </c>
      <c r="E1093" s="77"/>
      <c r="F1093" s="63">
        <f t="shared" si="502"/>
        <v>4865680</v>
      </c>
      <c r="G1093" s="38">
        <f>SUM(G1094:G1100)</f>
        <v>5300750</v>
      </c>
      <c r="H1093" s="109"/>
      <c r="I1093" s="38">
        <f t="shared" si="491"/>
        <v>5300750</v>
      </c>
      <c r="J1093" s="63">
        <f>SUM(J1094:J1100)</f>
        <v>5977350</v>
      </c>
      <c r="K1093" s="77"/>
      <c r="L1093" s="63">
        <f t="shared" si="503"/>
        <v>5977350</v>
      </c>
      <c r="M1093" s="218">
        <f t="shared" si="477"/>
        <v>122.84716627480641</v>
      </c>
      <c r="N1093" s="218">
        <f t="shared" si="478"/>
        <v>122.84716627480641</v>
      </c>
      <c r="O1093" s="218">
        <f t="shared" si="479"/>
        <v>112.76423147667782</v>
      </c>
      <c r="P1093" s="218">
        <f t="shared" si="501"/>
        <v>112.76423147667782</v>
      </c>
    </row>
    <row r="1094" spans="1:16" s="3" customFormat="1" ht="12.75" customHeight="1">
      <c r="A1094" s="36" t="s">
        <v>180</v>
      </c>
      <c r="B1094" s="33" t="s">
        <v>419</v>
      </c>
      <c r="C1094" s="211" t="s">
        <v>1486</v>
      </c>
      <c r="D1094" s="63">
        <v>4856680</v>
      </c>
      <c r="E1094" s="63"/>
      <c r="F1094" s="63">
        <f t="shared" si="502"/>
        <v>4856680</v>
      </c>
      <c r="G1094" s="38">
        <v>4927530</v>
      </c>
      <c r="H1094" s="38"/>
      <c r="I1094" s="38">
        <f t="shared" si="491"/>
        <v>4927530</v>
      </c>
      <c r="J1094" s="63">
        <v>5817710</v>
      </c>
      <c r="K1094" s="63"/>
      <c r="L1094" s="63">
        <f t="shared" si="503"/>
        <v>5817710</v>
      </c>
      <c r="M1094" s="218">
        <f t="shared" si="477"/>
        <v>119.78779742540171</v>
      </c>
      <c r="N1094" s="218">
        <f t="shared" si="478"/>
        <v>119.78779742540171</v>
      </c>
      <c r="O1094" s="218">
        <f t="shared" si="479"/>
        <v>118.06544049452768</v>
      </c>
      <c r="P1094" s="218">
        <f t="shared" si="501"/>
        <v>118.06544049452768</v>
      </c>
    </row>
    <row r="1095" spans="1:16" s="3" customFormat="1" ht="12.75" customHeight="1">
      <c r="A1095" s="36" t="s">
        <v>2071</v>
      </c>
      <c r="B1095" s="33" t="s">
        <v>2072</v>
      </c>
      <c r="C1095" s="211" t="s">
        <v>2169</v>
      </c>
      <c r="D1095" s="63"/>
      <c r="E1095" s="63"/>
      <c r="F1095" s="63"/>
      <c r="G1095" s="38">
        <v>128220</v>
      </c>
      <c r="H1095" s="38"/>
      <c r="I1095" s="38">
        <f>SUM(G1095:H1095)</f>
        <v>128220</v>
      </c>
      <c r="J1095" s="63">
        <v>98640</v>
      </c>
      <c r="K1095" s="63"/>
      <c r="L1095" s="63">
        <f>SUM(J1095:K1095)</f>
        <v>98640</v>
      </c>
      <c r="M1095" s="218" t="str">
        <f t="shared" si="477"/>
        <v/>
      </c>
      <c r="N1095" s="218" t="str">
        <f t="shared" si="478"/>
        <v/>
      </c>
      <c r="O1095" s="218">
        <f t="shared" si="479"/>
        <v>76.930276087973795</v>
      </c>
      <c r="P1095" s="218">
        <f t="shared" ref="P1095:P1100" si="504">IF(I1095&gt;0,IF(L1095&gt;=0,L1095/I1095*100,""),"")</f>
        <v>76.930276087973795</v>
      </c>
    </row>
    <row r="1096" spans="1:16" s="3" customFormat="1" ht="12.75" customHeight="1">
      <c r="A1096" s="36" t="s">
        <v>2073</v>
      </c>
      <c r="B1096" s="33" t="s">
        <v>624</v>
      </c>
      <c r="C1096" s="211" t="s">
        <v>2170</v>
      </c>
      <c r="D1096" s="63"/>
      <c r="E1096" s="63"/>
      <c r="F1096" s="63"/>
      <c r="G1096" s="38">
        <v>5000</v>
      </c>
      <c r="H1096" s="38"/>
      <c r="I1096" s="38">
        <f>SUM(G1096:H1096)</f>
        <v>5000</v>
      </c>
      <c r="J1096" s="63">
        <v>6000</v>
      </c>
      <c r="K1096" s="63"/>
      <c r="L1096" s="63">
        <f>SUM(J1096:K1096)</f>
        <v>6000</v>
      </c>
      <c r="M1096" s="218" t="str">
        <f t="shared" si="477"/>
        <v/>
      </c>
      <c r="N1096" s="218" t="str">
        <f t="shared" si="478"/>
        <v/>
      </c>
      <c r="O1096" s="218">
        <f t="shared" si="479"/>
        <v>120</v>
      </c>
      <c r="P1096" s="218">
        <f t="shared" si="504"/>
        <v>120</v>
      </c>
    </row>
    <row r="1097" spans="1:16" s="3" customFormat="1" ht="12.75" customHeight="1">
      <c r="A1097" s="36" t="s">
        <v>2466</v>
      </c>
      <c r="B1097" s="33" t="s">
        <v>2451</v>
      </c>
      <c r="C1097" s="211"/>
      <c r="D1097" s="63"/>
      <c r="E1097" s="63"/>
      <c r="F1097" s="63"/>
      <c r="G1097" s="38"/>
      <c r="H1097" s="38"/>
      <c r="I1097" s="38"/>
      <c r="J1097" s="63">
        <v>25000</v>
      </c>
      <c r="K1097" s="63"/>
      <c r="L1097" s="63">
        <f>SUM(J1097:K1097)</f>
        <v>25000</v>
      </c>
      <c r="M1097" s="218" t="str">
        <f t="shared" si="477"/>
        <v/>
      </c>
      <c r="N1097" s="218" t="str">
        <f t="shared" si="478"/>
        <v/>
      </c>
      <c r="O1097" s="218" t="str">
        <f t="shared" si="479"/>
        <v/>
      </c>
      <c r="P1097" s="218" t="str">
        <f t="shared" ref="P1097" si="505">IF(I1097&gt;0,IF(L1097&gt;=0,L1097/I1097*100,""),"")</f>
        <v/>
      </c>
    </row>
    <row r="1098" spans="1:16" s="3" customFormat="1" ht="12.75" customHeight="1">
      <c r="A1098" s="36" t="s">
        <v>651</v>
      </c>
      <c r="B1098" s="33" t="s">
        <v>650</v>
      </c>
      <c r="C1098" s="211" t="s">
        <v>2326</v>
      </c>
      <c r="D1098" s="63"/>
      <c r="E1098" s="63"/>
      <c r="F1098" s="63"/>
      <c r="G1098" s="38">
        <v>1000</v>
      </c>
      <c r="H1098" s="38"/>
      <c r="I1098" s="38">
        <f>SUM(G1098:H1098)</f>
        <v>1000</v>
      </c>
      <c r="J1098" s="63">
        <v>20000</v>
      </c>
      <c r="K1098" s="63"/>
      <c r="L1098" s="63">
        <f>SUM(J1098:K1098)</f>
        <v>20000</v>
      </c>
      <c r="M1098" s="218" t="str">
        <f t="shared" si="477"/>
        <v/>
      </c>
      <c r="N1098" s="218" t="str">
        <f t="shared" si="478"/>
        <v/>
      </c>
      <c r="O1098" s="218">
        <f t="shared" si="479"/>
        <v>2000</v>
      </c>
      <c r="P1098" s="218">
        <f>IF(I1098&gt;0,IF(L1098&gt;=0,L1098/I1098*100,""),"")</f>
        <v>2000</v>
      </c>
    </row>
    <row r="1099" spans="1:16" s="3" customFormat="1" ht="12.75" customHeight="1">
      <c r="A1099" s="36" t="s">
        <v>375</v>
      </c>
      <c r="B1099" s="33" t="s">
        <v>150</v>
      </c>
      <c r="C1099" s="211" t="s">
        <v>1487</v>
      </c>
      <c r="D1099" s="63">
        <v>9000</v>
      </c>
      <c r="E1099" s="63"/>
      <c r="F1099" s="63">
        <f>SUM(D1099:E1099)</f>
        <v>9000</v>
      </c>
      <c r="G1099" s="38">
        <v>209000</v>
      </c>
      <c r="H1099" s="38"/>
      <c r="I1099" s="38">
        <f>SUM(G1099:H1099)</f>
        <v>209000</v>
      </c>
      <c r="J1099" s="63">
        <v>10000</v>
      </c>
      <c r="K1099" s="63"/>
      <c r="L1099" s="63">
        <f>SUM(J1099:K1099)</f>
        <v>10000</v>
      </c>
      <c r="M1099" s="218">
        <f t="shared" si="477"/>
        <v>111.11111111111111</v>
      </c>
      <c r="N1099" s="218">
        <f t="shared" si="478"/>
        <v>111.11111111111111</v>
      </c>
      <c r="O1099" s="218">
        <f t="shared" si="479"/>
        <v>4.7846889952153111</v>
      </c>
      <c r="P1099" s="218">
        <f t="shared" si="504"/>
        <v>4.7846889952153111</v>
      </c>
    </row>
    <row r="1100" spans="1:16" s="3" customFormat="1" ht="12.75" customHeight="1">
      <c r="A1100" s="36" t="s">
        <v>368</v>
      </c>
      <c r="B1100" s="211" t="s">
        <v>418</v>
      </c>
      <c r="C1100" s="211" t="s">
        <v>1488</v>
      </c>
      <c r="D1100" s="63"/>
      <c r="E1100" s="63"/>
      <c r="F1100" s="63"/>
      <c r="G1100" s="38">
        <v>30000</v>
      </c>
      <c r="H1100" s="38"/>
      <c r="I1100" s="38">
        <f t="shared" si="491"/>
        <v>30000</v>
      </c>
      <c r="J1100" s="63"/>
      <c r="K1100" s="63"/>
      <c r="L1100" s="63">
        <f t="shared" si="503"/>
        <v>0</v>
      </c>
      <c r="M1100" s="218" t="str">
        <f t="shared" si="477"/>
        <v/>
      </c>
      <c r="N1100" s="218" t="str">
        <f t="shared" si="478"/>
        <v/>
      </c>
      <c r="O1100" s="218">
        <f t="shared" si="479"/>
        <v>0</v>
      </c>
      <c r="P1100" s="218">
        <f t="shared" si="504"/>
        <v>0</v>
      </c>
    </row>
    <row r="1101" spans="1:16" s="3" customFormat="1" ht="12.75" customHeight="1">
      <c r="A1101" s="36" t="s">
        <v>792</v>
      </c>
      <c r="B1101" s="211" t="s">
        <v>152</v>
      </c>
      <c r="C1101" s="211" t="s">
        <v>1489</v>
      </c>
      <c r="D1101" s="63"/>
      <c r="E1101" s="63"/>
      <c r="F1101" s="63"/>
      <c r="G1101" s="38">
        <v>18000</v>
      </c>
      <c r="H1101" s="38"/>
      <c r="I1101" s="38">
        <f t="shared" si="491"/>
        <v>18000</v>
      </c>
      <c r="J1101" s="63"/>
      <c r="K1101" s="63"/>
      <c r="L1101" s="63">
        <f>SUM(J1101:K1101)</f>
        <v>0</v>
      </c>
      <c r="M1101" s="218" t="str">
        <f t="shared" si="477"/>
        <v/>
      </c>
      <c r="N1101" s="218" t="str">
        <f t="shared" si="478"/>
        <v/>
      </c>
      <c r="O1101" s="218">
        <f t="shared" si="479"/>
        <v>0</v>
      </c>
      <c r="P1101" s="218">
        <f t="shared" ref="P1101:P1110" si="506">IF(I1101&gt;0,IF(L1101&gt;=0,L1101/I1101*100,""),"")</f>
        <v>0</v>
      </c>
    </row>
    <row r="1102" spans="1:16" s="3" customFormat="1" ht="6" customHeight="1">
      <c r="A1102" s="36"/>
      <c r="B1102" s="33"/>
      <c r="C1102" s="211" t="s">
        <v>268</v>
      </c>
      <c r="D1102" s="63">
        <f>8000-8000</f>
        <v>0</v>
      </c>
      <c r="E1102" s="63"/>
      <c r="F1102" s="63">
        <f t="shared" ref="F1102:F1105" si="507">SUM(D1102:E1102)</f>
        <v>0</v>
      </c>
      <c r="G1102" s="38">
        <f>8000-8000</f>
        <v>0</v>
      </c>
      <c r="H1102" s="38"/>
      <c r="I1102" s="38">
        <f t="shared" si="491"/>
        <v>0</v>
      </c>
      <c r="J1102" s="63">
        <f>8000-8000</f>
        <v>0</v>
      </c>
      <c r="K1102" s="63"/>
      <c r="L1102" s="63">
        <f t="shared" ref="L1102:L1103" si="508">SUM(J1102:K1102)</f>
        <v>0</v>
      </c>
      <c r="M1102" s="218" t="str">
        <f t="shared" si="477"/>
        <v/>
      </c>
      <c r="N1102" s="218" t="str">
        <f t="shared" si="478"/>
        <v/>
      </c>
      <c r="O1102" s="218" t="str">
        <f t="shared" si="479"/>
        <v/>
      </c>
      <c r="P1102" s="218" t="str">
        <f t="shared" si="506"/>
        <v/>
      </c>
    </row>
    <row r="1103" spans="1:16" s="11" customFormat="1" ht="12.75">
      <c r="A1103" s="58" t="s">
        <v>497</v>
      </c>
      <c r="B1103" s="65" t="s">
        <v>265</v>
      </c>
      <c r="C1103" s="308" t="s">
        <v>940</v>
      </c>
      <c r="D1103" s="55">
        <f>SUM(D1105:D1110)</f>
        <v>5629670</v>
      </c>
      <c r="E1103" s="61">
        <f>SUM(E1105:E1110)</f>
        <v>0</v>
      </c>
      <c r="F1103" s="42">
        <f t="shared" si="507"/>
        <v>5629670</v>
      </c>
      <c r="G1103" s="55">
        <f>SUM(G1105:G1111)</f>
        <v>5993070</v>
      </c>
      <c r="H1103" s="61">
        <f>SUM(H1105:H1110)</f>
        <v>0</v>
      </c>
      <c r="I1103" s="55">
        <f t="shared" si="491"/>
        <v>5993070</v>
      </c>
      <c r="J1103" s="42">
        <f>SUM(J1105:J1112)</f>
        <v>5773170</v>
      </c>
      <c r="K1103" s="61">
        <f>SUM(K1105:K1110)</f>
        <v>0</v>
      </c>
      <c r="L1103" s="42">
        <f t="shared" si="508"/>
        <v>5773170</v>
      </c>
      <c r="M1103" s="225">
        <f t="shared" ref="M1103:M1166" si="509">IF(D1103&gt;0,IF(J1103&gt;=0,J1103/D1103*100,""),"")</f>
        <v>102.54899487891831</v>
      </c>
      <c r="N1103" s="225">
        <f t="shared" ref="N1103:N1166" si="510">IF(F1103&gt;0,IF(L1103&gt;=0,L1103/F1103*100,""),"")</f>
        <v>102.54899487891831</v>
      </c>
      <c r="O1103" s="225">
        <f t="shared" ref="O1103:O1166" si="511">IF(G1103&gt;0,IF(J1103&gt;=0,J1103/G1103*100,""),"")</f>
        <v>96.330762030144811</v>
      </c>
      <c r="P1103" s="225">
        <f t="shared" si="506"/>
        <v>96.330762030144811</v>
      </c>
    </row>
    <row r="1104" spans="1:16" s="11" customFormat="1" ht="12.75" customHeight="1">
      <c r="A1104" s="36" t="s">
        <v>267</v>
      </c>
      <c r="B1104" s="184"/>
      <c r="C1104" s="320" t="s">
        <v>268</v>
      </c>
      <c r="D1104" s="38">
        <f>SUM(D1105:D1110)</f>
        <v>5629670</v>
      </c>
      <c r="E1104" s="88"/>
      <c r="F1104" s="85">
        <f t="shared" si="507"/>
        <v>5629670</v>
      </c>
      <c r="G1104" s="38">
        <f>SUM(G1105:G1110)</f>
        <v>5811170</v>
      </c>
      <c r="H1104" s="88"/>
      <c r="I1104" s="85">
        <f t="shared" si="491"/>
        <v>5811170</v>
      </c>
      <c r="J1104" s="85">
        <f>SUM(J1105:J1110)</f>
        <v>5773170</v>
      </c>
      <c r="K1104" s="88"/>
      <c r="L1104" s="85">
        <f t="shared" ref="L1104" si="512">SUM(J1104:K1104)</f>
        <v>5773170</v>
      </c>
      <c r="M1104" s="238">
        <f t="shared" si="509"/>
        <v>102.54899487891831</v>
      </c>
      <c r="N1104" s="238">
        <f t="shared" si="510"/>
        <v>102.54899487891831</v>
      </c>
      <c r="O1104" s="238">
        <f t="shared" si="511"/>
        <v>99.346086932579851</v>
      </c>
      <c r="P1104" s="238">
        <f t="shared" si="506"/>
        <v>99.346086932579851</v>
      </c>
    </row>
    <row r="1105" spans="1:16" s="11" customFormat="1" ht="12.75" customHeight="1">
      <c r="A1105" s="36" t="s">
        <v>180</v>
      </c>
      <c r="B1105" s="33" t="s">
        <v>419</v>
      </c>
      <c r="C1105" s="211" t="s">
        <v>1490</v>
      </c>
      <c r="D1105" s="38">
        <v>5473720</v>
      </c>
      <c r="E1105" s="77"/>
      <c r="F1105" s="85">
        <f t="shared" si="507"/>
        <v>5473720</v>
      </c>
      <c r="G1105" s="38">
        <v>5571400</v>
      </c>
      <c r="H1105" s="109"/>
      <c r="I1105" s="85">
        <f t="shared" si="491"/>
        <v>5571400</v>
      </c>
      <c r="J1105" s="63">
        <v>5762020</v>
      </c>
      <c r="K1105" s="77"/>
      <c r="L1105" s="85">
        <f t="shared" ref="L1105:L1118" si="513">SUM(J1105:K1105)</f>
        <v>5762020</v>
      </c>
      <c r="M1105" s="238">
        <f t="shared" si="509"/>
        <v>105.26698479279173</v>
      </c>
      <c r="N1105" s="238">
        <f t="shared" si="510"/>
        <v>105.26698479279173</v>
      </c>
      <c r="O1105" s="238">
        <f t="shared" si="511"/>
        <v>103.42140216103672</v>
      </c>
      <c r="P1105" s="238">
        <f t="shared" si="506"/>
        <v>103.42140216103672</v>
      </c>
    </row>
    <row r="1106" spans="1:16" s="11" customFormat="1" ht="12.75" customHeight="1">
      <c r="A1106" s="36" t="s">
        <v>2482</v>
      </c>
      <c r="B1106" s="33" t="s">
        <v>2369</v>
      </c>
      <c r="C1106" s="211" t="s">
        <v>2426</v>
      </c>
      <c r="D1106" s="38"/>
      <c r="E1106" s="77"/>
      <c r="F1106" s="85"/>
      <c r="G1106" s="38"/>
      <c r="H1106" s="109"/>
      <c r="I1106" s="85"/>
      <c r="J1106" s="63">
        <v>3150</v>
      </c>
      <c r="K1106" s="77"/>
      <c r="L1106" s="85">
        <f t="shared" si="513"/>
        <v>3150</v>
      </c>
      <c r="M1106" s="238" t="str">
        <f t="shared" si="509"/>
        <v/>
      </c>
      <c r="N1106" s="238" t="str">
        <f t="shared" si="510"/>
        <v/>
      </c>
      <c r="O1106" s="238" t="str">
        <f t="shared" si="511"/>
        <v/>
      </c>
      <c r="P1106" s="238"/>
    </row>
    <row r="1107" spans="1:16" s="3" customFormat="1" ht="12.75" customHeight="1">
      <c r="A1107" s="36" t="s">
        <v>375</v>
      </c>
      <c r="B1107" s="33" t="s">
        <v>150</v>
      </c>
      <c r="C1107" s="211" t="s">
        <v>1493</v>
      </c>
      <c r="D1107" s="38">
        <v>7000</v>
      </c>
      <c r="E1107" s="63"/>
      <c r="F1107" s="85">
        <f>SUM(D1107:E1107)</f>
        <v>7000</v>
      </c>
      <c r="G1107" s="38">
        <v>22100</v>
      </c>
      <c r="H1107" s="38"/>
      <c r="I1107" s="85">
        <f>SUM(G1107:H1107)</f>
        <v>22100</v>
      </c>
      <c r="J1107" s="63">
        <v>8000</v>
      </c>
      <c r="K1107" s="63"/>
      <c r="L1107" s="85">
        <f>SUM(J1107:K1107)</f>
        <v>8000</v>
      </c>
      <c r="M1107" s="238">
        <f t="shared" si="509"/>
        <v>114.28571428571428</v>
      </c>
      <c r="N1107" s="238">
        <f t="shared" si="510"/>
        <v>114.28571428571428</v>
      </c>
      <c r="O1107" s="238">
        <f t="shared" si="511"/>
        <v>36.199095022624434</v>
      </c>
      <c r="P1107" s="238">
        <f>IF(I1107&gt;0,IF(L1107&gt;=0,L1107/I1107*100,""),"")</f>
        <v>36.199095022624434</v>
      </c>
    </row>
    <row r="1108" spans="1:16" s="11" customFormat="1" ht="12.75" customHeight="1">
      <c r="A1108" s="354" t="s">
        <v>368</v>
      </c>
      <c r="B1108" s="311" t="s">
        <v>418</v>
      </c>
      <c r="C1108" s="311" t="s">
        <v>1494</v>
      </c>
      <c r="D1108" s="61"/>
      <c r="E1108" s="42"/>
      <c r="F1108" s="365"/>
      <c r="G1108" s="61">
        <v>30000</v>
      </c>
      <c r="H1108" s="55"/>
      <c r="I1108" s="365">
        <f t="shared" si="491"/>
        <v>30000</v>
      </c>
      <c r="J1108" s="67"/>
      <c r="K1108" s="42"/>
      <c r="L1108" s="365">
        <f>SUM(J1108:K1108)</f>
        <v>0</v>
      </c>
      <c r="M1108" s="373" t="str">
        <f t="shared" si="509"/>
        <v/>
      </c>
      <c r="N1108" s="373" t="str">
        <f t="shared" si="510"/>
        <v/>
      </c>
      <c r="O1108" s="373">
        <f t="shared" si="511"/>
        <v>0</v>
      </c>
      <c r="P1108" s="373">
        <f t="shared" si="506"/>
        <v>0</v>
      </c>
    </row>
    <row r="1109" spans="1:16" s="3" customFormat="1" ht="12.75" customHeight="1">
      <c r="A1109" s="80" t="s">
        <v>839</v>
      </c>
      <c r="B1109" s="302" t="s">
        <v>698</v>
      </c>
      <c r="C1109" s="302" t="s">
        <v>1491</v>
      </c>
      <c r="D1109" s="116">
        <v>1050</v>
      </c>
      <c r="E1109" s="76"/>
      <c r="F1109" s="88">
        <f>SUM(D1109:E1109)</f>
        <v>1050</v>
      </c>
      <c r="G1109" s="116">
        <v>3370</v>
      </c>
      <c r="H1109" s="116"/>
      <c r="I1109" s="88">
        <f t="shared" si="491"/>
        <v>3370</v>
      </c>
      <c r="J1109" s="76"/>
      <c r="K1109" s="76"/>
      <c r="L1109" s="88">
        <f>SUM(J1109:K1109)</f>
        <v>0</v>
      </c>
      <c r="M1109" s="374">
        <f t="shared" si="509"/>
        <v>0</v>
      </c>
      <c r="N1109" s="374">
        <f t="shared" si="510"/>
        <v>0</v>
      </c>
      <c r="O1109" s="374">
        <f t="shared" si="511"/>
        <v>0</v>
      </c>
      <c r="P1109" s="374">
        <f t="shared" si="506"/>
        <v>0</v>
      </c>
    </row>
    <row r="1110" spans="1:16" s="3" customFormat="1" ht="12.75" customHeight="1">
      <c r="A1110" s="36" t="s">
        <v>935</v>
      </c>
      <c r="B1110" s="211" t="s">
        <v>701</v>
      </c>
      <c r="C1110" s="211" t="s">
        <v>1492</v>
      </c>
      <c r="D1110" s="38">
        <v>147900</v>
      </c>
      <c r="E1110" s="63"/>
      <c r="F1110" s="85">
        <f>SUM(D1110:E1110)</f>
        <v>147900</v>
      </c>
      <c r="G1110" s="38">
        <v>184300</v>
      </c>
      <c r="H1110" s="38"/>
      <c r="I1110" s="85">
        <f t="shared" si="491"/>
        <v>184300</v>
      </c>
      <c r="J1110" s="63"/>
      <c r="K1110" s="63"/>
      <c r="L1110" s="85">
        <f>SUM(J1110:K1110)</f>
        <v>0</v>
      </c>
      <c r="M1110" s="238">
        <f t="shared" si="509"/>
        <v>0</v>
      </c>
      <c r="N1110" s="238">
        <f t="shared" si="510"/>
        <v>0</v>
      </c>
      <c r="O1110" s="238">
        <f t="shared" si="511"/>
        <v>0</v>
      </c>
      <c r="P1110" s="238">
        <f t="shared" si="506"/>
        <v>0</v>
      </c>
    </row>
    <row r="1111" spans="1:16" s="3" customFormat="1" ht="12.75" customHeight="1">
      <c r="A1111" s="36" t="s">
        <v>791</v>
      </c>
      <c r="B1111" s="211" t="s">
        <v>151</v>
      </c>
      <c r="C1111" s="211" t="s">
        <v>2325</v>
      </c>
      <c r="D1111" s="38"/>
      <c r="E1111" s="63"/>
      <c r="F1111" s="85"/>
      <c r="G1111" s="38">
        <v>181900</v>
      </c>
      <c r="H1111" s="38"/>
      <c r="I1111" s="85">
        <f t="shared" si="491"/>
        <v>181900</v>
      </c>
      <c r="J1111" s="38"/>
      <c r="K1111" s="63"/>
      <c r="L1111" s="85"/>
      <c r="M1111" s="238" t="str">
        <f t="shared" si="509"/>
        <v/>
      </c>
      <c r="N1111" s="238" t="str">
        <f t="shared" si="510"/>
        <v/>
      </c>
      <c r="O1111" s="238">
        <f t="shared" si="511"/>
        <v>0</v>
      </c>
      <c r="P1111" s="238"/>
    </row>
    <row r="1112" spans="1:16" s="3" customFormat="1" ht="6" customHeight="1">
      <c r="A1112" s="36"/>
      <c r="B1112" s="33"/>
      <c r="C1112" s="211" t="s">
        <v>268</v>
      </c>
      <c r="D1112" s="38"/>
      <c r="E1112" s="63"/>
      <c r="F1112" s="89">
        <f t="shared" ref="F1112:F1115" si="514">SUM(D1112:E1112)</f>
        <v>0</v>
      </c>
      <c r="G1112" s="38"/>
      <c r="H1112" s="38"/>
      <c r="I1112" s="266">
        <f t="shared" si="491"/>
        <v>0</v>
      </c>
      <c r="J1112" s="89"/>
      <c r="K1112" s="63"/>
      <c r="L1112" s="89">
        <f t="shared" si="513"/>
        <v>0</v>
      </c>
      <c r="M1112" s="239" t="str">
        <f t="shared" si="509"/>
        <v/>
      </c>
      <c r="N1112" s="239" t="str">
        <f t="shared" si="510"/>
        <v/>
      </c>
      <c r="O1112" s="239" t="str">
        <f t="shared" si="511"/>
        <v/>
      </c>
      <c r="P1112" s="239" t="str">
        <f t="shared" ref="P1112:P1133" si="515">IF(I1112&gt;0,IF(L1112&gt;=0,L1112/I1112*100,""),"")</f>
        <v/>
      </c>
    </row>
    <row r="1113" spans="1:16" s="11" customFormat="1" ht="12.75">
      <c r="A1113" s="58" t="s">
        <v>498</v>
      </c>
      <c r="B1113" s="65" t="s">
        <v>265</v>
      </c>
      <c r="C1113" s="308" t="s">
        <v>940</v>
      </c>
      <c r="D1113" s="42">
        <f>SUM(D1115:D1118)</f>
        <v>1262970</v>
      </c>
      <c r="E1113" s="42">
        <f>SUM(E1115:E1118)</f>
        <v>0</v>
      </c>
      <c r="F1113" s="90">
        <f t="shared" si="514"/>
        <v>1262970</v>
      </c>
      <c r="G1113" s="55">
        <f>SUM(G1115:G1118)</f>
        <v>1316600</v>
      </c>
      <c r="H1113" s="55">
        <f>SUM(H1115:H1118)</f>
        <v>0</v>
      </c>
      <c r="I1113" s="60">
        <f t="shared" si="491"/>
        <v>1316600</v>
      </c>
      <c r="J1113" s="90">
        <f>SUM(J1115:J1118)</f>
        <v>1193200</v>
      </c>
      <c r="K1113" s="42">
        <f>SUM(K1115:K1118)</f>
        <v>0</v>
      </c>
      <c r="L1113" s="90">
        <f t="shared" si="513"/>
        <v>1193200</v>
      </c>
      <c r="M1113" s="227">
        <f t="shared" si="509"/>
        <v>94.47571993000625</v>
      </c>
      <c r="N1113" s="227">
        <f t="shared" si="510"/>
        <v>94.47571993000625</v>
      </c>
      <c r="O1113" s="227">
        <f t="shared" si="511"/>
        <v>90.627373537900652</v>
      </c>
      <c r="P1113" s="227">
        <f t="shared" si="515"/>
        <v>90.627373537900652</v>
      </c>
    </row>
    <row r="1114" spans="1:16" s="11" customFormat="1" hidden="1">
      <c r="A1114" s="36" t="s">
        <v>267</v>
      </c>
      <c r="B1114" s="184"/>
      <c r="C1114" s="320" t="s">
        <v>268</v>
      </c>
      <c r="D1114" s="38">
        <f>SUM(D1115:D1118)</f>
        <v>1262970</v>
      </c>
      <c r="E1114" s="77"/>
      <c r="F1114" s="63">
        <f t="shared" si="514"/>
        <v>1262970</v>
      </c>
      <c r="G1114" s="38">
        <f>SUM(G1115:G1118)</f>
        <v>1316600</v>
      </c>
      <c r="H1114" s="109"/>
      <c r="I1114" s="38">
        <f t="shared" si="491"/>
        <v>1316600</v>
      </c>
      <c r="J1114" s="63">
        <f>SUM(J1115:J1118)</f>
        <v>1193200</v>
      </c>
      <c r="K1114" s="77"/>
      <c r="L1114" s="63">
        <f t="shared" si="513"/>
        <v>1193200</v>
      </c>
      <c r="M1114" s="218">
        <f t="shared" si="509"/>
        <v>94.47571993000625</v>
      </c>
      <c r="N1114" s="218">
        <f t="shared" si="510"/>
        <v>94.47571993000625</v>
      </c>
      <c r="O1114" s="218">
        <f t="shared" si="511"/>
        <v>90.627373537900652</v>
      </c>
      <c r="P1114" s="218">
        <f t="shared" si="515"/>
        <v>90.627373537900652</v>
      </c>
    </row>
    <row r="1115" spans="1:16" s="11" customFormat="1" ht="12.75" customHeight="1">
      <c r="A1115" s="36" t="s">
        <v>180</v>
      </c>
      <c r="B1115" s="33" t="s">
        <v>419</v>
      </c>
      <c r="C1115" s="211" t="s">
        <v>1495</v>
      </c>
      <c r="D1115" s="38">
        <v>1262970</v>
      </c>
      <c r="E1115" s="77"/>
      <c r="F1115" s="63">
        <f t="shared" si="514"/>
        <v>1262970</v>
      </c>
      <c r="G1115" s="38">
        <v>1276600</v>
      </c>
      <c r="H1115" s="109"/>
      <c r="I1115" s="38">
        <f t="shared" si="491"/>
        <v>1276600</v>
      </c>
      <c r="J1115" s="63">
        <v>1168200</v>
      </c>
      <c r="K1115" s="77"/>
      <c r="L1115" s="63">
        <f t="shared" si="513"/>
        <v>1168200</v>
      </c>
      <c r="M1115" s="218">
        <f t="shared" si="509"/>
        <v>92.496258818499257</v>
      </c>
      <c r="N1115" s="218">
        <f t="shared" si="510"/>
        <v>92.496258818499257</v>
      </c>
      <c r="O1115" s="218">
        <f t="shared" si="511"/>
        <v>91.508694971016766</v>
      </c>
      <c r="P1115" s="218">
        <f t="shared" si="515"/>
        <v>91.508694971016766</v>
      </c>
    </row>
    <row r="1116" spans="1:16" s="11" customFormat="1" ht="12.75" customHeight="1">
      <c r="A1116" s="36" t="s">
        <v>2466</v>
      </c>
      <c r="B1116" s="33" t="s">
        <v>2451</v>
      </c>
      <c r="C1116" s="211"/>
      <c r="D1116" s="38"/>
      <c r="E1116" s="77"/>
      <c r="F1116" s="63"/>
      <c r="G1116" s="38"/>
      <c r="H1116" s="109"/>
      <c r="I1116" s="38"/>
      <c r="J1116" s="63">
        <v>25000</v>
      </c>
      <c r="K1116" s="77"/>
      <c r="L1116" s="63">
        <f t="shared" si="513"/>
        <v>25000</v>
      </c>
      <c r="M1116" s="218" t="str">
        <f t="shared" si="509"/>
        <v/>
      </c>
      <c r="N1116" s="218" t="str">
        <f t="shared" si="510"/>
        <v/>
      </c>
      <c r="O1116" s="218" t="str">
        <f t="shared" si="511"/>
        <v/>
      </c>
      <c r="P1116" s="218" t="str">
        <f t="shared" ref="P1116" si="516">IF(I1116&gt;0,IF(L1116&gt;=0,L1116/I1116*100,""),"")</f>
        <v/>
      </c>
    </row>
    <row r="1117" spans="1:16" s="3" customFormat="1" ht="12.75" customHeight="1">
      <c r="A1117" s="36" t="s">
        <v>375</v>
      </c>
      <c r="B1117" s="211" t="s">
        <v>150</v>
      </c>
      <c r="C1117" s="211" t="s">
        <v>1497</v>
      </c>
      <c r="D1117" s="38"/>
      <c r="E1117" s="63"/>
      <c r="F1117" s="85">
        <f t="shared" ref="F1117" si="517">SUM(D1117:E1117)</f>
        <v>0</v>
      </c>
      <c r="G1117" s="38">
        <v>40000</v>
      </c>
      <c r="H1117" s="38"/>
      <c r="I1117" s="85">
        <f>SUM(G1117:H1117)</f>
        <v>40000</v>
      </c>
      <c r="J1117" s="85"/>
      <c r="K1117" s="63"/>
      <c r="L1117" s="85">
        <f>SUM(J1117:K1117)</f>
        <v>0</v>
      </c>
      <c r="M1117" s="238" t="str">
        <f t="shared" si="509"/>
        <v/>
      </c>
      <c r="N1117" s="238" t="str">
        <f t="shared" si="510"/>
        <v/>
      </c>
      <c r="O1117" s="238">
        <f t="shared" si="511"/>
        <v>0</v>
      </c>
      <c r="P1117" s="238">
        <f>IF(I1117&gt;0,IF(L1117&gt;=0,L1117/I1117*100,""),"")</f>
        <v>0</v>
      </c>
    </row>
    <row r="1118" spans="1:16" s="11" customFormat="1" hidden="1">
      <c r="A1118" s="36" t="s">
        <v>368</v>
      </c>
      <c r="B1118" s="33" t="s">
        <v>418</v>
      </c>
      <c r="C1118" s="211" t="s">
        <v>1496</v>
      </c>
      <c r="D1118" s="38"/>
      <c r="E1118" s="77"/>
      <c r="F1118" s="63"/>
      <c r="G1118" s="38"/>
      <c r="H1118" s="109"/>
      <c r="I1118" s="38"/>
      <c r="J1118" s="38"/>
      <c r="K1118" s="77"/>
      <c r="L1118" s="63">
        <f t="shared" si="513"/>
        <v>0</v>
      </c>
      <c r="M1118" s="218" t="str">
        <f t="shared" si="509"/>
        <v/>
      </c>
      <c r="N1118" s="218" t="str">
        <f t="shared" si="510"/>
        <v/>
      </c>
      <c r="O1118" s="218" t="str">
        <f t="shared" si="511"/>
        <v/>
      </c>
      <c r="P1118" s="218" t="str">
        <f t="shared" si="515"/>
        <v/>
      </c>
    </row>
    <row r="1119" spans="1:16" s="3" customFormat="1" ht="6" customHeight="1">
      <c r="A1119" s="36"/>
      <c r="B1119" s="33"/>
      <c r="C1119" s="211" t="s">
        <v>268</v>
      </c>
      <c r="D1119" s="38"/>
      <c r="E1119" s="63"/>
      <c r="F1119" s="38"/>
      <c r="G1119" s="38"/>
      <c r="H1119" s="38"/>
      <c r="I1119" s="38"/>
      <c r="J1119" s="38"/>
      <c r="K1119" s="63"/>
      <c r="L1119" s="38"/>
      <c r="M1119" s="228" t="str">
        <f t="shared" si="509"/>
        <v/>
      </c>
      <c r="N1119" s="228" t="str">
        <f t="shared" si="510"/>
        <v/>
      </c>
      <c r="O1119" s="228" t="str">
        <f t="shared" si="511"/>
        <v/>
      </c>
      <c r="P1119" s="228" t="str">
        <f t="shared" si="515"/>
        <v/>
      </c>
    </row>
    <row r="1120" spans="1:16" s="11" customFormat="1" ht="12.75">
      <c r="A1120" s="58" t="s">
        <v>90</v>
      </c>
      <c r="B1120" s="65" t="s">
        <v>265</v>
      </c>
      <c r="C1120" s="308" t="s">
        <v>940</v>
      </c>
      <c r="D1120" s="42">
        <f>SUM(D1122:D1125)</f>
        <v>3932320</v>
      </c>
      <c r="E1120" s="42">
        <f>SUM(E1122:E1125)</f>
        <v>0</v>
      </c>
      <c r="F1120" s="90">
        <f t="shared" ref="F1120:F1122" si="518">SUM(D1120:E1120)</f>
        <v>3932320</v>
      </c>
      <c r="G1120" s="55">
        <f>SUM(G1122:G1125)</f>
        <v>4223410</v>
      </c>
      <c r="H1120" s="55">
        <f>SUM(H1122:H1125)</f>
        <v>0</v>
      </c>
      <c r="I1120" s="60">
        <f t="shared" ref="I1120:I1122" si="519">SUM(G1120:H1120)</f>
        <v>4223410</v>
      </c>
      <c r="J1120" s="90">
        <f>SUM(J1122:J1125)</f>
        <v>4585390</v>
      </c>
      <c r="K1120" s="42">
        <f>SUM(K1122:K1125)</f>
        <v>0</v>
      </c>
      <c r="L1120" s="90">
        <f t="shared" ref="L1120:L1122" si="520">SUM(J1120:K1120)</f>
        <v>4585390</v>
      </c>
      <c r="M1120" s="227">
        <f t="shared" si="509"/>
        <v>116.60775318387108</v>
      </c>
      <c r="N1120" s="227">
        <f t="shared" si="510"/>
        <v>116.60775318387108</v>
      </c>
      <c r="O1120" s="227">
        <f t="shared" si="511"/>
        <v>108.5707994251091</v>
      </c>
      <c r="P1120" s="227">
        <f t="shared" si="515"/>
        <v>108.5707994251091</v>
      </c>
    </row>
    <row r="1121" spans="1:16" s="11" customFormat="1" hidden="1">
      <c r="A1121" s="36" t="s">
        <v>267</v>
      </c>
      <c r="B1121" s="184"/>
      <c r="C1121" s="320" t="s">
        <v>268</v>
      </c>
      <c r="D1121" s="38">
        <f>SUM(D1122:D1125)</f>
        <v>3932320</v>
      </c>
      <c r="E1121" s="77"/>
      <c r="F1121" s="63">
        <f t="shared" si="518"/>
        <v>3932320</v>
      </c>
      <c r="G1121" s="38">
        <f>SUM(G1122:G1125)</f>
        <v>4223410</v>
      </c>
      <c r="H1121" s="109"/>
      <c r="I1121" s="38">
        <f t="shared" si="519"/>
        <v>4223410</v>
      </c>
      <c r="J1121" s="63">
        <f>SUM(J1122:J1125)</f>
        <v>4585390</v>
      </c>
      <c r="K1121" s="77"/>
      <c r="L1121" s="63">
        <f t="shared" si="520"/>
        <v>4585390</v>
      </c>
      <c r="M1121" s="218">
        <f t="shared" si="509"/>
        <v>116.60775318387108</v>
      </c>
      <c r="N1121" s="218">
        <f t="shared" si="510"/>
        <v>116.60775318387108</v>
      </c>
      <c r="O1121" s="218">
        <f t="shared" si="511"/>
        <v>108.5707994251091</v>
      </c>
      <c r="P1121" s="218">
        <f t="shared" si="515"/>
        <v>108.5707994251091</v>
      </c>
    </row>
    <row r="1122" spans="1:16" s="11" customFormat="1" ht="12.75" customHeight="1">
      <c r="A1122" s="36" t="s">
        <v>180</v>
      </c>
      <c r="B1122" s="33" t="s">
        <v>419</v>
      </c>
      <c r="C1122" s="211" t="s">
        <v>1498</v>
      </c>
      <c r="D1122" s="38">
        <v>3924320</v>
      </c>
      <c r="E1122" s="77"/>
      <c r="F1122" s="63">
        <f t="shared" si="518"/>
        <v>3924320</v>
      </c>
      <c r="G1122" s="38">
        <v>4088210</v>
      </c>
      <c r="H1122" s="109"/>
      <c r="I1122" s="38">
        <f t="shared" si="519"/>
        <v>4088210</v>
      </c>
      <c r="J1122" s="63">
        <v>4556390</v>
      </c>
      <c r="K1122" s="77"/>
      <c r="L1122" s="63">
        <f t="shared" si="520"/>
        <v>4556390</v>
      </c>
      <c r="M1122" s="218">
        <f t="shared" si="509"/>
        <v>116.10648469034126</v>
      </c>
      <c r="N1122" s="218">
        <f t="shared" si="510"/>
        <v>116.10648469034126</v>
      </c>
      <c r="O1122" s="218">
        <f t="shared" si="511"/>
        <v>111.45195574591324</v>
      </c>
      <c r="P1122" s="218">
        <f t="shared" si="515"/>
        <v>111.45195574591324</v>
      </c>
    </row>
    <row r="1123" spans="1:16" s="11" customFormat="1" ht="12.75" customHeight="1">
      <c r="A1123" s="36" t="s">
        <v>651</v>
      </c>
      <c r="B1123" s="33" t="s">
        <v>650</v>
      </c>
      <c r="C1123" s="211" t="s">
        <v>1501</v>
      </c>
      <c r="D1123" s="38"/>
      <c r="E1123" s="77"/>
      <c r="F1123" s="63"/>
      <c r="G1123" s="38">
        <v>2200</v>
      </c>
      <c r="H1123" s="109"/>
      <c r="I1123" s="38">
        <f>SUM(G1123:H1123)</f>
        <v>2200</v>
      </c>
      <c r="J1123" s="63">
        <v>20000</v>
      </c>
      <c r="K1123" s="77"/>
      <c r="L1123" s="63">
        <f>SUM(J1123:K1123)</f>
        <v>20000</v>
      </c>
      <c r="M1123" s="218" t="str">
        <f t="shared" si="509"/>
        <v/>
      </c>
      <c r="N1123" s="218" t="str">
        <f t="shared" si="510"/>
        <v/>
      </c>
      <c r="O1123" s="218">
        <f t="shared" si="511"/>
        <v>909.09090909090912</v>
      </c>
      <c r="P1123" s="218">
        <f>IF(I1123&gt;0,IF(L1123&gt;=0,L1123/I1123*100,""),"")</f>
        <v>909.09090909090912</v>
      </c>
    </row>
    <row r="1124" spans="1:16" s="3" customFormat="1" ht="12.75" customHeight="1">
      <c r="A1124" s="36" t="s">
        <v>375</v>
      </c>
      <c r="B1124" s="33" t="s">
        <v>150</v>
      </c>
      <c r="C1124" s="211" t="s">
        <v>1499</v>
      </c>
      <c r="D1124" s="38">
        <v>8000</v>
      </c>
      <c r="E1124" s="63"/>
      <c r="F1124" s="38">
        <f>SUM(D1124:E1124)</f>
        <v>8000</v>
      </c>
      <c r="G1124" s="38">
        <v>103000</v>
      </c>
      <c r="H1124" s="38"/>
      <c r="I1124" s="38">
        <f>SUM(G1124:H1124)</f>
        <v>103000</v>
      </c>
      <c r="J1124" s="63">
        <v>9000</v>
      </c>
      <c r="K1124" s="63"/>
      <c r="L1124" s="38">
        <f>SUM(J1124:K1124)</f>
        <v>9000</v>
      </c>
      <c r="M1124" s="228">
        <f t="shared" si="509"/>
        <v>112.5</v>
      </c>
      <c r="N1124" s="228">
        <f t="shared" si="510"/>
        <v>112.5</v>
      </c>
      <c r="O1124" s="228">
        <f t="shared" si="511"/>
        <v>8.7378640776699026</v>
      </c>
      <c r="P1124" s="228">
        <f>IF(I1124&gt;0,IF(L1124&gt;=0,L1124/I1124*100,""),"")</f>
        <v>8.7378640776699026</v>
      </c>
    </row>
    <row r="1125" spans="1:16" s="11" customFormat="1" ht="12.75" customHeight="1">
      <c r="A1125" s="36" t="s">
        <v>368</v>
      </c>
      <c r="B1125" s="211" t="s">
        <v>418</v>
      </c>
      <c r="C1125" s="211" t="s">
        <v>1500</v>
      </c>
      <c r="D1125" s="38"/>
      <c r="E1125" s="77"/>
      <c r="F1125" s="63"/>
      <c r="G1125" s="38">
        <v>30000</v>
      </c>
      <c r="H1125" s="109"/>
      <c r="I1125" s="38">
        <f>SUM(G1125:H1125)</f>
        <v>30000</v>
      </c>
      <c r="J1125" s="63"/>
      <c r="K1125" s="77"/>
      <c r="L1125" s="63">
        <f>SUM(J1125:K1125)</f>
        <v>0</v>
      </c>
      <c r="M1125" s="218" t="str">
        <f t="shared" si="509"/>
        <v/>
      </c>
      <c r="N1125" s="218" t="str">
        <f t="shared" si="510"/>
        <v/>
      </c>
      <c r="O1125" s="218">
        <f t="shared" si="511"/>
        <v>0</v>
      </c>
      <c r="P1125" s="218">
        <f t="shared" si="515"/>
        <v>0</v>
      </c>
    </row>
    <row r="1126" spans="1:16" s="11" customFormat="1" ht="6" customHeight="1">
      <c r="A1126" s="36"/>
      <c r="B1126" s="33"/>
      <c r="C1126" s="211" t="s">
        <v>268</v>
      </c>
      <c r="D1126" s="38"/>
      <c r="E1126" s="77"/>
      <c r="F1126" s="63"/>
      <c r="G1126" s="38"/>
      <c r="H1126" s="109"/>
      <c r="I1126" s="38"/>
      <c r="J1126" s="63"/>
      <c r="K1126" s="77"/>
      <c r="L1126" s="63"/>
      <c r="M1126" s="218" t="str">
        <f t="shared" si="509"/>
        <v/>
      </c>
      <c r="N1126" s="218" t="str">
        <f t="shared" si="510"/>
        <v/>
      </c>
      <c r="O1126" s="218" t="str">
        <f t="shared" si="511"/>
        <v/>
      </c>
      <c r="P1126" s="218" t="str">
        <f t="shared" si="515"/>
        <v/>
      </c>
    </row>
    <row r="1127" spans="1:16" s="11" customFormat="1" ht="12.75">
      <c r="A1127" s="58" t="s">
        <v>499</v>
      </c>
      <c r="B1127" s="65" t="s">
        <v>265</v>
      </c>
      <c r="C1127" s="308" t="s">
        <v>940</v>
      </c>
      <c r="D1127" s="42">
        <f>SUM(D1129:D1134)</f>
        <v>3322420</v>
      </c>
      <c r="E1127" s="42">
        <f>SUM(E1129:E1134)</f>
        <v>0</v>
      </c>
      <c r="F1127" s="42">
        <f>SUM(D1127:E1127)</f>
        <v>3322420</v>
      </c>
      <c r="G1127" s="55">
        <f>SUM(G1129:G1134)</f>
        <v>3553950</v>
      </c>
      <c r="H1127" s="55">
        <f>SUM(H1129:H1134)</f>
        <v>0</v>
      </c>
      <c r="I1127" s="55">
        <f>SUM(G1127:H1127)</f>
        <v>3553950</v>
      </c>
      <c r="J1127" s="42">
        <f>SUM(J1129:J1135)</f>
        <v>3846740</v>
      </c>
      <c r="K1127" s="42">
        <f>SUM(K1129:K1134)</f>
        <v>0</v>
      </c>
      <c r="L1127" s="42">
        <f>SUM(J1127:K1127)</f>
        <v>3846740</v>
      </c>
      <c r="M1127" s="225">
        <f t="shared" si="509"/>
        <v>115.78126787100969</v>
      </c>
      <c r="N1127" s="225">
        <f t="shared" si="510"/>
        <v>115.78126787100969</v>
      </c>
      <c r="O1127" s="225">
        <f t="shared" si="511"/>
        <v>108.23843892007486</v>
      </c>
      <c r="P1127" s="225">
        <f t="shared" si="515"/>
        <v>108.23843892007486</v>
      </c>
    </row>
    <row r="1128" spans="1:16" s="11" customFormat="1" hidden="1">
      <c r="A1128" s="36" t="s">
        <v>267</v>
      </c>
      <c r="B1128" s="184"/>
      <c r="C1128" s="320" t="s">
        <v>268</v>
      </c>
      <c r="D1128" s="38">
        <f>SUM(D1129:D1134)</f>
        <v>3322420</v>
      </c>
      <c r="E1128" s="77"/>
      <c r="F1128" s="48">
        <f>E1128+D1128</f>
        <v>3322420</v>
      </c>
      <c r="G1128" s="38">
        <f>SUM(G1129:G1134)</f>
        <v>3553950</v>
      </c>
      <c r="H1128" s="109"/>
      <c r="I1128" s="85">
        <f t="shared" ref="I1128:I1134" si="521">H1128+G1128</f>
        <v>3553950</v>
      </c>
      <c r="J1128" s="48">
        <f>SUM(J1129:J1134)</f>
        <v>3846740</v>
      </c>
      <c r="K1128" s="77"/>
      <c r="L1128" s="48">
        <f>K1128+J1128</f>
        <v>3846740</v>
      </c>
      <c r="M1128" s="219">
        <f t="shared" si="509"/>
        <v>115.78126787100969</v>
      </c>
      <c r="N1128" s="219">
        <f t="shared" si="510"/>
        <v>115.78126787100969</v>
      </c>
      <c r="O1128" s="219">
        <f t="shared" si="511"/>
        <v>108.23843892007486</v>
      </c>
      <c r="P1128" s="219">
        <f t="shared" si="515"/>
        <v>108.23843892007486</v>
      </c>
    </row>
    <row r="1129" spans="1:16" s="7" customFormat="1" ht="12.75" customHeight="1">
      <c r="A1129" s="36" t="s">
        <v>180</v>
      </c>
      <c r="B1129" s="33" t="s">
        <v>419</v>
      </c>
      <c r="C1129" s="211" t="s">
        <v>1502</v>
      </c>
      <c r="D1129" s="63">
        <v>3315420</v>
      </c>
      <c r="E1129" s="63"/>
      <c r="F1129" s="48">
        <f>E1129+D1129</f>
        <v>3315420</v>
      </c>
      <c r="G1129" s="38">
        <v>3351450</v>
      </c>
      <c r="H1129" s="38"/>
      <c r="I1129" s="85">
        <f t="shared" si="521"/>
        <v>3351450</v>
      </c>
      <c r="J1129" s="63">
        <v>3831740</v>
      </c>
      <c r="K1129" s="63"/>
      <c r="L1129" s="48">
        <f>K1129+J1129</f>
        <v>3831740</v>
      </c>
      <c r="M1129" s="219">
        <f t="shared" si="509"/>
        <v>115.5732908651091</v>
      </c>
      <c r="N1129" s="219">
        <f t="shared" si="510"/>
        <v>115.5732908651091</v>
      </c>
      <c r="O1129" s="219">
        <f t="shared" si="511"/>
        <v>114.33081203658118</v>
      </c>
      <c r="P1129" s="219">
        <f t="shared" si="515"/>
        <v>114.33081203658118</v>
      </c>
    </row>
    <row r="1130" spans="1:16" s="7" customFormat="1" ht="12.75" customHeight="1">
      <c r="A1130" s="36" t="s">
        <v>2073</v>
      </c>
      <c r="B1130" s="33" t="s">
        <v>624</v>
      </c>
      <c r="C1130" s="211" t="s">
        <v>2171</v>
      </c>
      <c r="D1130" s="63"/>
      <c r="E1130" s="63"/>
      <c r="F1130" s="48"/>
      <c r="G1130" s="38">
        <v>5000</v>
      </c>
      <c r="H1130" s="38"/>
      <c r="I1130" s="85">
        <f>H1130+G1130</f>
        <v>5000</v>
      </c>
      <c r="J1130" s="63">
        <v>6000</v>
      </c>
      <c r="K1130" s="63"/>
      <c r="L1130" s="48">
        <f>K1130+J1130</f>
        <v>6000</v>
      </c>
      <c r="M1130" s="219" t="str">
        <f t="shared" si="509"/>
        <v/>
      </c>
      <c r="N1130" s="219" t="str">
        <f t="shared" si="510"/>
        <v/>
      </c>
      <c r="O1130" s="219">
        <f t="shared" si="511"/>
        <v>120</v>
      </c>
      <c r="P1130" s="219"/>
    </row>
    <row r="1131" spans="1:16" s="7" customFormat="1" ht="12.75" customHeight="1">
      <c r="A1131" s="36" t="s">
        <v>651</v>
      </c>
      <c r="B1131" s="33" t="s">
        <v>650</v>
      </c>
      <c r="C1131" s="211" t="s">
        <v>1503</v>
      </c>
      <c r="D1131" s="63">
        <v>2000</v>
      </c>
      <c r="E1131" s="63"/>
      <c r="F1131" s="48">
        <f>E1131+D1131</f>
        <v>2000</v>
      </c>
      <c r="G1131" s="38">
        <v>2000</v>
      </c>
      <c r="H1131" s="38"/>
      <c r="I1131" s="85">
        <f>H1131+G1131</f>
        <v>2000</v>
      </c>
      <c r="J1131" s="63">
        <v>3000</v>
      </c>
      <c r="K1131" s="63"/>
      <c r="L1131" s="48">
        <f>K1131+J1131</f>
        <v>3000</v>
      </c>
      <c r="M1131" s="219">
        <f t="shared" si="509"/>
        <v>150</v>
      </c>
      <c r="N1131" s="219">
        <f t="shared" si="510"/>
        <v>150</v>
      </c>
      <c r="O1131" s="219">
        <f t="shared" si="511"/>
        <v>150</v>
      </c>
      <c r="P1131" s="219">
        <f>IF(I1131&gt;0,IF(L1131&gt;=0,L1131/I1131*100,""),"")</f>
        <v>150</v>
      </c>
    </row>
    <row r="1132" spans="1:16" s="7" customFormat="1" ht="12.75" customHeight="1">
      <c r="A1132" s="36" t="s">
        <v>375</v>
      </c>
      <c r="B1132" s="33" t="s">
        <v>150</v>
      </c>
      <c r="C1132" s="211" t="s">
        <v>1504</v>
      </c>
      <c r="D1132" s="63">
        <v>5000</v>
      </c>
      <c r="E1132" s="63"/>
      <c r="F1132" s="48">
        <f>E1132+D1132</f>
        <v>5000</v>
      </c>
      <c r="G1132" s="38">
        <v>138000</v>
      </c>
      <c r="H1132" s="38"/>
      <c r="I1132" s="85">
        <f>H1132+G1132</f>
        <v>138000</v>
      </c>
      <c r="J1132" s="63">
        <v>6000</v>
      </c>
      <c r="K1132" s="63"/>
      <c r="L1132" s="48">
        <f>K1132+J1132</f>
        <v>6000</v>
      </c>
      <c r="M1132" s="219">
        <f t="shared" si="509"/>
        <v>120</v>
      </c>
      <c r="N1132" s="219">
        <f t="shared" si="510"/>
        <v>120</v>
      </c>
      <c r="O1132" s="219">
        <f t="shared" si="511"/>
        <v>4.3478260869565215</v>
      </c>
      <c r="P1132" s="219">
        <f>IF(I1132&gt;0,IF(L1132&gt;=0,L1132/I1132*100,""),"")</f>
        <v>4.3478260869565215</v>
      </c>
    </row>
    <row r="1133" spans="1:16" s="7" customFormat="1" ht="12.75" customHeight="1">
      <c r="A1133" s="36" t="s">
        <v>368</v>
      </c>
      <c r="B1133" s="211" t="s">
        <v>418</v>
      </c>
      <c r="C1133" s="211" t="s">
        <v>1505</v>
      </c>
      <c r="D1133" s="63"/>
      <c r="E1133" s="63"/>
      <c r="F1133" s="48"/>
      <c r="G1133" s="38">
        <v>40000</v>
      </c>
      <c r="H1133" s="38"/>
      <c r="I1133" s="85">
        <f t="shared" si="521"/>
        <v>40000</v>
      </c>
      <c r="J1133" s="63"/>
      <c r="K1133" s="63"/>
      <c r="L1133" s="48">
        <f t="shared" ref="L1133:L1134" si="522">K1133+J1133</f>
        <v>0</v>
      </c>
      <c r="M1133" s="219" t="str">
        <f t="shared" si="509"/>
        <v/>
      </c>
      <c r="N1133" s="219" t="str">
        <f t="shared" si="510"/>
        <v/>
      </c>
      <c r="O1133" s="219">
        <f t="shared" si="511"/>
        <v>0</v>
      </c>
      <c r="P1133" s="219">
        <f t="shared" si="515"/>
        <v>0</v>
      </c>
    </row>
    <row r="1134" spans="1:16" s="7" customFormat="1" ht="12.75" customHeight="1">
      <c r="A1134" s="36" t="s">
        <v>358</v>
      </c>
      <c r="B1134" s="211" t="s">
        <v>417</v>
      </c>
      <c r="C1134" s="211" t="s">
        <v>2324</v>
      </c>
      <c r="D1134" s="63"/>
      <c r="E1134" s="63"/>
      <c r="F1134" s="48"/>
      <c r="G1134" s="38">
        <v>17500</v>
      </c>
      <c r="H1134" s="38"/>
      <c r="I1134" s="85">
        <f t="shared" si="521"/>
        <v>17500</v>
      </c>
      <c r="J1134" s="63"/>
      <c r="K1134" s="63"/>
      <c r="L1134" s="48">
        <f t="shared" si="522"/>
        <v>0</v>
      </c>
      <c r="M1134" s="219" t="str">
        <f t="shared" si="509"/>
        <v/>
      </c>
      <c r="N1134" s="219" t="str">
        <f t="shared" si="510"/>
        <v/>
      </c>
      <c r="O1134" s="219">
        <f t="shared" si="511"/>
        <v>0</v>
      </c>
      <c r="P1134" s="219"/>
    </row>
    <row r="1135" spans="1:16" s="11" customFormat="1" ht="6" customHeight="1">
      <c r="A1135" s="36"/>
      <c r="B1135" s="33"/>
      <c r="C1135" s="211" t="s">
        <v>268</v>
      </c>
      <c r="D1135" s="38"/>
      <c r="E1135" s="77"/>
      <c r="F1135" s="63"/>
      <c r="G1135" s="38"/>
      <c r="H1135" s="109"/>
      <c r="I1135" s="38"/>
      <c r="J1135" s="63"/>
      <c r="K1135" s="77"/>
      <c r="L1135" s="63"/>
      <c r="M1135" s="218" t="str">
        <f t="shared" si="509"/>
        <v/>
      </c>
      <c r="N1135" s="218" t="str">
        <f t="shared" si="510"/>
        <v/>
      </c>
      <c r="O1135" s="218" t="str">
        <f t="shared" si="511"/>
        <v/>
      </c>
      <c r="P1135" s="218" t="str">
        <f t="shared" ref="P1135:P1138" si="523">IF(I1135&gt;0,IF(L1135&gt;=0,L1135/I1135*100,""),"")</f>
        <v/>
      </c>
    </row>
    <row r="1136" spans="1:16" s="11" customFormat="1" ht="12.75">
      <c r="A1136" s="58" t="s">
        <v>751</v>
      </c>
      <c r="B1136" s="65" t="s">
        <v>265</v>
      </c>
      <c r="C1136" s="308" t="s">
        <v>940</v>
      </c>
      <c r="D1136" s="42">
        <f>SUM(D1138:D1142)</f>
        <v>3496400</v>
      </c>
      <c r="E1136" s="42">
        <f>SUM(E1138:E1142)</f>
        <v>0</v>
      </c>
      <c r="F1136" s="42">
        <f t="shared" ref="F1136:F1142" si="524">SUM(D1136:E1136)</f>
        <v>3496400</v>
      </c>
      <c r="G1136" s="55">
        <f>SUM(G1138:G1143)</f>
        <v>3824870</v>
      </c>
      <c r="H1136" s="55">
        <f>SUM(H1138:H1142)</f>
        <v>0</v>
      </c>
      <c r="I1136" s="55">
        <f t="shared" ref="I1136:I1142" si="525">SUM(G1136:H1136)</f>
        <v>3824870</v>
      </c>
      <c r="J1136" s="42">
        <f>SUM(J1138:J1144)</f>
        <v>3857420</v>
      </c>
      <c r="K1136" s="42">
        <f>SUM(K1138:K1142)</f>
        <v>0</v>
      </c>
      <c r="L1136" s="42">
        <f t="shared" ref="L1136:L1142" si="526">SUM(J1136:K1136)</f>
        <v>3857420</v>
      </c>
      <c r="M1136" s="225">
        <f t="shared" si="509"/>
        <v>110.32547763413798</v>
      </c>
      <c r="N1136" s="225">
        <f t="shared" si="510"/>
        <v>110.32547763413798</v>
      </c>
      <c r="O1136" s="225">
        <f t="shared" si="511"/>
        <v>100.85100931534927</v>
      </c>
      <c r="P1136" s="225">
        <f t="shared" si="523"/>
        <v>100.85100931534927</v>
      </c>
    </row>
    <row r="1137" spans="1:16" s="7" customFormat="1" hidden="1">
      <c r="A1137" s="36" t="s">
        <v>267</v>
      </c>
      <c r="B1137" s="44"/>
      <c r="C1137" s="304" t="s">
        <v>268</v>
      </c>
      <c r="D1137" s="63">
        <f>SUM(D1138:D1142)</f>
        <v>3496400</v>
      </c>
      <c r="E1137" s="63"/>
      <c r="F1137" s="63">
        <f t="shared" si="524"/>
        <v>3496400</v>
      </c>
      <c r="G1137" s="38">
        <f>SUM(G1138:G1142)</f>
        <v>3824870</v>
      </c>
      <c r="H1137" s="38"/>
      <c r="I1137" s="38">
        <f t="shared" si="525"/>
        <v>3824870</v>
      </c>
      <c r="J1137" s="63">
        <f>SUM(J1138:J1142)</f>
        <v>3857420</v>
      </c>
      <c r="K1137" s="63"/>
      <c r="L1137" s="63">
        <f t="shared" si="526"/>
        <v>3857420</v>
      </c>
      <c r="M1137" s="218">
        <f t="shared" si="509"/>
        <v>110.32547763413798</v>
      </c>
      <c r="N1137" s="218">
        <f t="shared" si="510"/>
        <v>110.32547763413798</v>
      </c>
      <c r="O1137" s="218">
        <f t="shared" si="511"/>
        <v>100.85100931534927</v>
      </c>
      <c r="P1137" s="218">
        <f t="shared" si="523"/>
        <v>100.85100931534927</v>
      </c>
    </row>
    <row r="1138" spans="1:16" s="11" customFormat="1" ht="12.75" customHeight="1">
      <c r="A1138" s="36" t="s">
        <v>180</v>
      </c>
      <c r="B1138" s="33" t="s">
        <v>419</v>
      </c>
      <c r="C1138" s="211" t="s">
        <v>1506</v>
      </c>
      <c r="D1138" s="63">
        <v>3485400</v>
      </c>
      <c r="E1138" s="63"/>
      <c r="F1138" s="63">
        <f t="shared" si="524"/>
        <v>3485400</v>
      </c>
      <c r="G1138" s="38">
        <v>3693870</v>
      </c>
      <c r="H1138" s="38"/>
      <c r="I1138" s="38">
        <f t="shared" si="525"/>
        <v>3693870</v>
      </c>
      <c r="J1138" s="63">
        <v>3825420</v>
      </c>
      <c r="K1138" s="63"/>
      <c r="L1138" s="63">
        <f t="shared" si="526"/>
        <v>3825420</v>
      </c>
      <c r="M1138" s="218">
        <f t="shared" si="509"/>
        <v>109.75555173007403</v>
      </c>
      <c r="N1138" s="218">
        <f t="shared" si="510"/>
        <v>109.75555173007403</v>
      </c>
      <c r="O1138" s="218">
        <f t="shared" si="511"/>
        <v>103.56130562255845</v>
      </c>
      <c r="P1138" s="218">
        <f t="shared" si="523"/>
        <v>103.56130562255845</v>
      </c>
    </row>
    <row r="1139" spans="1:16" s="11" customFormat="1" ht="12.75" customHeight="1">
      <c r="A1139" s="36" t="s">
        <v>2466</v>
      </c>
      <c r="B1139" s="33" t="s">
        <v>2451</v>
      </c>
      <c r="C1139" s="211"/>
      <c r="D1139" s="63"/>
      <c r="E1139" s="63"/>
      <c r="F1139" s="63"/>
      <c r="G1139" s="38"/>
      <c r="H1139" s="38"/>
      <c r="I1139" s="38"/>
      <c r="J1139" s="63">
        <f>3750+21250</f>
        <v>25000</v>
      </c>
      <c r="K1139" s="63"/>
      <c r="L1139" s="63">
        <f t="shared" ref="L1139" si="527">SUM(J1139:K1139)</f>
        <v>25000</v>
      </c>
      <c r="M1139" s="218" t="str">
        <f t="shared" si="509"/>
        <v/>
      </c>
      <c r="N1139" s="218" t="str">
        <f t="shared" si="510"/>
        <v/>
      </c>
      <c r="O1139" s="218" t="str">
        <f t="shared" si="511"/>
        <v/>
      </c>
      <c r="P1139" s="218" t="str">
        <f t="shared" ref="P1139" si="528">IF(I1139&gt;0,IF(L1139&gt;=0,L1139/I1139*100,""),"")</f>
        <v/>
      </c>
    </row>
    <row r="1140" spans="1:16" s="11" customFormat="1" ht="12.75" customHeight="1">
      <c r="A1140" s="36" t="s">
        <v>375</v>
      </c>
      <c r="B1140" s="33" t="s">
        <v>150</v>
      </c>
      <c r="C1140" s="211" t="s">
        <v>1508</v>
      </c>
      <c r="D1140" s="63">
        <v>6000</v>
      </c>
      <c r="E1140" s="63"/>
      <c r="F1140" s="63">
        <f>SUM(D1140:E1140)</f>
        <v>6000</v>
      </c>
      <c r="G1140" s="38">
        <v>99000</v>
      </c>
      <c r="H1140" s="38"/>
      <c r="I1140" s="38">
        <f>SUM(G1140:H1140)</f>
        <v>99000</v>
      </c>
      <c r="J1140" s="63">
        <v>7000</v>
      </c>
      <c r="K1140" s="63"/>
      <c r="L1140" s="63">
        <f>SUM(J1140:K1140)</f>
        <v>7000</v>
      </c>
      <c r="M1140" s="218">
        <f t="shared" si="509"/>
        <v>116.66666666666667</v>
      </c>
      <c r="N1140" s="218">
        <f t="shared" si="510"/>
        <v>116.66666666666667</v>
      </c>
      <c r="O1140" s="218">
        <f t="shared" si="511"/>
        <v>7.0707070707070701</v>
      </c>
      <c r="P1140" s="218">
        <f>IF(I1140&gt;0,IF(L1140&gt;=0,L1140/I1140*100,""),"")</f>
        <v>7.0707070707070701</v>
      </c>
    </row>
    <row r="1141" spans="1:16" s="11" customFormat="1" ht="12.75" customHeight="1">
      <c r="A1141" s="36" t="s">
        <v>2347</v>
      </c>
      <c r="B1141" s="211" t="s">
        <v>2346</v>
      </c>
      <c r="C1141" s="211" t="s">
        <v>2328</v>
      </c>
      <c r="D1141" s="63"/>
      <c r="E1141" s="63"/>
      <c r="F1141" s="63"/>
      <c r="G1141" s="38">
        <v>27000</v>
      </c>
      <c r="H1141" s="38"/>
      <c r="I1141" s="38">
        <f t="shared" si="525"/>
        <v>27000</v>
      </c>
      <c r="J1141" s="63"/>
      <c r="K1141" s="63"/>
      <c r="L1141" s="63"/>
      <c r="M1141" s="218" t="str">
        <f t="shared" si="509"/>
        <v/>
      </c>
      <c r="N1141" s="218" t="str">
        <f t="shared" si="510"/>
        <v/>
      </c>
      <c r="O1141" s="218">
        <f t="shared" si="511"/>
        <v>0</v>
      </c>
      <c r="P1141" s="218"/>
    </row>
    <row r="1142" spans="1:16" s="11" customFormat="1" ht="12.75" customHeight="1">
      <c r="A1142" s="36" t="s">
        <v>651</v>
      </c>
      <c r="B1142" s="211" t="s">
        <v>650</v>
      </c>
      <c r="C1142" s="211" t="s">
        <v>1507</v>
      </c>
      <c r="D1142" s="63">
        <v>5000</v>
      </c>
      <c r="E1142" s="63"/>
      <c r="F1142" s="63">
        <f t="shared" si="524"/>
        <v>5000</v>
      </c>
      <c r="G1142" s="38">
        <v>5000</v>
      </c>
      <c r="H1142" s="38"/>
      <c r="I1142" s="38">
        <f t="shared" si="525"/>
        <v>5000</v>
      </c>
      <c r="J1142" s="63"/>
      <c r="K1142" s="63"/>
      <c r="L1142" s="63">
        <f t="shared" si="526"/>
        <v>0</v>
      </c>
      <c r="M1142" s="218">
        <f t="shared" si="509"/>
        <v>0</v>
      </c>
      <c r="N1142" s="218">
        <f t="shared" si="510"/>
        <v>0</v>
      </c>
      <c r="O1142" s="218">
        <f t="shared" si="511"/>
        <v>0</v>
      </c>
      <c r="P1142" s="218">
        <f t="shared" ref="P1142:P1154" si="529">IF(I1142&gt;0,IF(L1142&gt;=0,L1142/I1142*100,""),"")</f>
        <v>0</v>
      </c>
    </row>
    <row r="1143" spans="1:16" s="11" customFormat="1" hidden="1">
      <c r="A1143" s="36" t="s">
        <v>791</v>
      </c>
      <c r="B1143" s="33" t="s">
        <v>151</v>
      </c>
      <c r="C1143" s="211" t="s">
        <v>1509</v>
      </c>
      <c r="D1143" s="63"/>
      <c r="E1143" s="63"/>
      <c r="F1143" s="63"/>
      <c r="G1143" s="38"/>
      <c r="H1143" s="38"/>
      <c r="I1143" s="38"/>
      <c r="J1143" s="63"/>
      <c r="K1143" s="63"/>
      <c r="L1143" s="63"/>
      <c r="M1143" s="218" t="str">
        <f t="shared" si="509"/>
        <v/>
      </c>
      <c r="N1143" s="218" t="str">
        <f t="shared" si="510"/>
        <v/>
      </c>
      <c r="O1143" s="218" t="str">
        <f t="shared" si="511"/>
        <v/>
      </c>
      <c r="P1143" s="218" t="str">
        <f t="shared" si="529"/>
        <v/>
      </c>
    </row>
    <row r="1144" spans="1:16" s="11" customFormat="1" ht="6" customHeight="1">
      <c r="A1144" s="36"/>
      <c r="B1144" s="33"/>
      <c r="C1144" s="211" t="s">
        <v>268</v>
      </c>
      <c r="D1144" s="38"/>
      <c r="E1144" s="77"/>
      <c r="F1144" s="63"/>
      <c r="G1144" s="38"/>
      <c r="H1144" s="109"/>
      <c r="I1144" s="38"/>
      <c r="J1144" s="63"/>
      <c r="K1144" s="77"/>
      <c r="L1144" s="63"/>
      <c r="M1144" s="218" t="str">
        <f t="shared" si="509"/>
        <v/>
      </c>
      <c r="N1144" s="218" t="str">
        <f t="shared" si="510"/>
        <v/>
      </c>
      <c r="O1144" s="218" t="str">
        <f t="shared" si="511"/>
        <v/>
      </c>
      <c r="P1144" s="218" t="str">
        <f t="shared" si="529"/>
        <v/>
      </c>
    </row>
    <row r="1145" spans="1:16" s="11" customFormat="1" ht="12.75">
      <c r="A1145" s="58" t="s">
        <v>752</v>
      </c>
      <c r="B1145" s="65" t="s">
        <v>265</v>
      </c>
      <c r="C1145" s="308" t="s">
        <v>940</v>
      </c>
      <c r="D1145" s="42">
        <f>SUM(D1147:D1154)</f>
        <v>4027280</v>
      </c>
      <c r="E1145" s="42">
        <f>SUM(E1147:E1154)</f>
        <v>0</v>
      </c>
      <c r="F1145" s="42">
        <f t="shared" ref="F1145:F1147" si="530">SUM(D1145:E1145)</f>
        <v>4027280</v>
      </c>
      <c r="G1145" s="55">
        <f>SUM(G1147:G1154)</f>
        <v>4500380</v>
      </c>
      <c r="H1145" s="55">
        <f>SUM(H1147:H1154)</f>
        <v>0</v>
      </c>
      <c r="I1145" s="55">
        <f t="shared" ref="I1145:I1154" si="531">SUM(G1145:H1145)</f>
        <v>4500380</v>
      </c>
      <c r="J1145" s="42">
        <f>SUM(J1147:J1154)</f>
        <v>4167660</v>
      </c>
      <c r="K1145" s="42">
        <f>SUM(K1147:K1154)</f>
        <v>0</v>
      </c>
      <c r="L1145" s="42">
        <f t="shared" ref="L1145:L1154" si="532">SUM(J1145:K1145)</f>
        <v>4167660</v>
      </c>
      <c r="M1145" s="225">
        <f t="shared" si="509"/>
        <v>103.48572733954431</v>
      </c>
      <c r="N1145" s="225">
        <f t="shared" si="510"/>
        <v>103.48572733954431</v>
      </c>
      <c r="O1145" s="225">
        <f t="shared" si="511"/>
        <v>92.606846532959437</v>
      </c>
      <c r="P1145" s="225">
        <f t="shared" si="529"/>
        <v>92.606846532959437</v>
      </c>
    </row>
    <row r="1146" spans="1:16" s="11" customFormat="1" hidden="1">
      <c r="A1146" s="36" t="s">
        <v>267</v>
      </c>
      <c r="B1146" s="184"/>
      <c r="C1146" s="320" t="s">
        <v>268</v>
      </c>
      <c r="D1146" s="38">
        <f>SUM(D1147:D1154)</f>
        <v>4027280</v>
      </c>
      <c r="E1146" s="77"/>
      <c r="F1146" s="63">
        <f t="shared" si="530"/>
        <v>4027280</v>
      </c>
      <c r="G1146" s="38">
        <f>SUM(G1147:G1154)</f>
        <v>4500380</v>
      </c>
      <c r="H1146" s="109"/>
      <c r="I1146" s="38">
        <f t="shared" si="531"/>
        <v>4500380</v>
      </c>
      <c r="J1146" s="63">
        <f>SUM(J1147:J1154)</f>
        <v>4167660</v>
      </c>
      <c r="K1146" s="77"/>
      <c r="L1146" s="63">
        <f t="shared" si="532"/>
        <v>4167660</v>
      </c>
      <c r="M1146" s="218">
        <f t="shared" si="509"/>
        <v>103.48572733954431</v>
      </c>
      <c r="N1146" s="218">
        <f t="shared" si="510"/>
        <v>103.48572733954431</v>
      </c>
      <c r="O1146" s="218">
        <f t="shared" si="511"/>
        <v>92.606846532959437</v>
      </c>
      <c r="P1146" s="218">
        <f t="shared" si="529"/>
        <v>92.606846532959437</v>
      </c>
    </row>
    <row r="1147" spans="1:16" s="11" customFormat="1" ht="12.75" customHeight="1">
      <c r="A1147" s="36" t="s">
        <v>180</v>
      </c>
      <c r="B1147" s="33" t="s">
        <v>419</v>
      </c>
      <c r="C1147" s="211" t="s">
        <v>1510</v>
      </c>
      <c r="D1147" s="63">
        <v>3954180</v>
      </c>
      <c r="E1147" s="63"/>
      <c r="F1147" s="63">
        <f t="shared" si="530"/>
        <v>3954180</v>
      </c>
      <c r="G1147" s="38">
        <v>4355080</v>
      </c>
      <c r="H1147" s="38"/>
      <c r="I1147" s="38">
        <f t="shared" si="531"/>
        <v>4355080</v>
      </c>
      <c r="J1147" s="63">
        <v>4138660</v>
      </c>
      <c r="K1147" s="63"/>
      <c r="L1147" s="63">
        <f t="shared" si="532"/>
        <v>4138660</v>
      </c>
      <c r="M1147" s="218">
        <f t="shared" si="509"/>
        <v>104.66544264550426</v>
      </c>
      <c r="N1147" s="218">
        <f t="shared" si="510"/>
        <v>104.66544264550426</v>
      </c>
      <c r="O1147" s="218">
        <f t="shared" si="511"/>
        <v>95.030630895414092</v>
      </c>
      <c r="P1147" s="218">
        <f t="shared" si="529"/>
        <v>95.030630895414092</v>
      </c>
    </row>
    <row r="1148" spans="1:16" s="11" customFormat="1" ht="12.75" customHeight="1">
      <c r="A1148" s="36" t="s">
        <v>368</v>
      </c>
      <c r="B1148" s="33" t="s">
        <v>418</v>
      </c>
      <c r="C1148" s="211"/>
      <c r="D1148" s="63"/>
      <c r="E1148" s="63"/>
      <c r="F1148" s="63"/>
      <c r="G1148" s="38"/>
      <c r="H1148" s="38"/>
      <c r="I1148" s="38"/>
      <c r="J1148" s="63">
        <v>15000</v>
      </c>
      <c r="K1148" s="63"/>
      <c r="L1148" s="63">
        <f t="shared" ref="L1148" si="533">SUM(J1148:K1148)</f>
        <v>15000</v>
      </c>
      <c r="M1148" s="218" t="str">
        <f t="shared" si="509"/>
        <v/>
      </c>
      <c r="N1148" s="218" t="str">
        <f t="shared" si="510"/>
        <v/>
      </c>
      <c r="O1148" s="218" t="str">
        <f t="shared" si="511"/>
        <v/>
      </c>
      <c r="P1148" s="218" t="str">
        <f t="shared" ref="P1148" si="534">IF(I1148&gt;0,IF(L1148&gt;=0,L1148/I1148*100,""),"")</f>
        <v/>
      </c>
    </row>
    <row r="1149" spans="1:16" s="15" customFormat="1" ht="12.75" customHeight="1">
      <c r="A1149" s="341" t="s">
        <v>2476</v>
      </c>
      <c r="B1149" s="342"/>
      <c r="C1149" s="343"/>
      <c r="D1149" s="344"/>
      <c r="E1149" s="344"/>
      <c r="F1149" s="344"/>
      <c r="G1149" s="344"/>
      <c r="H1149" s="344"/>
      <c r="I1149" s="344"/>
      <c r="J1149" s="344"/>
      <c r="K1149" s="344"/>
      <c r="L1149" s="344"/>
      <c r="M1149" s="345" t="str">
        <f t="shared" si="509"/>
        <v/>
      </c>
      <c r="N1149" s="345" t="str">
        <f t="shared" si="510"/>
        <v/>
      </c>
      <c r="O1149" s="345" t="str">
        <f t="shared" si="511"/>
        <v/>
      </c>
      <c r="P1149" s="345"/>
    </row>
    <row r="1150" spans="1:16" s="3" customFormat="1" ht="12.75" customHeight="1">
      <c r="A1150" s="36" t="s">
        <v>2073</v>
      </c>
      <c r="B1150" s="33" t="s">
        <v>624</v>
      </c>
      <c r="C1150" s="211" t="s">
        <v>2172</v>
      </c>
      <c r="D1150" s="63"/>
      <c r="E1150" s="63"/>
      <c r="F1150" s="63"/>
      <c r="G1150" s="38">
        <v>5000</v>
      </c>
      <c r="H1150" s="38"/>
      <c r="I1150" s="38">
        <f>SUM(G1150:H1150)</f>
        <v>5000</v>
      </c>
      <c r="J1150" s="63">
        <v>6000</v>
      </c>
      <c r="K1150" s="63"/>
      <c r="L1150" s="63">
        <f>SUM(J1150:K1150)</f>
        <v>6000</v>
      </c>
      <c r="M1150" s="218" t="str">
        <f t="shared" si="509"/>
        <v/>
      </c>
      <c r="N1150" s="218" t="str">
        <f t="shared" si="510"/>
        <v/>
      </c>
      <c r="O1150" s="218">
        <f t="shared" si="511"/>
        <v>120</v>
      </c>
      <c r="P1150" s="218"/>
    </row>
    <row r="1151" spans="1:16" s="11" customFormat="1" ht="12.75" customHeight="1">
      <c r="A1151" s="36" t="s">
        <v>651</v>
      </c>
      <c r="B1151" s="33" t="s">
        <v>650</v>
      </c>
      <c r="C1151" s="211" t="s">
        <v>1511</v>
      </c>
      <c r="D1151" s="63">
        <v>2000</v>
      </c>
      <c r="E1151" s="63"/>
      <c r="F1151" s="63">
        <f>SUM(D1151:E1151)</f>
        <v>2000</v>
      </c>
      <c r="G1151" s="38">
        <v>2000</v>
      </c>
      <c r="H1151" s="38"/>
      <c r="I1151" s="38">
        <f>SUM(G1151:H1151)</f>
        <v>2000</v>
      </c>
      <c r="J1151" s="63">
        <v>2000</v>
      </c>
      <c r="K1151" s="63"/>
      <c r="L1151" s="63">
        <f>SUM(J1151:K1151)</f>
        <v>2000</v>
      </c>
      <c r="M1151" s="218">
        <f t="shared" si="509"/>
        <v>100</v>
      </c>
      <c r="N1151" s="218">
        <f t="shared" si="510"/>
        <v>100</v>
      </c>
      <c r="O1151" s="218">
        <f t="shared" si="511"/>
        <v>100</v>
      </c>
      <c r="P1151" s="218">
        <f>IF(I1151&gt;0,IF(L1151&gt;=0,L1151/I1151*100,""),"")</f>
        <v>100</v>
      </c>
    </row>
    <row r="1152" spans="1:16" s="11" customFormat="1" ht="12.75" customHeight="1">
      <c r="A1152" s="46" t="s">
        <v>375</v>
      </c>
      <c r="B1152" s="33" t="s">
        <v>150</v>
      </c>
      <c r="C1152" s="211" t="s">
        <v>1513</v>
      </c>
      <c r="D1152" s="63">
        <v>5000</v>
      </c>
      <c r="E1152" s="63"/>
      <c r="F1152" s="63">
        <f>SUM(D1152:E1152)</f>
        <v>5000</v>
      </c>
      <c r="G1152" s="38">
        <v>5000</v>
      </c>
      <c r="H1152" s="38"/>
      <c r="I1152" s="38">
        <f>SUM(G1152:H1152)</f>
        <v>5000</v>
      </c>
      <c r="J1152" s="63">
        <v>6000</v>
      </c>
      <c r="K1152" s="63"/>
      <c r="L1152" s="63">
        <f>SUM(J1152:K1152)</f>
        <v>6000</v>
      </c>
      <c r="M1152" s="218">
        <f t="shared" si="509"/>
        <v>120</v>
      </c>
      <c r="N1152" s="218">
        <f t="shared" si="510"/>
        <v>120</v>
      </c>
      <c r="O1152" s="218">
        <f t="shared" si="511"/>
        <v>120</v>
      </c>
      <c r="P1152" s="218">
        <f>IF(I1152&gt;0,IF(L1152&gt;=0,L1152/I1152*100,""),"")</f>
        <v>120</v>
      </c>
    </row>
    <row r="1153" spans="1:16" s="11" customFormat="1" ht="12.75" customHeight="1">
      <c r="A1153" s="36" t="s">
        <v>368</v>
      </c>
      <c r="B1153" s="211" t="s">
        <v>418</v>
      </c>
      <c r="C1153" s="211" t="s">
        <v>1514</v>
      </c>
      <c r="D1153" s="63"/>
      <c r="E1153" s="63"/>
      <c r="F1153" s="63"/>
      <c r="G1153" s="38">
        <v>40000</v>
      </c>
      <c r="H1153" s="38"/>
      <c r="I1153" s="38">
        <f>SUM(G1153:H1153)</f>
        <v>40000</v>
      </c>
      <c r="J1153" s="63"/>
      <c r="K1153" s="63"/>
      <c r="L1153" s="63">
        <f t="shared" si="532"/>
        <v>0</v>
      </c>
      <c r="M1153" s="218" t="str">
        <f t="shared" si="509"/>
        <v/>
      </c>
      <c r="N1153" s="218" t="str">
        <f t="shared" si="510"/>
        <v/>
      </c>
      <c r="O1153" s="218">
        <f t="shared" si="511"/>
        <v>0</v>
      </c>
      <c r="P1153" s="218">
        <f t="shared" si="529"/>
        <v>0</v>
      </c>
    </row>
    <row r="1154" spans="1:16" s="3" customFormat="1" ht="12.75" customHeight="1">
      <c r="A1154" s="36" t="s">
        <v>935</v>
      </c>
      <c r="B1154" s="211" t="s">
        <v>701</v>
      </c>
      <c r="C1154" s="211" t="s">
        <v>1512</v>
      </c>
      <c r="D1154" s="63">
        <v>66100</v>
      </c>
      <c r="E1154" s="63"/>
      <c r="F1154" s="63">
        <f>SUM(D1154:E1154)</f>
        <v>66100</v>
      </c>
      <c r="G1154" s="38">
        <v>93300</v>
      </c>
      <c r="H1154" s="38"/>
      <c r="I1154" s="38">
        <f t="shared" si="531"/>
        <v>93300</v>
      </c>
      <c r="J1154" s="63"/>
      <c r="K1154" s="63"/>
      <c r="L1154" s="63">
        <f t="shared" si="532"/>
        <v>0</v>
      </c>
      <c r="M1154" s="218">
        <f t="shared" si="509"/>
        <v>0</v>
      </c>
      <c r="N1154" s="218">
        <f t="shared" si="510"/>
        <v>0</v>
      </c>
      <c r="O1154" s="218">
        <f t="shared" si="511"/>
        <v>0</v>
      </c>
      <c r="P1154" s="218">
        <f t="shared" si="529"/>
        <v>0</v>
      </c>
    </row>
    <row r="1155" spans="1:16" s="11" customFormat="1" ht="6" customHeight="1">
      <c r="A1155" s="36"/>
      <c r="B1155" s="33"/>
      <c r="C1155" s="211" t="s">
        <v>268</v>
      </c>
      <c r="D1155" s="38"/>
      <c r="E1155" s="77"/>
      <c r="F1155" s="63"/>
      <c r="G1155" s="38"/>
      <c r="H1155" s="109"/>
      <c r="I1155" s="38"/>
      <c r="J1155" s="63"/>
      <c r="K1155" s="77"/>
      <c r="L1155" s="63"/>
      <c r="M1155" s="218" t="str">
        <f t="shared" si="509"/>
        <v/>
      </c>
      <c r="N1155" s="218" t="str">
        <f t="shared" si="510"/>
        <v/>
      </c>
      <c r="O1155" s="218" t="str">
        <f t="shared" si="511"/>
        <v/>
      </c>
      <c r="P1155" s="218" t="str">
        <f t="shared" ref="P1155:P1162" si="535">IF(I1155&gt;0,IF(L1155&gt;=0,L1155/I1155*100,""),"")</f>
        <v/>
      </c>
    </row>
    <row r="1156" spans="1:16" s="11" customFormat="1" ht="12.75">
      <c r="A1156" s="58" t="s">
        <v>753</v>
      </c>
      <c r="B1156" s="65" t="s">
        <v>265</v>
      </c>
      <c r="C1156" s="308" t="s">
        <v>940</v>
      </c>
      <c r="D1156" s="42">
        <f>SUM(D1158:D1164)</f>
        <v>4134870</v>
      </c>
      <c r="E1156" s="42">
        <f>SUM(E1158:E1163)</f>
        <v>0</v>
      </c>
      <c r="F1156" s="42">
        <f>SUM(D1156:E1156)</f>
        <v>4134870</v>
      </c>
      <c r="G1156" s="55">
        <f>SUM(G1158:G1164)</f>
        <v>4932060</v>
      </c>
      <c r="H1156" s="55">
        <f>SUM(H1158:H1163)</f>
        <v>0</v>
      </c>
      <c r="I1156" s="55">
        <f t="shared" ref="I1156:I1164" si="536">SUM(G1156:H1156)</f>
        <v>4932060</v>
      </c>
      <c r="J1156" s="42">
        <f>SUM(J1158:J1164)</f>
        <v>4309200</v>
      </c>
      <c r="K1156" s="42">
        <f>SUM(K1158:K1163)</f>
        <v>0</v>
      </c>
      <c r="L1156" s="42">
        <f t="shared" ref="L1156:L1164" si="537">SUM(J1156:K1156)</f>
        <v>4309200</v>
      </c>
      <c r="M1156" s="225">
        <f t="shared" si="509"/>
        <v>104.21609385542956</v>
      </c>
      <c r="N1156" s="225">
        <f t="shared" si="510"/>
        <v>104.21609385542956</v>
      </c>
      <c r="O1156" s="225">
        <f t="shared" si="511"/>
        <v>87.371199863748615</v>
      </c>
      <c r="P1156" s="225">
        <f t="shared" si="535"/>
        <v>87.371199863748615</v>
      </c>
    </row>
    <row r="1157" spans="1:16" s="11" customFormat="1" ht="12.75" customHeight="1">
      <c r="A1157" s="36" t="s">
        <v>267</v>
      </c>
      <c r="B1157" s="184"/>
      <c r="C1157" s="320" t="s">
        <v>268</v>
      </c>
      <c r="D1157" s="63">
        <f>SUM(D1158:D1163)</f>
        <v>4134870</v>
      </c>
      <c r="E1157" s="77"/>
      <c r="F1157" s="63">
        <f>SUM(D1157:E1157)</f>
        <v>4134870</v>
      </c>
      <c r="G1157" s="38">
        <f>SUM(G1158:G1163)</f>
        <v>4382060</v>
      </c>
      <c r="H1157" s="109"/>
      <c r="I1157" s="38">
        <f t="shared" si="536"/>
        <v>4382060</v>
      </c>
      <c r="J1157" s="63">
        <f>SUM(J1158:J1163)</f>
        <v>4309200</v>
      </c>
      <c r="K1157" s="77"/>
      <c r="L1157" s="63">
        <f t="shared" si="537"/>
        <v>4309200</v>
      </c>
      <c r="M1157" s="218">
        <f t="shared" si="509"/>
        <v>104.21609385542956</v>
      </c>
      <c r="N1157" s="218">
        <f t="shared" si="510"/>
        <v>104.21609385542956</v>
      </c>
      <c r="O1157" s="218">
        <f t="shared" si="511"/>
        <v>98.337311675330781</v>
      </c>
      <c r="P1157" s="218">
        <f t="shared" si="535"/>
        <v>98.337311675330781</v>
      </c>
    </row>
    <row r="1158" spans="1:16" s="11" customFormat="1" ht="12.75" customHeight="1">
      <c r="A1158" s="36" t="s">
        <v>180</v>
      </c>
      <c r="B1158" s="33" t="s">
        <v>419</v>
      </c>
      <c r="C1158" s="211" t="s">
        <v>1515</v>
      </c>
      <c r="D1158" s="63">
        <v>4127870</v>
      </c>
      <c r="E1158" s="63"/>
      <c r="F1158" s="63">
        <f>SUM(D1158:E1158)</f>
        <v>4127870</v>
      </c>
      <c r="G1158" s="38">
        <v>4351280</v>
      </c>
      <c r="H1158" s="38"/>
      <c r="I1158" s="38">
        <f t="shared" si="536"/>
        <v>4351280</v>
      </c>
      <c r="J1158" s="63">
        <v>4295200</v>
      </c>
      <c r="K1158" s="63"/>
      <c r="L1158" s="63">
        <f t="shared" si="537"/>
        <v>4295200</v>
      </c>
      <c r="M1158" s="218">
        <f t="shared" si="509"/>
        <v>104.0536644807128</v>
      </c>
      <c r="N1158" s="218">
        <f t="shared" si="510"/>
        <v>104.0536644807128</v>
      </c>
      <c r="O1158" s="218">
        <f t="shared" si="511"/>
        <v>98.71118383556103</v>
      </c>
      <c r="P1158" s="218">
        <f t="shared" si="535"/>
        <v>98.71118383556103</v>
      </c>
    </row>
    <row r="1159" spans="1:16" s="11" customFormat="1" ht="12.75" customHeight="1">
      <c r="A1159" s="36" t="s">
        <v>2073</v>
      </c>
      <c r="B1159" s="33" t="s">
        <v>624</v>
      </c>
      <c r="C1159" s="211" t="s">
        <v>2427</v>
      </c>
      <c r="D1159" s="63"/>
      <c r="E1159" s="63"/>
      <c r="F1159" s="63"/>
      <c r="G1159" s="38"/>
      <c r="H1159" s="38"/>
      <c r="I1159" s="38"/>
      <c r="J1159" s="63">
        <v>6000</v>
      </c>
      <c r="K1159" s="63"/>
      <c r="L1159" s="63">
        <f>SUM(J1159:K1159)</f>
        <v>6000</v>
      </c>
      <c r="M1159" s="218" t="str">
        <f t="shared" si="509"/>
        <v/>
      </c>
      <c r="N1159" s="218" t="str">
        <f t="shared" si="510"/>
        <v/>
      </c>
      <c r="O1159" s="218" t="str">
        <f t="shared" si="511"/>
        <v/>
      </c>
      <c r="P1159" s="218"/>
    </row>
    <row r="1160" spans="1:16" s="11" customFormat="1" ht="12.75" customHeight="1">
      <c r="A1160" s="36" t="s">
        <v>651</v>
      </c>
      <c r="B1160" s="33" t="s">
        <v>650</v>
      </c>
      <c r="C1160" s="211" t="s">
        <v>1516</v>
      </c>
      <c r="D1160" s="63">
        <v>2000</v>
      </c>
      <c r="E1160" s="63"/>
      <c r="F1160" s="63">
        <f>SUM(D1160:E1160)</f>
        <v>2000</v>
      </c>
      <c r="G1160" s="38">
        <v>2000</v>
      </c>
      <c r="H1160" s="38"/>
      <c r="I1160" s="38">
        <f>SUM(G1160:H1160)</f>
        <v>2000</v>
      </c>
      <c r="J1160" s="63">
        <v>2000</v>
      </c>
      <c r="K1160" s="63"/>
      <c r="L1160" s="63">
        <f>SUM(J1160:K1160)</f>
        <v>2000</v>
      </c>
      <c r="M1160" s="218">
        <f t="shared" si="509"/>
        <v>100</v>
      </c>
      <c r="N1160" s="218">
        <f t="shared" si="510"/>
        <v>100</v>
      </c>
      <c r="O1160" s="218">
        <f t="shared" si="511"/>
        <v>100</v>
      </c>
      <c r="P1160" s="218">
        <f>IF(I1160&gt;0,IF(L1160&gt;=0,L1160/I1160*100,""),"")</f>
        <v>100</v>
      </c>
    </row>
    <row r="1161" spans="1:16" s="11" customFormat="1" ht="12.75" customHeight="1">
      <c r="A1161" s="46" t="s">
        <v>375</v>
      </c>
      <c r="B1161" s="33" t="s">
        <v>150</v>
      </c>
      <c r="C1161" s="211" t="s">
        <v>1517</v>
      </c>
      <c r="D1161" s="63">
        <v>5000</v>
      </c>
      <c r="E1161" s="63"/>
      <c r="F1161" s="63">
        <f>SUM(D1161:E1161)</f>
        <v>5000</v>
      </c>
      <c r="G1161" s="38">
        <v>5000</v>
      </c>
      <c r="H1161" s="38"/>
      <c r="I1161" s="38">
        <f>SUM(G1161:H1161)</f>
        <v>5000</v>
      </c>
      <c r="J1161" s="63">
        <v>6000</v>
      </c>
      <c r="K1161" s="63"/>
      <c r="L1161" s="63">
        <f>SUM(J1161:K1161)</f>
        <v>6000</v>
      </c>
      <c r="M1161" s="218">
        <f t="shared" si="509"/>
        <v>120</v>
      </c>
      <c r="N1161" s="218">
        <f t="shared" si="510"/>
        <v>120</v>
      </c>
      <c r="O1161" s="218">
        <f t="shared" si="511"/>
        <v>120</v>
      </c>
      <c r="P1161" s="218">
        <f>IF(I1161&gt;0,IF(L1161&gt;=0,L1161/I1161*100,""),"")</f>
        <v>120</v>
      </c>
    </row>
    <row r="1162" spans="1:16" s="11" customFormat="1" ht="12.75" customHeight="1">
      <c r="A1162" s="36" t="s">
        <v>368</v>
      </c>
      <c r="B1162" s="211" t="s">
        <v>418</v>
      </c>
      <c r="C1162" s="211" t="s">
        <v>1518</v>
      </c>
      <c r="D1162" s="63"/>
      <c r="E1162" s="63"/>
      <c r="F1162" s="63"/>
      <c r="G1162" s="38">
        <v>9780</v>
      </c>
      <c r="H1162" s="38"/>
      <c r="I1162" s="38">
        <f t="shared" si="536"/>
        <v>9780</v>
      </c>
      <c r="J1162" s="63"/>
      <c r="K1162" s="63"/>
      <c r="L1162" s="63">
        <f t="shared" si="537"/>
        <v>0</v>
      </c>
      <c r="M1162" s="218" t="str">
        <f t="shared" si="509"/>
        <v/>
      </c>
      <c r="N1162" s="218" t="str">
        <f t="shared" si="510"/>
        <v/>
      </c>
      <c r="O1162" s="218">
        <f t="shared" si="511"/>
        <v>0</v>
      </c>
      <c r="P1162" s="218">
        <f t="shared" si="535"/>
        <v>0</v>
      </c>
    </row>
    <row r="1163" spans="1:16" s="11" customFormat="1" ht="12.75" customHeight="1">
      <c r="A1163" s="36" t="s">
        <v>2347</v>
      </c>
      <c r="B1163" s="211" t="s">
        <v>2346</v>
      </c>
      <c r="C1163" s="211" t="s">
        <v>2327</v>
      </c>
      <c r="D1163" s="63"/>
      <c r="E1163" s="63"/>
      <c r="F1163" s="63"/>
      <c r="G1163" s="38">
        <v>14000</v>
      </c>
      <c r="H1163" s="38"/>
      <c r="I1163" s="38">
        <f t="shared" si="536"/>
        <v>14000</v>
      </c>
      <c r="J1163" s="63"/>
      <c r="K1163" s="63"/>
      <c r="L1163" s="63">
        <f t="shared" si="537"/>
        <v>0</v>
      </c>
      <c r="M1163" s="218" t="str">
        <f t="shared" si="509"/>
        <v/>
      </c>
      <c r="N1163" s="218" t="str">
        <f t="shared" si="510"/>
        <v/>
      </c>
      <c r="O1163" s="218">
        <f t="shared" si="511"/>
        <v>0</v>
      </c>
      <c r="P1163" s="218"/>
    </row>
    <row r="1164" spans="1:16" s="11" customFormat="1" ht="12.75" customHeight="1">
      <c r="A1164" s="46" t="s">
        <v>791</v>
      </c>
      <c r="B1164" s="211" t="s">
        <v>151</v>
      </c>
      <c r="C1164" s="211" t="s">
        <v>1519</v>
      </c>
      <c r="D1164" s="63"/>
      <c r="E1164" s="63"/>
      <c r="F1164" s="63"/>
      <c r="G1164" s="38">
        <v>550000</v>
      </c>
      <c r="H1164" s="38"/>
      <c r="I1164" s="38">
        <f t="shared" si="536"/>
        <v>550000</v>
      </c>
      <c r="J1164" s="63"/>
      <c r="K1164" s="63"/>
      <c r="L1164" s="63">
        <f t="shared" si="537"/>
        <v>0</v>
      </c>
      <c r="M1164" s="218" t="str">
        <f t="shared" si="509"/>
        <v/>
      </c>
      <c r="N1164" s="218" t="str">
        <f t="shared" si="510"/>
        <v/>
      </c>
      <c r="O1164" s="218">
        <f t="shared" si="511"/>
        <v>0</v>
      </c>
      <c r="P1164" s="218">
        <f t="shared" ref="P1164:P1174" si="538">IF(I1164&gt;0,IF(L1164&gt;=0,L1164/I1164*100,""),"")</f>
        <v>0</v>
      </c>
    </row>
    <row r="1165" spans="1:16" s="11" customFormat="1" ht="6" customHeight="1">
      <c r="A1165" s="91"/>
      <c r="B1165" s="92"/>
      <c r="C1165" s="312" t="s">
        <v>268</v>
      </c>
      <c r="D1165" s="77"/>
      <c r="E1165" s="77"/>
      <c r="F1165" s="77"/>
      <c r="G1165" s="109"/>
      <c r="H1165" s="109"/>
      <c r="I1165" s="109"/>
      <c r="J1165" s="77"/>
      <c r="K1165" s="77"/>
      <c r="L1165" s="77"/>
      <c r="M1165" s="240" t="str">
        <f t="shared" si="509"/>
        <v/>
      </c>
      <c r="N1165" s="240" t="str">
        <f t="shared" si="510"/>
        <v/>
      </c>
      <c r="O1165" s="240" t="str">
        <f t="shared" si="511"/>
        <v/>
      </c>
      <c r="P1165" s="240" t="str">
        <f t="shared" si="538"/>
        <v/>
      </c>
    </row>
    <row r="1166" spans="1:16" s="11" customFormat="1" ht="12.75">
      <c r="A1166" s="58" t="s">
        <v>429</v>
      </c>
      <c r="B1166" s="65" t="s">
        <v>265</v>
      </c>
      <c r="C1166" s="308" t="s">
        <v>940</v>
      </c>
      <c r="D1166" s="42">
        <f>SUM(D1168:D1176)</f>
        <v>5803500</v>
      </c>
      <c r="E1166" s="42">
        <f>SUM(E1168:E1175)</f>
        <v>0</v>
      </c>
      <c r="F1166" s="42">
        <f t="shared" ref="F1166:F1168" si="539">SUM(D1166:E1166)</f>
        <v>5803500</v>
      </c>
      <c r="G1166" s="55">
        <f>SUM(G1168:G1176)</f>
        <v>6402460</v>
      </c>
      <c r="H1166" s="55">
        <f>SUM(H1168:H1175)</f>
        <v>0</v>
      </c>
      <c r="I1166" s="55">
        <f t="shared" ref="I1166:I1188" si="540">SUM(G1166:H1166)</f>
        <v>6402460</v>
      </c>
      <c r="J1166" s="42">
        <f>SUM(J1168:J1177)</f>
        <v>7082060</v>
      </c>
      <c r="K1166" s="42">
        <f>SUM(K1168:K1175)</f>
        <v>0</v>
      </c>
      <c r="L1166" s="42">
        <f t="shared" ref="L1166" si="541">SUM(J1166:K1166)</f>
        <v>7082060</v>
      </c>
      <c r="M1166" s="225">
        <f t="shared" si="509"/>
        <v>122.03084345653485</v>
      </c>
      <c r="N1166" s="225">
        <f t="shared" si="510"/>
        <v>122.03084345653485</v>
      </c>
      <c r="O1166" s="225">
        <f t="shared" si="511"/>
        <v>110.61466998622404</v>
      </c>
      <c r="P1166" s="225">
        <f t="shared" si="538"/>
        <v>110.61466998622404</v>
      </c>
    </row>
    <row r="1167" spans="1:16" s="11" customFormat="1" hidden="1">
      <c r="A1167" s="46" t="s">
        <v>267</v>
      </c>
      <c r="B1167" s="184"/>
      <c r="C1167" s="320" t="s">
        <v>268</v>
      </c>
      <c r="D1167" s="38">
        <f>SUM(D1168:D1176)</f>
        <v>5803500</v>
      </c>
      <c r="E1167" s="77"/>
      <c r="F1167" s="63">
        <f t="shared" si="539"/>
        <v>5803500</v>
      </c>
      <c r="G1167" s="38">
        <f>SUM(G1168:G1176)</f>
        <v>6402460</v>
      </c>
      <c r="H1167" s="109"/>
      <c r="I1167" s="38">
        <f t="shared" si="540"/>
        <v>6402460</v>
      </c>
      <c r="J1167" s="63">
        <f>SUM(J1168:J1176)</f>
        <v>7082060</v>
      </c>
      <c r="K1167" s="77"/>
      <c r="L1167" s="63">
        <f t="shared" ref="L1167" si="542">SUM(J1167:K1167)</f>
        <v>7082060</v>
      </c>
      <c r="M1167" s="218">
        <f t="shared" ref="M1167:M1230" si="543">IF(D1167&gt;0,IF(J1167&gt;=0,J1167/D1167*100,""),"")</f>
        <v>122.03084345653485</v>
      </c>
      <c r="N1167" s="218">
        <f t="shared" ref="N1167:N1230" si="544">IF(F1167&gt;0,IF(L1167&gt;=0,L1167/F1167*100,""),"")</f>
        <v>122.03084345653485</v>
      </c>
      <c r="O1167" s="218">
        <f t="shared" ref="O1167:O1230" si="545">IF(G1167&gt;0,IF(J1167&gt;=0,J1167/G1167*100,""),"")</f>
        <v>110.61466998622404</v>
      </c>
      <c r="P1167" s="218">
        <f t="shared" si="538"/>
        <v>110.61466998622404</v>
      </c>
    </row>
    <row r="1168" spans="1:16" s="11" customFormat="1" ht="12.75" customHeight="1">
      <c r="A1168" s="36" t="s">
        <v>180</v>
      </c>
      <c r="B1168" s="33" t="s">
        <v>419</v>
      </c>
      <c r="C1168" s="211" t="s">
        <v>1520</v>
      </c>
      <c r="D1168" s="38">
        <v>5766210</v>
      </c>
      <c r="E1168" s="38"/>
      <c r="F1168" s="63">
        <f t="shared" si="539"/>
        <v>5766210</v>
      </c>
      <c r="G1168" s="38">
        <v>6238830</v>
      </c>
      <c r="H1168" s="38"/>
      <c r="I1168" s="38">
        <f t="shared" si="540"/>
        <v>6238830</v>
      </c>
      <c r="J1168" s="63">
        <v>7028930</v>
      </c>
      <c r="K1168" s="38"/>
      <c r="L1168" s="63">
        <f t="shared" ref="L1168:L1176" si="546">SUM(J1168:K1168)</f>
        <v>7028930</v>
      </c>
      <c r="M1168" s="218">
        <f t="shared" si="543"/>
        <v>121.89861278031844</v>
      </c>
      <c r="N1168" s="218">
        <f t="shared" si="544"/>
        <v>121.89861278031844</v>
      </c>
      <c r="O1168" s="218">
        <f t="shared" si="545"/>
        <v>112.66423351814363</v>
      </c>
      <c r="P1168" s="218">
        <f t="shared" si="538"/>
        <v>112.66423351814363</v>
      </c>
    </row>
    <row r="1169" spans="1:16" s="11" customFormat="1" ht="12.75" customHeight="1">
      <c r="A1169" s="36" t="s">
        <v>758</v>
      </c>
      <c r="B1169" s="33" t="s">
        <v>759</v>
      </c>
      <c r="C1169" s="211" t="s">
        <v>1521</v>
      </c>
      <c r="D1169" s="38">
        <v>21660</v>
      </c>
      <c r="E1169" s="38"/>
      <c r="F1169" s="63">
        <f>SUM(D1169:E1169)</f>
        <v>21660</v>
      </c>
      <c r="G1169" s="38">
        <v>21660</v>
      </c>
      <c r="H1169" s="38"/>
      <c r="I1169" s="38">
        <f t="shared" ref="I1169:I1174" si="547">SUM(G1169:H1169)</f>
        <v>21660</v>
      </c>
      <c r="J1169" s="63">
        <v>15000</v>
      </c>
      <c r="K1169" s="38"/>
      <c r="L1169" s="63">
        <f t="shared" ref="L1169:L1174" si="548">SUM(J1169:K1169)</f>
        <v>15000</v>
      </c>
      <c r="M1169" s="218">
        <f t="shared" si="543"/>
        <v>69.252077562326875</v>
      </c>
      <c r="N1169" s="218">
        <f t="shared" si="544"/>
        <v>69.252077562326875</v>
      </c>
      <c r="O1169" s="218">
        <f t="shared" si="545"/>
        <v>69.252077562326875</v>
      </c>
      <c r="P1169" s="218">
        <f>IF(I1169&gt;0,IF(L1169&gt;=0,L1169/I1169*100,""),"")</f>
        <v>69.252077562326875</v>
      </c>
    </row>
    <row r="1170" spans="1:16" s="11" customFormat="1" ht="12.75" customHeight="1">
      <c r="A1170" s="36" t="s">
        <v>772</v>
      </c>
      <c r="B1170" s="33" t="s">
        <v>766</v>
      </c>
      <c r="C1170" s="211" t="s">
        <v>1523</v>
      </c>
      <c r="D1170" s="38">
        <v>3130</v>
      </c>
      <c r="E1170" s="38"/>
      <c r="F1170" s="63">
        <f>SUM(D1170:E1170)</f>
        <v>3130</v>
      </c>
      <c r="G1170" s="38">
        <v>3130</v>
      </c>
      <c r="H1170" s="38"/>
      <c r="I1170" s="38">
        <f t="shared" si="547"/>
        <v>3130</v>
      </c>
      <c r="J1170" s="63">
        <v>3130</v>
      </c>
      <c r="K1170" s="38"/>
      <c r="L1170" s="63">
        <f t="shared" si="548"/>
        <v>3130</v>
      </c>
      <c r="M1170" s="218">
        <f t="shared" si="543"/>
        <v>100</v>
      </c>
      <c r="N1170" s="218">
        <f t="shared" si="544"/>
        <v>100</v>
      </c>
      <c r="O1170" s="218">
        <f t="shared" si="545"/>
        <v>100</v>
      </c>
      <c r="P1170" s="218">
        <f>IF(I1170&gt;0,IF(L1170&gt;=0,L1170/I1170*100,""),"")</f>
        <v>100</v>
      </c>
    </row>
    <row r="1171" spans="1:16" s="3" customFormat="1" ht="12.75" customHeight="1">
      <c r="A1171" s="36" t="s">
        <v>2073</v>
      </c>
      <c r="B1171" s="33" t="s">
        <v>624</v>
      </c>
      <c r="C1171" s="211" t="s">
        <v>2173</v>
      </c>
      <c r="D1171" s="63"/>
      <c r="E1171" s="63"/>
      <c r="F1171" s="63"/>
      <c r="G1171" s="38">
        <v>10000</v>
      </c>
      <c r="H1171" s="38"/>
      <c r="I1171" s="38">
        <f t="shared" si="547"/>
        <v>10000</v>
      </c>
      <c r="J1171" s="63">
        <v>18000</v>
      </c>
      <c r="K1171" s="63"/>
      <c r="L1171" s="63">
        <f t="shared" si="548"/>
        <v>18000</v>
      </c>
      <c r="M1171" s="218" t="str">
        <f t="shared" si="543"/>
        <v/>
      </c>
      <c r="N1171" s="218" t="str">
        <f t="shared" si="544"/>
        <v/>
      </c>
      <c r="O1171" s="218">
        <f t="shared" si="545"/>
        <v>180</v>
      </c>
      <c r="P1171" s="218"/>
    </row>
    <row r="1172" spans="1:16" s="3" customFormat="1" ht="12.75" customHeight="1">
      <c r="A1172" s="46" t="s">
        <v>651</v>
      </c>
      <c r="B1172" s="33" t="s">
        <v>650</v>
      </c>
      <c r="C1172" s="211" t="s">
        <v>1522</v>
      </c>
      <c r="D1172" s="63">
        <v>2500</v>
      </c>
      <c r="E1172" s="63"/>
      <c r="F1172" s="63">
        <f>SUM(D1172:E1172)</f>
        <v>2500</v>
      </c>
      <c r="G1172" s="38">
        <v>5000</v>
      </c>
      <c r="H1172" s="38"/>
      <c r="I1172" s="38">
        <f t="shared" si="547"/>
        <v>5000</v>
      </c>
      <c r="J1172" s="63">
        <v>6000</v>
      </c>
      <c r="K1172" s="63"/>
      <c r="L1172" s="63">
        <f t="shared" si="548"/>
        <v>6000</v>
      </c>
      <c r="M1172" s="218">
        <f t="shared" si="543"/>
        <v>240</v>
      </c>
      <c r="N1172" s="218">
        <f t="shared" si="544"/>
        <v>240</v>
      </c>
      <c r="O1172" s="218">
        <f t="shared" si="545"/>
        <v>120</v>
      </c>
      <c r="P1172" s="218">
        <f>IF(I1172&gt;0,IF(L1172&gt;=0,L1172/I1172*100,""),"")</f>
        <v>120</v>
      </c>
    </row>
    <row r="1173" spans="1:16" s="3" customFormat="1" ht="12.75" customHeight="1">
      <c r="A1173" s="36" t="s">
        <v>375</v>
      </c>
      <c r="B1173" s="33" t="s">
        <v>150</v>
      </c>
      <c r="C1173" s="211" t="s">
        <v>1524</v>
      </c>
      <c r="D1173" s="63">
        <v>10000</v>
      </c>
      <c r="E1173" s="63"/>
      <c r="F1173" s="63">
        <f>SUM(D1173:E1173)</f>
        <v>10000</v>
      </c>
      <c r="G1173" s="38">
        <v>14000</v>
      </c>
      <c r="H1173" s="38"/>
      <c r="I1173" s="38">
        <f t="shared" si="547"/>
        <v>14000</v>
      </c>
      <c r="J1173" s="63">
        <v>11000</v>
      </c>
      <c r="K1173" s="63"/>
      <c r="L1173" s="63">
        <f t="shared" si="548"/>
        <v>11000</v>
      </c>
      <c r="M1173" s="218">
        <f t="shared" si="543"/>
        <v>110.00000000000001</v>
      </c>
      <c r="N1173" s="218">
        <f t="shared" si="544"/>
        <v>110.00000000000001</v>
      </c>
      <c r="O1173" s="218">
        <f t="shared" si="545"/>
        <v>78.571428571428569</v>
      </c>
      <c r="P1173" s="218">
        <f>IF(I1173&gt;0,IF(L1173&gt;=0,L1173/I1173*100,""),"")</f>
        <v>78.571428571428569</v>
      </c>
    </row>
    <row r="1174" spans="1:16" s="11" customFormat="1" ht="12.75" customHeight="1">
      <c r="A1174" s="36" t="s">
        <v>368</v>
      </c>
      <c r="B1174" s="211" t="s">
        <v>418</v>
      </c>
      <c r="C1174" s="211" t="s">
        <v>1525</v>
      </c>
      <c r="D1174" s="38"/>
      <c r="E1174" s="38"/>
      <c r="F1174" s="63"/>
      <c r="G1174" s="38">
        <v>65840</v>
      </c>
      <c r="H1174" s="38"/>
      <c r="I1174" s="38">
        <f t="shared" si="547"/>
        <v>65840</v>
      </c>
      <c r="J1174" s="63"/>
      <c r="K1174" s="38"/>
      <c r="L1174" s="63">
        <f t="shared" si="548"/>
        <v>0</v>
      </c>
      <c r="M1174" s="218" t="str">
        <f t="shared" si="543"/>
        <v/>
      </c>
      <c r="N1174" s="218" t="str">
        <f t="shared" si="544"/>
        <v/>
      </c>
      <c r="O1174" s="218">
        <f t="shared" si="545"/>
        <v>0</v>
      </c>
      <c r="P1174" s="218">
        <f t="shared" si="538"/>
        <v>0</v>
      </c>
    </row>
    <row r="1175" spans="1:16" s="11" customFormat="1" ht="12.75" customHeight="1">
      <c r="A1175" s="36" t="s">
        <v>358</v>
      </c>
      <c r="B1175" s="211" t="s">
        <v>417</v>
      </c>
      <c r="C1175" s="211" t="s">
        <v>2276</v>
      </c>
      <c r="D1175" s="38"/>
      <c r="E1175" s="38"/>
      <c r="F1175" s="63"/>
      <c r="G1175" s="38">
        <v>35000</v>
      </c>
      <c r="H1175" s="38"/>
      <c r="I1175" s="38">
        <f t="shared" si="540"/>
        <v>35000</v>
      </c>
      <c r="J1175" s="63"/>
      <c r="K1175" s="38"/>
      <c r="L1175" s="63">
        <f t="shared" si="546"/>
        <v>0</v>
      </c>
      <c r="M1175" s="218" t="str">
        <f t="shared" si="543"/>
        <v/>
      </c>
      <c r="N1175" s="218" t="str">
        <f t="shared" si="544"/>
        <v/>
      </c>
      <c r="O1175" s="218">
        <f t="shared" si="545"/>
        <v>0</v>
      </c>
      <c r="P1175" s="218"/>
    </row>
    <row r="1176" spans="1:16" s="11" customFormat="1" ht="12.75" customHeight="1">
      <c r="A1176" s="36" t="s">
        <v>2347</v>
      </c>
      <c r="B1176" s="211" t="s">
        <v>2346</v>
      </c>
      <c r="C1176" s="211" t="s">
        <v>2275</v>
      </c>
      <c r="D1176" s="38"/>
      <c r="E1176" s="38"/>
      <c r="F1176" s="63"/>
      <c r="G1176" s="38">
        <v>9000</v>
      </c>
      <c r="H1176" s="38"/>
      <c r="I1176" s="38">
        <f t="shared" si="540"/>
        <v>9000</v>
      </c>
      <c r="J1176" s="63"/>
      <c r="K1176" s="38"/>
      <c r="L1176" s="63">
        <f t="shared" si="546"/>
        <v>0</v>
      </c>
      <c r="M1176" s="218" t="str">
        <f t="shared" si="543"/>
        <v/>
      </c>
      <c r="N1176" s="218" t="str">
        <f t="shared" si="544"/>
        <v/>
      </c>
      <c r="O1176" s="218">
        <f t="shared" si="545"/>
        <v>0</v>
      </c>
      <c r="P1176" s="218"/>
    </row>
    <row r="1177" spans="1:16" s="3" customFormat="1" ht="6" customHeight="1">
      <c r="A1177" s="36"/>
      <c r="B1177" s="33"/>
      <c r="C1177" s="211" t="s">
        <v>268</v>
      </c>
      <c r="D1177" s="63"/>
      <c r="E1177" s="63"/>
      <c r="F1177" s="63">
        <f t="shared" ref="F1177:F1180" si="549">SUM(D1177:E1177)</f>
        <v>0</v>
      </c>
      <c r="G1177" s="38"/>
      <c r="H1177" s="38"/>
      <c r="I1177" s="38">
        <f t="shared" si="540"/>
        <v>0</v>
      </c>
      <c r="J1177" s="63"/>
      <c r="K1177" s="63"/>
      <c r="L1177" s="63">
        <f t="shared" ref="L1177:L1180" si="550">SUM(J1177:K1177)</f>
        <v>0</v>
      </c>
      <c r="M1177" s="218" t="str">
        <f t="shared" si="543"/>
        <v/>
      </c>
      <c r="N1177" s="218" t="str">
        <f t="shared" si="544"/>
        <v/>
      </c>
      <c r="O1177" s="218" t="str">
        <f t="shared" si="545"/>
        <v/>
      </c>
      <c r="P1177" s="218" t="str">
        <f t="shared" ref="P1177:P1188" si="551">IF(I1177&gt;0,IF(L1177&gt;=0,L1177/I1177*100,""),"")</f>
        <v/>
      </c>
    </row>
    <row r="1178" spans="1:16" s="11" customFormat="1" ht="12.75">
      <c r="A1178" s="58" t="s">
        <v>390</v>
      </c>
      <c r="B1178" s="65" t="s">
        <v>265</v>
      </c>
      <c r="C1178" s="308" t="s">
        <v>940</v>
      </c>
      <c r="D1178" s="42">
        <f>SUM(D1180:D1188)</f>
        <v>5103270</v>
      </c>
      <c r="E1178" s="42">
        <f>SUM(E1180:E1188)</f>
        <v>0</v>
      </c>
      <c r="F1178" s="42">
        <f t="shared" si="549"/>
        <v>5103270</v>
      </c>
      <c r="G1178" s="55">
        <f>SUM(G1180:G1188)</f>
        <v>5655405</v>
      </c>
      <c r="H1178" s="55">
        <f>SUM(H1180:H1188)</f>
        <v>0</v>
      </c>
      <c r="I1178" s="55">
        <f t="shared" si="540"/>
        <v>5655405</v>
      </c>
      <c r="J1178" s="42">
        <f>SUM(J1180:J1188)</f>
        <v>5724650</v>
      </c>
      <c r="K1178" s="42">
        <f>SUM(K1180:K1188)</f>
        <v>0</v>
      </c>
      <c r="L1178" s="42">
        <f t="shared" si="550"/>
        <v>5724650</v>
      </c>
      <c r="M1178" s="225">
        <f t="shared" si="543"/>
        <v>112.17611453048733</v>
      </c>
      <c r="N1178" s="225">
        <f t="shared" si="544"/>
        <v>112.17611453048733</v>
      </c>
      <c r="O1178" s="225">
        <f t="shared" si="545"/>
        <v>101.22440391094891</v>
      </c>
      <c r="P1178" s="225">
        <f t="shared" si="551"/>
        <v>101.22440391094891</v>
      </c>
    </row>
    <row r="1179" spans="1:16" s="11" customFormat="1" hidden="1">
      <c r="A1179" s="46" t="s">
        <v>267</v>
      </c>
      <c r="B1179" s="184"/>
      <c r="C1179" s="320" t="s">
        <v>268</v>
      </c>
      <c r="D1179" s="38">
        <f>SUM(D1180:D1188)</f>
        <v>5103270</v>
      </c>
      <c r="E1179" s="77"/>
      <c r="F1179" s="63">
        <f t="shared" si="549"/>
        <v>5103270</v>
      </c>
      <c r="G1179" s="38">
        <f>SUM(G1180:G1188)</f>
        <v>5655405</v>
      </c>
      <c r="H1179" s="109"/>
      <c r="I1179" s="38">
        <f t="shared" si="540"/>
        <v>5655405</v>
      </c>
      <c r="J1179" s="63">
        <f>SUM(J1180:J1188)</f>
        <v>5724650</v>
      </c>
      <c r="K1179" s="77"/>
      <c r="L1179" s="63">
        <f t="shared" si="550"/>
        <v>5724650</v>
      </c>
      <c r="M1179" s="218">
        <f t="shared" si="543"/>
        <v>112.17611453048733</v>
      </c>
      <c r="N1179" s="218">
        <f t="shared" si="544"/>
        <v>112.17611453048733</v>
      </c>
      <c r="O1179" s="218">
        <f t="shared" si="545"/>
        <v>101.22440391094891</v>
      </c>
      <c r="P1179" s="218">
        <f t="shared" si="551"/>
        <v>101.22440391094891</v>
      </c>
    </row>
    <row r="1180" spans="1:16" s="11" customFormat="1" ht="12.75" customHeight="1">
      <c r="A1180" s="354" t="s">
        <v>180</v>
      </c>
      <c r="B1180" s="66" t="s">
        <v>419</v>
      </c>
      <c r="C1180" s="311" t="s">
        <v>1526</v>
      </c>
      <c r="D1180" s="61">
        <v>4928320</v>
      </c>
      <c r="E1180" s="61"/>
      <c r="F1180" s="67">
        <f t="shared" si="549"/>
        <v>4928320</v>
      </c>
      <c r="G1180" s="61">
        <v>5069670</v>
      </c>
      <c r="H1180" s="61"/>
      <c r="I1180" s="61">
        <f t="shared" si="540"/>
        <v>5069670</v>
      </c>
      <c r="J1180" s="67">
        <v>5376860</v>
      </c>
      <c r="K1180" s="61"/>
      <c r="L1180" s="67">
        <f t="shared" si="550"/>
        <v>5376860</v>
      </c>
      <c r="M1180" s="273">
        <f t="shared" si="543"/>
        <v>109.1012758911759</v>
      </c>
      <c r="N1180" s="273">
        <f t="shared" si="544"/>
        <v>109.1012758911759</v>
      </c>
      <c r="O1180" s="273">
        <f t="shared" si="545"/>
        <v>106.05936875575728</v>
      </c>
      <c r="P1180" s="273">
        <f t="shared" si="551"/>
        <v>106.05936875575728</v>
      </c>
    </row>
    <row r="1181" spans="1:16" s="3" customFormat="1" ht="12.75" customHeight="1">
      <c r="A1181" s="80" t="s">
        <v>756</v>
      </c>
      <c r="B1181" s="79" t="s">
        <v>757</v>
      </c>
      <c r="C1181" s="302" t="s">
        <v>1528</v>
      </c>
      <c r="D1181" s="76">
        <v>26300</v>
      </c>
      <c r="E1181" s="76"/>
      <c r="F1181" s="76">
        <f>SUM(D1181:E1181)</f>
        <v>26300</v>
      </c>
      <c r="G1181" s="116">
        <v>26300</v>
      </c>
      <c r="H1181" s="116"/>
      <c r="I1181" s="116">
        <f>SUM(G1181:H1181)</f>
        <v>26300</v>
      </c>
      <c r="J1181" s="76">
        <v>15520</v>
      </c>
      <c r="K1181" s="76"/>
      <c r="L1181" s="76">
        <f>SUM(J1181:K1181)</f>
        <v>15520</v>
      </c>
      <c r="M1181" s="226">
        <f t="shared" si="543"/>
        <v>59.01140684410646</v>
      </c>
      <c r="N1181" s="226">
        <f t="shared" si="544"/>
        <v>59.01140684410646</v>
      </c>
      <c r="O1181" s="226">
        <f t="shared" si="545"/>
        <v>59.01140684410646</v>
      </c>
      <c r="P1181" s="226">
        <f>IF(I1181&gt;0,IF(L1181&gt;=0,L1181/I1181*100,""),"")</f>
        <v>59.01140684410646</v>
      </c>
    </row>
    <row r="1182" spans="1:16" s="11" customFormat="1" ht="12.75" customHeight="1">
      <c r="A1182" s="36" t="s">
        <v>2482</v>
      </c>
      <c r="B1182" s="33" t="s">
        <v>2369</v>
      </c>
      <c r="C1182" s="211" t="s">
        <v>2428</v>
      </c>
      <c r="D1182" s="38"/>
      <c r="E1182" s="38"/>
      <c r="F1182" s="63"/>
      <c r="G1182" s="38"/>
      <c r="H1182" s="38"/>
      <c r="I1182" s="38"/>
      <c r="J1182" s="63">
        <v>3150</v>
      </c>
      <c r="K1182" s="38"/>
      <c r="L1182" s="63">
        <f>SUM(J1182:K1182)</f>
        <v>3150</v>
      </c>
      <c r="M1182" s="218" t="str">
        <f t="shared" si="543"/>
        <v/>
      </c>
      <c r="N1182" s="218" t="str">
        <f t="shared" si="544"/>
        <v/>
      </c>
      <c r="O1182" s="218" t="str">
        <f t="shared" si="545"/>
        <v/>
      </c>
      <c r="P1182" s="218"/>
    </row>
    <row r="1183" spans="1:16" s="11" customFormat="1" ht="12.75" customHeight="1">
      <c r="A1183" s="36" t="s">
        <v>2071</v>
      </c>
      <c r="B1183" s="33" t="s">
        <v>2072</v>
      </c>
      <c r="C1183" s="211" t="s">
        <v>2429</v>
      </c>
      <c r="D1183" s="38"/>
      <c r="E1183" s="38"/>
      <c r="F1183" s="63"/>
      <c r="G1183" s="38"/>
      <c r="H1183" s="38"/>
      <c r="I1183" s="38"/>
      <c r="J1183" s="63">
        <v>309120</v>
      </c>
      <c r="K1183" s="38"/>
      <c r="L1183" s="63">
        <f>SUM(J1183:K1183)</f>
        <v>309120</v>
      </c>
      <c r="M1183" s="218" t="str">
        <f t="shared" si="543"/>
        <v/>
      </c>
      <c r="N1183" s="218" t="str">
        <f t="shared" si="544"/>
        <v/>
      </c>
      <c r="O1183" s="218" t="str">
        <f t="shared" si="545"/>
        <v/>
      </c>
      <c r="P1183" s="218"/>
    </row>
    <row r="1184" spans="1:16" s="3" customFormat="1" ht="12.75" customHeight="1">
      <c r="A1184" s="36" t="s">
        <v>2073</v>
      </c>
      <c r="B1184" s="33" t="s">
        <v>624</v>
      </c>
      <c r="C1184" s="211" t="s">
        <v>2174</v>
      </c>
      <c r="D1184" s="63"/>
      <c r="E1184" s="63"/>
      <c r="F1184" s="63"/>
      <c r="G1184" s="38">
        <v>10000</v>
      </c>
      <c r="H1184" s="38"/>
      <c r="I1184" s="38">
        <f>SUM(G1184:H1184)</f>
        <v>10000</v>
      </c>
      <c r="J1184" s="63">
        <v>12000</v>
      </c>
      <c r="K1184" s="63"/>
      <c r="L1184" s="63">
        <f t="shared" ref="L1184" si="552">SUM(J1184:K1184)</f>
        <v>12000</v>
      </c>
      <c r="M1184" s="218" t="str">
        <f t="shared" si="543"/>
        <v/>
      </c>
      <c r="N1184" s="218" t="str">
        <f t="shared" si="544"/>
        <v/>
      </c>
      <c r="O1184" s="218">
        <f t="shared" si="545"/>
        <v>120</v>
      </c>
      <c r="P1184" s="218"/>
    </row>
    <row r="1185" spans="1:16" s="3" customFormat="1" ht="12.75" customHeight="1">
      <c r="A1185" s="36" t="s">
        <v>375</v>
      </c>
      <c r="B1185" s="33" t="s">
        <v>150</v>
      </c>
      <c r="C1185" s="211" t="s">
        <v>1530</v>
      </c>
      <c r="D1185" s="63">
        <v>7000</v>
      </c>
      <c r="E1185" s="63"/>
      <c r="F1185" s="63">
        <f>SUM(D1185:E1185)</f>
        <v>7000</v>
      </c>
      <c r="G1185" s="38">
        <v>351000</v>
      </c>
      <c r="H1185" s="38"/>
      <c r="I1185" s="38">
        <f>SUM(G1185:H1185)</f>
        <v>351000</v>
      </c>
      <c r="J1185" s="63">
        <v>8000</v>
      </c>
      <c r="K1185" s="63"/>
      <c r="L1185" s="63">
        <f>SUM(J1185:K1185)</f>
        <v>8000</v>
      </c>
      <c r="M1185" s="218">
        <f t="shared" si="543"/>
        <v>114.28571428571428</v>
      </c>
      <c r="N1185" s="218">
        <f t="shared" si="544"/>
        <v>114.28571428571428</v>
      </c>
      <c r="O1185" s="218">
        <f t="shared" si="545"/>
        <v>2.2792022792022792</v>
      </c>
      <c r="P1185" s="218">
        <f>IF(I1185&gt;0,IF(L1185&gt;=0,L1185/I1185*100,""),"")</f>
        <v>2.2792022792022792</v>
      </c>
    </row>
    <row r="1186" spans="1:16" s="11" customFormat="1" ht="12.75" customHeight="1">
      <c r="A1186" s="36" t="s">
        <v>368</v>
      </c>
      <c r="B1186" s="211" t="s">
        <v>418</v>
      </c>
      <c r="C1186" s="211" t="s">
        <v>1531</v>
      </c>
      <c r="D1186" s="38"/>
      <c r="E1186" s="38"/>
      <c r="F1186" s="63"/>
      <c r="G1186" s="38">
        <v>55535</v>
      </c>
      <c r="H1186" s="38"/>
      <c r="I1186" s="38">
        <f>SUM(G1186:H1186)</f>
        <v>55535</v>
      </c>
      <c r="J1186" s="63"/>
      <c r="K1186" s="38"/>
      <c r="L1186" s="63">
        <f>SUM(J1186:K1186)</f>
        <v>0</v>
      </c>
      <c r="M1186" s="218" t="str">
        <f t="shared" si="543"/>
        <v/>
      </c>
      <c r="N1186" s="218" t="str">
        <f t="shared" si="544"/>
        <v/>
      </c>
      <c r="O1186" s="218">
        <f t="shared" si="545"/>
        <v>0</v>
      </c>
      <c r="P1186" s="218">
        <f t="shared" si="551"/>
        <v>0</v>
      </c>
    </row>
    <row r="1187" spans="1:16" s="11" customFormat="1" ht="12.75" customHeight="1">
      <c r="A1187" s="36" t="s">
        <v>839</v>
      </c>
      <c r="B1187" s="211" t="s">
        <v>698</v>
      </c>
      <c r="C1187" s="211" t="s">
        <v>1527</v>
      </c>
      <c r="D1187" s="38">
        <v>3150</v>
      </c>
      <c r="E1187" s="38"/>
      <c r="F1187" s="63">
        <f>SUM(D1187:E1187)</f>
        <v>3150</v>
      </c>
      <c r="G1187" s="38">
        <v>4400</v>
      </c>
      <c r="H1187" s="38"/>
      <c r="I1187" s="38">
        <f t="shared" si="540"/>
        <v>4400</v>
      </c>
      <c r="J1187" s="63"/>
      <c r="K1187" s="38"/>
      <c r="L1187" s="63">
        <f>SUM(J1187:K1187)</f>
        <v>0</v>
      </c>
      <c r="M1187" s="218">
        <f t="shared" si="543"/>
        <v>0</v>
      </c>
      <c r="N1187" s="218">
        <f t="shared" si="544"/>
        <v>0</v>
      </c>
      <c r="O1187" s="218">
        <f t="shared" si="545"/>
        <v>0</v>
      </c>
      <c r="P1187" s="218">
        <f t="shared" si="551"/>
        <v>0</v>
      </c>
    </row>
    <row r="1188" spans="1:16" s="11" customFormat="1" ht="12.75" customHeight="1">
      <c r="A1188" s="36" t="s">
        <v>935</v>
      </c>
      <c r="B1188" s="211" t="s">
        <v>701</v>
      </c>
      <c r="C1188" s="211" t="s">
        <v>1529</v>
      </c>
      <c r="D1188" s="38">
        <v>138500</v>
      </c>
      <c r="E1188" s="38"/>
      <c r="F1188" s="63">
        <f>SUM(D1188:E1188)</f>
        <v>138500</v>
      </c>
      <c r="G1188" s="38">
        <v>138500</v>
      </c>
      <c r="H1188" s="38"/>
      <c r="I1188" s="38">
        <f t="shared" si="540"/>
        <v>138500</v>
      </c>
      <c r="J1188" s="63"/>
      <c r="K1188" s="38"/>
      <c r="L1188" s="63">
        <f t="shared" ref="L1188" si="553">SUM(J1188:K1188)</f>
        <v>0</v>
      </c>
      <c r="M1188" s="218">
        <f t="shared" si="543"/>
        <v>0</v>
      </c>
      <c r="N1188" s="218">
        <f t="shared" si="544"/>
        <v>0</v>
      </c>
      <c r="O1188" s="218">
        <f t="shared" si="545"/>
        <v>0</v>
      </c>
      <c r="P1188" s="218">
        <f t="shared" si="551"/>
        <v>0</v>
      </c>
    </row>
    <row r="1189" spans="1:16" s="3" customFormat="1" ht="6" customHeight="1">
      <c r="A1189" s="36"/>
      <c r="B1189" s="33"/>
      <c r="C1189" s="211" t="s">
        <v>268</v>
      </c>
      <c r="D1189" s="63"/>
      <c r="E1189" s="63"/>
      <c r="F1189" s="63"/>
      <c r="G1189" s="38"/>
      <c r="H1189" s="38"/>
      <c r="I1189" s="38"/>
      <c r="J1189" s="63"/>
      <c r="K1189" s="63"/>
      <c r="L1189" s="63"/>
      <c r="M1189" s="218" t="str">
        <f t="shared" si="543"/>
        <v/>
      </c>
      <c r="N1189" s="218" t="str">
        <f t="shared" si="544"/>
        <v/>
      </c>
      <c r="O1189" s="218" t="str">
        <f t="shared" si="545"/>
        <v/>
      </c>
      <c r="P1189" s="218" t="str">
        <f t="shared" ref="P1189:P1203" si="554">IF(I1189&gt;0,IF(L1189&gt;=0,L1189/I1189*100,""),"")</f>
        <v/>
      </c>
    </row>
    <row r="1190" spans="1:16" s="3" customFormat="1" ht="12.75">
      <c r="A1190" s="58" t="s">
        <v>385</v>
      </c>
      <c r="B1190" s="65" t="s">
        <v>265</v>
      </c>
      <c r="C1190" s="308" t="s">
        <v>940</v>
      </c>
      <c r="D1190" s="42">
        <f>SUM(D1192:D1205)</f>
        <v>7102250</v>
      </c>
      <c r="E1190" s="42">
        <f>SUM(E1192:E1204)</f>
        <v>0</v>
      </c>
      <c r="F1190" s="42">
        <f t="shared" ref="F1190:F1192" si="555">SUM(D1190:E1190)</f>
        <v>7102250</v>
      </c>
      <c r="G1190" s="55">
        <f>SUM(G1192:G1205)</f>
        <v>7691930</v>
      </c>
      <c r="H1190" s="55">
        <f>SUM(H1192:H1204)</f>
        <v>0</v>
      </c>
      <c r="I1190" s="55">
        <f t="shared" ref="I1190:I1217" si="556">SUM(G1190:H1190)</f>
        <v>7691930</v>
      </c>
      <c r="J1190" s="42">
        <f>SUM(J1192:J1205)</f>
        <v>7923900</v>
      </c>
      <c r="K1190" s="42">
        <f>SUM(K1192:K1204)</f>
        <v>0</v>
      </c>
      <c r="L1190" s="42">
        <f t="shared" ref="L1190:L1203" si="557">SUM(J1190:K1190)</f>
        <v>7923900</v>
      </c>
      <c r="M1190" s="225">
        <f t="shared" si="543"/>
        <v>111.56886902038086</v>
      </c>
      <c r="N1190" s="225">
        <f t="shared" si="544"/>
        <v>111.56886902038086</v>
      </c>
      <c r="O1190" s="225">
        <f t="shared" si="545"/>
        <v>103.01575807372143</v>
      </c>
      <c r="P1190" s="225">
        <f t="shared" si="554"/>
        <v>103.01575807372143</v>
      </c>
    </row>
    <row r="1191" spans="1:16" s="3" customFormat="1" hidden="1">
      <c r="A1191" s="46" t="s">
        <v>267</v>
      </c>
      <c r="B1191" s="44"/>
      <c r="C1191" s="304" t="s">
        <v>268</v>
      </c>
      <c r="D1191" s="63">
        <f>SUM(D1192:D1204)</f>
        <v>7102250</v>
      </c>
      <c r="E1191" s="63"/>
      <c r="F1191" s="63">
        <f t="shared" si="555"/>
        <v>7102250</v>
      </c>
      <c r="G1191" s="38">
        <f>SUM(G1192:G1204)</f>
        <v>7691930</v>
      </c>
      <c r="H1191" s="38"/>
      <c r="I1191" s="38">
        <f t="shared" si="556"/>
        <v>7691930</v>
      </c>
      <c r="J1191" s="63">
        <f>SUM(J1192:J1204)</f>
        <v>7923900</v>
      </c>
      <c r="K1191" s="63"/>
      <c r="L1191" s="63">
        <f t="shared" si="557"/>
        <v>7923900</v>
      </c>
      <c r="M1191" s="218">
        <f t="shared" si="543"/>
        <v>111.56886902038086</v>
      </c>
      <c r="N1191" s="218">
        <f t="shared" si="544"/>
        <v>111.56886902038086</v>
      </c>
      <c r="O1191" s="218">
        <f t="shared" si="545"/>
        <v>103.01575807372143</v>
      </c>
      <c r="P1191" s="218">
        <f t="shared" si="554"/>
        <v>103.01575807372143</v>
      </c>
    </row>
    <row r="1192" spans="1:16" s="3" customFormat="1" ht="12.75" customHeight="1">
      <c r="A1192" s="36" t="s">
        <v>180</v>
      </c>
      <c r="B1192" s="33" t="s">
        <v>419</v>
      </c>
      <c r="C1192" s="211" t="s">
        <v>1532</v>
      </c>
      <c r="D1192" s="38">
        <v>6658750</v>
      </c>
      <c r="E1192" s="38"/>
      <c r="F1192" s="63">
        <f t="shared" si="555"/>
        <v>6658750</v>
      </c>
      <c r="G1192" s="38">
        <v>6789020</v>
      </c>
      <c r="H1192" s="38"/>
      <c r="I1192" s="38">
        <f t="shared" si="556"/>
        <v>6789020</v>
      </c>
      <c r="J1192" s="63">
        <v>7547720</v>
      </c>
      <c r="K1192" s="38"/>
      <c r="L1192" s="63">
        <f t="shared" si="557"/>
        <v>7547720</v>
      </c>
      <c r="M1192" s="218">
        <f t="shared" si="543"/>
        <v>113.35040360428007</v>
      </c>
      <c r="N1192" s="218">
        <f t="shared" si="544"/>
        <v>113.35040360428007</v>
      </c>
      <c r="O1192" s="218">
        <f t="shared" si="545"/>
        <v>111.17539792193867</v>
      </c>
      <c r="P1192" s="218">
        <f t="shared" si="554"/>
        <v>111.17539792193867</v>
      </c>
    </row>
    <row r="1193" spans="1:16" s="3" customFormat="1" ht="12.75" customHeight="1">
      <c r="A1193" s="36" t="s">
        <v>756</v>
      </c>
      <c r="B1193" s="33" t="s">
        <v>757</v>
      </c>
      <c r="C1193" s="211" t="s">
        <v>1533</v>
      </c>
      <c r="D1193" s="38">
        <v>9090</v>
      </c>
      <c r="E1193" s="38"/>
      <c r="F1193" s="63">
        <f>SUM(D1193:E1193)</f>
        <v>9090</v>
      </c>
      <c r="G1193" s="38">
        <v>9680</v>
      </c>
      <c r="H1193" s="38"/>
      <c r="I1193" s="38">
        <f t="shared" si="556"/>
        <v>9680</v>
      </c>
      <c r="J1193" s="63">
        <v>6810</v>
      </c>
      <c r="K1193" s="38"/>
      <c r="L1193" s="63">
        <f>SUM(J1193:K1193)</f>
        <v>6810</v>
      </c>
      <c r="M1193" s="218">
        <f t="shared" si="543"/>
        <v>74.917491749174914</v>
      </c>
      <c r="N1193" s="218">
        <f t="shared" si="544"/>
        <v>74.917491749174914</v>
      </c>
      <c r="O1193" s="218">
        <f t="shared" si="545"/>
        <v>70.351239669421489</v>
      </c>
      <c r="P1193" s="218">
        <f t="shared" si="554"/>
        <v>70.351239669421489</v>
      </c>
    </row>
    <row r="1194" spans="1:16" s="3" customFormat="1" ht="12.75" customHeight="1">
      <c r="A1194" s="36" t="s">
        <v>754</v>
      </c>
      <c r="B1194" s="33" t="s">
        <v>755</v>
      </c>
      <c r="C1194" s="211" t="s">
        <v>1534</v>
      </c>
      <c r="D1194" s="38">
        <v>7440</v>
      </c>
      <c r="E1194" s="38"/>
      <c r="F1194" s="63">
        <f t="shared" ref="F1194:F1201" si="558">SUM(D1194:E1194)</f>
        <v>7440</v>
      </c>
      <c r="G1194" s="38">
        <v>7860</v>
      </c>
      <c r="H1194" s="38"/>
      <c r="I1194" s="38">
        <f t="shared" si="556"/>
        <v>7860</v>
      </c>
      <c r="J1194" s="63">
        <v>7320</v>
      </c>
      <c r="K1194" s="38"/>
      <c r="L1194" s="63">
        <f t="shared" si="557"/>
        <v>7320</v>
      </c>
      <c r="M1194" s="218">
        <f t="shared" si="543"/>
        <v>98.387096774193552</v>
      </c>
      <c r="N1194" s="218">
        <f t="shared" si="544"/>
        <v>98.387096774193552</v>
      </c>
      <c r="O1194" s="218">
        <f t="shared" si="545"/>
        <v>93.129770992366417</v>
      </c>
      <c r="P1194" s="218">
        <f t="shared" si="554"/>
        <v>93.129770992366417</v>
      </c>
    </row>
    <row r="1195" spans="1:16" s="3" customFormat="1" ht="12.75" customHeight="1">
      <c r="A1195" s="36" t="s">
        <v>2482</v>
      </c>
      <c r="B1195" s="33" t="s">
        <v>2369</v>
      </c>
      <c r="C1195" s="211" t="s">
        <v>2430</v>
      </c>
      <c r="D1195" s="38"/>
      <c r="E1195" s="38"/>
      <c r="F1195" s="63"/>
      <c r="G1195" s="38"/>
      <c r="H1195" s="38"/>
      <c r="I1195" s="38"/>
      <c r="J1195" s="63">
        <v>1050</v>
      </c>
      <c r="K1195" s="38"/>
      <c r="L1195" s="63">
        <f t="shared" si="557"/>
        <v>1050</v>
      </c>
      <c r="M1195" s="218" t="str">
        <f t="shared" si="543"/>
        <v/>
      </c>
      <c r="N1195" s="218" t="str">
        <f t="shared" si="544"/>
        <v/>
      </c>
      <c r="O1195" s="218" t="str">
        <f t="shared" si="545"/>
        <v/>
      </c>
      <c r="P1195" s="218"/>
    </row>
    <row r="1196" spans="1:16" s="3" customFormat="1" ht="12.75" customHeight="1">
      <c r="A1196" s="36" t="s">
        <v>2071</v>
      </c>
      <c r="B1196" s="33" t="s">
        <v>2072</v>
      </c>
      <c r="C1196" s="211" t="s">
        <v>2431</v>
      </c>
      <c r="D1196" s="38"/>
      <c r="E1196" s="38"/>
      <c r="F1196" s="63"/>
      <c r="G1196" s="38"/>
      <c r="H1196" s="38"/>
      <c r="I1196" s="38"/>
      <c r="J1196" s="63">
        <v>340000</v>
      </c>
      <c r="K1196" s="38"/>
      <c r="L1196" s="63">
        <f t="shared" si="557"/>
        <v>340000</v>
      </c>
      <c r="M1196" s="218" t="str">
        <f t="shared" si="543"/>
        <v/>
      </c>
      <c r="N1196" s="218" t="str">
        <f t="shared" si="544"/>
        <v/>
      </c>
      <c r="O1196" s="218" t="str">
        <f t="shared" si="545"/>
        <v/>
      </c>
      <c r="P1196" s="218"/>
    </row>
    <row r="1197" spans="1:16" s="3" customFormat="1" ht="12.75" customHeight="1">
      <c r="A1197" s="36" t="s">
        <v>2073</v>
      </c>
      <c r="B1197" s="33" t="s">
        <v>624</v>
      </c>
      <c r="C1197" s="211" t="s">
        <v>2175</v>
      </c>
      <c r="D1197" s="63"/>
      <c r="E1197" s="63"/>
      <c r="F1197" s="63"/>
      <c r="G1197" s="38">
        <v>5000</v>
      </c>
      <c r="H1197" s="38"/>
      <c r="I1197" s="38">
        <f>SUM(G1197:H1197)</f>
        <v>5000</v>
      </c>
      <c r="J1197" s="63">
        <v>6000</v>
      </c>
      <c r="K1197" s="63"/>
      <c r="L1197" s="63">
        <f>SUM(J1197:K1197)</f>
        <v>6000</v>
      </c>
      <c r="M1197" s="218" t="str">
        <f t="shared" si="543"/>
        <v/>
      </c>
      <c r="N1197" s="218" t="str">
        <f t="shared" si="544"/>
        <v/>
      </c>
      <c r="O1197" s="218">
        <f t="shared" si="545"/>
        <v>120</v>
      </c>
      <c r="P1197" s="218"/>
    </row>
    <row r="1198" spans="1:16" s="3" customFormat="1" ht="12.75" customHeight="1">
      <c r="A1198" s="36" t="s">
        <v>375</v>
      </c>
      <c r="B1198" s="33" t="s">
        <v>150</v>
      </c>
      <c r="C1198" s="211" t="s">
        <v>1538</v>
      </c>
      <c r="D1198" s="63">
        <v>14000</v>
      </c>
      <c r="E1198" s="63"/>
      <c r="F1198" s="63">
        <f>SUM(D1198:E1198)</f>
        <v>14000</v>
      </c>
      <c r="G1198" s="38">
        <v>214000</v>
      </c>
      <c r="H1198" s="38"/>
      <c r="I1198" s="38">
        <f>SUM(G1198:H1198)</f>
        <v>214000</v>
      </c>
      <c r="J1198" s="63">
        <v>15000</v>
      </c>
      <c r="K1198" s="63"/>
      <c r="L1198" s="63">
        <f>SUM(J1198:K1198)</f>
        <v>15000</v>
      </c>
      <c r="M1198" s="218">
        <f t="shared" si="543"/>
        <v>107.14285714285714</v>
      </c>
      <c r="N1198" s="218">
        <f t="shared" si="544"/>
        <v>107.14285714285714</v>
      </c>
      <c r="O1198" s="218">
        <f t="shared" si="545"/>
        <v>7.009345794392523</v>
      </c>
      <c r="P1198" s="218">
        <f>IF(I1198&gt;0,IF(L1198&gt;=0,L1198/I1198*100,""),"")</f>
        <v>7.009345794392523</v>
      </c>
    </row>
    <row r="1199" spans="1:16" s="3" customFormat="1" ht="12.75" customHeight="1">
      <c r="A1199" s="36" t="s">
        <v>368</v>
      </c>
      <c r="B1199" s="211" t="s">
        <v>418</v>
      </c>
      <c r="C1199" s="211" t="s">
        <v>1539</v>
      </c>
      <c r="D1199" s="38"/>
      <c r="E1199" s="38"/>
      <c r="F1199" s="63"/>
      <c r="G1199" s="38">
        <v>91800</v>
      </c>
      <c r="H1199" s="38"/>
      <c r="I1199" s="38">
        <f>SUM(G1199:H1199)</f>
        <v>91800</v>
      </c>
      <c r="J1199" s="63"/>
      <c r="K1199" s="38"/>
      <c r="L1199" s="63">
        <f>SUM(J1199:K1199)</f>
        <v>0</v>
      </c>
      <c r="M1199" s="218" t="str">
        <f t="shared" si="543"/>
        <v/>
      </c>
      <c r="N1199" s="218" t="str">
        <f t="shared" si="544"/>
        <v/>
      </c>
      <c r="O1199" s="218">
        <f t="shared" si="545"/>
        <v>0</v>
      </c>
      <c r="P1199" s="218">
        <f>IF(I1199&gt;0,IF(L1199&gt;=0,L1199/I1199*100,""),"")</f>
        <v>0</v>
      </c>
    </row>
    <row r="1200" spans="1:16" s="11" customFormat="1" ht="12.75" customHeight="1">
      <c r="A1200" s="36" t="s">
        <v>772</v>
      </c>
      <c r="B1200" s="211" t="s">
        <v>766</v>
      </c>
      <c r="C1200" s="211" t="s">
        <v>1535</v>
      </c>
      <c r="D1200" s="38">
        <v>2770</v>
      </c>
      <c r="E1200" s="38"/>
      <c r="F1200" s="63">
        <f t="shared" si="558"/>
        <v>2770</v>
      </c>
      <c r="G1200" s="38">
        <v>2770</v>
      </c>
      <c r="H1200" s="38"/>
      <c r="I1200" s="38">
        <f t="shared" si="556"/>
        <v>2770</v>
      </c>
      <c r="J1200" s="63"/>
      <c r="K1200" s="38"/>
      <c r="L1200" s="63">
        <f t="shared" si="557"/>
        <v>0</v>
      </c>
      <c r="M1200" s="218">
        <f t="shared" si="543"/>
        <v>0</v>
      </c>
      <c r="N1200" s="218">
        <f t="shared" si="544"/>
        <v>0</v>
      </c>
      <c r="O1200" s="218">
        <f t="shared" si="545"/>
        <v>0</v>
      </c>
      <c r="P1200" s="218">
        <f t="shared" si="554"/>
        <v>0</v>
      </c>
    </row>
    <row r="1201" spans="1:16" s="3" customFormat="1" ht="12.75" customHeight="1">
      <c r="A1201" s="36" t="s">
        <v>935</v>
      </c>
      <c r="B1201" s="211" t="s">
        <v>701</v>
      </c>
      <c r="C1201" s="211" t="s">
        <v>1536</v>
      </c>
      <c r="D1201" s="38">
        <v>287200</v>
      </c>
      <c r="E1201" s="38"/>
      <c r="F1201" s="63">
        <f t="shared" si="558"/>
        <v>287200</v>
      </c>
      <c r="G1201" s="38">
        <v>287200</v>
      </c>
      <c r="H1201" s="38"/>
      <c r="I1201" s="38">
        <f t="shared" si="556"/>
        <v>287200</v>
      </c>
      <c r="J1201" s="63"/>
      <c r="K1201" s="38"/>
      <c r="L1201" s="63">
        <f t="shared" si="557"/>
        <v>0</v>
      </c>
      <c r="M1201" s="218">
        <f t="shared" si="543"/>
        <v>0</v>
      </c>
      <c r="N1201" s="218">
        <f t="shared" si="544"/>
        <v>0</v>
      </c>
      <c r="O1201" s="218">
        <f t="shared" si="545"/>
        <v>0</v>
      </c>
      <c r="P1201" s="218">
        <f t="shared" si="554"/>
        <v>0</v>
      </c>
    </row>
    <row r="1202" spans="1:16" ht="12.75" customHeight="1">
      <c r="A1202" s="36" t="s">
        <v>358</v>
      </c>
      <c r="B1202" s="211" t="s">
        <v>417</v>
      </c>
      <c r="C1202" s="211" t="s">
        <v>1541</v>
      </c>
      <c r="D1202" s="112"/>
      <c r="E1202" s="112"/>
      <c r="F1202" s="63">
        <f t="shared" ref="F1202" si="559">SUM(D1202:E1202)</f>
        <v>0</v>
      </c>
      <c r="G1202" s="112">
        <v>161600</v>
      </c>
      <c r="H1202" s="112"/>
      <c r="I1202" s="38">
        <f>SUM(G1202:H1202)</f>
        <v>161600</v>
      </c>
      <c r="J1202" s="63"/>
      <c r="K1202" s="112"/>
      <c r="L1202" s="63">
        <f t="shared" si="557"/>
        <v>0</v>
      </c>
      <c r="M1202" s="218" t="str">
        <f t="shared" si="543"/>
        <v/>
      </c>
      <c r="N1202" s="218" t="str">
        <f t="shared" si="544"/>
        <v/>
      </c>
      <c r="O1202" s="218">
        <f t="shared" si="545"/>
        <v>0</v>
      </c>
      <c r="P1202" s="218">
        <f t="shared" si="554"/>
        <v>0</v>
      </c>
    </row>
    <row r="1203" spans="1:16" s="3" customFormat="1" ht="12.75" customHeight="1">
      <c r="A1203" s="36" t="s">
        <v>145</v>
      </c>
      <c r="B1203" s="211" t="s">
        <v>144</v>
      </c>
      <c r="C1203" s="211" t="s">
        <v>1537</v>
      </c>
      <c r="D1203" s="38">
        <v>123000</v>
      </c>
      <c r="E1203" s="38"/>
      <c r="F1203" s="63">
        <f>SUM(D1203:E1203)</f>
        <v>123000</v>
      </c>
      <c r="G1203" s="38">
        <v>123000</v>
      </c>
      <c r="H1203" s="38"/>
      <c r="I1203" s="38">
        <f t="shared" si="556"/>
        <v>123000</v>
      </c>
      <c r="J1203" s="63"/>
      <c r="K1203" s="38"/>
      <c r="L1203" s="63">
        <f t="shared" si="557"/>
        <v>0</v>
      </c>
      <c r="M1203" s="218">
        <f t="shared" si="543"/>
        <v>0</v>
      </c>
      <c r="N1203" s="218">
        <f t="shared" si="544"/>
        <v>0</v>
      </c>
      <c r="O1203" s="218">
        <f t="shared" si="545"/>
        <v>0</v>
      </c>
      <c r="P1203" s="218">
        <f t="shared" si="554"/>
        <v>0</v>
      </c>
    </row>
    <row r="1204" spans="1:16" s="3" customFormat="1" hidden="1">
      <c r="A1204" s="36" t="s">
        <v>116</v>
      </c>
      <c r="B1204" s="211" t="s">
        <v>799</v>
      </c>
      <c r="C1204" s="211" t="s">
        <v>1540</v>
      </c>
      <c r="D1204" s="38"/>
      <c r="E1204" s="38"/>
      <c r="F1204" s="63">
        <f>SUM(D1204:E1204)</f>
        <v>0</v>
      </c>
      <c r="G1204" s="38"/>
      <c r="H1204" s="38"/>
      <c r="I1204" s="38">
        <f t="shared" si="556"/>
        <v>0</v>
      </c>
      <c r="J1204" s="38"/>
      <c r="K1204" s="38"/>
      <c r="L1204" s="63">
        <f>SUM(J1204:K1204)</f>
        <v>0</v>
      </c>
      <c r="M1204" s="218" t="str">
        <f t="shared" si="543"/>
        <v/>
      </c>
      <c r="N1204" s="218" t="str">
        <f t="shared" si="544"/>
        <v/>
      </c>
      <c r="O1204" s="218" t="str">
        <f t="shared" si="545"/>
        <v/>
      </c>
      <c r="P1204" s="218" t="str">
        <f t="shared" ref="P1204:P1216" si="560">IF(I1204&gt;0,IF(L1204&gt;=0,L1204/I1204*100,""),"")</f>
        <v/>
      </c>
    </row>
    <row r="1205" spans="1:16" hidden="1">
      <c r="A1205" s="36" t="s">
        <v>791</v>
      </c>
      <c r="B1205" s="211" t="s">
        <v>151</v>
      </c>
      <c r="C1205" s="211" t="s">
        <v>1542</v>
      </c>
      <c r="D1205" s="84"/>
      <c r="E1205" s="84"/>
      <c r="F1205" s="63"/>
      <c r="G1205" s="84"/>
      <c r="H1205" s="84"/>
      <c r="I1205" s="38">
        <f t="shared" si="556"/>
        <v>0</v>
      </c>
      <c r="J1205" s="63"/>
      <c r="K1205" s="84"/>
      <c r="L1205" s="63"/>
      <c r="M1205" s="218" t="str">
        <f t="shared" si="543"/>
        <v/>
      </c>
      <c r="N1205" s="218" t="str">
        <f t="shared" si="544"/>
        <v/>
      </c>
      <c r="O1205" s="218" t="str">
        <f t="shared" si="545"/>
        <v/>
      </c>
      <c r="P1205" s="218" t="str">
        <f t="shared" si="560"/>
        <v/>
      </c>
    </row>
    <row r="1206" spans="1:16" s="3" customFormat="1" ht="6" customHeight="1">
      <c r="A1206" s="36"/>
      <c r="B1206" s="211"/>
      <c r="C1206" s="211" t="s">
        <v>268</v>
      </c>
      <c r="D1206" s="63"/>
      <c r="E1206" s="63"/>
      <c r="F1206" s="63">
        <f t="shared" ref="F1206:F1217" si="561">SUM(D1206:E1206)</f>
        <v>0</v>
      </c>
      <c r="G1206" s="38"/>
      <c r="H1206" s="38"/>
      <c r="I1206" s="38">
        <f t="shared" si="556"/>
        <v>0</v>
      </c>
      <c r="J1206" s="63"/>
      <c r="K1206" s="63"/>
      <c r="L1206" s="63">
        <f t="shared" ref="L1206:L1207" si="562">SUM(J1206:K1206)</f>
        <v>0</v>
      </c>
      <c r="M1206" s="218" t="str">
        <f t="shared" si="543"/>
        <v/>
      </c>
      <c r="N1206" s="218" t="str">
        <f t="shared" si="544"/>
        <v/>
      </c>
      <c r="O1206" s="218" t="str">
        <f t="shared" si="545"/>
        <v/>
      </c>
      <c r="P1206" s="218" t="str">
        <f t="shared" si="560"/>
        <v/>
      </c>
    </row>
    <row r="1207" spans="1:16" s="11" customFormat="1" ht="12.75">
      <c r="A1207" s="58" t="s">
        <v>386</v>
      </c>
      <c r="B1207" s="65" t="s">
        <v>265</v>
      </c>
      <c r="C1207" s="308" t="s">
        <v>940</v>
      </c>
      <c r="D1207" s="42">
        <f>SUM(D1209:D1217)</f>
        <v>8156400</v>
      </c>
      <c r="E1207" s="42">
        <f>SUM(E1209:E1217)</f>
        <v>0</v>
      </c>
      <c r="F1207" s="42">
        <f t="shared" si="561"/>
        <v>8156400</v>
      </c>
      <c r="G1207" s="55">
        <f>SUM(G1209:G1217)</f>
        <v>8685799</v>
      </c>
      <c r="H1207" s="55">
        <f>SUM(H1209:H1217)</f>
        <v>0</v>
      </c>
      <c r="I1207" s="55">
        <f t="shared" si="556"/>
        <v>8685799</v>
      </c>
      <c r="J1207" s="42">
        <f>SUM(J1209:J1217)</f>
        <v>9078030</v>
      </c>
      <c r="K1207" s="42">
        <f>SUM(K1209:K1217)</f>
        <v>0</v>
      </c>
      <c r="L1207" s="42">
        <f t="shared" si="562"/>
        <v>9078030</v>
      </c>
      <c r="M1207" s="225">
        <f t="shared" si="543"/>
        <v>111.2994703545682</v>
      </c>
      <c r="N1207" s="225">
        <f t="shared" si="544"/>
        <v>111.2994703545682</v>
      </c>
      <c r="O1207" s="225">
        <f t="shared" si="545"/>
        <v>104.51577339056546</v>
      </c>
      <c r="P1207" s="225">
        <f t="shared" si="560"/>
        <v>104.51577339056546</v>
      </c>
    </row>
    <row r="1208" spans="1:16" s="11" customFormat="1" hidden="1">
      <c r="A1208" s="46" t="s">
        <v>267</v>
      </c>
      <c r="B1208" s="184"/>
      <c r="C1208" s="320" t="s">
        <v>268</v>
      </c>
      <c r="D1208" s="38">
        <f>SUM(D1209:D1217)</f>
        <v>8156400</v>
      </c>
      <c r="E1208" s="77"/>
      <c r="F1208" s="63">
        <f t="shared" si="561"/>
        <v>8156400</v>
      </c>
      <c r="G1208" s="38">
        <f>SUM(G1209:G1217)</f>
        <v>8685799</v>
      </c>
      <c r="H1208" s="109"/>
      <c r="I1208" s="38">
        <f t="shared" si="556"/>
        <v>8685799</v>
      </c>
      <c r="J1208" s="63">
        <f>SUM(J1209:J1217)</f>
        <v>9078030</v>
      </c>
      <c r="K1208" s="77"/>
      <c r="L1208" s="63">
        <f t="shared" ref="L1208" si="563">SUM(J1208:K1208)</f>
        <v>9078030</v>
      </c>
      <c r="M1208" s="218">
        <f t="shared" si="543"/>
        <v>111.2994703545682</v>
      </c>
      <c r="N1208" s="218">
        <f t="shared" si="544"/>
        <v>111.2994703545682</v>
      </c>
      <c r="O1208" s="218">
        <f t="shared" si="545"/>
        <v>104.51577339056546</v>
      </c>
      <c r="P1208" s="218">
        <f t="shared" si="560"/>
        <v>104.51577339056546</v>
      </c>
    </row>
    <row r="1209" spans="1:16" s="11" customFormat="1" ht="12.75" customHeight="1">
      <c r="A1209" s="36" t="s">
        <v>180</v>
      </c>
      <c r="B1209" s="33" t="s">
        <v>419</v>
      </c>
      <c r="C1209" s="211" t="s">
        <v>1543</v>
      </c>
      <c r="D1209" s="38">
        <v>7734540</v>
      </c>
      <c r="E1209" s="38"/>
      <c r="F1209" s="63">
        <f t="shared" si="561"/>
        <v>7734540</v>
      </c>
      <c r="G1209" s="38">
        <v>7794539</v>
      </c>
      <c r="H1209" s="38"/>
      <c r="I1209" s="38">
        <f t="shared" si="556"/>
        <v>7794539</v>
      </c>
      <c r="J1209" s="63">
        <v>8756290</v>
      </c>
      <c r="K1209" s="38"/>
      <c r="L1209" s="63">
        <f t="shared" ref="L1209:L1217" si="564">SUM(J1209:K1209)</f>
        <v>8756290</v>
      </c>
      <c r="M1209" s="218">
        <f t="shared" si="543"/>
        <v>113.21022323240943</v>
      </c>
      <c r="N1209" s="218">
        <f t="shared" si="544"/>
        <v>113.21022323240943</v>
      </c>
      <c r="O1209" s="218">
        <f t="shared" si="545"/>
        <v>112.33877975336321</v>
      </c>
      <c r="P1209" s="218">
        <f t="shared" si="560"/>
        <v>112.33877975336321</v>
      </c>
    </row>
    <row r="1210" spans="1:16" s="11" customFormat="1" ht="12.75" customHeight="1">
      <c r="A1210" s="36" t="s">
        <v>756</v>
      </c>
      <c r="B1210" s="33" t="s">
        <v>757</v>
      </c>
      <c r="C1210" s="211" t="s">
        <v>1544</v>
      </c>
      <c r="D1210" s="38">
        <v>44280</v>
      </c>
      <c r="E1210" s="38"/>
      <c r="F1210" s="63">
        <f t="shared" si="561"/>
        <v>44280</v>
      </c>
      <c r="G1210" s="38">
        <v>44280</v>
      </c>
      <c r="H1210" s="38"/>
      <c r="I1210" s="38">
        <f t="shared" si="556"/>
        <v>44280</v>
      </c>
      <c r="J1210" s="63">
        <v>22320</v>
      </c>
      <c r="K1210" s="38"/>
      <c r="L1210" s="63">
        <f t="shared" si="564"/>
        <v>22320</v>
      </c>
      <c r="M1210" s="218">
        <f t="shared" si="543"/>
        <v>50.40650406504065</v>
      </c>
      <c r="N1210" s="218">
        <f t="shared" si="544"/>
        <v>50.40650406504065</v>
      </c>
      <c r="O1210" s="218">
        <f t="shared" si="545"/>
        <v>50.40650406504065</v>
      </c>
      <c r="P1210" s="218">
        <f t="shared" si="560"/>
        <v>50.40650406504065</v>
      </c>
    </row>
    <row r="1211" spans="1:16" s="11" customFormat="1" ht="12.75" customHeight="1">
      <c r="A1211" s="36" t="s">
        <v>754</v>
      </c>
      <c r="B1211" s="33" t="s">
        <v>755</v>
      </c>
      <c r="C1211" s="211" t="s">
        <v>1545</v>
      </c>
      <c r="D1211" s="38">
        <v>27550</v>
      </c>
      <c r="E1211" s="38"/>
      <c r="F1211" s="63">
        <f t="shared" si="561"/>
        <v>27550</v>
      </c>
      <c r="G1211" s="38">
        <v>27550</v>
      </c>
      <c r="H1211" s="38"/>
      <c r="I1211" s="38">
        <f t="shared" si="556"/>
        <v>27550</v>
      </c>
      <c r="J1211" s="63">
        <v>14420</v>
      </c>
      <c r="K1211" s="38"/>
      <c r="L1211" s="63">
        <f t="shared" si="564"/>
        <v>14420</v>
      </c>
      <c r="M1211" s="218">
        <f t="shared" si="543"/>
        <v>52.341197822141559</v>
      </c>
      <c r="N1211" s="218">
        <f t="shared" si="544"/>
        <v>52.341197822141559</v>
      </c>
      <c r="O1211" s="218">
        <f t="shared" si="545"/>
        <v>52.341197822141559</v>
      </c>
      <c r="P1211" s="218">
        <f t="shared" si="560"/>
        <v>52.341197822141559</v>
      </c>
    </row>
    <row r="1212" spans="1:16" s="3" customFormat="1" ht="12.75" customHeight="1">
      <c r="A1212" s="36" t="s">
        <v>2071</v>
      </c>
      <c r="B1212" s="33" t="s">
        <v>2072</v>
      </c>
      <c r="C1212" s="211" t="s">
        <v>2274</v>
      </c>
      <c r="D1212" s="38"/>
      <c r="E1212" s="38"/>
      <c r="F1212" s="63"/>
      <c r="G1212" s="38">
        <v>256000</v>
      </c>
      <c r="H1212" s="38"/>
      <c r="I1212" s="38">
        <f>SUM(G1212:H1212)</f>
        <v>256000</v>
      </c>
      <c r="J1212" s="63">
        <v>270500</v>
      </c>
      <c r="K1212" s="38"/>
      <c r="L1212" s="63">
        <f>SUM(J1212:K1212)</f>
        <v>270500</v>
      </c>
      <c r="M1212" s="218" t="str">
        <f t="shared" si="543"/>
        <v/>
      </c>
      <c r="N1212" s="218" t="str">
        <f t="shared" si="544"/>
        <v/>
      </c>
      <c r="O1212" s="218">
        <f t="shared" si="545"/>
        <v>105.6640625</v>
      </c>
      <c r="P1212" s="218"/>
    </row>
    <row r="1213" spans="1:16" s="11" customFormat="1" ht="12.75" customHeight="1">
      <c r="A1213" s="46" t="s">
        <v>651</v>
      </c>
      <c r="B1213" s="33" t="s">
        <v>650</v>
      </c>
      <c r="C1213" s="211" t="s">
        <v>1546</v>
      </c>
      <c r="D1213" s="38">
        <v>4000</v>
      </c>
      <c r="E1213" s="38"/>
      <c r="F1213" s="63">
        <f>SUM(D1213:E1213)</f>
        <v>4000</v>
      </c>
      <c r="G1213" s="38">
        <v>4000</v>
      </c>
      <c r="H1213" s="38"/>
      <c r="I1213" s="38">
        <f>SUM(G1213:H1213)</f>
        <v>4000</v>
      </c>
      <c r="J1213" s="63">
        <v>4000</v>
      </c>
      <c r="K1213" s="38"/>
      <c r="L1213" s="63">
        <f>SUM(J1213:K1213)</f>
        <v>4000</v>
      </c>
      <c r="M1213" s="218">
        <f t="shared" si="543"/>
        <v>100</v>
      </c>
      <c r="N1213" s="218">
        <f t="shared" si="544"/>
        <v>100</v>
      </c>
      <c r="O1213" s="218">
        <f t="shared" si="545"/>
        <v>100</v>
      </c>
      <c r="P1213" s="218">
        <f>IF(I1213&gt;0,IF(L1213&gt;=0,L1213/I1213*100,""),"")</f>
        <v>100</v>
      </c>
    </row>
    <row r="1214" spans="1:16" s="11" customFormat="1" ht="12.75" customHeight="1">
      <c r="A1214" s="36" t="s">
        <v>375</v>
      </c>
      <c r="B1214" s="33" t="s">
        <v>150</v>
      </c>
      <c r="C1214" s="211" t="s">
        <v>1549</v>
      </c>
      <c r="D1214" s="38">
        <v>9500</v>
      </c>
      <c r="E1214" s="38"/>
      <c r="F1214" s="63">
        <f>SUM(D1214:E1214)</f>
        <v>9500</v>
      </c>
      <c r="G1214" s="38">
        <v>161500</v>
      </c>
      <c r="H1214" s="38"/>
      <c r="I1214" s="38">
        <f>SUM(G1214:H1214)</f>
        <v>161500</v>
      </c>
      <c r="J1214" s="63">
        <v>10500</v>
      </c>
      <c r="K1214" s="38"/>
      <c r="L1214" s="63">
        <f t="shared" ref="L1214" si="565">SUM(J1214:K1214)</f>
        <v>10500</v>
      </c>
      <c r="M1214" s="218">
        <f t="shared" si="543"/>
        <v>110.5263157894737</v>
      </c>
      <c r="N1214" s="218">
        <f t="shared" si="544"/>
        <v>110.5263157894737</v>
      </c>
      <c r="O1214" s="218">
        <f t="shared" si="545"/>
        <v>6.5015479876160995</v>
      </c>
      <c r="P1214" s="218">
        <f>IF(I1214&gt;0,IF(L1214&gt;=0,L1214/I1214*100,""),"")</f>
        <v>6.5015479876160995</v>
      </c>
    </row>
    <row r="1215" spans="1:16" s="11" customFormat="1" ht="12.75" customHeight="1">
      <c r="A1215" s="36" t="s">
        <v>368</v>
      </c>
      <c r="B1215" s="211" t="s">
        <v>418</v>
      </c>
      <c r="C1215" s="211" t="s">
        <v>1550</v>
      </c>
      <c r="D1215" s="38"/>
      <c r="E1215" s="38"/>
      <c r="F1215" s="63"/>
      <c r="G1215" s="38">
        <v>61500</v>
      </c>
      <c r="H1215" s="38"/>
      <c r="I1215" s="38">
        <f>SUM(G1215:H1215)</f>
        <v>61500</v>
      </c>
      <c r="J1215" s="63"/>
      <c r="K1215" s="38"/>
      <c r="L1215" s="63">
        <f>SUM(J1215:K1215)</f>
        <v>0</v>
      </c>
      <c r="M1215" s="218" t="str">
        <f t="shared" si="543"/>
        <v/>
      </c>
      <c r="N1215" s="218" t="str">
        <f t="shared" si="544"/>
        <v/>
      </c>
      <c r="O1215" s="218">
        <f t="shared" si="545"/>
        <v>0</v>
      </c>
      <c r="P1215" s="218">
        <f>IF(I1215&gt;0,IF(L1215&gt;=0,L1215/I1215*100,""),"")</f>
        <v>0</v>
      </c>
    </row>
    <row r="1216" spans="1:16" s="3" customFormat="1" ht="12.75" customHeight="1">
      <c r="A1216" s="36" t="s">
        <v>935</v>
      </c>
      <c r="B1216" s="211" t="s">
        <v>701</v>
      </c>
      <c r="C1216" s="211" t="s">
        <v>1547</v>
      </c>
      <c r="D1216" s="38">
        <v>330010</v>
      </c>
      <c r="E1216" s="38"/>
      <c r="F1216" s="63">
        <f t="shared" si="561"/>
        <v>330010</v>
      </c>
      <c r="G1216" s="38">
        <v>330010</v>
      </c>
      <c r="H1216" s="38"/>
      <c r="I1216" s="38">
        <f t="shared" si="556"/>
        <v>330010</v>
      </c>
      <c r="J1216" s="63"/>
      <c r="K1216" s="38"/>
      <c r="L1216" s="63">
        <f t="shared" si="564"/>
        <v>0</v>
      </c>
      <c r="M1216" s="218">
        <f t="shared" si="543"/>
        <v>0</v>
      </c>
      <c r="N1216" s="218">
        <f t="shared" si="544"/>
        <v>0</v>
      </c>
      <c r="O1216" s="218">
        <f t="shared" si="545"/>
        <v>0</v>
      </c>
      <c r="P1216" s="218">
        <f t="shared" si="560"/>
        <v>0</v>
      </c>
    </row>
    <row r="1217" spans="1:16" s="11" customFormat="1" ht="12.75" customHeight="1">
      <c r="A1217" s="36" t="s">
        <v>772</v>
      </c>
      <c r="B1217" s="211" t="s">
        <v>766</v>
      </c>
      <c r="C1217" s="211" t="s">
        <v>1548</v>
      </c>
      <c r="D1217" s="38">
        <v>6520</v>
      </c>
      <c r="E1217" s="38"/>
      <c r="F1217" s="63">
        <f t="shared" si="561"/>
        <v>6520</v>
      </c>
      <c r="G1217" s="38">
        <v>6420</v>
      </c>
      <c r="H1217" s="38"/>
      <c r="I1217" s="38">
        <f t="shared" si="556"/>
        <v>6420</v>
      </c>
      <c r="J1217" s="63"/>
      <c r="K1217" s="38"/>
      <c r="L1217" s="63">
        <f t="shared" si="564"/>
        <v>0</v>
      </c>
      <c r="M1217" s="218">
        <f t="shared" si="543"/>
        <v>0</v>
      </c>
      <c r="N1217" s="218">
        <f t="shared" si="544"/>
        <v>0</v>
      </c>
      <c r="O1217" s="218">
        <f t="shared" si="545"/>
        <v>0</v>
      </c>
      <c r="P1217" s="218">
        <f t="shared" ref="P1217:P1230" si="566">IF(I1217&gt;0,IF(L1217&gt;=0,L1217/I1217*100,""),"")</f>
        <v>0</v>
      </c>
    </row>
    <row r="1218" spans="1:16" s="3" customFormat="1" ht="6" customHeight="1">
      <c r="A1218" s="36"/>
      <c r="B1218" s="33"/>
      <c r="C1218" s="211" t="s">
        <v>268</v>
      </c>
      <c r="D1218" s="63"/>
      <c r="E1218" s="63"/>
      <c r="F1218" s="63"/>
      <c r="G1218" s="38"/>
      <c r="H1218" s="38"/>
      <c r="I1218" s="38"/>
      <c r="J1218" s="63"/>
      <c r="K1218" s="63"/>
      <c r="L1218" s="63"/>
      <c r="M1218" s="218" t="str">
        <f t="shared" si="543"/>
        <v/>
      </c>
      <c r="N1218" s="218" t="str">
        <f t="shared" si="544"/>
        <v/>
      </c>
      <c r="O1218" s="218" t="str">
        <f t="shared" si="545"/>
        <v/>
      </c>
      <c r="P1218" s="218" t="str">
        <f t="shared" si="566"/>
        <v/>
      </c>
    </row>
    <row r="1219" spans="1:16" s="11" customFormat="1" ht="12.75">
      <c r="A1219" s="58" t="s">
        <v>426</v>
      </c>
      <c r="B1219" s="65" t="s">
        <v>265</v>
      </c>
      <c r="C1219" s="308" t="s">
        <v>940</v>
      </c>
      <c r="D1219" s="42">
        <f>SUM(D1221:D1232)</f>
        <v>11519620</v>
      </c>
      <c r="E1219" s="42">
        <f>SUM(E1221:E1231)</f>
        <v>0</v>
      </c>
      <c r="F1219" s="42">
        <f>SUM(D1219:E1219)</f>
        <v>11519620</v>
      </c>
      <c r="G1219" s="55">
        <f>SUM(G1221:G1232)</f>
        <v>13049100</v>
      </c>
      <c r="H1219" s="55">
        <f>SUM(H1221:H1231)</f>
        <v>0</v>
      </c>
      <c r="I1219" s="55">
        <f>SUM(G1219:H1219)</f>
        <v>13049100</v>
      </c>
      <c r="J1219" s="42">
        <f>SUM(J1221:J1232)</f>
        <v>12915850</v>
      </c>
      <c r="K1219" s="42">
        <f>SUM(K1221:K1231)</f>
        <v>0</v>
      </c>
      <c r="L1219" s="42">
        <f>SUM(J1219:K1219)</f>
        <v>12915850</v>
      </c>
      <c r="M1219" s="225">
        <f t="shared" si="543"/>
        <v>112.12045188990609</v>
      </c>
      <c r="N1219" s="225">
        <f t="shared" si="544"/>
        <v>112.12045188990609</v>
      </c>
      <c r="O1219" s="225">
        <f t="shared" si="545"/>
        <v>98.978856779394746</v>
      </c>
      <c r="P1219" s="225">
        <f t="shared" si="566"/>
        <v>98.978856779394746</v>
      </c>
    </row>
    <row r="1220" spans="1:16" s="11" customFormat="1" ht="12.75" customHeight="1">
      <c r="A1220" s="46" t="s">
        <v>267</v>
      </c>
      <c r="B1220" s="184"/>
      <c r="C1220" s="320" t="s">
        <v>268</v>
      </c>
      <c r="D1220" s="38">
        <f>SUM(D1221:D1231)</f>
        <v>11519620</v>
      </c>
      <c r="E1220" s="77"/>
      <c r="F1220" s="48">
        <f t="shared" ref="F1220:F1230" si="567">E1220+D1220</f>
        <v>11519620</v>
      </c>
      <c r="G1220" s="38">
        <f>SUM(G1221:G1231)</f>
        <v>12349100</v>
      </c>
      <c r="H1220" s="109"/>
      <c r="I1220" s="85">
        <f t="shared" ref="I1220:I1232" si="568">H1220+G1220</f>
        <v>12349100</v>
      </c>
      <c r="J1220" s="48">
        <f>SUM(J1221:J1231)</f>
        <v>12915850</v>
      </c>
      <c r="K1220" s="77"/>
      <c r="L1220" s="48">
        <f>K1220+J1220</f>
        <v>12915850</v>
      </c>
      <c r="M1220" s="219">
        <f t="shared" si="543"/>
        <v>112.12045188990609</v>
      </c>
      <c r="N1220" s="219">
        <f t="shared" si="544"/>
        <v>112.12045188990609</v>
      </c>
      <c r="O1220" s="219">
        <f t="shared" si="545"/>
        <v>104.58940327635213</v>
      </c>
      <c r="P1220" s="219">
        <f t="shared" si="566"/>
        <v>104.58940327635213</v>
      </c>
    </row>
    <row r="1221" spans="1:16" s="3" customFormat="1" ht="12.75" customHeight="1">
      <c r="A1221" s="36" t="s">
        <v>180</v>
      </c>
      <c r="B1221" s="33" t="s">
        <v>419</v>
      </c>
      <c r="C1221" s="211" t="s">
        <v>1551</v>
      </c>
      <c r="D1221" s="63">
        <v>11031310</v>
      </c>
      <c r="E1221" s="63"/>
      <c r="F1221" s="48">
        <f t="shared" si="567"/>
        <v>11031310</v>
      </c>
      <c r="G1221" s="38">
        <v>11364280</v>
      </c>
      <c r="H1221" s="38"/>
      <c r="I1221" s="85">
        <f t="shared" si="568"/>
        <v>11364280</v>
      </c>
      <c r="J1221" s="63">
        <v>12444610</v>
      </c>
      <c r="K1221" s="63"/>
      <c r="L1221" s="48">
        <f>K1221+J1221</f>
        <v>12444610</v>
      </c>
      <c r="M1221" s="219">
        <f t="shared" si="543"/>
        <v>112.8117150184339</v>
      </c>
      <c r="N1221" s="219">
        <f t="shared" si="544"/>
        <v>112.8117150184339</v>
      </c>
      <c r="O1221" s="219">
        <f t="shared" si="545"/>
        <v>109.50636555945472</v>
      </c>
      <c r="P1221" s="219">
        <f t="shared" si="566"/>
        <v>109.50636555945472</v>
      </c>
    </row>
    <row r="1222" spans="1:16" s="3" customFormat="1" ht="12.75" customHeight="1">
      <c r="A1222" s="36" t="s">
        <v>760</v>
      </c>
      <c r="B1222" s="33" t="s">
        <v>761</v>
      </c>
      <c r="C1222" s="211" t="s">
        <v>1553</v>
      </c>
      <c r="D1222" s="63">
        <v>59410</v>
      </c>
      <c r="E1222" s="63"/>
      <c r="F1222" s="48">
        <f>E1222+D1222</f>
        <v>59410</v>
      </c>
      <c r="G1222" s="38">
        <v>59410</v>
      </c>
      <c r="H1222" s="38"/>
      <c r="I1222" s="85">
        <f>H1222+G1222</f>
        <v>59410</v>
      </c>
      <c r="J1222" s="63">
        <v>6000</v>
      </c>
      <c r="K1222" s="63"/>
      <c r="L1222" s="48">
        <f>K1222+J1222</f>
        <v>6000</v>
      </c>
      <c r="M1222" s="219">
        <f t="shared" si="543"/>
        <v>10.0993098804915</v>
      </c>
      <c r="N1222" s="219">
        <f t="shared" si="544"/>
        <v>10.0993098804915</v>
      </c>
      <c r="O1222" s="219">
        <f t="shared" si="545"/>
        <v>10.0993098804915</v>
      </c>
      <c r="P1222" s="219">
        <f>IF(I1222&gt;0,IF(L1222&gt;=0,L1222/I1222*100,""),"")</f>
        <v>10.0993098804915</v>
      </c>
    </row>
    <row r="1223" spans="1:16" s="3" customFormat="1" ht="12.75" customHeight="1">
      <c r="A1223" s="36" t="s">
        <v>2071</v>
      </c>
      <c r="B1223" s="33" t="s">
        <v>2072</v>
      </c>
      <c r="C1223" s="211" t="s">
        <v>2176</v>
      </c>
      <c r="D1223" s="63"/>
      <c r="E1223" s="63"/>
      <c r="F1223" s="48"/>
      <c r="G1223" s="38">
        <v>394900</v>
      </c>
      <c r="H1223" s="38"/>
      <c r="I1223" s="85">
        <f>H1223+G1223</f>
        <v>394900</v>
      </c>
      <c r="J1223" s="63">
        <v>395430</v>
      </c>
      <c r="K1223" s="63"/>
      <c r="L1223" s="48">
        <f>K1223+J1223</f>
        <v>395430</v>
      </c>
      <c r="M1223" s="219" t="str">
        <f t="shared" si="543"/>
        <v/>
      </c>
      <c r="N1223" s="219" t="str">
        <f t="shared" si="544"/>
        <v/>
      </c>
      <c r="O1223" s="219">
        <f t="shared" si="545"/>
        <v>100.13421119270703</v>
      </c>
      <c r="P1223" s="219"/>
    </row>
    <row r="1224" spans="1:16" ht="12.75" customHeight="1">
      <c r="A1224" s="36" t="s">
        <v>358</v>
      </c>
      <c r="B1224" s="33" t="s">
        <v>417</v>
      </c>
      <c r="C1224" s="211" t="s">
        <v>1557</v>
      </c>
      <c r="D1224" s="112"/>
      <c r="E1224" s="112"/>
      <c r="F1224" s="63">
        <f>SUM(D1224:E1224)</f>
        <v>0</v>
      </c>
      <c r="G1224" s="112">
        <v>22500</v>
      </c>
      <c r="H1224" s="112"/>
      <c r="I1224" s="85">
        <f>H1224+G1224</f>
        <v>22500</v>
      </c>
      <c r="J1224" s="63">
        <v>800</v>
      </c>
      <c r="K1224" s="112"/>
      <c r="L1224" s="63">
        <f>SUM(J1224:K1224)</f>
        <v>800</v>
      </c>
      <c r="M1224" s="218" t="str">
        <f t="shared" si="543"/>
        <v/>
      </c>
      <c r="N1224" s="218" t="str">
        <f t="shared" si="544"/>
        <v/>
      </c>
      <c r="O1224" s="218">
        <f t="shared" si="545"/>
        <v>3.5555555555555554</v>
      </c>
      <c r="P1224" s="218">
        <f>IF(I1224&gt;0,IF(L1224&gt;=0,L1224/I1224*100,""),"")</f>
        <v>3.5555555555555554</v>
      </c>
    </row>
    <row r="1225" spans="1:16" s="3" customFormat="1" ht="12.75" customHeight="1">
      <c r="A1225" s="36" t="s">
        <v>772</v>
      </c>
      <c r="B1225" s="33" t="s">
        <v>766</v>
      </c>
      <c r="C1225" s="211" t="s">
        <v>1558</v>
      </c>
      <c r="D1225" s="63"/>
      <c r="E1225" s="63"/>
      <c r="F1225" s="48">
        <f>SUM(D1225:E1225)</f>
        <v>0</v>
      </c>
      <c r="G1225" s="38">
        <v>5010</v>
      </c>
      <c r="H1225" s="38"/>
      <c r="I1225" s="85">
        <f>H1225+G1225</f>
        <v>5010</v>
      </c>
      <c r="J1225" s="63">
        <v>5010</v>
      </c>
      <c r="K1225" s="63"/>
      <c r="L1225" s="48">
        <f>SUM(J1225:K1225)</f>
        <v>5010</v>
      </c>
      <c r="M1225" s="219" t="str">
        <f t="shared" si="543"/>
        <v/>
      </c>
      <c r="N1225" s="219" t="str">
        <f t="shared" si="544"/>
        <v/>
      </c>
      <c r="O1225" s="219">
        <f t="shared" si="545"/>
        <v>100</v>
      </c>
      <c r="P1225" s="219">
        <f>IF(I1225&gt;0,IF(L1225&gt;=0,L1225/I1225*100,""),"")</f>
        <v>100</v>
      </c>
    </row>
    <row r="1226" spans="1:16" s="3" customFormat="1" ht="12.75" customHeight="1">
      <c r="A1226" s="36" t="s">
        <v>2073</v>
      </c>
      <c r="B1226" s="33" t="s">
        <v>624</v>
      </c>
      <c r="C1226" s="211" t="s">
        <v>2432</v>
      </c>
      <c r="D1226" s="63"/>
      <c r="E1226" s="63"/>
      <c r="F1226" s="48"/>
      <c r="G1226" s="38"/>
      <c r="H1226" s="38"/>
      <c r="I1226" s="85"/>
      <c r="J1226" s="63">
        <v>6000</v>
      </c>
      <c r="K1226" s="63"/>
      <c r="L1226" s="48">
        <f>SUM(J1226:K1226)</f>
        <v>6000</v>
      </c>
      <c r="M1226" s="219" t="str">
        <f t="shared" si="543"/>
        <v/>
      </c>
      <c r="N1226" s="219" t="str">
        <f t="shared" si="544"/>
        <v/>
      </c>
      <c r="O1226" s="219" t="str">
        <f t="shared" si="545"/>
        <v/>
      </c>
      <c r="P1226" s="219"/>
    </row>
    <row r="1227" spans="1:16" s="3" customFormat="1" ht="12.75" customHeight="1">
      <c r="A1227" s="46" t="s">
        <v>651</v>
      </c>
      <c r="B1227" s="33" t="s">
        <v>650</v>
      </c>
      <c r="C1227" s="211" t="s">
        <v>1552</v>
      </c>
      <c r="D1227" s="63">
        <v>20000</v>
      </c>
      <c r="E1227" s="63"/>
      <c r="F1227" s="48">
        <f>E1227+D1227</f>
        <v>20000</v>
      </c>
      <c r="G1227" s="38">
        <v>70000</v>
      </c>
      <c r="H1227" s="38"/>
      <c r="I1227" s="85">
        <f>H1227+G1227</f>
        <v>70000</v>
      </c>
      <c r="J1227" s="63">
        <v>43000</v>
      </c>
      <c r="K1227" s="63"/>
      <c r="L1227" s="48">
        <f>K1227+J1227</f>
        <v>43000</v>
      </c>
      <c r="M1227" s="219">
        <f t="shared" si="543"/>
        <v>215</v>
      </c>
      <c r="N1227" s="219">
        <f t="shared" si="544"/>
        <v>215</v>
      </c>
      <c r="O1227" s="219">
        <f t="shared" si="545"/>
        <v>61.428571428571431</v>
      </c>
      <c r="P1227" s="219">
        <f>IF(I1227&gt;0,IF(L1227&gt;=0,L1227/I1227*100,""),"")</f>
        <v>61.428571428571431</v>
      </c>
    </row>
    <row r="1228" spans="1:16" s="3" customFormat="1" ht="12.75" customHeight="1">
      <c r="A1228" s="36" t="s">
        <v>375</v>
      </c>
      <c r="B1228" s="33" t="s">
        <v>150</v>
      </c>
      <c r="C1228" s="211" t="s">
        <v>1555</v>
      </c>
      <c r="D1228" s="63">
        <v>14000</v>
      </c>
      <c r="E1228" s="63"/>
      <c r="F1228" s="48">
        <f>E1228+D1228</f>
        <v>14000</v>
      </c>
      <c r="G1228" s="38">
        <v>325000</v>
      </c>
      <c r="H1228" s="38"/>
      <c r="I1228" s="85">
        <f>H1228+G1228</f>
        <v>325000</v>
      </c>
      <c r="J1228" s="63">
        <v>15000</v>
      </c>
      <c r="K1228" s="63"/>
      <c r="L1228" s="48">
        <f>K1228+J1228</f>
        <v>15000</v>
      </c>
      <c r="M1228" s="219">
        <f t="shared" si="543"/>
        <v>107.14285714285714</v>
      </c>
      <c r="N1228" s="219">
        <f t="shared" si="544"/>
        <v>107.14285714285714</v>
      </c>
      <c r="O1228" s="219">
        <f t="shared" si="545"/>
        <v>4.6153846153846159</v>
      </c>
      <c r="P1228" s="219">
        <f>IF(I1228&gt;0,IF(L1228&gt;=0,L1228/I1228*100,""),"")</f>
        <v>4.6153846153846159</v>
      </c>
    </row>
    <row r="1229" spans="1:16" s="3" customFormat="1" ht="12.75" customHeight="1">
      <c r="A1229" s="36" t="s">
        <v>368</v>
      </c>
      <c r="B1229" s="211" t="s">
        <v>418</v>
      </c>
      <c r="C1229" s="211" t="s">
        <v>1556</v>
      </c>
      <c r="D1229" s="63"/>
      <c r="E1229" s="63"/>
      <c r="F1229" s="48"/>
      <c r="G1229" s="38">
        <v>103000</v>
      </c>
      <c r="H1229" s="38"/>
      <c r="I1229" s="85">
        <f>H1229+G1229</f>
        <v>103000</v>
      </c>
      <c r="J1229" s="63"/>
      <c r="K1229" s="63"/>
      <c r="L1229" s="48">
        <f>K1229+J1229</f>
        <v>0</v>
      </c>
      <c r="M1229" s="219" t="str">
        <f t="shared" si="543"/>
        <v/>
      </c>
      <c r="N1229" s="219" t="str">
        <f t="shared" si="544"/>
        <v/>
      </c>
      <c r="O1229" s="219">
        <f t="shared" si="545"/>
        <v>0</v>
      </c>
      <c r="P1229" s="219">
        <f t="shared" si="566"/>
        <v>0</v>
      </c>
    </row>
    <row r="1230" spans="1:16" s="3" customFormat="1" ht="12.75" customHeight="1">
      <c r="A1230" s="36" t="s">
        <v>935</v>
      </c>
      <c r="B1230" s="211" t="s">
        <v>701</v>
      </c>
      <c r="C1230" s="211" t="s">
        <v>1554</v>
      </c>
      <c r="D1230" s="63">
        <v>394900</v>
      </c>
      <c r="E1230" s="63"/>
      <c r="F1230" s="48">
        <f t="shared" si="567"/>
        <v>394900</v>
      </c>
      <c r="G1230" s="38"/>
      <c r="H1230" s="38"/>
      <c r="I1230" s="85">
        <f t="shared" si="568"/>
        <v>0</v>
      </c>
      <c r="J1230" s="63"/>
      <c r="K1230" s="63"/>
      <c r="L1230" s="48">
        <f t="shared" ref="L1230" si="569">K1230+J1230</f>
        <v>0</v>
      </c>
      <c r="M1230" s="219">
        <f t="shared" si="543"/>
        <v>0</v>
      </c>
      <c r="N1230" s="219">
        <f t="shared" si="544"/>
        <v>0</v>
      </c>
      <c r="O1230" s="219" t="str">
        <f t="shared" si="545"/>
        <v/>
      </c>
      <c r="P1230" s="219" t="str">
        <f t="shared" si="566"/>
        <v/>
      </c>
    </row>
    <row r="1231" spans="1:16" s="3" customFormat="1" ht="12.75" customHeight="1">
      <c r="A1231" s="36" t="s">
        <v>2347</v>
      </c>
      <c r="B1231" s="211" t="s">
        <v>2346</v>
      </c>
      <c r="C1231" s="211" t="s">
        <v>2273</v>
      </c>
      <c r="D1231" s="63"/>
      <c r="E1231" s="63"/>
      <c r="F1231" s="48"/>
      <c r="G1231" s="38">
        <v>5000</v>
      </c>
      <c r="H1231" s="38"/>
      <c r="I1231" s="85">
        <f>H1231+G1231</f>
        <v>5000</v>
      </c>
      <c r="J1231" s="63"/>
      <c r="K1231" s="63"/>
      <c r="L1231" s="48"/>
      <c r="M1231" s="219" t="str">
        <f t="shared" ref="M1231:M1294" si="570">IF(D1231&gt;0,IF(J1231&gt;=0,J1231/D1231*100,""),"")</f>
        <v/>
      </c>
      <c r="N1231" s="219" t="str">
        <f t="shared" ref="N1231:N1294" si="571">IF(F1231&gt;0,IF(L1231&gt;=0,L1231/F1231*100,""),"")</f>
        <v/>
      </c>
      <c r="O1231" s="219">
        <f t="shared" ref="O1231:O1294" si="572">IF(G1231&gt;0,IF(J1231&gt;=0,J1231/G1231*100,""),"")</f>
        <v>0</v>
      </c>
      <c r="P1231" s="219"/>
    </row>
    <row r="1232" spans="1:16" s="3" customFormat="1" ht="12.75" customHeight="1">
      <c r="A1232" s="36" t="s">
        <v>791</v>
      </c>
      <c r="B1232" s="211" t="s">
        <v>151</v>
      </c>
      <c r="C1232" s="211" t="s">
        <v>1559</v>
      </c>
      <c r="D1232" s="63"/>
      <c r="E1232" s="63"/>
      <c r="F1232" s="63"/>
      <c r="G1232" s="38">
        <v>700000</v>
      </c>
      <c r="H1232" s="38"/>
      <c r="I1232" s="85">
        <f t="shared" si="568"/>
        <v>700000</v>
      </c>
      <c r="J1232" s="63"/>
      <c r="K1232" s="63"/>
      <c r="L1232" s="48">
        <f>K1232+J1232</f>
        <v>0</v>
      </c>
      <c r="M1232" s="218" t="str">
        <f t="shared" si="570"/>
        <v/>
      </c>
      <c r="N1232" s="218" t="str">
        <f t="shared" si="571"/>
        <v/>
      </c>
      <c r="O1232" s="218">
        <f t="shared" si="572"/>
        <v>0</v>
      </c>
      <c r="P1232" s="218">
        <f t="shared" ref="P1232:P1243" si="573">IF(I1232&gt;0,IF(L1232&gt;=0,L1232/I1232*100,""),"")</f>
        <v>0</v>
      </c>
    </row>
    <row r="1233" spans="1:16" s="3" customFormat="1" ht="6" customHeight="1">
      <c r="A1233" s="36"/>
      <c r="B1233" s="33"/>
      <c r="C1233" s="211" t="s">
        <v>268</v>
      </c>
      <c r="D1233" s="63"/>
      <c r="E1233" s="63"/>
      <c r="F1233" s="63"/>
      <c r="G1233" s="38"/>
      <c r="H1233" s="38"/>
      <c r="I1233" s="38"/>
      <c r="J1233" s="63"/>
      <c r="K1233" s="63"/>
      <c r="L1233" s="63"/>
      <c r="M1233" s="218" t="str">
        <f t="shared" si="570"/>
        <v/>
      </c>
      <c r="N1233" s="218" t="str">
        <f t="shared" si="571"/>
        <v/>
      </c>
      <c r="O1233" s="218" t="str">
        <f t="shared" si="572"/>
        <v/>
      </c>
      <c r="P1233" s="218" t="str">
        <f t="shared" si="573"/>
        <v/>
      </c>
    </row>
    <row r="1234" spans="1:16" s="11" customFormat="1" ht="12.75">
      <c r="A1234" s="58" t="s">
        <v>427</v>
      </c>
      <c r="B1234" s="65" t="s">
        <v>265</v>
      </c>
      <c r="C1234" s="308" t="s">
        <v>940</v>
      </c>
      <c r="D1234" s="42">
        <f>SUM(D1236:D1244)</f>
        <v>5493760</v>
      </c>
      <c r="E1234" s="42">
        <f>SUM(E1236:E1244)</f>
        <v>0</v>
      </c>
      <c r="F1234" s="42">
        <f t="shared" ref="F1234:F1237" si="574">SUM(D1234:E1234)</f>
        <v>5493760</v>
      </c>
      <c r="G1234" s="55">
        <f>SUM(G1236:G1244)</f>
        <v>5865009</v>
      </c>
      <c r="H1234" s="55">
        <f>SUM(H1236:H1244)</f>
        <v>0</v>
      </c>
      <c r="I1234" s="55">
        <f t="shared" ref="I1234:I1259" si="575">SUM(G1234:H1234)</f>
        <v>5865009</v>
      </c>
      <c r="J1234" s="42">
        <f>SUM(J1236:J1244)</f>
        <v>6459090</v>
      </c>
      <c r="K1234" s="42">
        <f>SUM(K1236:K1244)</f>
        <v>0</v>
      </c>
      <c r="L1234" s="42">
        <f t="shared" ref="L1234:L1237" si="576">SUM(J1234:K1234)</f>
        <v>6459090</v>
      </c>
      <c r="M1234" s="225">
        <f t="shared" si="570"/>
        <v>117.57139008620689</v>
      </c>
      <c r="N1234" s="225">
        <f t="shared" si="571"/>
        <v>117.57139008620689</v>
      </c>
      <c r="O1234" s="225">
        <f t="shared" si="572"/>
        <v>110.12924276842541</v>
      </c>
      <c r="P1234" s="225">
        <f t="shared" si="573"/>
        <v>110.12924276842541</v>
      </c>
    </row>
    <row r="1235" spans="1:16" s="11" customFormat="1" hidden="1">
      <c r="A1235" s="46" t="s">
        <v>267</v>
      </c>
      <c r="B1235" s="184"/>
      <c r="C1235" s="320" t="s">
        <v>268</v>
      </c>
      <c r="D1235" s="38">
        <f>SUM(D1236:D1244)</f>
        <v>5493760</v>
      </c>
      <c r="E1235" s="77"/>
      <c r="F1235" s="85">
        <f t="shared" si="574"/>
        <v>5493760</v>
      </c>
      <c r="G1235" s="38">
        <f>SUM(G1236:G1244)</f>
        <v>5865009</v>
      </c>
      <c r="H1235" s="109"/>
      <c r="I1235" s="85">
        <f t="shared" si="575"/>
        <v>5865009</v>
      </c>
      <c r="J1235" s="85">
        <f>SUM(J1236:J1244)</f>
        <v>6459090</v>
      </c>
      <c r="K1235" s="77"/>
      <c r="L1235" s="85">
        <f t="shared" si="576"/>
        <v>6459090</v>
      </c>
      <c r="M1235" s="238">
        <f t="shared" si="570"/>
        <v>117.57139008620689</v>
      </c>
      <c r="N1235" s="238">
        <f t="shared" si="571"/>
        <v>117.57139008620689</v>
      </c>
      <c r="O1235" s="238">
        <f t="shared" si="572"/>
        <v>110.12924276842541</v>
      </c>
      <c r="P1235" s="238">
        <f t="shared" si="573"/>
        <v>110.12924276842541</v>
      </c>
    </row>
    <row r="1236" spans="1:16" s="11" customFormat="1" ht="12.75" customHeight="1">
      <c r="A1236" s="36" t="s">
        <v>180</v>
      </c>
      <c r="B1236" s="33" t="s">
        <v>419</v>
      </c>
      <c r="C1236" s="211" t="s">
        <v>1560</v>
      </c>
      <c r="D1236" s="38">
        <v>5443680</v>
      </c>
      <c r="E1236" s="38"/>
      <c r="F1236" s="85">
        <f t="shared" si="574"/>
        <v>5443680</v>
      </c>
      <c r="G1236" s="38">
        <v>5577969</v>
      </c>
      <c r="H1236" s="38"/>
      <c r="I1236" s="85">
        <f t="shared" si="575"/>
        <v>5577969</v>
      </c>
      <c r="J1236" s="63">
        <v>6413520</v>
      </c>
      <c r="K1236" s="38"/>
      <c r="L1236" s="85">
        <f t="shared" si="576"/>
        <v>6413520</v>
      </c>
      <c r="M1236" s="238">
        <f t="shared" si="570"/>
        <v>117.81588925138877</v>
      </c>
      <c r="N1236" s="238">
        <f t="shared" si="571"/>
        <v>117.81588925138877</v>
      </c>
      <c r="O1236" s="238">
        <f t="shared" si="572"/>
        <v>114.97948446827151</v>
      </c>
      <c r="P1236" s="238">
        <f t="shared" si="573"/>
        <v>114.97948446827151</v>
      </c>
    </row>
    <row r="1237" spans="1:16" s="11" customFormat="1" ht="12.75" customHeight="1">
      <c r="A1237" s="36" t="s">
        <v>760</v>
      </c>
      <c r="B1237" s="33" t="s">
        <v>761</v>
      </c>
      <c r="C1237" s="211" t="s">
        <v>1561</v>
      </c>
      <c r="D1237" s="38">
        <v>33870</v>
      </c>
      <c r="E1237" s="38"/>
      <c r="F1237" s="63">
        <f t="shared" si="574"/>
        <v>33870</v>
      </c>
      <c r="G1237" s="38">
        <v>35430</v>
      </c>
      <c r="H1237" s="38"/>
      <c r="I1237" s="38">
        <f t="shared" si="575"/>
        <v>35430</v>
      </c>
      <c r="J1237" s="63">
        <v>28360</v>
      </c>
      <c r="K1237" s="38"/>
      <c r="L1237" s="63">
        <f t="shared" si="576"/>
        <v>28360</v>
      </c>
      <c r="M1237" s="218">
        <f t="shared" si="570"/>
        <v>83.731916149985238</v>
      </c>
      <c r="N1237" s="218">
        <f t="shared" si="571"/>
        <v>83.731916149985238</v>
      </c>
      <c r="O1237" s="218">
        <f t="shared" si="572"/>
        <v>80.04515946937623</v>
      </c>
      <c r="P1237" s="218">
        <f t="shared" si="573"/>
        <v>80.04515946937623</v>
      </c>
    </row>
    <row r="1238" spans="1:16" s="3" customFormat="1" ht="12.75" customHeight="1">
      <c r="A1238" s="36" t="s">
        <v>772</v>
      </c>
      <c r="B1238" s="33" t="s">
        <v>766</v>
      </c>
      <c r="C1238" s="211" t="s">
        <v>1563</v>
      </c>
      <c r="D1238" s="63">
        <v>2110</v>
      </c>
      <c r="E1238" s="63"/>
      <c r="F1238" s="63">
        <f>SUM(D1238:E1238)</f>
        <v>2110</v>
      </c>
      <c r="G1238" s="38">
        <v>2110</v>
      </c>
      <c r="H1238" s="38"/>
      <c r="I1238" s="38">
        <f t="shared" si="575"/>
        <v>2110</v>
      </c>
      <c r="J1238" s="63">
        <v>2110</v>
      </c>
      <c r="K1238" s="63"/>
      <c r="L1238" s="63">
        <f t="shared" ref="L1238:L1243" si="577">SUM(J1238:K1238)</f>
        <v>2110</v>
      </c>
      <c r="M1238" s="218">
        <f t="shared" si="570"/>
        <v>100</v>
      </c>
      <c r="N1238" s="218">
        <f t="shared" si="571"/>
        <v>100</v>
      </c>
      <c r="O1238" s="218">
        <f t="shared" si="572"/>
        <v>100</v>
      </c>
      <c r="P1238" s="218">
        <f t="shared" si="573"/>
        <v>100</v>
      </c>
    </row>
    <row r="1239" spans="1:16" s="3" customFormat="1" ht="12.75" customHeight="1">
      <c r="A1239" s="36" t="s">
        <v>2482</v>
      </c>
      <c r="B1239" s="33" t="s">
        <v>2369</v>
      </c>
      <c r="C1239" s="211" t="s">
        <v>2433</v>
      </c>
      <c r="D1239" s="63"/>
      <c r="E1239" s="63"/>
      <c r="F1239" s="63"/>
      <c r="G1239" s="38"/>
      <c r="H1239" s="38"/>
      <c r="I1239" s="38"/>
      <c r="J1239" s="63">
        <v>2100</v>
      </c>
      <c r="K1239" s="63"/>
      <c r="L1239" s="63">
        <f t="shared" si="577"/>
        <v>2100</v>
      </c>
      <c r="M1239" s="218" t="str">
        <f t="shared" si="570"/>
        <v/>
      </c>
      <c r="N1239" s="218" t="str">
        <f t="shared" si="571"/>
        <v/>
      </c>
      <c r="O1239" s="218" t="str">
        <f t="shared" si="572"/>
        <v/>
      </c>
      <c r="P1239" s="218"/>
    </row>
    <row r="1240" spans="1:16" s="11" customFormat="1" ht="12.75" customHeight="1">
      <c r="A1240" s="46" t="s">
        <v>651</v>
      </c>
      <c r="B1240" s="33" t="s">
        <v>650</v>
      </c>
      <c r="C1240" s="211" t="s">
        <v>1562</v>
      </c>
      <c r="D1240" s="38">
        <v>4000</v>
      </c>
      <c r="E1240" s="38"/>
      <c r="F1240" s="63">
        <f>SUM(D1240:E1240)</f>
        <v>4000</v>
      </c>
      <c r="G1240" s="38">
        <v>4000</v>
      </c>
      <c r="H1240" s="38"/>
      <c r="I1240" s="38">
        <f>SUM(G1240:H1240)</f>
        <v>4000</v>
      </c>
      <c r="J1240" s="63">
        <v>4000</v>
      </c>
      <c r="K1240" s="38"/>
      <c r="L1240" s="63">
        <f t="shared" si="577"/>
        <v>4000</v>
      </c>
      <c r="M1240" s="218">
        <f t="shared" si="570"/>
        <v>100</v>
      </c>
      <c r="N1240" s="218">
        <f t="shared" si="571"/>
        <v>100</v>
      </c>
      <c r="O1240" s="218">
        <f t="shared" si="572"/>
        <v>100</v>
      </c>
      <c r="P1240" s="218">
        <f>IF(I1240&gt;0,IF(L1240&gt;=0,L1240/I1240*100,""),"")</f>
        <v>100</v>
      </c>
    </row>
    <row r="1241" spans="1:16" s="3" customFormat="1" ht="12.75" customHeight="1">
      <c r="A1241" s="36" t="s">
        <v>375</v>
      </c>
      <c r="B1241" s="33" t="s">
        <v>150</v>
      </c>
      <c r="C1241" s="211" t="s">
        <v>1565</v>
      </c>
      <c r="D1241" s="63">
        <v>8000</v>
      </c>
      <c r="E1241" s="63"/>
      <c r="F1241" s="63">
        <f>SUM(D1241:E1241)</f>
        <v>8000</v>
      </c>
      <c r="G1241" s="38">
        <v>168000</v>
      </c>
      <c r="H1241" s="38"/>
      <c r="I1241" s="38">
        <f>SUM(G1241:H1241)</f>
        <v>168000</v>
      </c>
      <c r="J1241" s="63">
        <v>9000</v>
      </c>
      <c r="K1241" s="63"/>
      <c r="L1241" s="63">
        <f t="shared" si="577"/>
        <v>9000</v>
      </c>
      <c r="M1241" s="218">
        <f t="shared" si="570"/>
        <v>112.5</v>
      </c>
      <c r="N1241" s="218">
        <f t="shared" si="571"/>
        <v>112.5</v>
      </c>
      <c r="O1241" s="218">
        <f t="shared" si="572"/>
        <v>5.3571428571428568</v>
      </c>
      <c r="P1241" s="218">
        <f>IF(I1241&gt;0,IF(L1241&gt;=0,L1241/I1241*100,""),"")</f>
        <v>5.3571428571428568</v>
      </c>
    </row>
    <row r="1242" spans="1:16" s="11" customFormat="1" ht="12.75" customHeight="1">
      <c r="A1242" s="36" t="s">
        <v>368</v>
      </c>
      <c r="B1242" s="211" t="s">
        <v>418</v>
      </c>
      <c r="C1242" s="211" t="s">
        <v>1566</v>
      </c>
      <c r="D1242" s="38"/>
      <c r="E1242" s="38"/>
      <c r="F1242" s="38"/>
      <c r="G1242" s="38">
        <v>60000</v>
      </c>
      <c r="H1242" s="38"/>
      <c r="I1242" s="38">
        <f>SUM(G1242:H1242)</f>
        <v>60000</v>
      </c>
      <c r="J1242" s="63"/>
      <c r="K1242" s="38"/>
      <c r="L1242" s="85">
        <f t="shared" si="577"/>
        <v>0</v>
      </c>
      <c r="M1242" s="228" t="str">
        <f t="shared" si="570"/>
        <v/>
      </c>
      <c r="N1242" s="228" t="str">
        <f t="shared" si="571"/>
        <v/>
      </c>
      <c r="O1242" s="228">
        <f t="shared" si="572"/>
        <v>0</v>
      </c>
      <c r="P1242" s="228">
        <f>IF(I1242&gt;0,IF(L1242&gt;=0,L1242/I1242*100,""),"")</f>
        <v>0</v>
      </c>
    </row>
    <row r="1243" spans="1:16" s="3" customFormat="1" ht="12.75" customHeight="1">
      <c r="A1243" s="36" t="s">
        <v>835</v>
      </c>
      <c r="B1243" s="211" t="s">
        <v>698</v>
      </c>
      <c r="C1243" s="211" t="s">
        <v>1564</v>
      </c>
      <c r="D1243" s="63">
        <v>2100</v>
      </c>
      <c r="E1243" s="63"/>
      <c r="F1243" s="63">
        <f>SUM(D1243:E1243)</f>
        <v>2100</v>
      </c>
      <c r="G1243" s="38">
        <v>2500</v>
      </c>
      <c r="H1243" s="38"/>
      <c r="I1243" s="38">
        <f t="shared" si="575"/>
        <v>2500</v>
      </c>
      <c r="J1243" s="63"/>
      <c r="K1243" s="63"/>
      <c r="L1243" s="63">
        <f t="shared" si="577"/>
        <v>0</v>
      </c>
      <c r="M1243" s="218">
        <f t="shared" si="570"/>
        <v>0</v>
      </c>
      <c r="N1243" s="218">
        <f t="shared" si="571"/>
        <v>0</v>
      </c>
      <c r="O1243" s="218">
        <f t="shared" si="572"/>
        <v>0</v>
      </c>
      <c r="P1243" s="218">
        <f t="shared" si="573"/>
        <v>0</v>
      </c>
    </row>
    <row r="1244" spans="1:16" s="3" customFormat="1" ht="12.75" customHeight="1">
      <c r="A1244" s="354" t="s">
        <v>358</v>
      </c>
      <c r="B1244" s="311" t="s">
        <v>417</v>
      </c>
      <c r="C1244" s="311" t="s">
        <v>2177</v>
      </c>
      <c r="D1244" s="67"/>
      <c r="E1244" s="67"/>
      <c r="F1244" s="67"/>
      <c r="G1244" s="61">
        <v>15000</v>
      </c>
      <c r="H1244" s="61"/>
      <c r="I1244" s="61">
        <f t="shared" si="575"/>
        <v>15000</v>
      </c>
      <c r="J1244" s="67"/>
      <c r="K1244" s="67"/>
      <c r="L1244" s="67"/>
      <c r="M1244" s="273" t="str">
        <f t="shared" si="570"/>
        <v/>
      </c>
      <c r="N1244" s="273" t="str">
        <f t="shared" si="571"/>
        <v/>
      </c>
      <c r="O1244" s="273">
        <f t="shared" si="572"/>
        <v>0</v>
      </c>
      <c r="P1244" s="273"/>
    </row>
    <row r="1245" spans="1:16" s="3" customFormat="1" ht="6" customHeight="1">
      <c r="A1245" s="80"/>
      <c r="B1245" s="79"/>
      <c r="C1245" s="302" t="s">
        <v>268</v>
      </c>
      <c r="D1245" s="76"/>
      <c r="E1245" s="76"/>
      <c r="F1245" s="76">
        <f t="shared" ref="F1245:F1248" si="578">SUM(D1245:E1245)</f>
        <v>0</v>
      </c>
      <c r="G1245" s="116"/>
      <c r="H1245" s="116"/>
      <c r="I1245" s="116">
        <f t="shared" si="575"/>
        <v>0</v>
      </c>
      <c r="J1245" s="76"/>
      <c r="K1245" s="76"/>
      <c r="L1245" s="76">
        <f t="shared" ref="L1245:L1248" si="579">SUM(J1245:K1245)</f>
        <v>0</v>
      </c>
      <c r="M1245" s="226" t="str">
        <f t="shared" si="570"/>
        <v/>
      </c>
      <c r="N1245" s="226" t="str">
        <f t="shared" si="571"/>
        <v/>
      </c>
      <c r="O1245" s="226" t="str">
        <f t="shared" si="572"/>
        <v/>
      </c>
      <c r="P1245" s="226" t="str">
        <f t="shared" ref="P1245:P1259" si="580">IF(I1245&gt;0,IF(L1245&gt;=0,L1245/I1245*100,""),"")</f>
        <v/>
      </c>
    </row>
    <row r="1246" spans="1:16" s="11" customFormat="1" ht="12.75">
      <c r="A1246" s="58" t="s">
        <v>387</v>
      </c>
      <c r="B1246" s="65" t="s">
        <v>265</v>
      </c>
      <c r="C1246" s="308" t="s">
        <v>940</v>
      </c>
      <c r="D1246" s="86">
        <f>SUM(D1248:D1255)</f>
        <v>6257300</v>
      </c>
      <c r="E1246" s="86">
        <f>SUM(E1248:E1254)</f>
        <v>0</v>
      </c>
      <c r="F1246" s="86">
        <f t="shared" si="578"/>
        <v>6257300</v>
      </c>
      <c r="G1246" s="262">
        <f>SUM(G1248:G1255)</f>
        <v>6539080</v>
      </c>
      <c r="H1246" s="262">
        <f>SUM(H1248:H1254)</f>
        <v>0</v>
      </c>
      <c r="I1246" s="262">
        <f t="shared" si="575"/>
        <v>6539080</v>
      </c>
      <c r="J1246" s="86">
        <f>SUM(J1248:J1255)</f>
        <v>6561590</v>
      </c>
      <c r="K1246" s="86">
        <f>SUM(K1248:K1254)</f>
        <v>0</v>
      </c>
      <c r="L1246" s="86">
        <f t="shared" si="579"/>
        <v>6561590</v>
      </c>
      <c r="M1246" s="236">
        <f t="shared" si="570"/>
        <v>104.86296006264683</v>
      </c>
      <c r="N1246" s="236">
        <f t="shared" si="571"/>
        <v>104.86296006264683</v>
      </c>
      <c r="O1246" s="236">
        <f t="shared" si="572"/>
        <v>100.34423802736777</v>
      </c>
      <c r="P1246" s="236">
        <f t="shared" si="580"/>
        <v>100.34423802736777</v>
      </c>
    </row>
    <row r="1247" spans="1:16" s="7" customFormat="1" hidden="1">
      <c r="A1247" s="46" t="s">
        <v>267</v>
      </c>
      <c r="B1247" s="44"/>
      <c r="C1247" s="304" t="s">
        <v>268</v>
      </c>
      <c r="D1247" s="102">
        <f>SUM(D1248:D1254)</f>
        <v>6257300</v>
      </c>
      <c r="E1247" s="102"/>
      <c r="F1247" s="63">
        <f t="shared" si="578"/>
        <v>6257300</v>
      </c>
      <c r="G1247" s="87">
        <f>SUM(G1248:G1254)</f>
        <v>6539080</v>
      </c>
      <c r="H1247" s="87"/>
      <c r="I1247" s="38">
        <f t="shared" si="575"/>
        <v>6539080</v>
      </c>
      <c r="J1247" s="63">
        <f>SUM(J1248:J1254)</f>
        <v>6561590</v>
      </c>
      <c r="K1247" s="102"/>
      <c r="L1247" s="63">
        <f t="shared" si="579"/>
        <v>6561590</v>
      </c>
      <c r="M1247" s="218">
        <f t="shared" si="570"/>
        <v>104.86296006264683</v>
      </c>
      <c r="N1247" s="218">
        <f t="shared" si="571"/>
        <v>104.86296006264683</v>
      </c>
      <c r="O1247" s="218">
        <f t="shared" si="572"/>
        <v>100.34423802736777</v>
      </c>
      <c r="P1247" s="218">
        <f t="shared" si="580"/>
        <v>100.34423802736777</v>
      </c>
    </row>
    <row r="1248" spans="1:16" s="11" customFormat="1" ht="12.75" customHeight="1">
      <c r="A1248" s="36" t="s">
        <v>180</v>
      </c>
      <c r="B1248" s="33" t="s">
        <v>419</v>
      </c>
      <c r="C1248" s="211" t="s">
        <v>1567</v>
      </c>
      <c r="D1248" s="87">
        <v>6058970</v>
      </c>
      <c r="E1248" s="87"/>
      <c r="F1248" s="63">
        <f t="shared" si="578"/>
        <v>6058970</v>
      </c>
      <c r="G1248" s="87">
        <v>6086510</v>
      </c>
      <c r="H1248" s="87"/>
      <c r="I1248" s="38">
        <f t="shared" si="575"/>
        <v>6086510</v>
      </c>
      <c r="J1248" s="63">
        <v>6451430</v>
      </c>
      <c r="K1248" s="87"/>
      <c r="L1248" s="63">
        <f t="shared" si="579"/>
        <v>6451430</v>
      </c>
      <c r="M1248" s="218">
        <f t="shared" si="570"/>
        <v>106.4773385575436</v>
      </c>
      <c r="N1248" s="218">
        <f t="shared" si="571"/>
        <v>106.4773385575436</v>
      </c>
      <c r="O1248" s="218">
        <f t="shared" si="572"/>
        <v>105.99555410243309</v>
      </c>
      <c r="P1248" s="218">
        <f t="shared" si="580"/>
        <v>105.99555410243309</v>
      </c>
    </row>
    <row r="1249" spans="1:16" s="11" customFormat="1" ht="12.75" customHeight="1">
      <c r="A1249" s="36" t="s">
        <v>760</v>
      </c>
      <c r="B1249" s="33" t="s">
        <v>761</v>
      </c>
      <c r="C1249" s="211" t="s">
        <v>1568</v>
      </c>
      <c r="D1249" s="87">
        <v>133030</v>
      </c>
      <c r="E1249" s="87"/>
      <c r="F1249" s="63">
        <f>SUM(D1249:E1249)</f>
        <v>133030</v>
      </c>
      <c r="G1249" s="87">
        <v>129010</v>
      </c>
      <c r="H1249" s="87"/>
      <c r="I1249" s="38">
        <f t="shared" si="575"/>
        <v>129010</v>
      </c>
      <c r="J1249" s="63">
        <v>78100</v>
      </c>
      <c r="K1249" s="87"/>
      <c r="L1249" s="63">
        <f>SUM(J1249:K1249)</f>
        <v>78100</v>
      </c>
      <c r="M1249" s="218">
        <f t="shared" si="570"/>
        <v>58.708561978501095</v>
      </c>
      <c r="N1249" s="218">
        <f t="shared" si="571"/>
        <v>58.708561978501095</v>
      </c>
      <c r="O1249" s="218">
        <f t="shared" si="572"/>
        <v>60.53794279513216</v>
      </c>
      <c r="P1249" s="218">
        <f t="shared" si="580"/>
        <v>60.53794279513216</v>
      </c>
    </row>
    <row r="1250" spans="1:16" s="11" customFormat="1" ht="12.75" customHeight="1">
      <c r="A1250" s="36" t="s">
        <v>772</v>
      </c>
      <c r="B1250" s="33" t="s">
        <v>766</v>
      </c>
      <c r="C1250" s="211" t="s">
        <v>1569</v>
      </c>
      <c r="D1250" s="87">
        <v>2300</v>
      </c>
      <c r="E1250" s="87"/>
      <c r="F1250" s="63">
        <f>SUM(D1250:E1250)</f>
        <v>2300</v>
      </c>
      <c r="G1250" s="87">
        <v>2300</v>
      </c>
      <c r="H1250" s="87"/>
      <c r="I1250" s="38">
        <f t="shared" si="575"/>
        <v>2300</v>
      </c>
      <c r="J1250" s="63">
        <v>1660</v>
      </c>
      <c r="K1250" s="87"/>
      <c r="L1250" s="63">
        <f>SUM(J1250:K1250)</f>
        <v>1660</v>
      </c>
      <c r="M1250" s="218">
        <f t="shared" si="570"/>
        <v>72.173913043478265</v>
      </c>
      <c r="N1250" s="218">
        <f t="shared" si="571"/>
        <v>72.173913043478265</v>
      </c>
      <c r="O1250" s="218">
        <f t="shared" si="572"/>
        <v>72.173913043478265</v>
      </c>
      <c r="P1250" s="218">
        <f t="shared" si="580"/>
        <v>72.173913043478265</v>
      </c>
    </row>
    <row r="1251" spans="1:16" s="11" customFormat="1" ht="12.75" customHeight="1">
      <c r="A1251" s="36" t="s">
        <v>2071</v>
      </c>
      <c r="B1251" s="33" t="s">
        <v>2072</v>
      </c>
      <c r="C1251" s="211" t="s">
        <v>2434</v>
      </c>
      <c r="D1251" s="87"/>
      <c r="E1251" s="87"/>
      <c r="F1251" s="63"/>
      <c r="G1251" s="87"/>
      <c r="H1251" s="87"/>
      <c r="I1251" s="38"/>
      <c r="J1251" s="63">
        <v>18400</v>
      </c>
      <c r="K1251" s="87"/>
      <c r="L1251" s="63">
        <f>SUM(J1251:K1251)</f>
        <v>18400</v>
      </c>
      <c r="M1251" s="218" t="str">
        <f t="shared" si="570"/>
        <v/>
      </c>
      <c r="N1251" s="218" t="str">
        <f t="shared" si="571"/>
        <v/>
      </c>
      <c r="O1251" s="218" t="str">
        <f t="shared" si="572"/>
        <v/>
      </c>
      <c r="P1251" s="218"/>
    </row>
    <row r="1252" spans="1:16" s="3" customFormat="1" ht="12.75" customHeight="1">
      <c r="A1252" s="36" t="s">
        <v>375</v>
      </c>
      <c r="B1252" s="33" t="s">
        <v>150</v>
      </c>
      <c r="C1252" s="211" t="s">
        <v>1571</v>
      </c>
      <c r="D1252" s="63">
        <v>11000</v>
      </c>
      <c r="E1252" s="63"/>
      <c r="F1252" s="63">
        <f t="shared" ref="F1252" si="581">SUM(D1252:E1252)</f>
        <v>11000</v>
      </c>
      <c r="G1252" s="38">
        <v>149000</v>
      </c>
      <c r="H1252" s="38"/>
      <c r="I1252" s="38">
        <f>SUM(G1252:H1252)</f>
        <v>149000</v>
      </c>
      <c r="J1252" s="63">
        <v>12000</v>
      </c>
      <c r="K1252" s="63"/>
      <c r="L1252" s="63">
        <f t="shared" ref="L1252" si="582">SUM(J1252:K1252)</f>
        <v>12000</v>
      </c>
      <c r="M1252" s="218">
        <f t="shared" si="570"/>
        <v>109.09090909090908</v>
      </c>
      <c r="N1252" s="218">
        <f t="shared" si="571"/>
        <v>109.09090909090908</v>
      </c>
      <c r="O1252" s="218">
        <f t="shared" si="572"/>
        <v>8.0536912751677843</v>
      </c>
      <c r="P1252" s="218">
        <f>IF(I1252&gt;0,IF(L1252&gt;=0,L1252/I1252*100,""),"")</f>
        <v>8.0536912751677843</v>
      </c>
    </row>
    <row r="1253" spans="1:16" s="11" customFormat="1" ht="12.75" customHeight="1">
      <c r="A1253" s="36" t="s">
        <v>368</v>
      </c>
      <c r="B1253" s="211" t="s">
        <v>418</v>
      </c>
      <c r="C1253" s="211" t="s">
        <v>1572</v>
      </c>
      <c r="D1253" s="87"/>
      <c r="E1253" s="87"/>
      <c r="F1253" s="63"/>
      <c r="G1253" s="87">
        <v>79900</v>
      </c>
      <c r="H1253" s="87"/>
      <c r="I1253" s="38">
        <f>SUM(G1253:H1253)</f>
        <v>79900</v>
      </c>
      <c r="J1253" s="63"/>
      <c r="K1253" s="87"/>
      <c r="L1253" s="63">
        <f>SUM(J1253:K1253)</f>
        <v>0</v>
      </c>
      <c r="M1253" s="218" t="str">
        <f t="shared" si="570"/>
        <v/>
      </c>
      <c r="N1253" s="218" t="str">
        <f t="shared" si="571"/>
        <v/>
      </c>
      <c r="O1253" s="218">
        <f t="shared" si="572"/>
        <v>0</v>
      </c>
      <c r="P1253" s="218">
        <f>IF(I1253&gt;0,IF(L1253&gt;=0,L1253/I1253*100,""),"")</f>
        <v>0</v>
      </c>
    </row>
    <row r="1254" spans="1:16" s="11" customFormat="1" ht="12.75" customHeight="1">
      <c r="A1254" s="36" t="s">
        <v>935</v>
      </c>
      <c r="B1254" s="211" t="s">
        <v>701</v>
      </c>
      <c r="C1254" s="212" t="s">
        <v>1570</v>
      </c>
      <c r="D1254" s="87">
        <v>52000</v>
      </c>
      <c r="E1254" s="87"/>
      <c r="F1254" s="63">
        <f>SUM(D1254:E1254)</f>
        <v>52000</v>
      </c>
      <c r="G1254" s="87">
        <v>92360</v>
      </c>
      <c r="H1254" s="87"/>
      <c r="I1254" s="38">
        <f t="shared" si="575"/>
        <v>92360</v>
      </c>
      <c r="J1254" s="63"/>
      <c r="K1254" s="87"/>
      <c r="L1254" s="63">
        <f>SUM(J1254:K1254)</f>
        <v>0</v>
      </c>
      <c r="M1254" s="218">
        <f t="shared" si="570"/>
        <v>0</v>
      </c>
      <c r="N1254" s="218">
        <f t="shared" si="571"/>
        <v>0</v>
      </c>
      <c r="O1254" s="218">
        <f t="shared" si="572"/>
        <v>0</v>
      </c>
      <c r="P1254" s="218">
        <f t="shared" si="580"/>
        <v>0</v>
      </c>
    </row>
    <row r="1255" spans="1:16" s="3" customFormat="1" hidden="1">
      <c r="A1255" s="36" t="s">
        <v>791</v>
      </c>
      <c r="B1255" s="33" t="s">
        <v>151</v>
      </c>
      <c r="C1255" s="211" t="s">
        <v>1573</v>
      </c>
      <c r="D1255" s="63"/>
      <c r="E1255" s="63"/>
      <c r="F1255" s="63"/>
      <c r="G1255" s="38"/>
      <c r="H1255" s="38"/>
      <c r="I1255" s="38">
        <f t="shared" si="575"/>
        <v>0</v>
      </c>
      <c r="J1255" s="63"/>
      <c r="K1255" s="63"/>
      <c r="L1255" s="63"/>
      <c r="M1255" s="218" t="str">
        <f t="shared" si="570"/>
        <v/>
      </c>
      <c r="N1255" s="218" t="str">
        <f t="shared" si="571"/>
        <v/>
      </c>
      <c r="O1255" s="218" t="str">
        <f t="shared" si="572"/>
        <v/>
      </c>
      <c r="P1255" s="218" t="str">
        <f t="shared" si="580"/>
        <v/>
      </c>
    </row>
    <row r="1256" spans="1:16" s="3" customFormat="1" ht="6" customHeight="1">
      <c r="A1256" s="36"/>
      <c r="B1256" s="33"/>
      <c r="C1256" s="211" t="s">
        <v>268</v>
      </c>
      <c r="D1256" s="63"/>
      <c r="E1256" s="63"/>
      <c r="F1256" s="63">
        <f t="shared" ref="F1256:F1259" si="583">SUM(D1256:E1256)</f>
        <v>0</v>
      </c>
      <c r="G1256" s="38"/>
      <c r="H1256" s="38"/>
      <c r="I1256" s="38">
        <f t="shared" si="575"/>
        <v>0</v>
      </c>
      <c r="J1256" s="63"/>
      <c r="K1256" s="63"/>
      <c r="L1256" s="63">
        <f t="shared" ref="L1256:L1257" si="584">SUM(J1256:K1256)</f>
        <v>0</v>
      </c>
      <c r="M1256" s="218" t="str">
        <f t="shared" si="570"/>
        <v/>
      </c>
      <c r="N1256" s="218" t="str">
        <f t="shared" si="571"/>
        <v/>
      </c>
      <c r="O1256" s="218" t="str">
        <f t="shared" si="572"/>
        <v/>
      </c>
      <c r="P1256" s="218" t="str">
        <f t="shared" si="580"/>
        <v/>
      </c>
    </row>
    <row r="1257" spans="1:16" s="11" customFormat="1" ht="12.75">
      <c r="A1257" s="58" t="s">
        <v>431</v>
      </c>
      <c r="B1257" s="65" t="s">
        <v>265</v>
      </c>
      <c r="C1257" s="308" t="s">
        <v>940</v>
      </c>
      <c r="D1257" s="42">
        <f>SUM(D1259:D1272)</f>
        <v>7327490</v>
      </c>
      <c r="E1257" s="42">
        <f>SUM(E1259:E1272)</f>
        <v>0</v>
      </c>
      <c r="F1257" s="42">
        <f t="shared" si="583"/>
        <v>7327490</v>
      </c>
      <c r="G1257" s="55">
        <f>SUM(G1259:G1272)</f>
        <v>8162104</v>
      </c>
      <c r="H1257" s="55">
        <f>SUM(H1259:H1272)</f>
        <v>0</v>
      </c>
      <c r="I1257" s="55">
        <f t="shared" si="575"/>
        <v>8162104</v>
      </c>
      <c r="J1257" s="42">
        <f>SUM(J1259:J1272)</f>
        <v>8702860</v>
      </c>
      <c r="K1257" s="42">
        <f>SUM(K1259:K1272)</f>
        <v>0</v>
      </c>
      <c r="L1257" s="42">
        <f t="shared" si="584"/>
        <v>8702860</v>
      </c>
      <c r="M1257" s="225">
        <f t="shared" si="570"/>
        <v>118.77000173319922</v>
      </c>
      <c r="N1257" s="225">
        <f t="shared" si="571"/>
        <v>118.77000173319922</v>
      </c>
      <c r="O1257" s="225">
        <f t="shared" si="572"/>
        <v>106.6252035014501</v>
      </c>
      <c r="P1257" s="225">
        <f t="shared" si="580"/>
        <v>106.6252035014501</v>
      </c>
    </row>
    <row r="1258" spans="1:16" s="11" customFormat="1" hidden="1">
      <c r="A1258" s="80" t="s">
        <v>267</v>
      </c>
      <c r="B1258" s="184"/>
      <c r="C1258" s="320" t="s">
        <v>268</v>
      </c>
      <c r="D1258" s="116">
        <f>SUM(D1259:D1272)</f>
        <v>7327490</v>
      </c>
      <c r="E1258" s="111"/>
      <c r="F1258" s="63">
        <f t="shared" si="583"/>
        <v>7327490</v>
      </c>
      <c r="G1258" s="116">
        <f>SUM(G1259:G1272)</f>
        <v>8162104</v>
      </c>
      <c r="H1258" s="193"/>
      <c r="I1258" s="38">
        <f t="shared" si="575"/>
        <v>8162104</v>
      </c>
      <c r="J1258" s="63">
        <f>SUM(J1259:J1272)</f>
        <v>8702860</v>
      </c>
      <c r="K1258" s="111"/>
      <c r="L1258" s="63">
        <f t="shared" ref="L1258" si="585">SUM(J1258:K1258)</f>
        <v>8702860</v>
      </c>
      <c r="M1258" s="218">
        <f t="shared" si="570"/>
        <v>118.77000173319922</v>
      </c>
      <c r="N1258" s="218">
        <f t="shared" si="571"/>
        <v>118.77000173319922</v>
      </c>
      <c r="O1258" s="218">
        <f t="shared" si="572"/>
        <v>106.6252035014501</v>
      </c>
      <c r="P1258" s="218">
        <f t="shared" si="580"/>
        <v>106.6252035014501</v>
      </c>
    </row>
    <row r="1259" spans="1:16" s="11" customFormat="1" ht="12.75" customHeight="1">
      <c r="A1259" s="36" t="s">
        <v>180</v>
      </c>
      <c r="B1259" s="33" t="s">
        <v>419</v>
      </c>
      <c r="C1259" s="211" t="s">
        <v>1574</v>
      </c>
      <c r="D1259" s="38">
        <v>7091010</v>
      </c>
      <c r="E1259" s="38"/>
      <c r="F1259" s="63">
        <f t="shared" si="583"/>
        <v>7091010</v>
      </c>
      <c r="G1259" s="38">
        <v>7378794</v>
      </c>
      <c r="H1259" s="38"/>
      <c r="I1259" s="38">
        <f t="shared" si="575"/>
        <v>7378794</v>
      </c>
      <c r="J1259" s="63">
        <v>8357550</v>
      </c>
      <c r="K1259" s="38"/>
      <c r="L1259" s="63">
        <f t="shared" ref="L1259:L1272" si="586">SUM(J1259:K1259)</f>
        <v>8357550</v>
      </c>
      <c r="M1259" s="218">
        <f t="shared" si="570"/>
        <v>117.86120735974141</v>
      </c>
      <c r="N1259" s="218">
        <f t="shared" si="571"/>
        <v>117.86120735974141</v>
      </c>
      <c r="O1259" s="218">
        <f t="shared" si="572"/>
        <v>113.26444402703206</v>
      </c>
      <c r="P1259" s="218">
        <f t="shared" si="580"/>
        <v>113.26444402703206</v>
      </c>
    </row>
    <row r="1260" spans="1:16" s="11" customFormat="1" ht="12.75" customHeight="1">
      <c r="A1260" s="36" t="s">
        <v>2071</v>
      </c>
      <c r="B1260" s="33" t="s">
        <v>2072</v>
      </c>
      <c r="C1260" s="211" t="s">
        <v>2178</v>
      </c>
      <c r="D1260" s="38"/>
      <c r="E1260" s="38"/>
      <c r="F1260" s="63"/>
      <c r="G1260" s="38">
        <v>255000</v>
      </c>
      <c r="H1260" s="38"/>
      <c r="I1260" s="38">
        <f>SUM(G1260:H1260)</f>
        <v>255000</v>
      </c>
      <c r="J1260" s="63">
        <v>275820</v>
      </c>
      <c r="K1260" s="38"/>
      <c r="L1260" s="63">
        <f>SUM(J1260:K1260)</f>
        <v>275820</v>
      </c>
      <c r="M1260" s="218" t="str">
        <f t="shared" si="570"/>
        <v/>
      </c>
      <c r="N1260" s="218" t="str">
        <f t="shared" si="571"/>
        <v/>
      </c>
      <c r="O1260" s="218">
        <f t="shared" si="572"/>
        <v>108.16470588235293</v>
      </c>
      <c r="P1260" s="218"/>
    </row>
    <row r="1261" spans="1:16" s="11" customFormat="1" ht="12.75" customHeight="1">
      <c r="A1261" s="36" t="s">
        <v>772</v>
      </c>
      <c r="B1261" s="33" t="s">
        <v>766</v>
      </c>
      <c r="C1261" s="211" t="s">
        <v>1578</v>
      </c>
      <c r="D1261" s="38">
        <v>4210</v>
      </c>
      <c r="E1261" s="38"/>
      <c r="F1261" s="63">
        <f>SUM(D1261:E1261)</f>
        <v>4210</v>
      </c>
      <c r="G1261" s="38">
        <v>4900</v>
      </c>
      <c r="H1261" s="38"/>
      <c r="I1261" s="38">
        <f>SUM(G1261:H1261)</f>
        <v>4900</v>
      </c>
      <c r="J1261" s="63">
        <v>2680</v>
      </c>
      <c r="K1261" s="38"/>
      <c r="L1261" s="63">
        <f>SUM(J1261:K1261)</f>
        <v>2680</v>
      </c>
      <c r="M1261" s="218">
        <f t="shared" si="570"/>
        <v>63.657957244655584</v>
      </c>
      <c r="N1261" s="218">
        <f t="shared" si="571"/>
        <v>63.657957244655584</v>
      </c>
      <c r="O1261" s="218">
        <f t="shared" si="572"/>
        <v>54.693877551020407</v>
      </c>
      <c r="P1261" s="218">
        <f>IF(I1261&gt;0,IF(L1261&gt;=0,L1261/I1261*100,""),"")</f>
        <v>54.693877551020407</v>
      </c>
    </row>
    <row r="1262" spans="1:16" s="11" customFormat="1" ht="12.75" customHeight="1">
      <c r="A1262" s="36" t="s">
        <v>754</v>
      </c>
      <c r="B1262" s="33" t="s">
        <v>755</v>
      </c>
      <c r="C1262" s="211" t="s">
        <v>1579</v>
      </c>
      <c r="D1262" s="38">
        <v>25170</v>
      </c>
      <c r="E1262" s="38"/>
      <c r="F1262" s="63">
        <f>SUM(D1262:E1262)</f>
        <v>25170</v>
      </c>
      <c r="G1262" s="38">
        <v>25310</v>
      </c>
      <c r="H1262" s="38"/>
      <c r="I1262" s="38">
        <f>SUM(G1262:H1262)</f>
        <v>25310</v>
      </c>
      <c r="J1262" s="63">
        <v>30710</v>
      </c>
      <c r="K1262" s="38"/>
      <c r="L1262" s="63">
        <f>SUM(J1262:K1262)</f>
        <v>30710</v>
      </c>
      <c r="M1262" s="218">
        <f t="shared" si="570"/>
        <v>122.01032975764798</v>
      </c>
      <c r="N1262" s="218">
        <f t="shared" si="571"/>
        <v>122.01032975764798</v>
      </c>
      <c r="O1262" s="218">
        <f t="shared" si="572"/>
        <v>121.33544053733702</v>
      </c>
      <c r="P1262" s="218">
        <f>IF(I1262&gt;0,IF(L1262&gt;=0,L1262/I1262*100,""),"")</f>
        <v>121.33544053733702</v>
      </c>
    </row>
    <row r="1263" spans="1:16" s="11" customFormat="1" ht="12.75" customHeight="1">
      <c r="A1263" s="36" t="s">
        <v>2073</v>
      </c>
      <c r="B1263" s="33" t="s">
        <v>624</v>
      </c>
      <c r="C1263" s="211" t="s">
        <v>2179</v>
      </c>
      <c r="D1263" s="38"/>
      <c r="E1263" s="38"/>
      <c r="F1263" s="63"/>
      <c r="G1263" s="38">
        <v>10000</v>
      </c>
      <c r="H1263" s="38"/>
      <c r="I1263" s="38">
        <f>SUM(G1263:H1263)</f>
        <v>10000</v>
      </c>
      <c r="J1263" s="63">
        <v>12000</v>
      </c>
      <c r="K1263" s="38"/>
      <c r="L1263" s="63">
        <f>SUM(J1263:K1263)</f>
        <v>12000</v>
      </c>
      <c r="M1263" s="218" t="str">
        <f t="shared" si="570"/>
        <v/>
      </c>
      <c r="N1263" s="218" t="str">
        <f t="shared" si="571"/>
        <v/>
      </c>
      <c r="O1263" s="218">
        <f t="shared" si="572"/>
        <v>120</v>
      </c>
      <c r="P1263" s="218"/>
    </row>
    <row r="1264" spans="1:16" s="11" customFormat="1" ht="12.75" customHeight="1">
      <c r="A1264" s="36" t="s">
        <v>2482</v>
      </c>
      <c r="B1264" s="33" t="s">
        <v>2369</v>
      </c>
      <c r="C1264" s="211" t="s">
        <v>2435</v>
      </c>
      <c r="D1264" s="38"/>
      <c r="E1264" s="38"/>
      <c r="F1264" s="63"/>
      <c r="G1264" s="38"/>
      <c r="H1264" s="38"/>
      <c r="I1264" s="38"/>
      <c r="J1264" s="63">
        <v>2100</v>
      </c>
      <c r="K1264" s="38"/>
      <c r="L1264" s="63">
        <f t="shared" si="586"/>
        <v>2100</v>
      </c>
      <c r="M1264" s="218" t="str">
        <f t="shared" si="570"/>
        <v/>
      </c>
      <c r="N1264" s="218" t="str">
        <f t="shared" si="571"/>
        <v/>
      </c>
      <c r="O1264" s="218" t="str">
        <f t="shared" si="572"/>
        <v/>
      </c>
      <c r="P1264" s="218"/>
    </row>
    <row r="1265" spans="1:16" s="3" customFormat="1" ht="12.75" customHeight="1">
      <c r="A1265" s="46" t="s">
        <v>651</v>
      </c>
      <c r="B1265" s="33" t="s">
        <v>650</v>
      </c>
      <c r="C1265" s="211" t="s">
        <v>1576</v>
      </c>
      <c r="D1265" s="63">
        <v>30000</v>
      </c>
      <c r="E1265" s="63"/>
      <c r="F1265" s="63">
        <f>SUM(D1265:E1265)</f>
        <v>30000</v>
      </c>
      <c r="G1265" s="38">
        <v>30000</v>
      </c>
      <c r="H1265" s="38"/>
      <c r="I1265" s="38">
        <f t="shared" ref="I1265:I1270" si="587">SUM(G1265:H1265)</f>
        <v>30000</v>
      </c>
      <c r="J1265" s="63">
        <v>10000</v>
      </c>
      <c r="K1265" s="63"/>
      <c r="L1265" s="63">
        <f t="shared" ref="L1265:L1270" si="588">SUM(J1265:K1265)</f>
        <v>10000</v>
      </c>
      <c r="M1265" s="218">
        <f t="shared" si="570"/>
        <v>33.333333333333329</v>
      </c>
      <c r="N1265" s="218">
        <f t="shared" si="571"/>
        <v>33.333333333333329</v>
      </c>
      <c r="O1265" s="218">
        <f t="shared" si="572"/>
        <v>33.333333333333329</v>
      </c>
      <c r="P1265" s="218">
        <f>IF(I1265&gt;0,IF(L1265&gt;=0,L1265/I1265*100,""),"")</f>
        <v>33.333333333333329</v>
      </c>
    </row>
    <row r="1266" spans="1:16" s="3" customFormat="1" ht="12.75" customHeight="1">
      <c r="A1266" s="36" t="s">
        <v>375</v>
      </c>
      <c r="B1266" s="33" t="s">
        <v>150</v>
      </c>
      <c r="C1266" s="211" t="s">
        <v>1580</v>
      </c>
      <c r="D1266" s="63">
        <v>11000</v>
      </c>
      <c r="E1266" s="63"/>
      <c r="F1266" s="63">
        <f>SUM(D1266:E1266)</f>
        <v>11000</v>
      </c>
      <c r="G1266" s="38">
        <v>317000</v>
      </c>
      <c r="H1266" s="38"/>
      <c r="I1266" s="38">
        <f t="shared" si="587"/>
        <v>317000</v>
      </c>
      <c r="J1266" s="63">
        <v>12000</v>
      </c>
      <c r="K1266" s="63"/>
      <c r="L1266" s="63">
        <f t="shared" si="588"/>
        <v>12000</v>
      </c>
      <c r="M1266" s="218">
        <f t="shared" si="570"/>
        <v>109.09090909090908</v>
      </c>
      <c r="N1266" s="218">
        <f t="shared" si="571"/>
        <v>109.09090909090908</v>
      </c>
      <c r="O1266" s="218">
        <f t="shared" si="572"/>
        <v>3.7854889589905363</v>
      </c>
      <c r="P1266" s="218">
        <f>IF(I1266&gt;0,IF(L1266&gt;=0,L1266/I1266*100,""),"")</f>
        <v>3.7854889589905363</v>
      </c>
    </row>
    <row r="1267" spans="1:16" s="11" customFormat="1" ht="12.75" customHeight="1">
      <c r="A1267" s="36" t="s">
        <v>368</v>
      </c>
      <c r="B1267" s="211" t="s">
        <v>418</v>
      </c>
      <c r="C1267" s="211" t="s">
        <v>1582</v>
      </c>
      <c r="D1267" s="38"/>
      <c r="E1267" s="38"/>
      <c r="F1267" s="63"/>
      <c r="G1267" s="38">
        <v>80000</v>
      </c>
      <c r="H1267" s="38"/>
      <c r="I1267" s="38">
        <f t="shared" si="587"/>
        <v>80000</v>
      </c>
      <c r="J1267" s="63"/>
      <c r="K1267" s="38"/>
      <c r="L1267" s="63">
        <f t="shared" si="588"/>
        <v>0</v>
      </c>
      <c r="M1267" s="218" t="str">
        <f t="shared" si="570"/>
        <v/>
      </c>
      <c r="N1267" s="218" t="str">
        <f t="shared" si="571"/>
        <v/>
      </c>
      <c r="O1267" s="218">
        <f t="shared" si="572"/>
        <v>0</v>
      </c>
      <c r="P1267" s="218">
        <f>IF(I1267&gt;0,IF(L1267&gt;=0,L1267/I1267*100,""),"")</f>
        <v>0</v>
      </c>
    </row>
    <row r="1268" spans="1:16" s="11" customFormat="1" ht="12.75" customHeight="1">
      <c r="A1268" s="36" t="s">
        <v>839</v>
      </c>
      <c r="B1268" s="211" t="s">
        <v>698</v>
      </c>
      <c r="C1268" s="211" t="s">
        <v>1575</v>
      </c>
      <c r="D1268" s="38">
        <v>2100</v>
      </c>
      <c r="E1268" s="38"/>
      <c r="F1268" s="63">
        <f>SUM(D1268:E1268)</f>
        <v>2100</v>
      </c>
      <c r="G1268" s="38">
        <v>22300</v>
      </c>
      <c r="H1268" s="38"/>
      <c r="I1268" s="38">
        <f t="shared" si="587"/>
        <v>22300</v>
      </c>
      <c r="J1268" s="63"/>
      <c r="K1268" s="38"/>
      <c r="L1268" s="63">
        <f t="shared" si="588"/>
        <v>0</v>
      </c>
      <c r="M1268" s="218">
        <f t="shared" si="570"/>
        <v>0</v>
      </c>
      <c r="N1268" s="218">
        <f t="shared" si="571"/>
        <v>0</v>
      </c>
      <c r="O1268" s="218">
        <f t="shared" si="572"/>
        <v>0</v>
      </c>
      <c r="P1268" s="218">
        <f>IF(I1268&gt;0,IF(L1268&gt;=0,L1268/I1268*100,""),"")</f>
        <v>0</v>
      </c>
    </row>
    <row r="1269" spans="1:16" s="11" customFormat="1" ht="12.75" customHeight="1">
      <c r="A1269" s="36" t="s">
        <v>935</v>
      </c>
      <c r="B1269" s="211" t="s">
        <v>701</v>
      </c>
      <c r="C1269" s="211" t="s">
        <v>1577</v>
      </c>
      <c r="D1269" s="38">
        <v>164000</v>
      </c>
      <c r="E1269" s="38"/>
      <c r="F1269" s="63">
        <f>SUM(D1269:E1269)</f>
        <v>164000</v>
      </c>
      <c r="G1269" s="38"/>
      <c r="H1269" s="38"/>
      <c r="I1269" s="38">
        <f t="shared" si="587"/>
        <v>0</v>
      </c>
      <c r="J1269" s="63"/>
      <c r="K1269" s="38"/>
      <c r="L1269" s="63">
        <f t="shared" si="588"/>
        <v>0</v>
      </c>
      <c r="M1269" s="218">
        <f t="shared" si="570"/>
        <v>0</v>
      </c>
      <c r="N1269" s="218">
        <f t="shared" si="571"/>
        <v>0</v>
      </c>
      <c r="O1269" s="218" t="str">
        <f t="shared" si="572"/>
        <v/>
      </c>
      <c r="P1269" s="218" t="str">
        <f>IF(I1269&gt;0,IF(L1269&gt;=0,L1269/I1269*100,""),"")</f>
        <v/>
      </c>
    </row>
    <row r="1270" spans="1:16" s="11" customFormat="1" ht="12.75" customHeight="1">
      <c r="A1270" s="36" t="s">
        <v>2347</v>
      </c>
      <c r="B1270" s="211" t="s">
        <v>2346</v>
      </c>
      <c r="C1270" s="211" t="s">
        <v>2272</v>
      </c>
      <c r="D1270" s="38"/>
      <c r="E1270" s="38"/>
      <c r="F1270" s="63"/>
      <c r="G1270" s="38">
        <v>27000</v>
      </c>
      <c r="H1270" s="38"/>
      <c r="I1270" s="38">
        <f t="shared" si="587"/>
        <v>27000</v>
      </c>
      <c r="J1270" s="63"/>
      <c r="K1270" s="38"/>
      <c r="L1270" s="63">
        <f t="shared" si="588"/>
        <v>0</v>
      </c>
      <c r="M1270" s="218" t="str">
        <f t="shared" si="570"/>
        <v/>
      </c>
      <c r="N1270" s="218" t="str">
        <f t="shared" si="571"/>
        <v/>
      </c>
      <c r="O1270" s="218">
        <f t="shared" si="572"/>
        <v>0</v>
      </c>
      <c r="P1270" s="218"/>
    </row>
    <row r="1271" spans="1:16" s="11" customFormat="1" ht="12.75" customHeight="1">
      <c r="A1271" s="36" t="s">
        <v>2069</v>
      </c>
      <c r="B1271" s="211" t="s">
        <v>2070</v>
      </c>
      <c r="C1271" s="211" t="s">
        <v>2180</v>
      </c>
      <c r="D1271" s="38"/>
      <c r="E1271" s="38"/>
      <c r="F1271" s="63"/>
      <c r="G1271" s="38">
        <v>11800</v>
      </c>
      <c r="H1271" s="38"/>
      <c r="I1271" s="38">
        <f t="shared" ref="I1271:I1296" si="589">SUM(G1271:H1271)</f>
        <v>11800</v>
      </c>
      <c r="J1271" s="63"/>
      <c r="K1271" s="38"/>
      <c r="L1271" s="63">
        <f t="shared" si="586"/>
        <v>0</v>
      </c>
      <c r="M1271" s="218" t="str">
        <f t="shared" si="570"/>
        <v/>
      </c>
      <c r="N1271" s="218" t="str">
        <f t="shared" si="571"/>
        <v/>
      </c>
      <c r="O1271" s="218">
        <f t="shared" si="572"/>
        <v>0</v>
      </c>
      <c r="P1271" s="218"/>
    </row>
    <row r="1272" spans="1:16" s="11" customFormat="1" hidden="1">
      <c r="A1272" s="36" t="s">
        <v>116</v>
      </c>
      <c r="B1272" s="33" t="s">
        <v>799</v>
      </c>
      <c r="C1272" s="211" t="s">
        <v>1581</v>
      </c>
      <c r="D1272" s="38"/>
      <c r="E1272" s="38"/>
      <c r="F1272" s="63">
        <f t="shared" ref="F1272" si="590">SUM(D1272:E1272)</f>
        <v>0</v>
      </c>
      <c r="G1272" s="38"/>
      <c r="H1272" s="38"/>
      <c r="I1272" s="38">
        <f t="shared" si="589"/>
        <v>0</v>
      </c>
      <c r="J1272" s="38"/>
      <c r="K1272" s="38"/>
      <c r="L1272" s="63">
        <f t="shared" si="586"/>
        <v>0</v>
      </c>
      <c r="M1272" s="218" t="str">
        <f t="shared" si="570"/>
        <v/>
      </c>
      <c r="N1272" s="218" t="str">
        <f t="shared" si="571"/>
        <v/>
      </c>
      <c r="O1272" s="218" t="str">
        <f t="shared" si="572"/>
        <v/>
      </c>
      <c r="P1272" s="218" t="str">
        <f t="shared" ref="P1272:P1280" si="591">IF(I1272&gt;0,IF(L1272&gt;=0,L1272/I1272*100,""),"")</f>
        <v/>
      </c>
    </row>
    <row r="1273" spans="1:16" s="3" customFormat="1" ht="6" customHeight="1">
      <c r="A1273" s="36"/>
      <c r="B1273" s="33"/>
      <c r="C1273" s="211" t="s">
        <v>268</v>
      </c>
      <c r="D1273" s="63"/>
      <c r="E1273" s="63"/>
      <c r="F1273" s="63">
        <f t="shared" ref="F1273:F1276" si="592">SUM(D1273:E1273)</f>
        <v>0</v>
      </c>
      <c r="G1273" s="38"/>
      <c r="H1273" s="38"/>
      <c r="I1273" s="38">
        <f t="shared" si="589"/>
        <v>0</v>
      </c>
      <c r="J1273" s="63"/>
      <c r="K1273" s="63"/>
      <c r="L1273" s="63">
        <f t="shared" ref="L1273:L1274" si="593">SUM(J1273:K1273)</f>
        <v>0</v>
      </c>
      <c r="M1273" s="218" t="str">
        <f t="shared" si="570"/>
        <v/>
      </c>
      <c r="N1273" s="218" t="str">
        <f t="shared" si="571"/>
        <v/>
      </c>
      <c r="O1273" s="218" t="str">
        <f t="shared" si="572"/>
        <v/>
      </c>
      <c r="P1273" s="218" t="str">
        <f t="shared" si="591"/>
        <v/>
      </c>
    </row>
    <row r="1274" spans="1:16" s="11" customFormat="1" ht="12.75">
      <c r="A1274" s="58" t="s">
        <v>432</v>
      </c>
      <c r="B1274" s="65" t="s">
        <v>265</v>
      </c>
      <c r="C1274" s="308" t="s">
        <v>940</v>
      </c>
      <c r="D1274" s="42">
        <f>SUM(D1276:D1283)</f>
        <v>8313990</v>
      </c>
      <c r="E1274" s="42">
        <f>SUM(E1276:E1283)</f>
        <v>0</v>
      </c>
      <c r="F1274" s="42">
        <f t="shared" si="592"/>
        <v>8313990</v>
      </c>
      <c r="G1274" s="55">
        <f>SUM(G1276:G1283)</f>
        <v>8935578</v>
      </c>
      <c r="H1274" s="55">
        <f>SUM(H1276:H1283)</f>
        <v>0</v>
      </c>
      <c r="I1274" s="55">
        <f t="shared" si="589"/>
        <v>8935578</v>
      </c>
      <c r="J1274" s="42">
        <f>SUM(J1276:J1283)</f>
        <v>9769820</v>
      </c>
      <c r="K1274" s="42">
        <f>SUM(K1276:K1283)</f>
        <v>0</v>
      </c>
      <c r="L1274" s="42">
        <f t="shared" si="593"/>
        <v>9769820</v>
      </c>
      <c r="M1274" s="225">
        <f t="shared" si="570"/>
        <v>117.51060561775995</v>
      </c>
      <c r="N1274" s="225">
        <f t="shared" si="571"/>
        <v>117.51060561775995</v>
      </c>
      <c r="O1274" s="225">
        <f t="shared" si="572"/>
        <v>109.3361839603437</v>
      </c>
      <c r="P1274" s="225">
        <f t="shared" si="591"/>
        <v>109.3361839603437</v>
      </c>
    </row>
    <row r="1275" spans="1:16" s="11" customFormat="1" hidden="1">
      <c r="A1275" s="80" t="s">
        <v>267</v>
      </c>
      <c r="B1275" s="184"/>
      <c r="C1275" s="320" t="s">
        <v>268</v>
      </c>
      <c r="D1275" s="38">
        <f>SUM(D1276:D1283)</f>
        <v>8313990</v>
      </c>
      <c r="E1275" s="77"/>
      <c r="F1275" s="63">
        <f t="shared" si="592"/>
        <v>8313990</v>
      </c>
      <c r="G1275" s="38">
        <f>SUM(G1276:G1283)</f>
        <v>8935578</v>
      </c>
      <c r="H1275" s="109"/>
      <c r="I1275" s="38">
        <f t="shared" si="589"/>
        <v>8935578</v>
      </c>
      <c r="J1275" s="63">
        <f>SUM(J1276:J1283)</f>
        <v>9769820</v>
      </c>
      <c r="K1275" s="77"/>
      <c r="L1275" s="63">
        <f t="shared" ref="L1275" si="594">SUM(J1275:K1275)</f>
        <v>9769820</v>
      </c>
      <c r="M1275" s="218">
        <f t="shared" si="570"/>
        <v>117.51060561775995</v>
      </c>
      <c r="N1275" s="218">
        <f t="shared" si="571"/>
        <v>117.51060561775995</v>
      </c>
      <c r="O1275" s="218">
        <f t="shared" si="572"/>
        <v>109.3361839603437</v>
      </c>
      <c r="P1275" s="218">
        <f t="shared" si="591"/>
        <v>109.3361839603437</v>
      </c>
    </row>
    <row r="1276" spans="1:16" s="11" customFormat="1" ht="12.75" customHeight="1">
      <c r="A1276" s="36" t="s">
        <v>180</v>
      </c>
      <c r="B1276" s="33" t="s">
        <v>419</v>
      </c>
      <c r="C1276" s="211" t="s">
        <v>1583</v>
      </c>
      <c r="D1276" s="38">
        <v>8279310</v>
      </c>
      <c r="E1276" s="38"/>
      <c r="F1276" s="63">
        <f t="shared" si="592"/>
        <v>8279310</v>
      </c>
      <c r="G1276" s="38">
        <v>8520278</v>
      </c>
      <c r="H1276" s="38"/>
      <c r="I1276" s="38">
        <f t="shared" si="589"/>
        <v>8520278</v>
      </c>
      <c r="J1276" s="63">
        <v>9728660</v>
      </c>
      <c r="K1276" s="38"/>
      <c r="L1276" s="63">
        <f t="shared" ref="L1276:L1283" si="595">SUM(J1276:K1276)</f>
        <v>9728660</v>
      </c>
      <c r="M1276" s="218">
        <f t="shared" si="570"/>
        <v>117.50568586029513</v>
      </c>
      <c r="N1276" s="218">
        <f t="shared" si="571"/>
        <v>117.50568586029513</v>
      </c>
      <c r="O1276" s="218">
        <f t="shared" si="572"/>
        <v>114.18242456408112</v>
      </c>
      <c r="P1276" s="218">
        <f t="shared" si="591"/>
        <v>114.18242456408112</v>
      </c>
    </row>
    <row r="1277" spans="1:16" s="11" customFormat="1" ht="12.75" customHeight="1">
      <c r="A1277" s="36" t="s">
        <v>754</v>
      </c>
      <c r="B1277" s="33" t="s">
        <v>755</v>
      </c>
      <c r="C1277" s="211" t="s">
        <v>1584</v>
      </c>
      <c r="D1277" s="38">
        <v>27680</v>
      </c>
      <c r="E1277" s="38"/>
      <c r="F1277" s="63">
        <f>SUM(D1277:E1277)</f>
        <v>27680</v>
      </c>
      <c r="G1277" s="38">
        <v>30300</v>
      </c>
      <c r="H1277" s="38"/>
      <c r="I1277" s="38">
        <f>SUM(G1277:H1277)</f>
        <v>30300</v>
      </c>
      <c r="J1277" s="63">
        <v>21160</v>
      </c>
      <c r="K1277" s="38"/>
      <c r="L1277" s="63">
        <f>SUM(J1277:K1277)</f>
        <v>21160</v>
      </c>
      <c r="M1277" s="218">
        <f t="shared" si="570"/>
        <v>76.445086705202314</v>
      </c>
      <c r="N1277" s="218">
        <f t="shared" si="571"/>
        <v>76.445086705202314</v>
      </c>
      <c r="O1277" s="218">
        <f t="shared" si="572"/>
        <v>69.834983498349828</v>
      </c>
      <c r="P1277" s="218">
        <f>IF(I1277&gt;0,IF(L1277&gt;=0,L1277/I1277*100,""),"")</f>
        <v>69.834983498349828</v>
      </c>
    </row>
    <row r="1278" spans="1:16" s="11" customFormat="1" ht="12.75" customHeight="1">
      <c r="A1278" s="36" t="s">
        <v>2073</v>
      </c>
      <c r="B1278" s="33" t="s">
        <v>624</v>
      </c>
      <c r="C1278" s="211" t="s">
        <v>2181</v>
      </c>
      <c r="D1278" s="38"/>
      <c r="E1278" s="38"/>
      <c r="F1278" s="63"/>
      <c r="G1278" s="38">
        <v>10000</v>
      </c>
      <c r="H1278" s="38"/>
      <c r="I1278" s="38">
        <f>SUM(G1278:H1278)</f>
        <v>10000</v>
      </c>
      <c r="J1278" s="63">
        <v>12000</v>
      </c>
      <c r="K1278" s="38"/>
      <c r="L1278" s="63">
        <f>SUM(J1278:K1278)</f>
        <v>12000</v>
      </c>
      <c r="M1278" s="218" t="str">
        <f t="shared" si="570"/>
        <v/>
      </c>
      <c r="N1278" s="218" t="str">
        <f t="shared" si="571"/>
        <v/>
      </c>
      <c r="O1278" s="218">
        <f t="shared" si="572"/>
        <v>120</v>
      </c>
      <c r="P1278" s="218"/>
    </row>
    <row r="1279" spans="1:16" s="11" customFormat="1" ht="12.75" customHeight="1">
      <c r="A1279" s="36" t="s">
        <v>375</v>
      </c>
      <c r="B1279" s="33" t="s">
        <v>150</v>
      </c>
      <c r="C1279" s="211" t="s">
        <v>1585</v>
      </c>
      <c r="D1279" s="38">
        <v>7000</v>
      </c>
      <c r="E1279" s="38"/>
      <c r="F1279" s="63">
        <f>SUM(D1279:E1279)</f>
        <v>7000</v>
      </c>
      <c r="G1279" s="38">
        <v>192000</v>
      </c>
      <c r="H1279" s="38"/>
      <c r="I1279" s="38">
        <f>SUM(G1279:H1279)</f>
        <v>192000</v>
      </c>
      <c r="J1279" s="63">
        <v>8000</v>
      </c>
      <c r="K1279" s="38"/>
      <c r="L1279" s="63">
        <f>SUM(J1279:K1279)</f>
        <v>8000</v>
      </c>
      <c r="M1279" s="218">
        <f t="shared" si="570"/>
        <v>114.28571428571428</v>
      </c>
      <c r="N1279" s="218">
        <f t="shared" si="571"/>
        <v>114.28571428571428</v>
      </c>
      <c r="O1279" s="218">
        <f t="shared" si="572"/>
        <v>4.1666666666666661</v>
      </c>
      <c r="P1279" s="218">
        <f>IF(I1279&gt;0,IF(L1279&gt;=0,L1279/I1279*100,""),"")</f>
        <v>4.1666666666666661</v>
      </c>
    </row>
    <row r="1280" spans="1:16" s="3" customFormat="1" ht="12.75" customHeight="1">
      <c r="A1280" s="36" t="s">
        <v>368</v>
      </c>
      <c r="B1280" s="211" t="s">
        <v>418</v>
      </c>
      <c r="C1280" s="211" t="s">
        <v>1586</v>
      </c>
      <c r="D1280" s="63"/>
      <c r="E1280" s="63"/>
      <c r="F1280" s="63">
        <f>SUM(D1280:E1280)</f>
        <v>0</v>
      </c>
      <c r="G1280" s="38">
        <v>127000</v>
      </c>
      <c r="H1280" s="38"/>
      <c r="I1280" s="38">
        <f t="shared" si="589"/>
        <v>127000</v>
      </c>
      <c r="J1280" s="63"/>
      <c r="K1280" s="63"/>
      <c r="L1280" s="63">
        <f>SUM(J1280:K1280)</f>
        <v>0</v>
      </c>
      <c r="M1280" s="218" t="str">
        <f t="shared" si="570"/>
        <v/>
      </c>
      <c r="N1280" s="218" t="str">
        <f t="shared" si="571"/>
        <v/>
      </c>
      <c r="O1280" s="218">
        <f t="shared" si="572"/>
        <v>0</v>
      </c>
      <c r="P1280" s="218">
        <f t="shared" si="591"/>
        <v>0</v>
      </c>
    </row>
    <row r="1281" spans="1:16" s="11" customFormat="1" ht="12.75" customHeight="1">
      <c r="A1281" s="36" t="s">
        <v>2069</v>
      </c>
      <c r="B1281" s="211" t="s">
        <v>2070</v>
      </c>
      <c r="C1281" s="211" t="s">
        <v>2182</v>
      </c>
      <c r="D1281" s="38"/>
      <c r="E1281" s="38"/>
      <c r="F1281" s="63"/>
      <c r="G1281" s="38">
        <v>31000</v>
      </c>
      <c r="H1281" s="38"/>
      <c r="I1281" s="38">
        <f t="shared" si="589"/>
        <v>31000</v>
      </c>
      <c r="J1281" s="63"/>
      <c r="K1281" s="38"/>
      <c r="L1281" s="63">
        <f t="shared" si="595"/>
        <v>0</v>
      </c>
      <c r="M1281" s="218" t="str">
        <f t="shared" si="570"/>
        <v/>
      </c>
      <c r="N1281" s="218" t="str">
        <f t="shared" si="571"/>
        <v/>
      </c>
      <c r="O1281" s="218">
        <f t="shared" si="572"/>
        <v>0</v>
      </c>
      <c r="P1281" s="218"/>
    </row>
    <row r="1282" spans="1:16" s="11" customFormat="1" ht="12.75" customHeight="1">
      <c r="A1282" s="36" t="s">
        <v>2347</v>
      </c>
      <c r="B1282" s="211" t="s">
        <v>2346</v>
      </c>
      <c r="C1282" s="211" t="s">
        <v>2271</v>
      </c>
      <c r="D1282" s="38"/>
      <c r="E1282" s="38"/>
      <c r="F1282" s="63"/>
      <c r="G1282" s="38">
        <v>5000</v>
      </c>
      <c r="H1282" s="38"/>
      <c r="I1282" s="38">
        <f t="shared" si="589"/>
        <v>5000</v>
      </c>
      <c r="J1282" s="63"/>
      <c r="K1282" s="38"/>
      <c r="L1282" s="63">
        <f t="shared" si="595"/>
        <v>0</v>
      </c>
      <c r="M1282" s="218" t="str">
        <f t="shared" si="570"/>
        <v/>
      </c>
      <c r="N1282" s="218" t="str">
        <f t="shared" si="571"/>
        <v/>
      </c>
      <c r="O1282" s="218">
        <f t="shared" si="572"/>
        <v>0</v>
      </c>
      <c r="P1282" s="218"/>
    </row>
    <row r="1283" spans="1:16" s="11" customFormat="1" ht="12.75" customHeight="1">
      <c r="A1283" s="36" t="s">
        <v>651</v>
      </c>
      <c r="B1283" s="211" t="s">
        <v>650</v>
      </c>
      <c r="C1283" s="211" t="s">
        <v>2183</v>
      </c>
      <c r="D1283" s="38"/>
      <c r="E1283" s="38"/>
      <c r="F1283" s="63"/>
      <c r="G1283" s="38">
        <v>20000</v>
      </c>
      <c r="H1283" s="38"/>
      <c r="I1283" s="38">
        <f t="shared" si="589"/>
        <v>20000</v>
      </c>
      <c r="J1283" s="63"/>
      <c r="K1283" s="38"/>
      <c r="L1283" s="63">
        <f t="shared" si="595"/>
        <v>0</v>
      </c>
      <c r="M1283" s="218" t="str">
        <f t="shared" si="570"/>
        <v/>
      </c>
      <c r="N1283" s="218" t="str">
        <f t="shared" si="571"/>
        <v/>
      </c>
      <c r="O1283" s="218">
        <f t="shared" si="572"/>
        <v>0</v>
      </c>
      <c r="P1283" s="218"/>
    </row>
    <row r="1284" spans="1:16" s="3" customFormat="1" ht="6" customHeight="1">
      <c r="A1284" s="36"/>
      <c r="B1284" s="33"/>
      <c r="C1284" s="211" t="s">
        <v>268</v>
      </c>
      <c r="D1284" s="63"/>
      <c r="E1284" s="63"/>
      <c r="F1284" s="63">
        <f t="shared" ref="F1284" si="596">SUM(D1284:E1284)</f>
        <v>0</v>
      </c>
      <c r="G1284" s="38"/>
      <c r="H1284" s="38"/>
      <c r="I1284" s="38">
        <f t="shared" si="589"/>
        <v>0</v>
      </c>
      <c r="J1284" s="63"/>
      <c r="K1284" s="63"/>
      <c r="L1284" s="63">
        <f t="shared" ref="L1284" si="597">SUM(J1284:K1284)</f>
        <v>0</v>
      </c>
      <c r="M1284" s="218" t="str">
        <f t="shared" si="570"/>
        <v/>
      </c>
      <c r="N1284" s="218" t="str">
        <f t="shared" si="571"/>
        <v/>
      </c>
      <c r="O1284" s="218" t="str">
        <f t="shared" si="572"/>
        <v/>
      </c>
      <c r="P1284" s="218" t="str">
        <f t="shared" ref="P1284:P1294" si="598">IF(I1284&gt;0,IF(L1284&gt;=0,L1284/I1284*100,""),"")</f>
        <v/>
      </c>
    </row>
    <row r="1285" spans="1:16" s="11" customFormat="1" ht="25.5">
      <c r="A1285" s="58" t="s">
        <v>636</v>
      </c>
      <c r="B1285" s="65" t="s">
        <v>265</v>
      </c>
      <c r="C1285" s="308" t="s">
        <v>940</v>
      </c>
      <c r="D1285" s="94">
        <f>SUM(D1287:D1296)</f>
        <v>4126620</v>
      </c>
      <c r="E1285" s="94">
        <f>SUM(E1287:E1294)</f>
        <v>0</v>
      </c>
      <c r="F1285" s="94">
        <f>SUM(D1285:E1285)</f>
        <v>4126620</v>
      </c>
      <c r="G1285" s="263">
        <f>SUM(G1287:G1296)</f>
        <v>4347810</v>
      </c>
      <c r="H1285" s="263">
        <f>SUM(H1287:H1294)</f>
        <v>0</v>
      </c>
      <c r="I1285" s="263">
        <f t="shared" si="589"/>
        <v>4347810</v>
      </c>
      <c r="J1285" s="94">
        <f>SUM(J1287:J1296)</f>
        <v>5276870</v>
      </c>
      <c r="K1285" s="94">
        <f>SUM(K1287:K1294)</f>
        <v>0</v>
      </c>
      <c r="L1285" s="94">
        <f>SUM(J1285:K1285)</f>
        <v>5276870</v>
      </c>
      <c r="M1285" s="241">
        <f t="shared" si="570"/>
        <v>127.87390164347579</v>
      </c>
      <c r="N1285" s="241">
        <f t="shared" si="571"/>
        <v>127.87390164347579</v>
      </c>
      <c r="O1285" s="241">
        <f t="shared" si="572"/>
        <v>121.36845906329854</v>
      </c>
      <c r="P1285" s="241">
        <f t="shared" si="598"/>
        <v>121.36845906329854</v>
      </c>
    </row>
    <row r="1286" spans="1:16" s="11" customFormat="1" ht="12.75" customHeight="1">
      <c r="A1286" s="80" t="s">
        <v>267</v>
      </c>
      <c r="B1286" s="184"/>
      <c r="C1286" s="320" t="s">
        <v>268</v>
      </c>
      <c r="D1286" s="117">
        <f>SUM(D1287:D1294)</f>
        <v>4126620</v>
      </c>
      <c r="E1286" s="188"/>
      <c r="F1286" s="63">
        <f t="shared" ref="F1286:F1294" si="599">SUM(D1286:E1286)</f>
        <v>4126620</v>
      </c>
      <c r="G1286" s="117">
        <f>SUM(G1287:G1294)</f>
        <v>4272810</v>
      </c>
      <c r="H1286" s="264"/>
      <c r="I1286" s="38">
        <f t="shared" si="589"/>
        <v>4272810</v>
      </c>
      <c r="J1286" s="117">
        <f>SUM(J1287:J1294)</f>
        <v>5276870</v>
      </c>
      <c r="K1286" s="188"/>
      <c r="L1286" s="63">
        <f t="shared" ref="L1286" si="600">SUM(J1286:K1286)</f>
        <v>5276870</v>
      </c>
      <c r="M1286" s="218">
        <f t="shared" si="570"/>
        <v>127.87390164347579</v>
      </c>
      <c r="N1286" s="218">
        <f t="shared" si="571"/>
        <v>127.87390164347579</v>
      </c>
      <c r="O1286" s="218">
        <f t="shared" si="572"/>
        <v>123.49882161856016</v>
      </c>
      <c r="P1286" s="218">
        <f t="shared" si="598"/>
        <v>123.49882161856016</v>
      </c>
    </row>
    <row r="1287" spans="1:16" s="11" customFormat="1" ht="12.75" customHeight="1">
      <c r="A1287" s="36" t="s">
        <v>180</v>
      </c>
      <c r="B1287" s="33" t="s">
        <v>419</v>
      </c>
      <c r="C1287" s="211" t="s">
        <v>1587</v>
      </c>
      <c r="D1287" s="117">
        <v>4070140</v>
      </c>
      <c r="E1287" s="117"/>
      <c r="F1287" s="63">
        <f t="shared" si="599"/>
        <v>4070140</v>
      </c>
      <c r="G1287" s="117">
        <v>4093290</v>
      </c>
      <c r="H1287" s="117"/>
      <c r="I1287" s="38">
        <f t="shared" si="589"/>
        <v>4093290</v>
      </c>
      <c r="J1287" s="63">
        <v>5230470</v>
      </c>
      <c r="K1287" s="117"/>
      <c r="L1287" s="63">
        <f t="shared" ref="L1287" si="601">SUM(J1287:K1287)</f>
        <v>5230470</v>
      </c>
      <c r="M1287" s="218">
        <f t="shared" si="570"/>
        <v>128.50835597792704</v>
      </c>
      <c r="N1287" s="218">
        <f t="shared" si="571"/>
        <v>128.50835597792704</v>
      </c>
      <c r="O1287" s="218">
        <f t="shared" si="572"/>
        <v>127.78156446281596</v>
      </c>
      <c r="P1287" s="218">
        <f t="shared" si="598"/>
        <v>127.78156446281596</v>
      </c>
    </row>
    <row r="1288" spans="1:16" s="11" customFormat="1" ht="12.75" customHeight="1">
      <c r="A1288" s="36" t="s">
        <v>2482</v>
      </c>
      <c r="B1288" s="33" t="s">
        <v>2369</v>
      </c>
      <c r="C1288" s="211" t="s">
        <v>2436</v>
      </c>
      <c r="D1288" s="38"/>
      <c r="E1288" s="38"/>
      <c r="F1288" s="63"/>
      <c r="G1288" s="38"/>
      <c r="H1288" s="38"/>
      <c r="I1288" s="38"/>
      <c r="J1288" s="63">
        <v>2100</v>
      </c>
      <c r="K1288" s="38"/>
      <c r="L1288" s="63">
        <f>SUM(J1288:K1288)</f>
        <v>2100</v>
      </c>
      <c r="M1288" s="218" t="str">
        <f t="shared" si="570"/>
        <v/>
      </c>
      <c r="N1288" s="218" t="str">
        <f t="shared" si="571"/>
        <v/>
      </c>
      <c r="O1288" s="218" t="str">
        <f t="shared" si="572"/>
        <v/>
      </c>
      <c r="P1288" s="218"/>
    </row>
    <row r="1289" spans="1:16" s="11" customFormat="1" ht="12.75" customHeight="1">
      <c r="A1289" s="36" t="s">
        <v>756</v>
      </c>
      <c r="B1289" s="33" t="s">
        <v>757</v>
      </c>
      <c r="C1289" s="211" t="s">
        <v>1590</v>
      </c>
      <c r="D1289" s="117">
        <v>21080</v>
      </c>
      <c r="E1289" s="117"/>
      <c r="F1289" s="63">
        <f>SUM(D1289:E1289)</f>
        <v>21080</v>
      </c>
      <c r="G1289" s="117">
        <v>28110</v>
      </c>
      <c r="H1289" s="117"/>
      <c r="I1289" s="38">
        <f>SUM(G1289:H1289)</f>
        <v>28110</v>
      </c>
      <c r="J1289" s="63">
        <v>7360</v>
      </c>
      <c r="K1289" s="117"/>
      <c r="L1289" s="63">
        <f>SUM(J1289:K1289)</f>
        <v>7360</v>
      </c>
      <c r="M1289" s="218">
        <f t="shared" si="570"/>
        <v>34.914611005692599</v>
      </c>
      <c r="N1289" s="218">
        <f t="shared" si="571"/>
        <v>34.914611005692599</v>
      </c>
      <c r="O1289" s="218">
        <f t="shared" si="572"/>
        <v>26.182853077196729</v>
      </c>
      <c r="P1289" s="218">
        <f>IF(I1289&gt;0,IF(L1289&gt;=0,L1289/I1289*100,""),"")</f>
        <v>26.182853077196729</v>
      </c>
    </row>
    <row r="1290" spans="1:16" s="11" customFormat="1" ht="12.75" customHeight="1">
      <c r="A1290" s="36" t="s">
        <v>758</v>
      </c>
      <c r="B1290" s="33" t="s">
        <v>759</v>
      </c>
      <c r="C1290" s="211" t="s">
        <v>1591</v>
      </c>
      <c r="D1290" s="117">
        <v>23800</v>
      </c>
      <c r="E1290" s="117"/>
      <c r="F1290" s="63">
        <f t="shared" ref="F1290:F1292" si="602">SUM(D1290:E1290)</f>
        <v>23800</v>
      </c>
      <c r="G1290" s="117">
        <v>32530</v>
      </c>
      <c r="H1290" s="117"/>
      <c r="I1290" s="38">
        <f>SUM(G1290:H1290)</f>
        <v>32530</v>
      </c>
      <c r="J1290" s="63">
        <v>15440</v>
      </c>
      <c r="K1290" s="117"/>
      <c r="L1290" s="63">
        <f t="shared" ref="L1290" si="603">SUM(J1290:K1290)</f>
        <v>15440</v>
      </c>
      <c r="M1290" s="218">
        <f t="shared" si="570"/>
        <v>64.87394957983193</v>
      </c>
      <c r="N1290" s="218">
        <f t="shared" si="571"/>
        <v>64.87394957983193</v>
      </c>
      <c r="O1290" s="218">
        <f t="shared" si="572"/>
        <v>47.463879495849987</v>
      </c>
      <c r="P1290" s="218">
        <f>IF(I1290&gt;0,IF(L1290&gt;=0,L1290/I1290*100,""),"")</f>
        <v>47.463879495849987</v>
      </c>
    </row>
    <row r="1291" spans="1:16" s="3" customFormat="1" ht="12.75" customHeight="1">
      <c r="A1291" s="36" t="s">
        <v>651</v>
      </c>
      <c r="B1291" s="33" t="s">
        <v>650</v>
      </c>
      <c r="C1291" s="211" t="s">
        <v>1589</v>
      </c>
      <c r="D1291" s="63">
        <v>2500</v>
      </c>
      <c r="E1291" s="63"/>
      <c r="F1291" s="63">
        <f>SUM(D1291:E1291)</f>
        <v>2500</v>
      </c>
      <c r="G1291" s="38">
        <v>2500</v>
      </c>
      <c r="H1291" s="38"/>
      <c r="I1291" s="38">
        <f>SUM(G1291:H1291)</f>
        <v>2500</v>
      </c>
      <c r="J1291" s="63">
        <v>13500</v>
      </c>
      <c r="K1291" s="63"/>
      <c r="L1291" s="63">
        <f>SUM(J1291:K1291)</f>
        <v>13500</v>
      </c>
      <c r="M1291" s="218">
        <f t="shared" si="570"/>
        <v>540</v>
      </c>
      <c r="N1291" s="218">
        <f t="shared" si="571"/>
        <v>540</v>
      </c>
      <c r="O1291" s="218">
        <f t="shared" si="572"/>
        <v>540</v>
      </c>
      <c r="P1291" s="218">
        <f>IF(I1291&gt;0,IF(L1291&gt;=0,L1291/I1291*100,""),"")</f>
        <v>540</v>
      </c>
    </row>
    <row r="1292" spans="1:16" s="3" customFormat="1" ht="12.75" customHeight="1">
      <c r="A1292" s="36" t="s">
        <v>375</v>
      </c>
      <c r="B1292" s="33" t="s">
        <v>150</v>
      </c>
      <c r="C1292" s="211" t="s">
        <v>1592</v>
      </c>
      <c r="D1292" s="63">
        <v>7000</v>
      </c>
      <c r="E1292" s="63"/>
      <c r="F1292" s="63">
        <f t="shared" si="602"/>
        <v>7000</v>
      </c>
      <c r="G1292" s="38">
        <v>84000</v>
      </c>
      <c r="H1292" s="38"/>
      <c r="I1292" s="38">
        <f>SUM(G1292:H1292)</f>
        <v>84000</v>
      </c>
      <c r="J1292" s="63">
        <v>8000</v>
      </c>
      <c r="K1292" s="63"/>
      <c r="L1292" s="63">
        <f t="shared" ref="L1292" si="604">SUM(J1292:K1292)</f>
        <v>8000</v>
      </c>
      <c r="M1292" s="218">
        <f t="shared" si="570"/>
        <v>114.28571428571428</v>
      </c>
      <c r="N1292" s="218">
        <f t="shared" si="571"/>
        <v>114.28571428571428</v>
      </c>
      <c r="O1292" s="218">
        <f t="shared" si="572"/>
        <v>9.5238095238095237</v>
      </c>
      <c r="P1292" s="218">
        <f>IF(I1292&gt;0,IF(L1292&gt;=0,L1292/I1292*100,""),"")</f>
        <v>9.5238095238095237</v>
      </c>
    </row>
    <row r="1293" spans="1:16" s="3" customFormat="1" ht="12.75" customHeight="1">
      <c r="A1293" s="36" t="s">
        <v>368</v>
      </c>
      <c r="B1293" s="211" t="s">
        <v>418</v>
      </c>
      <c r="C1293" s="211" t="s">
        <v>1593</v>
      </c>
      <c r="D1293" s="63"/>
      <c r="E1293" s="63"/>
      <c r="F1293" s="63">
        <f>SUM(D1293:E1293)</f>
        <v>0</v>
      </c>
      <c r="G1293" s="38">
        <v>29800</v>
      </c>
      <c r="H1293" s="38"/>
      <c r="I1293" s="38">
        <f>SUM(G1293:H1293)</f>
        <v>29800</v>
      </c>
      <c r="J1293" s="63"/>
      <c r="K1293" s="63"/>
      <c r="L1293" s="63">
        <f>SUM(J1293:K1293)</f>
        <v>0</v>
      </c>
      <c r="M1293" s="218" t="str">
        <f t="shared" si="570"/>
        <v/>
      </c>
      <c r="N1293" s="218" t="str">
        <f t="shared" si="571"/>
        <v/>
      </c>
      <c r="O1293" s="218">
        <f t="shared" si="572"/>
        <v>0</v>
      </c>
      <c r="P1293" s="218">
        <f t="shared" si="598"/>
        <v>0</v>
      </c>
    </row>
    <row r="1294" spans="1:16" s="11" customFormat="1" ht="12.75" customHeight="1">
      <c r="A1294" s="36" t="s">
        <v>839</v>
      </c>
      <c r="B1294" s="211" t="s">
        <v>698</v>
      </c>
      <c r="C1294" s="211" t="s">
        <v>1588</v>
      </c>
      <c r="D1294" s="38">
        <v>2100</v>
      </c>
      <c r="E1294" s="38"/>
      <c r="F1294" s="63">
        <f t="shared" si="599"/>
        <v>2100</v>
      </c>
      <c r="G1294" s="38">
        <v>2580</v>
      </c>
      <c r="H1294" s="38"/>
      <c r="I1294" s="38">
        <f t="shared" si="589"/>
        <v>2580</v>
      </c>
      <c r="J1294" s="63"/>
      <c r="K1294" s="38"/>
      <c r="L1294" s="63">
        <f t="shared" ref="L1294" si="605">SUM(J1294:K1294)</f>
        <v>0</v>
      </c>
      <c r="M1294" s="218">
        <f t="shared" si="570"/>
        <v>0</v>
      </c>
      <c r="N1294" s="218">
        <f t="shared" si="571"/>
        <v>0</v>
      </c>
      <c r="O1294" s="218">
        <f t="shared" si="572"/>
        <v>0</v>
      </c>
      <c r="P1294" s="218">
        <f t="shared" si="598"/>
        <v>0</v>
      </c>
    </row>
    <row r="1295" spans="1:16" s="3" customFormat="1" ht="12.75" customHeight="1">
      <c r="A1295" s="36" t="s">
        <v>792</v>
      </c>
      <c r="B1295" s="211" t="s">
        <v>152</v>
      </c>
      <c r="C1295" s="211" t="s">
        <v>2270</v>
      </c>
      <c r="D1295" s="63"/>
      <c r="E1295" s="63"/>
      <c r="F1295" s="63"/>
      <c r="G1295" s="38">
        <v>15000</v>
      </c>
      <c r="H1295" s="38"/>
      <c r="I1295" s="38">
        <f t="shared" si="589"/>
        <v>15000</v>
      </c>
      <c r="J1295" s="63"/>
      <c r="K1295" s="63"/>
      <c r="L1295" s="63"/>
      <c r="M1295" s="218" t="str">
        <f t="shared" ref="M1295:M1358" si="606">IF(D1295&gt;0,IF(J1295&gt;=0,J1295/D1295*100,""),"")</f>
        <v/>
      </c>
      <c r="N1295" s="218" t="str">
        <f t="shared" ref="N1295:N1358" si="607">IF(F1295&gt;0,IF(L1295&gt;=0,L1295/F1295*100,""),"")</f>
        <v/>
      </c>
      <c r="O1295" s="218">
        <f t="shared" ref="O1295:O1358" si="608">IF(G1295&gt;0,IF(J1295&gt;=0,J1295/G1295*100,""),"")</f>
        <v>0</v>
      </c>
      <c r="P1295" s="218"/>
    </row>
    <row r="1296" spans="1:16" s="3" customFormat="1" ht="12.75" customHeight="1">
      <c r="A1296" s="36" t="s">
        <v>791</v>
      </c>
      <c r="B1296" s="211" t="s">
        <v>151</v>
      </c>
      <c r="C1296" s="211" t="s">
        <v>2269</v>
      </c>
      <c r="D1296" s="63"/>
      <c r="E1296" s="63"/>
      <c r="F1296" s="63"/>
      <c r="G1296" s="38">
        <v>60000</v>
      </c>
      <c r="H1296" s="38"/>
      <c r="I1296" s="38">
        <f t="shared" si="589"/>
        <v>60000</v>
      </c>
      <c r="J1296" s="63"/>
      <c r="K1296" s="63"/>
      <c r="L1296" s="63"/>
      <c r="M1296" s="218" t="str">
        <f t="shared" si="606"/>
        <v/>
      </c>
      <c r="N1296" s="218" t="str">
        <f t="shared" si="607"/>
        <v/>
      </c>
      <c r="O1296" s="218">
        <f t="shared" si="608"/>
        <v>0</v>
      </c>
      <c r="P1296" s="218"/>
    </row>
    <row r="1297" spans="1:16" s="3" customFormat="1" ht="6" customHeight="1">
      <c r="A1297" s="36"/>
      <c r="B1297" s="33"/>
      <c r="C1297" s="211" t="s">
        <v>268</v>
      </c>
      <c r="D1297" s="63"/>
      <c r="E1297" s="63"/>
      <c r="F1297" s="63"/>
      <c r="G1297" s="38"/>
      <c r="H1297" s="38"/>
      <c r="I1297" s="38"/>
      <c r="J1297" s="63"/>
      <c r="K1297" s="63"/>
      <c r="L1297" s="63"/>
      <c r="M1297" s="218" t="str">
        <f t="shared" si="606"/>
        <v/>
      </c>
      <c r="N1297" s="218" t="str">
        <f t="shared" si="607"/>
        <v/>
      </c>
      <c r="O1297" s="218" t="str">
        <f t="shared" si="608"/>
        <v/>
      </c>
      <c r="P1297" s="218" t="str">
        <f t="shared" ref="P1297:P1318" si="609">IF(I1297&gt;0,IF(L1297&gt;=0,L1297/I1297*100,""),"")</f>
        <v/>
      </c>
    </row>
    <row r="1298" spans="1:16" s="11" customFormat="1" ht="12.75">
      <c r="A1298" s="58" t="s">
        <v>814</v>
      </c>
      <c r="B1298" s="65" t="s">
        <v>265</v>
      </c>
      <c r="C1298" s="308" t="s">
        <v>940</v>
      </c>
      <c r="D1298" s="86">
        <f>SUM(D1300:D1308)</f>
        <v>7416780</v>
      </c>
      <c r="E1298" s="86">
        <f>SUM(E1300:E1307)</f>
        <v>0</v>
      </c>
      <c r="F1298" s="86">
        <f t="shared" ref="F1298:F1300" si="610">SUM(D1298:E1298)</f>
        <v>7416780</v>
      </c>
      <c r="G1298" s="262">
        <f>SUM(G1300:G1308)</f>
        <v>7796420</v>
      </c>
      <c r="H1298" s="262">
        <f>SUM(H1300:H1307)</f>
        <v>0</v>
      </c>
      <c r="I1298" s="262">
        <f t="shared" ref="I1298:I1307" si="611">SUM(G1298:H1298)</f>
        <v>7796420</v>
      </c>
      <c r="J1298" s="86">
        <f>SUM(J1300:J1308)</f>
        <v>7996320</v>
      </c>
      <c r="K1298" s="86">
        <f>SUM(K1300:K1307)</f>
        <v>0</v>
      </c>
      <c r="L1298" s="86">
        <f t="shared" ref="L1298:L1303" si="612">SUM(J1298:K1298)</f>
        <v>7996320</v>
      </c>
      <c r="M1298" s="236">
        <f t="shared" si="606"/>
        <v>107.81390306844749</v>
      </c>
      <c r="N1298" s="236">
        <f t="shared" si="607"/>
        <v>107.81390306844749</v>
      </c>
      <c r="O1298" s="236">
        <f t="shared" si="608"/>
        <v>102.56399732184771</v>
      </c>
      <c r="P1298" s="236">
        <f t="shared" si="609"/>
        <v>102.56399732184771</v>
      </c>
    </row>
    <row r="1299" spans="1:16" s="11" customFormat="1" hidden="1">
      <c r="A1299" s="80" t="s">
        <v>267</v>
      </c>
      <c r="B1299" s="184"/>
      <c r="C1299" s="320" t="s">
        <v>268</v>
      </c>
      <c r="D1299" s="87">
        <f>SUM(D1300:D1307)</f>
        <v>7416780</v>
      </c>
      <c r="E1299" s="95"/>
      <c r="F1299" s="63">
        <f t="shared" si="610"/>
        <v>7416780</v>
      </c>
      <c r="G1299" s="87">
        <f>SUM(G1300:G1307)</f>
        <v>7796420</v>
      </c>
      <c r="H1299" s="261"/>
      <c r="I1299" s="38">
        <f t="shared" si="611"/>
        <v>7796420</v>
      </c>
      <c r="J1299" s="63">
        <f>SUM(J1300:J1307)</f>
        <v>7996320</v>
      </c>
      <c r="K1299" s="95"/>
      <c r="L1299" s="63">
        <f t="shared" si="612"/>
        <v>7996320</v>
      </c>
      <c r="M1299" s="218">
        <f t="shared" si="606"/>
        <v>107.81390306844749</v>
      </c>
      <c r="N1299" s="218">
        <f t="shared" si="607"/>
        <v>107.81390306844749</v>
      </c>
      <c r="O1299" s="218">
        <f t="shared" si="608"/>
        <v>102.56399732184771</v>
      </c>
      <c r="P1299" s="218">
        <f t="shared" si="609"/>
        <v>102.56399732184771</v>
      </c>
    </row>
    <row r="1300" spans="1:16" s="11" customFormat="1" ht="12.75" customHeight="1">
      <c r="A1300" s="36" t="s">
        <v>180</v>
      </c>
      <c r="B1300" s="33" t="s">
        <v>419</v>
      </c>
      <c r="C1300" s="211" t="s">
        <v>1594</v>
      </c>
      <c r="D1300" s="87">
        <v>7094530</v>
      </c>
      <c r="E1300" s="87"/>
      <c r="F1300" s="63">
        <f t="shared" si="610"/>
        <v>7094530</v>
      </c>
      <c r="G1300" s="87">
        <v>7213010</v>
      </c>
      <c r="H1300" s="87"/>
      <c r="I1300" s="38">
        <f t="shared" si="611"/>
        <v>7213010</v>
      </c>
      <c r="J1300" s="63">
        <v>7929900</v>
      </c>
      <c r="K1300" s="87"/>
      <c r="L1300" s="63">
        <f t="shared" si="612"/>
        <v>7929900</v>
      </c>
      <c r="M1300" s="218">
        <f t="shared" si="606"/>
        <v>111.77484625479066</v>
      </c>
      <c r="N1300" s="218">
        <f t="shared" si="607"/>
        <v>111.77484625479066</v>
      </c>
      <c r="O1300" s="218">
        <f t="shared" si="608"/>
        <v>109.93884661188602</v>
      </c>
      <c r="P1300" s="218">
        <f t="shared" si="609"/>
        <v>109.93884661188602</v>
      </c>
    </row>
    <row r="1301" spans="1:16" s="11" customFormat="1" ht="12.75" customHeight="1">
      <c r="A1301" s="36" t="s">
        <v>756</v>
      </c>
      <c r="B1301" s="33" t="s">
        <v>757</v>
      </c>
      <c r="C1301" s="211" t="s">
        <v>1595</v>
      </c>
      <c r="D1301" s="87">
        <v>34200</v>
      </c>
      <c r="E1301" s="87"/>
      <c r="F1301" s="63">
        <f>SUM(D1301:E1301)</f>
        <v>34200</v>
      </c>
      <c r="G1301" s="87">
        <v>35180</v>
      </c>
      <c r="H1301" s="87"/>
      <c r="I1301" s="38">
        <f t="shared" si="611"/>
        <v>35180</v>
      </c>
      <c r="J1301" s="63">
        <v>24560</v>
      </c>
      <c r="K1301" s="87"/>
      <c r="L1301" s="63">
        <f>SUM(J1301:K1301)</f>
        <v>24560</v>
      </c>
      <c r="M1301" s="218">
        <f t="shared" si="606"/>
        <v>71.812865497076032</v>
      </c>
      <c r="N1301" s="218">
        <f t="shared" si="607"/>
        <v>71.812865497076032</v>
      </c>
      <c r="O1301" s="218">
        <f t="shared" si="608"/>
        <v>69.81239340534394</v>
      </c>
      <c r="P1301" s="218">
        <f t="shared" si="609"/>
        <v>69.81239340534394</v>
      </c>
    </row>
    <row r="1302" spans="1:16" s="11" customFormat="1" ht="12.75" customHeight="1">
      <c r="A1302" s="36" t="s">
        <v>758</v>
      </c>
      <c r="B1302" s="33" t="s">
        <v>759</v>
      </c>
      <c r="C1302" s="211" t="s">
        <v>1596</v>
      </c>
      <c r="D1302" s="87">
        <v>18360</v>
      </c>
      <c r="E1302" s="87"/>
      <c r="F1302" s="63">
        <f>SUM(D1302:E1302)</f>
        <v>18360</v>
      </c>
      <c r="G1302" s="87">
        <v>24120</v>
      </c>
      <c r="H1302" s="87"/>
      <c r="I1302" s="38">
        <f t="shared" si="611"/>
        <v>24120</v>
      </c>
      <c r="J1302" s="63">
        <v>7040</v>
      </c>
      <c r="K1302" s="87"/>
      <c r="L1302" s="63">
        <f>SUM(J1302:K1302)</f>
        <v>7040</v>
      </c>
      <c r="M1302" s="218">
        <f t="shared" si="606"/>
        <v>38.344226579520694</v>
      </c>
      <c r="N1302" s="218">
        <f t="shared" si="607"/>
        <v>38.344226579520694</v>
      </c>
      <c r="O1302" s="218">
        <f t="shared" si="608"/>
        <v>29.187396351575458</v>
      </c>
      <c r="P1302" s="218">
        <f t="shared" si="609"/>
        <v>29.187396351575458</v>
      </c>
    </row>
    <row r="1303" spans="1:16" s="11" customFormat="1" ht="24">
      <c r="A1303" s="36" t="s">
        <v>764</v>
      </c>
      <c r="B1303" s="33" t="s">
        <v>765</v>
      </c>
      <c r="C1303" s="211" t="s">
        <v>1597</v>
      </c>
      <c r="D1303" s="87">
        <v>32980</v>
      </c>
      <c r="E1303" s="87"/>
      <c r="F1303" s="63">
        <f t="shared" ref="F1303:F1304" si="613">SUM(D1303:E1303)</f>
        <v>32980</v>
      </c>
      <c r="G1303" s="87">
        <v>33860</v>
      </c>
      <c r="H1303" s="87"/>
      <c r="I1303" s="38">
        <f t="shared" si="611"/>
        <v>33860</v>
      </c>
      <c r="J1303" s="63">
        <v>24620</v>
      </c>
      <c r="K1303" s="87"/>
      <c r="L1303" s="63">
        <f t="shared" si="612"/>
        <v>24620</v>
      </c>
      <c r="M1303" s="218">
        <f t="shared" si="606"/>
        <v>74.651303820497276</v>
      </c>
      <c r="N1303" s="218">
        <f t="shared" si="607"/>
        <v>74.651303820497276</v>
      </c>
      <c r="O1303" s="218">
        <f t="shared" si="608"/>
        <v>72.711163614884825</v>
      </c>
      <c r="P1303" s="218">
        <f t="shared" si="609"/>
        <v>72.711163614884825</v>
      </c>
    </row>
    <row r="1304" spans="1:16" s="11" customFormat="1" ht="12.75" customHeight="1">
      <c r="A1304" s="36" t="s">
        <v>772</v>
      </c>
      <c r="B1304" s="33" t="s">
        <v>766</v>
      </c>
      <c r="C1304" s="211" t="s">
        <v>1598</v>
      </c>
      <c r="D1304" s="87">
        <v>2210</v>
      </c>
      <c r="E1304" s="87"/>
      <c r="F1304" s="63">
        <f t="shared" si="613"/>
        <v>2210</v>
      </c>
      <c r="G1304" s="87">
        <v>2830</v>
      </c>
      <c r="H1304" s="87"/>
      <c r="I1304" s="38">
        <f t="shared" si="611"/>
        <v>2830</v>
      </c>
      <c r="J1304" s="63">
        <v>1200</v>
      </c>
      <c r="K1304" s="87"/>
      <c r="L1304" s="63">
        <f t="shared" ref="L1304:L1308" si="614">SUM(J1304:K1304)</f>
        <v>1200</v>
      </c>
      <c r="M1304" s="218">
        <f t="shared" si="606"/>
        <v>54.298642533936651</v>
      </c>
      <c r="N1304" s="218">
        <f t="shared" si="607"/>
        <v>54.298642533936651</v>
      </c>
      <c r="O1304" s="218">
        <f t="shared" si="608"/>
        <v>42.402826855123678</v>
      </c>
      <c r="P1304" s="218">
        <f t="shared" si="609"/>
        <v>42.402826855123678</v>
      </c>
    </row>
    <row r="1305" spans="1:16" s="3" customFormat="1" ht="12.75" customHeight="1">
      <c r="A1305" s="36" t="s">
        <v>375</v>
      </c>
      <c r="B1305" s="33" t="s">
        <v>150</v>
      </c>
      <c r="C1305" s="211" t="s">
        <v>1600</v>
      </c>
      <c r="D1305" s="63">
        <v>8000</v>
      </c>
      <c r="E1305" s="63"/>
      <c r="F1305" s="63">
        <f>SUM(D1305:E1305)</f>
        <v>8000</v>
      </c>
      <c r="G1305" s="38">
        <v>183000</v>
      </c>
      <c r="H1305" s="38"/>
      <c r="I1305" s="38">
        <f>SUM(G1305:H1305)</f>
        <v>183000</v>
      </c>
      <c r="J1305" s="63">
        <v>9000</v>
      </c>
      <c r="K1305" s="63"/>
      <c r="L1305" s="63">
        <f>SUM(J1305:K1305)</f>
        <v>9000</v>
      </c>
      <c r="M1305" s="218">
        <f t="shared" si="606"/>
        <v>112.5</v>
      </c>
      <c r="N1305" s="218">
        <f t="shared" si="607"/>
        <v>112.5</v>
      </c>
      <c r="O1305" s="218">
        <f t="shared" si="608"/>
        <v>4.918032786885246</v>
      </c>
      <c r="P1305" s="218">
        <f>IF(I1305&gt;0,IF(L1305&gt;=0,L1305/I1305*100,""),"")</f>
        <v>4.918032786885246</v>
      </c>
    </row>
    <row r="1306" spans="1:16" s="11" customFormat="1" ht="12.75" customHeight="1">
      <c r="A1306" s="36" t="s">
        <v>368</v>
      </c>
      <c r="B1306" s="211" t="s">
        <v>418</v>
      </c>
      <c r="C1306" s="211" t="s">
        <v>1601</v>
      </c>
      <c r="D1306" s="87"/>
      <c r="E1306" s="87"/>
      <c r="F1306" s="63"/>
      <c r="G1306" s="87">
        <v>75120</v>
      </c>
      <c r="H1306" s="87"/>
      <c r="I1306" s="38">
        <f>SUM(G1306:H1306)</f>
        <v>75120</v>
      </c>
      <c r="J1306" s="63"/>
      <c r="K1306" s="87"/>
      <c r="L1306" s="63">
        <f>SUM(J1306:K1306)</f>
        <v>0</v>
      </c>
      <c r="M1306" s="218" t="str">
        <f t="shared" si="606"/>
        <v/>
      </c>
      <c r="N1306" s="218" t="str">
        <f t="shared" si="607"/>
        <v/>
      </c>
      <c r="O1306" s="218">
        <f t="shared" si="608"/>
        <v>0</v>
      </c>
      <c r="P1306" s="218">
        <f>IF(I1306&gt;0,IF(L1306&gt;=0,L1306/I1306*100,""),"")</f>
        <v>0</v>
      </c>
    </row>
    <row r="1307" spans="1:16" s="11" customFormat="1" ht="12.75" customHeight="1">
      <c r="A1307" s="36" t="s">
        <v>885</v>
      </c>
      <c r="B1307" s="211" t="s">
        <v>144</v>
      </c>
      <c r="C1307" s="211" t="s">
        <v>1599</v>
      </c>
      <c r="D1307" s="87">
        <v>226500</v>
      </c>
      <c r="E1307" s="87"/>
      <c r="F1307" s="63">
        <f>SUM(D1307:E1307)</f>
        <v>226500</v>
      </c>
      <c r="G1307" s="87">
        <v>229300</v>
      </c>
      <c r="H1307" s="87"/>
      <c r="I1307" s="38">
        <f t="shared" si="611"/>
        <v>229300</v>
      </c>
      <c r="J1307" s="63"/>
      <c r="K1307" s="87"/>
      <c r="L1307" s="63">
        <f>SUM(J1307:K1307)</f>
        <v>0</v>
      </c>
      <c r="M1307" s="218">
        <f t="shared" si="606"/>
        <v>0</v>
      </c>
      <c r="N1307" s="218">
        <f t="shared" si="607"/>
        <v>0</v>
      </c>
      <c r="O1307" s="218">
        <f t="shared" si="608"/>
        <v>0</v>
      </c>
      <c r="P1307" s="218">
        <f t="shared" si="609"/>
        <v>0</v>
      </c>
    </row>
    <row r="1308" spans="1:16" s="3" customFormat="1" hidden="1">
      <c r="A1308" s="36" t="s">
        <v>791</v>
      </c>
      <c r="B1308" s="33" t="s">
        <v>151</v>
      </c>
      <c r="C1308" s="211" t="s">
        <v>1602</v>
      </c>
      <c r="D1308" s="63"/>
      <c r="E1308" s="63"/>
      <c r="F1308" s="63"/>
      <c r="G1308" s="38"/>
      <c r="H1308" s="38"/>
      <c r="I1308" s="38"/>
      <c r="J1308" s="63"/>
      <c r="K1308" s="63"/>
      <c r="L1308" s="63">
        <f t="shared" si="614"/>
        <v>0</v>
      </c>
      <c r="M1308" s="218" t="str">
        <f t="shared" si="606"/>
        <v/>
      </c>
      <c r="N1308" s="218" t="str">
        <f t="shared" si="607"/>
        <v/>
      </c>
      <c r="O1308" s="218" t="str">
        <f t="shared" si="608"/>
        <v/>
      </c>
      <c r="P1308" s="218" t="str">
        <f t="shared" si="609"/>
        <v/>
      </c>
    </row>
    <row r="1309" spans="1:16" s="3" customFormat="1" ht="6" customHeight="1">
      <c r="A1309" s="36"/>
      <c r="B1309" s="33"/>
      <c r="C1309" s="211" t="s">
        <v>268</v>
      </c>
      <c r="D1309" s="63"/>
      <c r="E1309" s="63"/>
      <c r="F1309" s="63"/>
      <c r="G1309" s="38"/>
      <c r="H1309" s="38"/>
      <c r="I1309" s="38"/>
      <c r="J1309" s="63"/>
      <c r="K1309" s="63"/>
      <c r="L1309" s="63"/>
      <c r="M1309" s="218" t="str">
        <f t="shared" si="606"/>
        <v/>
      </c>
      <c r="N1309" s="218" t="str">
        <f t="shared" si="607"/>
        <v/>
      </c>
      <c r="O1309" s="218" t="str">
        <f t="shared" si="608"/>
        <v/>
      </c>
      <c r="P1309" s="218" t="str">
        <f t="shared" si="609"/>
        <v/>
      </c>
    </row>
    <row r="1310" spans="1:16" s="11" customFormat="1" ht="12.75">
      <c r="A1310" s="58" t="s">
        <v>391</v>
      </c>
      <c r="B1310" s="65" t="s">
        <v>265</v>
      </c>
      <c r="C1310" s="308" t="s">
        <v>940</v>
      </c>
      <c r="D1310" s="42">
        <f>SUM(D1312:D1320)</f>
        <v>13863050</v>
      </c>
      <c r="E1310" s="42">
        <f>SUM(E1312:E1320)</f>
        <v>0</v>
      </c>
      <c r="F1310" s="42">
        <f t="shared" ref="F1310:F1312" si="615">SUM(D1310:E1310)</f>
        <v>13863050</v>
      </c>
      <c r="G1310" s="55">
        <f>SUM(G1312:G1321)</f>
        <v>15365065</v>
      </c>
      <c r="H1310" s="55">
        <f>SUM(H1312:H1320)</f>
        <v>0</v>
      </c>
      <c r="I1310" s="55">
        <f t="shared" ref="I1310:I1344" si="616">SUM(G1310:H1310)</f>
        <v>15365065</v>
      </c>
      <c r="J1310" s="42">
        <f>SUM(J1312:J1321)</f>
        <v>15139240</v>
      </c>
      <c r="K1310" s="42">
        <f>SUM(K1312:K1320)</f>
        <v>0</v>
      </c>
      <c r="L1310" s="42">
        <f t="shared" ref="L1310:L1311" si="617">SUM(J1310:K1310)</f>
        <v>15139240</v>
      </c>
      <c r="M1310" s="225">
        <f t="shared" si="606"/>
        <v>109.20569427362665</v>
      </c>
      <c r="N1310" s="225">
        <f t="shared" si="607"/>
        <v>109.20569427362665</v>
      </c>
      <c r="O1310" s="225">
        <f t="shared" si="608"/>
        <v>98.530269803609684</v>
      </c>
      <c r="P1310" s="225">
        <f t="shared" si="609"/>
        <v>98.530269803609684</v>
      </c>
    </row>
    <row r="1311" spans="1:16" s="11" customFormat="1" ht="12.75" customHeight="1">
      <c r="A1311" s="367" t="s">
        <v>267</v>
      </c>
      <c r="B1311" s="177"/>
      <c r="C1311" s="327" t="s">
        <v>268</v>
      </c>
      <c r="D1311" s="370">
        <f>SUM(D1312:D1320)</f>
        <v>13863050</v>
      </c>
      <c r="E1311" s="375"/>
      <c r="F1311" s="368">
        <f t="shared" si="615"/>
        <v>13863050</v>
      </c>
      <c r="G1311" s="370">
        <f>SUM(G1312:G1320)</f>
        <v>15265065</v>
      </c>
      <c r="H1311" s="376"/>
      <c r="I1311" s="370">
        <f t="shared" si="616"/>
        <v>15265065</v>
      </c>
      <c r="J1311" s="370">
        <f>SUM(J1312:J1320)</f>
        <v>15139240</v>
      </c>
      <c r="K1311" s="375"/>
      <c r="L1311" s="368">
        <f t="shared" si="617"/>
        <v>15139240</v>
      </c>
      <c r="M1311" s="377">
        <f t="shared" si="606"/>
        <v>109.20569427362665</v>
      </c>
      <c r="N1311" s="377">
        <f t="shared" si="607"/>
        <v>109.20569427362665</v>
      </c>
      <c r="O1311" s="377">
        <f t="shared" si="608"/>
        <v>99.175732301172644</v>
      </c>
      <c r="P1311" s="377">
        <f t="shared" si="609"/>
        <v>99.175732301172644</v>
      </c>
    </row>
    <row r="1312" spans="1:16" s="11" customFormat="1" ht="12.75" customHeight="1">
      <c r="A1312" s="80" t="s">
        <v>180</v>
      </c>
      <c r="B1312" s="79" t="s">
        <v>419</v>
      </c>
      <c r="C1312" s="302" t="s">
        <v>1603</v>
      </c>
      <c r="D1312" s="116">
        <v>13732870</v>
      </c>
      <c r="E1312" s="116"/>
      <c r="F1312" s="76">
        <f t="shared" si="615"/>
        <v>13732870</v>
      </c>
      <c r="G1312" s="116">
        <v>14582675</v>
      </c>
      <c r="H1312" s="116"/>
      <c r="I1312" s="116">
        <f t="shared" si="616"/>
        <v>14582675</v>
      </c>
      <c r="J1312" s="76">
        <v>15056450</v>
      </c>
      <c r="K1312" s="116"/>
      <c r="L1312" s="76">
        <f t="shared" ref="L1312" si="618">SUM(J1312:K1312)</f>
        <v>15056450</v>
      </c>
      <c r="M1312" s="226">
        <f t="shared" si="606"/>
        <v>109.63804361360737</v>
      </c>
      <c r="N1312" s="226">
        <f t="shared" si="607"/>
        <v>109.63804361360737</v>
      </c>
      <c r="O1312" s="226">
        <f t="shared" si="608"/>
        <v>103.24888952129838</v>
      </c>
      <c r="P1312" s="226">
        <f t="shared" si="609"/>
        <v>103.24888952129838</v>
      </c>
    </row>
    <row r="1313" spans="1:16" s="11" customFormat="1" ht="12.75" customHeight="1">
      <c r="A1313" s="36" t="s">
        <v>760</v>
      </c>
      <c r="B1313" s="33" t="s">
        <v>761</v>
      </c>
      <c r="C1313" s="211" t="s">
        <v>1605</v>
      </c>
      <c r="D1313" s="38">
        <v>113970</v>
      </c>
      <c r="E1313" s="38"/>
      <c r="F1313" s="63">
        <f>SUM(D1313:E1313)</f>
        <v>113970</v>
      </c>
      <c r="G1313" s="38">
        <v>145170</v>
      </c>
      <c r="H1313" s="38"/>
      <c r="I1313" s="38">
        <f>SUM(G1313:H1313)</f>
        <v>145170</v>
      </c>
      <c r="J1313" s="63">
        <v>61680</v>
      </c>
      <c r="K1313" s="38"/>
      <c r="L1313" s="63">
        <f t="shared" ref="L1313:L1318" si="619">SUM(J1313:K1313)</f>
        <v>61680</v>
      </c>
      <c r="M1313" s="218">
        <f t="shared" si="606"/>
        <v>54.119505132929724</v>
      </c>
      <c r="N1313" s="218">
        <f t="shared" si="607"/>
        <v>54.119505132929724</v>
      </c>
      <c r="O1313" s="218">
        <f t="shared" si="608"/>
        <v>42.488117379623894</v>
      </c>
      <c r="P1313" s="218">
        <f>IF(I1313&gt;0,IF(L1313&gt;=0,L1313/I1313*100,""),"")</f>
        <v>42.488117379623894</v>
      </c>
    </row>
    <row r="1314" spans="1:16" s="11" customFormat="1" ht="12.75" customHeight="1">
      <c r="A1314" s="36" t="s">
        <v>772</v>
      </c>
      <c r="B1314" s="33" t="s">
        <v>766</v>
      </c>
      <c r="C1314" s="211" t="s">
        <v>1606</v>
      </c>
      <c r="D1314" s="38">
        <v>2110</v>
      </c>
      <c r="E1314" s="38"/>
      <c r="F1314" s="63">
        <f>SUM(D1314:E1314)</f>
        <v>2110</v>
      </c>
      <c r="G1314" s="38">
        <v>3770</v>
      </c>
      <c r="H1314" s="38"/>
      <c r="I1314" s="38">
        <f>SUM(G1314:H1314)</f>
        <v>3770</v>
      </c>
      <c r="J1314" s="63">
        <v>2110</v>
      </c>
      <c r="K1314" s="38"/>
      <c r="L1314" s="63">
        <f t="shared" si="619"/>
        <v>2110</v>
      </c>
      <c r="M1314" s="218">
        <f t="shared" si="606"/>
        <v>100</v>
      </c>
      <c r="N1314" s="218">
        <f t="shared" si="607"/>
        <v>100</v>
      </c>
      <c r="O1314" s="218">
        <f t="shared" si="608"/>
        <v>55.968169761273209</v>
      </c>
      <c r="P1314" s="218">
        <f>IF(I1314&gt;0,IF(L1314&gt;=0,L1314/I1314*100,""),"")</f>
        <v>55.968169761273209</v>
      </c>
    </row>
    <row r="1315" spans="1:16" s="11" customFormat="1" ht="12.75" customHeight="1">
      <c r="A1315" s="36" t="s">
        <v>2073</v>
      </c>
      <c r="B1315" s="33" t="s">
        <v>624</v>
      </c>
      <c r="C1315" s="211" t="s">
        <v>2184</v>
      </c>
      <c r="D1315" s="38"/>
      <c r="E1315" s="38"/>
      <c r="F1315" s="63"/>
      <c r="G1315" s="38">
        <v>5000</v>
      </c>
      <c r="H1315" s="38"/>
      <c r="I1315" s="38">
        <f>SUM(G1315:H1315)</f>
        <v>5000</v>
      </c>
      <c r="J1315" s="63">
        <v>6000</v>
      </c>
      <c r="K1315" s="38"/>
      <c r="L1315" s="63">
        <f t="shared" si="619"/>
        <v>6000</v>
      </c>
      <c r="M1315" s="218" t="str">
        <f t="shared" si="606"/>
        <v/>
      </c>
      <c r="N1315" s="218" t="str">
        <f t="shared" si="607"/>
        <v/>
      </c>
      <c r="O1315" s="218">
        <f t="shared" si="608"/>
        <v>120</v>
      </c>
      <c r="P1315" s="218"/>
    </row>
    <row r="1316" spans="1:16" s="3" customFormat="1" ht="12.75" customHeight="1">
      <c r="A1316" s="36" t="s">
        <v>375</v>
      </c>
      <c r="B1316" s="33" t="s">
        <v>150</v>
      </c>
      <c r="C1316" s="211" t="s">
        <v>1607</v>
      </c>
      <c r="D1316" s="63">
        <v>12000</v>
      </c>
      <c r="E1316" s="63"/>
      <c r="F1316" s="63">
        <f>SUM(D1316:E1316)</f>
        <v>12000</v>
      </c>
      <c r="G1316" s="38">
        <v>351300</v>
      </c>
      <c r="H1316" s="38"/>
      <c r="I1316" s="38">
        <f>SUM(G1316:H1316)</f>
        <v>351300</v>
      </c>
      <c r="J1316" s="63">
        <v>13000</v>
      </c>
      <c r="K1316" s="63"/>
      <c r="L1316" s="63">
        <f t="shared" si="619"/>
        <v>13000</v>
      </c>
      <c r="M1316" s="218">
        <f t="shared" si="606"/>
        <v>108.33333333333333</v>
      </c>
      <c r="N1316" s="218">
        <f t="shared" si="607"/>
        <v>108.33333333333333</v>
      </c>
      <c r="O1316" s="218">
        <f t="shared" si="608"/>
        <v>3.700540848277825</v>
      </c>
      <c r="P1316" s="218">
        <f>IF(I1316&gt;0,IF(L1316&gt;=0,L1316/I1316*100,""),"")</f>
        <v>3.700540848277825</v>
      </c>
    </row>
    <row r="1317" spans="1:16" s="11" customFormat="1" ht="12.75" customHeight="1">
      <c r="A1317" s="36" t="s">
        <v>368</v>
      </c>
      <c r="B1317" s="211" t="s">
        <v>418</v>
      </c>
      <c r="C1317" s="211" t="s">
        <v>1608</v>
      </c>
      <c r="D1317" s="38"/>
      <c r="E1317" s="38"/>
      <c r="F1317" s="63"/>
      <c r="G1317" s="38">
        <v>140000</v>
      </c>
      <c r="H1317" s="38"/>
      <c r="I1317" s="38">
        <f t="shared" si="616"/>
        <v>140000</v>
      </c>
      <c r="J1317" s="63"/>
      <c r="K1317" s="38"/>
      <c r="L1317" s="63">
        <f t="shared" si="619"/>
        <v>0</v>
      </c>
      <c r="M1317" s="218" t="str">
        <f t="shared" si="606"/>
        <v/>
      </c>
      <c r="N1317" s="218" t="str">
        <f t="shared" si="607"/>
        <v/>
      </c>
      <c r="O1317" s="218">
        <f t="shared" si="608"/>
        <v>0</v>
      </c>
      <c r="P1317" s="218">
        <f t="shared" si="609"/>
        <v>0</v>
      </c>
    </row>
    <row r="1318" spans="1:16" s="11" customFormat="1" ht="12.75" customHeight="1">
      <c r="A1318" s="36" t="s">
        <v>839</v>
      </c>
      <c r="B1318" s="211" t="s">
        <v>698</v>
      </c>
      <c r="C1318" s="211" t="s">
        <v>1604</v>
      </c>
      <c r="D1318" s="38">
        <v>2100</v>
      </c>
      <c r="E1318" s="38"/>
      <c r="F1318" s="63">
        <f>SUM(D1318:E1318)</f>
        <v>2100</v>
      </c>
      <c r="G1318" s="38">
        <v>3150</v>
      </c>
      <c r="H1318" s="38"/>
      <c r="I1318" s="38">
        <f t="shared" si="616"/>
        <v>3150</v>
      </c>
      <c r="J1318" s="63"/>
      <c r="K1318" s="38"/>
      <c r="L1318" s="63">
        <f t="shared" si="619"/>
        <v>0</v>
      </c>
      <c r="M1318" s="218">
        <f t="shared" si="606"/>
        <v>0</v>
      </c>
      <c r="N1318" s="218">
        <f t="shared" si="607"/>
        <v>0</v>
      </c>
      <c r="O1318" s="218">
        <f t="shared" si="608"/>
        <v>0</v>
      </c>
      <c r="P1318" s="218">
        <f t="shared" si="609"/>
        <v>0</v>
      </c>
    </row>
    <row r="1319" spans="1:16" s="11" customFormat="1" ht="12.75" customHeight="1">
      <c r="A1319" s="36" t="s">
        <v>2347</v>
      </c>
      <c r="B1319" s="211" t="s">
        <v>2346</v>
      </c>
      <c r="C1319" s="211" t="s">
        <v>2266</v>
      </c>
      <c r="D1319" s="38"/>
      <c r="E1319" s="38"/>
      <c r="F1319" s="63"/>
      <c r="G1319" s="38">
        <v>9000</v>
      </c>
      <c r="H1319" s="38"/>
      <c r="I1319" s="38">
        <f t="shared" si="616"/>
        <v>9000</v>
      </c>
      <c r="J1319" s="63"/>
      <c r="K1319" s="38"/>
      <c r="L1319" s="63">
        <f t="shared" ref="L1319:L1320" si="620">SUM(J1319:K1319)</f>
        <v>0</v>
      </c>
      <c r="M1319" s="218" t="str">
        <f t="shared" si="606"/>
        <v/>
      </c>
      <c r="N1319" s="218" t="str">
        <f t="shared" si="607"/>
        <v/>
      </c>
      <c r="O1319" s="218">
        <f t="shared" si="608"/>
        <v>0</v>
      </c>
      <c r="P1319" s="218"/>
    </row>
    <row r="1320" spans="1:16" s="11" customFormat="1" ht="12.75" customHeight="1">
      <c r="A1320" s="36" t="s">
        <v>651</v>
      </c>
      <c r="B1320" s="211" t="s">
        <v>650</v>
      </c>
      <c r="C1320" s="211" t="s">
        <v>1609</v>
      </c>
      <c r="D1320" s="38"/>
      <c r="E1320" s="38"/>
      <c r="F1320" s="63"/>
      <c r="G1320" s="38">
        <v>25000</v>
      </c>
      <c r="H1320" s="38"/>
      <c r="I1320" s="38">
        <f t="shared" si="616"/>
        <v>25000</v>
      </c>
      <c r="J1320" s="63"/>
      <c r="K1320" s="38"/>
      <c r="L1320" s="63">
        <f t="shared" si="620"/>
        <v>0</v>
      </c>
      <c r="M1320" s="218" t="str">
        <f t="shared" si="606"/>
        <v/>
      </c>
      <c r="N1320" s="218" t="str">
        <f t="shared" si="607"/>
        <v/>
      </c>
      <c r="O1320" s="218">
        <f t="shared" si="608"/>
        <v>0</v>
      </c>
      <c r="P1320" s="218">
        <f>IF(I1320&gt;0,IF(L1320&gt;=0,L1320/I1320*100,""),"")</f>
        <v>0</v>
      </c>
    </row>
    <row r="1321" spans="1:16" s="3" customFormat="1" ht="12.75" customHeight="1">
      <c r="A1321" s="36" t="s">
        <v>791</v>
      </c>
      <c r="B1321" s="211" t="s">
        <v>151</v>
      </c>
      <c r="C1321" s="211" t="s">
        <v>2265</v>
      </c>
      <c r="D1321" s="63"/>
      <c r="E1321" s="63"/>
      <c r="F1321" s="63"/>
      <c r="G1321" s="38">
        <v>100000</v>
      </c>
      <c r="H1321" s="38"/>
      <c r="I1321" s="38">
        <f t="shared" si="616"/>
        <v>100000</v>
      </c>
      <c r="J1321" s="63"/>
      <c r="K1321" s="63"/>
      <c r="L1321" s="63"/>
      <c r="M1321" s="218" t="str">
        <f t="shared" si="606"/>
        <v/>
      </c>
      <c r="N1321" s="218" t="str">
        <f t="shared" si="607"/>
        <v/>
      </c>
      <c r="O1321" s="218">
        <f t="shared" si="608"/>
        <v>0</v>
      </c>
      <c r="P1321" s="218"/>
    </row>
    <row r="1322" spans="1:16" s="3" customFormat="1" ht="6" customHeight="1">
      <c r="A1322" s="93"/>
      <c r="B1322" s="33"/>
      <c r="C1322" s="211" t="s">
        <v>268</v>
      </c>
      <c r="D1322" s="63"/>
      <c r="E1322" s="63"/>
      <c r="F1322" s="63">
        <f t="shared" ref="F1322:F1325" si="621">SUM(D1322:E1322)</f>
        <v>0</v>
      </c>
      <c r="G1322" s="38"/>
      <c r="H1322" s="38"/>
      <c r="I1322" s="38">
        <f t="shared" si="616"/>
        <v>0</v>
      </c>
      <c r="J1322" s="63"/>
      <c r="K1322" s="63"/>
      <c r="L1322" s="63">
        <f t="shared" ref="L1322:L1323" si="622">SUM(J1322:K1322)</f>
        <v>0</v>
      </c>
      <c r="M1322" s="218" t="str">
        <f t="shared" si="606"/>
        <v/>
      </c>
      <c r="N1322" s="218" t="str">
        <f t="shared" si="607"/>
        <v/>
      </c>
      <c r="O1322" s="218" t="str">
        <f t="shared" si="608"/>
        <v/>
      </c>
      <c r="P1322" s="218" t="str">
        <f t="shared" ref="P1322:P1325" si="623">IF(I1322&gt;0,IF(L1322&gt;=0,L1322/I1322*100,""),"")</f>
        <v/>
      </c>
    </row>
    <row r="1323" spans="1:16" s="11" customFormat="1" ht="12.75">
      <c r="A1323" s="58" t="s">
        <v>428</v>
      </c>
      <c r="B1323" s="65" t="s">
        <v>265</v>
      </c>
      <c r="C1323" s="308" t="s">
        <v>940</v>
      </c>
      <c r="D1323" s="42">
        <f>SUM(D1325:D1335)</f>
        <v>7170820</v>
      </c>
      <c r="E1323" s="42">
        <f>SUM(E1325:E1335)</f>
        <v>0</v>
      </c>
      <c r="F1323" s="42">
        <f t="shared" si="621"/>
        <v>7170820</v>
      </c>
      <c r="G1323" s="55">
        <f>SUM(G1325:G1335)</f>
        <v>7849680</v>
      </c>
      <c r="H1323" s="55">
        <f>SUM(H1325:H1335)</f>
        <v>0</v>
      </c>
      <c r="I1323" s="55">
        <f t="shared" si="616"/>
        <v>7849680</v>
      </c>
      <c r="J1323" s="42">
        <f>SUM(J1325:J1335)</f>
        <v>8275030</v>
      </c>
      <c r="K1323" s="42">
        <f>SUM(K1325:K1335)</f>
        <v>0</v>
      </c>
      <c r="L1323" s="42">
        <f t="shared" si="622"/>
        <v>8275030</v>
      </c>
      <c r="M1323" s="225">
        <f t="shared" si="606"/>
        <v>115.39865733626</v>
      </c>
      <c r="N1323" s="225">
        <f t="shared" si="607"/>
        <v>115.39865733626</v>
      </c>
      <c r="O1323" s="225">
        <f t="shared" si="608"/>
        <v>105.41869222694429</v>
      </c>
      <c r="P1323" s="225">
        <f t="shared" si="623"/>
        <v>105.41869222694429</v>
      </c>
    </row>
    <row r="1324" spans="1:16" s="11" customFormat="1" hidden="1">
      <c r="A1324" s="80" t="s">
        <v>267</v>
      </c>
      <c r="B1324" s="184"/>
      <c r="C1324" s="320" t="s">
        <v>268</v>
      </c>
      <c r="D1324" s="38">
        <f>SUM(D1325:D1335)</f>
        <v>7170820</v>
      </c>
      <c r="E1324" s="77"/>
      <c r="F1324" s="48">
        <f t="shared" si="621"/>
        <v>7170820</v>
      </c>
      <c r="G1324" s="38">
        <f>SUM(G1325:G1335)</f>
        <v>7849680</v>
      </c>
      <c r="H1324" s="109"/>
      <c r="I1324" s="85">
        <f t="shared" si="616"/>
        <v>7849680</v>
      </c>
      <c r="J1324" s="48">
        <f>SUM(J1325:J1335)</f>
        <v>8275030</v>
      </c>
      <c r="K1324" s="77"/>
      <c r="L1324" s="48">
        <f t="shared" ref="L1324" si="624">SUM(J1324:K1324)</f>
        <v>8275030</v>
      </c>
      <c r="M1324" s="219">
        <f t="shared" si="606"/>
        <v>115.39865733626</v>
      </c>
      <c r="N1324" s="219">
        <f t="shared" si="607"/>
        <v>115.39865733626</v>
      </c>
      <c r="O1324" s="219">
        <f t="shared" si="608"/>
        <v>105.41869222694429</v>
      </c>
      <c r="P1324" s="219">
        <f t="shared" si="623"/>
        <v>105.41869222694429</v>
      </c>
    </row>
    <row r="1325" spans="1:16" s="11" customFormat="1" ht="12.75" customHeight="1">
      <c r="A1325" s="36" t="s">
        <v>180</v>
      </c>
      <c r="B1325" s="33" t="s">
        <v>419</v>
      </c>
      <c r="C1325" s="211" t="s">
        <v>1610</v>
      </c>
      <c r="D1325" s="38">
        <v>7023250</v>
      </c>
      <c r="E1325" s="77"/>
      <c r="F1325" s="48">
        <f t="shared" si="621"/>
        <v>7023250</v>
      </c>
      <c r="G1325" s="38">
        <v>7311080</v>
      </c>
      <c r="H1325" s="109"/>
      <c r="I1325" s="85">
        <f t="shared" si="616"/>
        <v>7311080</v>
      </c>
      <c r="J1325" s="63">
        <v>8216730</v>
      </c>
      <c r="K1325" s="77"/>
      <c r="L1325" s="48">
        <f t="shared" ref="L1325" si="625">SUM(J1325:K1325)</f>
        <v>8216730</v>
      </c>
      <c r="M1325" s="219">
        <f t="shared" si="606"/>
        <v>116.99327234542413</v>
      </c>
      <c r="N1325" s="219">
        <f t="shared" si="607"/>
        <v>116.99327234542413</v>
      </c>
      <c r="O1325" s="219">
        <f t="shared" si="608"/>
        <v>112.38736274257701</v>
      </c>
      <c r="P1325" s="219">
        <f t="shared" si="623"/>
        <v>112.38736274257701</v>
      </c>
    </row>
    <row r="1326" spans="1:16" s="3" customFormat="1" ht="12.75" customHeight="1">
      <c r="A1326" s="36" t="s">
        <v>772</v>
      </c>
      <c r="B1326" s="33" t="s">
        <v>766</v>
      </c>
      <c r="C1326" s="211" t="s">
        <v>1613</v>
      </c>
      <c r="D1326" s="63">
        <v>2460</v>
      </c>
      <c r="E1326" s="63"/>
      <c r="F1326" s="48">
        <f>SUM(D1326:E1326)</f>
        <v>2460</v>
      </c>
      <c r="G1326" s="38">
        <v>2460</v>
      </c>
      <c r="H1326" s="38"/>
      <c r="I1326" s="85">
        <f>SUM(G1326:H1326)</f>
        <v>2460</v>
      </c>
      <c r="J1326" s="63">
        <v>1000</v>
      </c>
      <c r="K1326" s="63"/>
      <c r="L1326" s="48">
        <f>SUM(J1326:K1326)</f>
        <v>1000</v>
      </c>
      <c r="M1326" s="219">
        <f t="shared" si="606"/>
        <v>40.650406504065039</v>
      </c>
      <c r="N1326" s="219">
        <f t="shared" si="607"/>
        <v>40.650406504065039</v>
      </c>
      <c r="O1326" s="219">
        <f t="shared" si="608"/>
        <v>40.650406504065039</v>
      </c>
      <c r="P1326" s="219">
        <f>IF(I1326&gt;0,IF(L1326&gt;=0,L1326/I1326*100,""),"")</f>
        <v>40.650406504065039</v>
      </c>
    </row>
    <row r="1327" spans="1:16" s="3" customFormat="1" ht="12.75" customHeight="1">
      <c r="A1327" s="36" t="s">
        <v>762</v>
      </c>
      <c r="B1327" s="33" t="s">
        <v>763</v>
      </c>
      <c r="C1327" s="211" t="s">
        <v>1612</v>
      </c>
      <c r="D1327" s="63">
        <v>41010</v>
      </c>
      <c r="E1327" s="63"/>
      <c r="F1327" s="48">
        <f>SUM(D1327:E1327)</f>
        <v>41010</v>
      </c>
      <c r="G1327" s="38">
        <v>51010</v>
      </c>
      <c r="H1327" s="38"/>
      <c r="I1327" s="85">
        <f>SUM(G1327:H1327)</f>
        <v>51010</v>
      </c>
      <c r="J1327" s="63">
        <v>30200</v>
      </c>
      <c r="K1327" s="63"/>
      <c r="L1327" s="48">
        <f>SUM(J1327:K1327)</f>
        <v>30200</v>
      </c>
      <c r="M1327" s="219">
        <f t="shared" si="606"/>
        <v>73.640575469397703</v>
      </c>
      <c r="N1327" s="219">
        <f t="shared" si="607"/>
        <v>73.640575469397703</v>
      </c>
      <c r="O1327" s="219">
        <f t="shared" si="608"/>
        <v>59.204077631836896</v>
      </c>
      <c r="P1327" s="219">
        <f>IF(I1327&gt;0,IF(L1327&gt;=0,L1327/I1327*100,""),"")</f>
        <v>59.204077631836896</v>
      </c>
    </row>
    <row r="1328" spans="1:16" s="11" customFormat="1" ht="12.75" customHeight="1">
      <c r="A1328" s="36" t="s">
        <v>2073</v>
      </c>
      <c r="B1328" s="33" t="s">
        <v>624</v>
      </c>
      <c r="C1328" s="211" t="s">
        <v>2185</v>
      </c>
      <c r="D1328" s="38"/>
      <c r="E1328" s="38"/>
      <c r="F1328" s="63"/>
      <c r="G1328" s="38">
        <v>10000</v>
      </c>
      <c r="H1328" s="38"/>
      <c r="I1328" s="38">
        <f>SUM(G1328:H1328)</f>
        <v>10000</v>
      </c>
      <c r="J1328" s="63">
        <v>12000</v>
      </c>
      <c r="K1328" s="38"/>
      <c r="L1328" s="48">
        <f>SUM(J1328:K1328)</f>
        <v>12000</v>
      </c>
      <c r="M1328" s="218" t="str">
        <f t="shared" si="606"/>
        <v/>
      </c>
      <c r="N1328" s="218" t="str">
        <f t="shared" si="607"/>
        <v/>
      </c>
      <c r="O1328" s="218">
        <f t="shared" si="608"/>
        <v>120</v>
      </c>
      <c r="P1328" s="218"/>
    </row>
    <row r="1329" spans="1:16" s="3" customFormat="1" ht="12.75" customHeight="1">
      <c r="A1329" s="36" t="s">
        <v>2482</v>
      </c>
      <c r="B1329" s="33" t="s">
        <v>2369</v>
      </c>
      <c r="C1329" s="211" t="s">
        <v>2437</v>
      </c>
      <c r="D1329" s="63"/>
      <c r="E1329" s="63"/>
      <c r="F1329" s="48"/>
      <c r="G1329" s="38"/>
      <c r="H1329" s="38"/>
      <c r="I1329" s="85"/>
      <c r="J1329" s="63">
        <v>2100</v>
      </c>
      <c r="K1329" s="63"/>
      <c r="L1329" s="48">
        <f t="shared" ref="L1329" si="626">SUM(J1329:K1329)</f>
        <v>2100</v>
      </c>
      <c r="M1329" s="219" t="str">
        <f t="shared" si="606"/>
        <v/>
      </c>
      <c r="N1329" s="219" t="str">
        <f t="shared" si="607"/>
        <v/>
      </c>
      <c r="O1329" s="219" t="str">
        <f t="shared" si="608"/>
        <v/>
      </c>
      <c r="P1329" s="219"/>
    </row>
    <row r="1330" spans="1:16" s="3" customFormat="1" ht="12.75" customHeight="1">
      <c r="A1330" s="36" t="s">
        <v>375</v>
      </c>
      <c r="B1330" s="33" t="s">
        <v>150</v>
      </c>
      <c r="C1330" s="211" t="s">
        <v>1615</v>
      </c>
      <c r="D1330" s="63">
        <v>12000</v>
      </c>
      <c r="E1330" s="63"/>
      <c r="F1330" s="63">
        <f>SUM(D1330:E1330)</f>
        <v>12000</v>
      </c>
      <c r="G1330" s="38">
        <v>225000</v>
      </c>
      <c r="H1330" s="38"/>
      <c r="I1330" s="38">
        <f>SUM(G1330:H1330)</f>
        <v>225000</v>
      </c>
      <c r="J1330" s="63">
        <v>13000</v>
      </c>
      <c r="K1330" s="63"/>
      <c r="L1330" s="63">
        <f>SUM(J1330:K1330)</f>
        <v>13000</v>
      </c>
      <c r="M1330" s="218">
        <f t="shared" si="606"/>
        <v>108.33333333333333</v>
      </c>
      <c r="N1330" s="218">
        <f t="shared" si="607"/>
        <v>108.33333333333333</v>
      </c>
      <c r="O1330" s="218">
        <f t="shared" si="608"/>
        <v>5.7777777777777777</v>
      </c>
      <c r="P1330" s="218">
        <f>IF(I1330&gt;0,IF(L1330&gt;=0,L1330/I1330*100,""),"")</f>
        <v>5.7777777777777777</v>
      </c>
    </row>
    <row r="1331" spans="1:16" s="3" customFormat="1" ht="12.75" customHeight="1">
      <c r="A1331" s="36" t="s">
        <v>368</v>
      </c>
      <c r="B1331" s="211" t="s">
        <v>418</v>
      </c>
      <c r="C1331" s="211" t="s">
        <v>1616</v>
      </c>
      <c r="D1331" s="63"/>
      <c r="E1331" s="63"/>
      <c r="F1331" s="48">
        <f>SUM(D1331:E1331)</f>
        <v>0</v>
      </c>
      <c r="G1331" s="38">
        <v>90000</v>
      </c>
      <c r="H1331" s="38"/>
      <c r="I1331" s="85">
        <f>SUM(G1331:H1331)</f>
        <v>90000</v>
      </c>
      <c r="J1331" s="63"/>
      <c r="K1331" s="63"/>
      <c r="L1331" s="48">
        <f>SUM(J1331:K1331)</f>
        <v>0</v>
      </c>
      <c r="M1331" s="219" t="str">
        <f t="shared" si="606"/>
        <v/>
      </c>
      <c r="N1331" s="219" t="str">
        <f t="shared" si="607"/>
        <v/>
      </c>
      <c r="O1331" s="219">
        <f t="shared" si="608"/>
        <v>0</v>
      </c>
      <c r="P1331" s="219">
        <f>IF(I1331&gt;0,IF(L1331&gt;=0,L1331/I1331*100,""),"")</f>
        <v>0</v>
      </c>
    </row>
    <row r="1332" spans="1:16" s="3" customFormat="1" ht="12.75" customHeight="1">
      <c r="A1332" s="36" t="s">
        <v>839</v>
      </c>
      <c r="B1332" s="211" t="s">
        <v>698</v>
      </c>
      <c r="C1332" s="211" t="s">
        <v>1611</v>
      </c>
      <c r="D1332" s="63">
        <v>2100</v>
      </c>
      <c r="E1332" s="63"/>
      <c r="F1332" s="48">
        <f>SUM(D1332:E1332)</f>
        <v>2100</v>
      </c>
      <c r="G1332" s="38">
        <v>3130</v>
      </c>
      <c r="H1332" s="38"/>
      <c r="I1332" s="85">
        <f>SUM(G1332:H1332)</f>
        <v>3130</v>
      </c>
      <c r="J1332" s="63"/>
      <c r="K1332" s="63"/>
      <c r="L1332" s="48">
        <f>SUM(J1332:K1332)</f>
        <v>0</v>
      </c>
      <c r="M1332" s="219">
        <f t="shared" si="606"/>
        <v>0</v>
      </c>
      <c r="N1332" s="219">
        <f t="shared" si="607"/>
        <v>0</v>
      </c>
      <c r="O1332" s="219">
        <f t="shared" si="608"/>
        <v>0</v>
      </c>
      <c r="P1332" s="219">
        <f>IF(I1332&gt;0,IF(L1332&gt;=0,L1332/I1332*100,""),"")</f>
        <v>0</v>
      </c>
    </row>
    <row r="1333" spans="1:16" s="3" customFormat="1" ht="12.75" customHeight="1">
      <c r="A1333" s="36" t="s">
        <v>358</v>
      </c>
      <c r="B1333" s="211" t="s">
        <v>417</v>
      </c>
      <c r="C1333" s="211" t="s">
        <v>2264</v>
      </c>
      <c r="D1333" s="63"/>
      <c r="E1333" s="63"/>
      <c r="F1333" s="48"/>
      <c r="G1333" s="38">
        <v>35000</v>
      </c>
      <c r="H1333" s="38"/>
      <c r="I1333" s="85">
        <f t="shared" si="616"/>
        <v>35000</v>
      </c>
      <c r="J1333" s="63"/>
      <c r="K1333" s="63"/>
      <c r="L1333" s="48"/>
      <c r="M1333" s="219" t="str">
        <f t="shared" si="606"/>
        <v/>
      </c>
      <c r="N1333" s="219" t="str">
        <f t="shared" si="607"/>
        <v/>
      </c>
      <c r="O1333" s="219">
        <f t="shared" si="608"/>
        <v>0</v>
      </c>
      <c r="P1333" s="219"/>
    </row>
    <row r="1334" spans="1:16" s="11" customFormat="1" ht="12.75" customHeight="1">
      <c r="A1334" s="36" t="s">
        <v>935</v>
      </c>
      <c r="B1334" s="211" t="s">
        <v>701</v>
      </c>
      <c r="C1334" s="211" t="s">
        <v>1614</v>
      </c>
      <c r="D1334" s="38">
        <v>90000</v>
      </c>
      <c r="E1334" s="38"/>
      <c r="F1334" s="63">
        <f t="shared" ref="F1334:F1339" si="627">SUM(D1334:E1334)</f>
        <v>90000</v>
      </c>
      <c r="G1334" s="38">
        <v>90000</v>
      </c>
      <c r="H1334" s="38"/>
      <c r="I1334" s="38">
        <f t="shared" si="616"/>
        <v>90000</v>
      </c>
      <c r="J1334" s="63"/>
      <c r="K1334" s="38"/>
      <c r="L1334" s="48">
        <f t="shared" ref="L1334:L1335" si="628">SUM(J1334:K1334)</f>
        <v>0</v>
      </c>
      <c r="M1334" s="218">
        <f t="shared" si="606"/>
        <v>0</v>
      </c>
      <c r="N1334" s="218">
        <f t="shared" si="607"/>
        <v>0</v>
      </c>
      <c r="O1334" s="218">
        <f t="shared" si="608"/>
        <v>0</v>
      </c>
      <c r="P1334" s="218">
        <f>IF(I1334&gt;0,IF(L1334&gt;=0,L1334/I1334*100,""),"")</f>
        <v>0</v>
      </c>
    </row>
    <row r="1335" spans="1:16" s="11" customFormat="1" ht="12.75" customHeight="1">
      <c r="A1335" s="36" t="s">
        <v>2347</v>
      </c>
      <c r="B1335" s="211" t="s">
        <v>2346</v>
      </c>
      <c r="C1335" s="211" t="s">
        <v>2263</v>
      </c>
      <c r="D1335" s="38"/>
      <c r="E1335" s="38"/>
      <c r="F1335" s="63"/>
      <c r="G1335" s="38">
        <v>32000</v>
      </c>
      <c r="H1335" s="38"/>
      <c r="I1335" s="38">
        <f t="shared" si="616"/>
        <v>32000</v>
      </c>
      <c r="J1335" s="63"/>
      <c r="K1335" s="38"/>
      <c r="L1335" s="48">
        <f t="shared" si="628"/>
        <v>0</v>
      </c>
      <c r="M1335" s="218" t="str">
        <f t="shared" si="606"/>
        <v/>
      </c>
      <c r="N1335" s="218" t="str">
        <f t="shared" si="607"/>
        <v/>
      </c>
      <c r="O1335" s="218">
        <f t="shared" si="608"/>
        <v>0</v>
      </c>
      <c r="P1335" s="218"/>
    </row>
    <row r="1336" spans="1:16" s="3" customFormat="1" ht="6" customHeight="1">
      <c r="A1336" s="36"/>
      <c r="B1336" s="33"/>
      <c r="C1336" s="211" t="s">
        <v>268</v>
      </c>
      <c r="D1336" s="63"/>
      <c r="E1336" s="63"/>
      <c r="F1336" s="63">
        <f t="shared" si="627"/>
        <v>0</v>
      </c>
      <c r="G1336" s="38"/>
      <c r="H1336" s="38"/>
      <c r="I1336" s="38">
        <f t="shared" si="616"/>
        <v>0</v>
      </c>
      <c r="J1336" s="63"/>
      <c r="K1336" s="63"/>
      <c r="L1336" s="63">
        <f t="shared" ref="L1336:L1337" si="629">SUM(J1336:K1336)</f>
        <v>0</v>
      </c>
      <c r="M1336" s="218" t="str">
        <f t="shared" si="606"/>
        <v/>
      </c>
      <c r="N1336" s="218" t="str">
        <f t="shared" si="607"/>
        <v/>
      </c>
      <c r="O1336" s="218" t="str">
        <f t="shared" si="608"/>
        <v/>
      </c>
      <c r="P1336" s="218" t="str">
        <f t="shared" ref="P1336:P1342" si="630">IF(I1336&gt;0,IF(L1336&gt;=0,L1336/I1336*100,""),"")</f>
        <v/>
      </c>
    </row>
    <row r="1337" spans="1:16" s="11" customFormat="1" ht="12.75">
      <c r="A1337" s="58" t="s">
        <v>388</v>
      </c>
      <c r="B1337" s="65" t="s">
        <v>265</v>
      </c>
      <c r="C1337" s="308" t="s">
        <v>940</v>
      </c>
      <c r="D1337" s="42">
        <f>SUM(D1339:D1345)</f>
        <v>6507250</v>
      </c>
      <c r="E1337" s="42">
        <f>SUM(E1339:E1345)</f>
        <v>0</v>
      </c>
      <c r="F1337" s="42">
        <f t="shared" si="627"/>
        <v>6507250</v>
      </c>
      <c r="G1337" s="55">
        <f>SUM(G1339:G1345)</f>
        <v>7721302</v>
      </c>
      <c r="H1337" s="55">
        <f>SUM(H1339:H1345)</f>
        <v>0</v>
      </c>
      <c r="I1337" s="55">
        <f t="shared" si="616"/>
        <v>7721302</v>
      </c>
      <c r="J1337" s="42">
        <f>SUM(J1339:J1345)</f>
        <v>8890370</v>
      </c>
      <c r="K1337" s="42">
        <f>SUM(K1339:K1345)</f>
        <v>0</v>
      </c>
      <c r="L1337" s="42">
        <f t="shared" si="629"/>
        <v>8890370</v>
      </c>
      <c r="M1337" s="225">
        <f t="shared" si="606"/>
        <v>136.62253640170579</v>
      </c>
      <c r="N1337" s="225">
        <f t="shared" si="607"/>
        <v>136.62253640170579</v>
      </c>
      <c r="O1337" s="225">
        <f t="shared" si="608"/>
        <v>115.14081433416281</v>
      </c>
      <c r="P1337" s="225">
        <f t="shared" si="630"/>
        <v>115.14081433416281</v>
      </c>
    </row>
    <row r="1338" spans="1:16" s="11" customFormat="1" hidden="1">
      <c r="A1338" s="80" t="s">
        <v>267</v>
      </c>
      <c r="B1338" s="184"/>
      <c r="C1338" s="320" t="s">
        <v>268</v>
      </c>
      <c r="D1338" s="38">
        <f>SUM(D1339:D1345)</f>
        <v>6507250</v>
      </c>
      <c r="E1338" s="77"/>
      <c r="F1338" s="63">
        <f t="shared" si="627"/>
        <v>6507250</v>
      </c>
      <c r="G1338" s="38">
        <f>SUM(G1339:G1345)</f>
        <v>7721302</v>
      </c>
      <c r="H1338" s="109"/>
      <c r="I1338" s="38">
        <f t="shared" si="616"/>
        <v>7721302</v>
      </c>
      <c r="J1338" s="63">
        <f>SUM(J1339:J1345)</f>
        <v>8890370</v>
      </c>
      <c r="K1338" s="77"/>
      <c r="L1338" s="63">
        <f t="shared" ref="L1338" si="631">SUM(J1338:K1338)</f>
        <v>8890370</v>
      </c>
      <c r="M1338" s="218">
        <f t="shared" si="606"/>
        <v>136.62253640170579</v>
      </c>
      <c r="N1338" s="218">
        <f t="shared" si="607"/>
        <v>136.62253640170579</v>
      </c>
      <c r="O1338" s="218">
        <f t="shared" si="608"/>
        <v>115.14081433416281</v>
      </c>
      <c r="P1338" s="218">
        <f t="shared" si="630"/>
        <v>115.14081433416281</v>
      </c>
    </row>
    <row r="1339" spans="1:16" s="11" customFormat="1" ht="12.75" customHeight="1">
      <c r="A1339" s="36" t="s">
        <v>180</v>
      </c>
      <c r="B1339" s="33" t="s">
        <v>419</v>
      </c>
      <c r="C1339" s="211" t="s">
        <v>1617</v>
      </c>
      <c r="D1339" s="38">
        <v>6309550</v>
      </c>
      <c r="E1339" s="38"/>
      <c r="F1339" s="63">
        <f t="shared" si="627"/>
        <v>6309550</v>
      </c>
      <c r="G1339" s="38">
        <v>7303102</v>
      </c>
      <c r="H1339" s="38"/>
      <c r="I1339" s="38">
        <f t="shared" si="616"/>
        <v>7303102</v>
      </c>
      <c r="J1339" s="63">
        <v>8766510</v>
      </c>
      <c r="K1339" s="38"/>
      <c r="L1339" s="63">
        <f t="shared" ref="L1339" si="632">SUM(J1339:K1339)</f>
        <v>8766510</v>
      </c>
      <c r="M1339" s="218">
        <f t="shared" si="606"/>
        <v>138.94033647407502</v>
      </c>
      <c r="N1339" s="218">
        <f t="shared" si="607"/>
        <v>138.94033647407502</v>
      </c>
      <c r="O1339" s="218">
        <f t="shared" si="608"/>
        <v>120.03817008169952</v>
      </c>
      <c r="P1339" s="218">
        <f t="shared" si="630"/>
        <v>120.03817008169952</v>
      </c>
    </row>
    <row r="1340" spans="1:16" s="11" customFormat="1" ht="12.75" customHeight="1">
      <c r="A1340" s="36" t="s">
        <v>756</v>
      </c>
      <c r="B1340" s="33" t="s">
        <v>757</v>
      </c>
      <c r="C1340" s="211" t="s">
        <v>1618</v>
      </c>
      <c r="D1340" s="38">
        <v>41900</v>
      </c>
      <c r="E1340" s="38"/>
      <c r="F1340" s="63">
        <f>SUM(D1340:E1340)</f>
        <v>41900</v>
      </c>
      <c r="G1340" s="38">
        <v>41900</v>
      </c>
      <c r="H1340" s="38"/>
      <c r="I1340" s="38">
        <f t="shared" si="616"/>
        <v>41900</v>
      </c>
      <c r="J1340" s="63">
        <v>21540</v>
      </c>
      <c r="K1340" s="38"/>
      <c r="L1340" s="63">
        <f>SUM(J1340:K1340)</f>
        <v>21540</v>
      </c>
      <c r="M1340" s="218">
        <f t="shared" si="606"/>
        <v>51.408114558472548</v>
      </c>
      <c r="N1340" s="218">
        <f t="shared" si="607"/>
        <v>51.408114558472548</v>
      </c>
      <c r="O1340" s="218">
        <f t="shared" si="608"/>
        <v>51.408114558472548</v>
      </c>
      <c r="P1340" s="218">
        <f t="shared" si="630"/>
        <v>51.408114558472548</v>
      </c>
    </row>
    <row r="1341" spans="1:16" s="11" customFormat="1" ht="12.75" customHeight="1">
      <c r="A1341" s="36" t="s">
        <v>762</v>
      </c>
      <c r="B1341" s="33" t="s">
        <v>763</v>
      </c>
      <c r="C1341" s="211" t="s">
        <v>1619</v>
      </c>
      <c r="D1341" s="38">
        <v>51800</v>
      </c>
      <c r="E1341" s="38"/>
      <c r="F1341" s="63">
        <f>SUM(D1341:E1341)</f>
        <v>51800</v>
      </c>
      <c r="G1341" s="38">
        <v>51800</v>
      </c>
      <c r="H1341" s="38"/>
      <c r="I1341" s="38">
        <f t="shared" si="616"/>
        <v>51800</v>
      </c>
      <c r="J1341" s="63">
        <v>21220</v>
      </c>
      <c r="K1341" s="38"/>
      <c r="L1341" s="63">
        <f>SUM(J1341:K1341)</f>
        <v>21220</v>
      </c>
      <c r="M1341" s="218">
        <f t="shared" si="606"/>
        <v>40.965250965250966</v>
      </c>
      <c r="N1341" s="218">
        <f t="shared" si="607"/>
        <v>40.965250965250966</v>
      </c>
      <c r="O1341" s="218">
        <f t="shared" si="608"/>
        <v>40.965250965250966</v>
      </c>
      <c r="P1341" s="218">
        <f t="shared" si="630"/>
        <v>40.965250965250966</v>
      </c>
    </row>
    <row r="1342" spans="1:16" s="11" customFormat="1" ht="12.75" customHeight="1">
      <c r="A1342" s="46" t="s">
        <v>935</v>
      </c>
      <c r="B1342" s="33" t="s">
        <v>701</v>
      </c>
      <c r="C1342" s="211" t="s">
        <v>1620</v>
      </c>
      <c r="D1342" s="38">
        <v>92000</v>
      </c>
      <c r="E1342" s="38"/>
      <c r="F1342" s="63">
        <f t="shared" ref="F1342" si="633">SUM(D1342:E1342)</f>
        <v>92000</v>
      </c>
      <c r="G1342" s="38">
        <v>110500</v>
      </c>
      <c r="H1342" s="38"/>
      <c r="I1342" s="38">
        <f t="shared" si="616"/>
        <v>110500</v>
      </c>
      <c r="J1342" s="63">
        <v>68100</v>
      </c>
      <c r="K1342" s="38"/>
      <c r="L1342" s="63">
        <f t="shared" ref="L1342" si="634">SUM(J1342:K1342)</f>
        <v>68100</v>
      </c>
      <c r="M1342" s="218">
        <f t="shared" si="606"/>
        <v>74.021739130434781</v>
      </c>
      <c r="N1342" s="218">
        <f t="shared" si="607"/>
        <v>74.021739130434781</v>
      </c>
      <c r="O1342" s="218">
        <f t="shared" si="608"/>
        <v>61.628959276018101</v>
      </c>
      <c r="P1342" s="218">
        <f t="shared" si="630"/>
        <v>61.628959276018101</v>
      </c>
    </row>
    <row r="1343" spans="1:16" s="3" customFormat="1" ht="12.75" customHeight="1">
      <c r="A1343" s="36" t="s">
        <v>375</v>
      </c>
      <c r="B1343" s="33" t="s">
        <v>150</v>
      </c>
      <c r="C1343" s="211" t="s">
        <v>1621</v>
      </c>
      <c r="D1343" s="63">
        <v>12000</v>
      </c>
      <c r="E1343" s="63"/>
      <c r="F1343" s="63">
        <f>SUM(D1343:E1343)</f>
        <v>12000</v>
      </c>
      <c r="G1343" s="38">
        <v>100000</v>
      </c>
      <c r="H1343" s="38"/>
      <c r="I1343" s="38">
        <f>SUM(G1343:H1343)</f>
        <v>100000</v>
      </c>
      <c r="J1343" s="63">
        <v>13000</v>
      </c>
      <c r="K1343" s="63"/>
      <c r="L1343" s="63">
        <f>SUM(J1343:K1343)</f>
        <v>13000</v>
      </c>
      <c r="M1343" s="218">
        <f t="shared" si="606"/>
        <v>108.33333333333333</v>
      </c>
      <c r="N1343" s="218">
        <f t="shared" si="607"/>
        <v>108.33333333333333</v>
      </c>
      <c r="O1343" s="218">
        <f t="shared" si="608"/>
        <v>13</v>
      </c>
      <c r="P1343" s="218">
        <f>IF(I1343&gt;0,IF(L1343&gt;=0,L1343/I1343*100,""),"")</f>
        <v>13</v>
      </c>
    </row>
    <row r="1344" spans="1:16" s="11" customFormat="1" ht="12.75" customHeight="1">
      <c r="A1344" s="46" t="s">
        <v>2347</v>
      </c>
      <c r="B1344" s="211" t="s">
        <v>2346</v>
      </c>
      <c r="C1344" s="211" t="s">
        <v>2262</v>
      </c>
      <c r="D1344" s="38"/>
      <c r="E1344" s="38"/>
      <c r="F1344" s="63"/>
      <c r="G1344" s="38">
        <v>14000</v>
      </c>
      <c r="H1344" s="38"/>
      <c r="I1344" s="38">
        <f t="shared" si="616"/>
        <v>14000</v>
      </c>
      <c r="J1344" s="63"/>
      <c r="K1344" s="38"/>
      <c r="L1344" s="63"/>
      <c r="M1344" s="218" t="str">
        <f t="shared" si="606"/>
        <v/>
      </c>
      <c r="N1344" s="218" t="str">
        <f t="shared" si="607"/>
        <v/>
      </c>
      <c r="O1344" s="218">
        <f t="shared" si="608"/>
        <v>0</v>
      </c>
      <c r="P1344" s="218"/>
    </row>
    <row r="1345" spans="1:16" s="11" customFormat="1" ht="12.75" customHeight="1">
      <c r="A1345" s="36" t="s">
        <v>368</v>
      </c>
      <c r="B1345" s="211" t="s">
        <v>418</v>
      </c>
      <c r="C1345" s="211" t="s">
        <v>1622</v>
      </c>
      <c r="D1345" s="38"/>
      <c r="E1345" s="38"/>
      <c r="F1345" s="63"/>
      <c r="G1345" s="38">
        <v>100000</v>
      </c>
      <c r="H1345" s="38"/>
      <c r="I1345" s="38">
        <f>SUM(G1345:H1345)</f>
        <v>100000</v>
      </c>
      <c r="J1345" s="63"/>
      <c r="K1345" s="38"/>
      <c r="L1345" s="63">
        <f>SUM(J1345:K1345)</f>
        <v>0</v>
      </c>
      <c r="M1345" s="218" t="str">
        <f t="shared" si="606"/>
        <v/>
      </c>
      <c r="N1345" s="218" t="str">
        <f t="shared" si="607"/>
        <v/>
      </c>
      <c r="O1345" s="218">
        <f t="shared" si="608"/>
        <v>0</v>
      </c>
      <c r="P1345" s="218">
        <f>IF(I1345&gt;0,IF(L1345&gt;=0,L1345/I1345*100,""),"")</f>
        <v>0</v>
      </c>
    </row>
    <row r="1346" spans="1:16" s="3" customFormat="1" ht="6" customHeight="1">
      <c r="A1346" s="36"/>
      <c r="B1346" s="33"/>
      <c r="C1346" s="211" t="s">
        <v>268</v>
      </c>
      <c r="D1346" s="63"/>
      <c r="E1346" s="63"/>
      <c r="F1346" s="63"/>
      <c r="G1346" s="38"/>
      <c r="H1346" s="38"/>
      <c r="I1346" s="38"/>
      <c r="J1346" s="63"/>
      <c r="K1346" s="63"/>
      <c r="L1346" s="63"/>
      <c r="M1346" s="218" t="str">
        <f t="shared" si="606"/>
        <v/>
      </c>
      <c r="N1346" s="218" t="str">
        <f t="shared" si="607"/>
        <v/>
      </c>
      <c r="O1346" s="218" t="str">
        <f t="shared" si="608"/>
        <v/>
      </c>
      <c r="P1346" s="218" t="str">
        <f t="shared" ref="P1346:P1357" si="635">IF(I1346&gt;0,IF(L1346&gt;=0,L1346/I1346*100,""),"")</f>
        <v/>
      </c>
    </row>
    <row r="1347" spans="1:16" s="11" customFormat="1" ht="12.75">
      <c r="A1347" s="58" t="s">
        <v>389</v>
      </c>
      <c r="B1347" s="65" t="s">
        <v>265</v>
      </c>
      <c r="C1347" s="308" t="s">
        <v>940</v>
      </c>
      <c r="D1347" s="42">
        <f>SUM(D1349:D1361)</f>
        <v>6657900</v>
      </c>
      <c r="E1347" s="42">
        <f>SUM(E1349:E1360)</f>
        <v>0</v>
      </c>
      <c r="F1347" s="42">
        <f t="shared" ref="F1347:F1356" si="636">SUM(D1347:E1347)</f>
        <v>6657900</v>
      </c>
      <c r="G1347" s="55">
        <f>SUM(G1349:G1361)</f>
        <v>7486730</v>
      </c>
      <c r="H1347" s="55">
        <f>SUM(H1349:H1360)</f>
        <v>0</v>
      </c>
      <c r="I1347" s="55">
        <f t="shared" ref="I1347:I1361" si="637">SUM(G1347:H1347)</f>
        <v>7486730</v>
      </c>
      <c r="J1347" s="42">
        <f>SUM(J1349:J1361)</f>
        <v>7377030</v>
      </c>
      <c r="K1347" s="42">
        <f>SUM(K1349:K1360)</f>
        <v>0</v>
      </c>
      <c r="L1347" s="42">
        <f t="shared" ref="L1347:L1348" si="638">SUM(J1347:K1347)</f>
        <v>7377030</v>
      </c>
      <c r="M1347" s="225">
        <f t="shared" si="606"/>
        <v>110.80115351687469</v>
      </c>
      <c r="N1347" s="225">
        <f t="shared" si="607"/>
        <v>110.80115351687469</v>
      </c>
      <c r="O1347" s="225">
        <f t="shared" si="608"/>
        <v>98.534740801391266</v>
      </c>
      <c r="P1347" s="225">
        <f t="shared" si="635"/>
        <v>98.534740801391266</v>
      </c>
    </row>
    <row r="1348" spans="1:16" s="11" customFormat="1" ht="12.75" customHeight="1">
      <c r="A1348" s="80" t="s">
        <v>267</v>
      </c>
      <c r="B1348" s="184"/>
      <c r="C1348" s="320" t="s">
        <v>268</v>
      </c>
      <c r="D1348" s="116">
        <f>SUM(D1349:D1360)</f>
        <v>6657900</v>
      </c>
      <c r="E1348" s="111"/>
      <c r="F1348" s="63">
        <f t="shared" si="636"/>
        <v>6657900</v>
      </c>
      <c r="G1348" s="116">
        <f>SUM(G1349:G1360)</f>
        <v>7459230</v>
      </c>
      <c r="H1348" s="193"/>
      <c r="I1348" s="38">
        <f t="shared" si="637"/>
        <v>7459230</v>
      </c>
      <c r="J1348" s="116">
        <f>SUM(J1349:J1360)</f>
        <v>7377030</v>
      </c>
      <c r="K1348" s="111"/>
      <c r="L1348" s="63">
        <f t="shared" si="638"/>
        <v>7377030</v>
      </c>
      <c r="M1348" s="218">
        <f t="shared" si="606"/>
        <v>110.80115351687469</v>
      </c>
      <c r="N1348" s="218">
        <f t="shared" si="607"/>
        <v>110.80115351687469</v>
      </c>
      <c r="O1348" s="218">
        <f t="shared" si="608"/>
        <v>98.8980095800773</v>
      </c>
      <c r="P1348" s="218">
        <f t="shared" si="635"/>
        <v>98.8980095800773</v>
      </c>
    </row>
    <row r="1349" spans="1:16" s="11" customFormat="1" ht="12.75" customHeight="1">
      <c r="A1349" s="36" t="s">
        <v>180</v>
      </c>
      <c r="B1349" s="33" t="s">
        <v>419</v>
      </c>
      <c r="C1349" s="211" t="s">
        <v>1623</v>
      </c>
      <c r="D1349" s="38">
        <v>5944590</v>
      </c>
      <c r="E1349" s="38"/>
      <c r="F1349" s="63">
        <f t="shared" si="636"/>
        <v>5944590</v>
      </c>
      <c r="G1349" s="38">
        <v>6435070</v>
      </c>
      <c r="H1349" s="38"/>
      <c r="I1349" s="38">
        <f t="shared" si="637"/>
        <v>6435070</v>
      </c>
      <c r="J1349" s="63">
        <v>7174000</v>
      </c>
      <c r="K1349" s="38"/>
      <c r="L1349" s="63">
        <f t="shared" ref="L1349" si="639">SUM(J1349:K1349)</f>
        <v>7174000</v>
      </c>
      <c r="M1349" s="218">
        <f t="shared" si="606"/>
        <v>120.68115715297438</v>
      </c>
      <c r="N1349" s="218">
        <f t="shared" si="607"/>
        <v>120.68115715297438</v>
      </c>
      <c r="O1349" s="218">
        <f t="shared" si="608"/>
        <v>111.48285877232105</v>
      </c>
      <c r="P1349" s="218">
        <f t="shared" si="635"/>
        <v>111.48285877232105</v>
      </c>
    </row>
    <row r="1350" spans="1:16" s="11" customFormat="1" ht="12.75" customHeight="1">
      <c r="A1350" s="36" t="s">
        <v>368</v>
      </c>
      <c r="B1350" s="33" t="s">
        <v>418</v>
      </c>
      <c r="C1350" s="211" t="s">
        <v>1630</v>
      </c>
      <c r="D1350" s="38"/>
      <c r="E1350" s="38"/>
      <c r="F1350" s="63">
        <f>SUM(D1350:E1350)</f>
        <v>0</v>
      </c>
      <c r="G1350" s="38">
        <v>65000</v>
      </c>
      <c r="H1350" s="38"/>
      <c r="I1350" s="38">
        <f t="shared" si="637"/>
        <v>65000</v>
      </c>
      <c r="J1350" s="63">
        <v>1000</v>
      </c>
      <c r="K1350" s="38"/>
      <c r="L1350" s="63">
        <f t="shared" ref="L1350:L1355" si="640">SUM(J1350:K1350)</f>
        <v>1000</v>
      </c>
      <c r="M1350" s="218" t="str">
        <f t="shared" si="606"/>
        <v/>
      </c>
      <c r="N1350" s="218" t="str">
        <f t="shared" si="607"/>
        <v/>
      </c>
      <c r="O1350" s="218">
        <f t="shared" si="608"/>
        <v>1.5384615384615385</v>
      </c>
      <c r="P1350" s="218">
        <f t="shared" si="635"/>
        <v>1.5384615384615385</v>
      </c>
    </row>
    <row r="1351" spans="1:16" s="3" customFormat="1" ht="12.75" customHeight="1">
      <c r="A1351" s="36" t="s">
        <v>772</v>
      </c>
      <c r="B1351" s="33" t="s">
        <v>766</v>
      </c>
      <c r="C1351" s="211" t="s">
        <v>1626</v>
      </c>
      <c r="D1351" s="63">
        <v>2220</v>
      </c>
      <c r="E1351" s="63"/>
      <c r="F1351" s="63">
        <f>SUM(D1351:E1351)</f>
        <v>2220</v>
      </c>
      <c r="G1351" s="38">
        <v>2320</v>
      </c>
      <c r="H1351" s="38"/>
      <c r="I1351" s="38">
        <f>SUM(G1351:H1351)</f>
        <v>2320</v>
      </c>
      <c r="J1351" s="63">
        <v>1610</v>
      </c>
      <c r="K1351" s="63"/>
      <c r="L1351" s="63">
        <f t="shared" si="640"/>
        <v>1610</v>
      </c>
      <c r="M1351" s="218">
        <f t="shared" si="606"/>
        <v>72.522522522522522</v>
      </c>
      <c r="N1351" s="218">
        <f t="shared" si="607"/>
        <v>72.522522522522522</v>
      </c>
      <c r="O1351" s="218">
        <f t="shared" si="608"/>
        <v>69.396551724137936</v>
      </c>
      <c r="P1351" s="218">
        <f>IF(I1351&gt;0,IF(L1351&gt;=0,L1351/I1351*100,""),"")</f>
        <v>69.396551724137936</v>
      </c>
    </row>
    <row r="1352" spans="1:16" s="11" customFormat="1" ht="12.75" customHeight="1">
      <c r="A1352" s="36" t="s">
        <v>762</v>
      </c>
      <c r="B1352" s="33" t="s">
        <v>763</v>
      </c>
      <c r="C1352" s="211" t="s">
        <v>1627</v>
      </c>
      <c r="D1352" s="38">
        <v>46080</v>
      </c>
      <c r="E1352" s="38"/>
      <c r="F1352" s="63">
        <f>SUM(D1352:E1352)</f>
        <v>46080</v>
      </c>
      <c r="G1352" s="38">
        <v>46080</v>
      </c>
      <c r="H1352" s="38"/>
      <c r="I1352" s="38">
        <f>SUM(G1352:H1352)</f>
        <v>46080</v>
      </c>
      <c r="J1352" s="63">
        <v>22240</v>
      </c>
      <c r="K1352" s="38"/>
      <c r="L1352" s="63">
        <f t="shared" si="640"/>
        <v>22240</v>
      </c>
      <c r="M1352" s="218">
        <f t="shared" si="606"/>
        <v>48.263888888888893</v>
      </c>
      <c r="N1352" s="218">
        <f t="shared" si="607"/>
        <v>48.263888888888893</v>
      </c>
      <c r="O1352" s="218">
        <f t="shared" si="608"/>
        <v>48.263888888888893</v>
      </c>
      <c r="P1352" s="218">
        <f>IF(I1352&gt;0,IF(L1352&gt;=0,L1352/I1352*100,""),"")</f>
        <v>48.263888888888893</v>
      </c>
    </row>
    <row r="1353" spans="1:16" s="11" customFormat="1" ht="12.75" customHeight="1">
      <c r="A1353" s="36" t="s">
        <v>13</v>
      </c>
      <c r="B1353" s="33" t="s">
        <v>10</v>
      </c>
      <c r="C1353" s="211" t="s">
        <v>1628</v>
      </c>
      <c r="D1353" s="38">
        <v>27310</v>
      </c>
      <c r="E1353" s="38"/>
      <c r="F1353" s="63">
        <f>SUM(D1353:E1353)</f>
        <v>27310</v>
      </c>
      <c r="G1353" s="38"/>
      <c r="H1353" s="38"/>
      <c r="I1353" s="38">
        <f>SUM(G1353:H1353)</f>
        <v>0</v>
      </c>
      <c r="J1353" s="63">
        <v>157880</v>
      </c>
      <c r="K1353" s="38"/>
      <c r="L1353" s="63">
        <f t="shared" si="640"/>
        <v>157880</v>
      </c>
      <c r="M1353" s="218">
        <f t="shared" si="606"/>
        <v>578.10325887953127</v>
      </c>
      <c r="N1353" s="218">
        <f t="shared" si="607"/>
        <v>578.10325887953127</v>
      </c>
      <c r="O1353" s="218" t="str">
        <f t="shared" si="608"/>
        <v/>
      </c>
      <c r="P1353" s="218" t="str">
        <f>IF(I1353&gt;0,IF(L1353&gt;=0,L1353/I1353*100,""),"")</f>
        <v/>
      </c>
    </row>
    <row r="1354" spans="1:16" s="11" customFormat="1" ht="12.75" customHeight="1">
      <c r="A1354" s="36" t="s">
        <v>2482</v>
      </c>
      <c r="B1354" s="33" t="s">
        <v>2369</v>
      </c>
      <c r="C1354" s="211" t="s">
        <v>2438</v>
      </c>
      <c r="D1354" s="38"/>
      <c r="E1354" s="38"/>
      <c r="F1354" s="63"/>
      <c r="G1354" s="38"/>
      <c r="H1354" s="38"/>
      <c r="I1354" s="38"/>
      <c r="J1354" s="63">
        <v>6300</v>
      </c>
      <c r="K1354" s="38"/>
      <c r="L1354" s="63">
        <f t="shared" si="640"/>
        <v>6300</v>
      </c>
      <c r="M1354" s="218" t="str">
        <f t="shared" si="606"/>
        <v/>
      </c>
      <c r="N1354" s="218" t="str">
        <f t="shared" si="607"/>
        <v/>
      </c>
      <c r="O1354" s="218" t="str">
        <f t="shared" si="608"/>
        <v/>
      </c>
      <c r="P1354" s="218"/>
    </row>
    <row r="1355" spans="1:16" s="3" customFormat="1" ht="12.75" customHeight="1">
      <c r="A1355" s="36" t="s">
        <v>375</v>
      </c>
      <c r="B1355" s="33" t="s">
        <v>150</v>
      </c>
      <c r="C1355" s="211" t="s">
        <v>1629</v>
      </c>
      <c r="D1355" s="63">
        <v>13000</v>
      </c>
      <c r="E1355" s="63"/>
      <c r="F1355" s="63">
        <f>SUM(D1355:E1355)</f>
        <v>13000</v>
      </c>
      <c r="G1355" s="38">
        <v>254000</v>
      </c>
      <c r="H1355" s="38"/>
      <c r="I1355" s="38">
        <f>SUM(G1355:H1355)</f>
        <v>254000</v>
      </c>
      <c r="J1355" s="63">
        <v>14000</v>
      </c>
      <c r="K1355" s="63"/>
      <c r="L1355" s="63">
        <f t="shared" si="640"/>
        <v>14000</v>
      </c>
      <c r="M1355" s="218">
        <f t="shared" si="606"/>
        <v>107.69230769230769</v>
      </c>
      <c r="N1355" s="218">
        <f t="shared" si="607"/>
        <v>107.69230769230769</v>
      </c>
      <c r="O1355" s="218">
        <f t="shared" si="608"/>
        <v>5.5118110236220472</v>
      </c>
      <c r="P1355" s="218">
        <f>IF(I1355&gt;0,IF(L1355&gt;=0,L1355/I1355*100,""),"")</f>
        <v>5.5118110236220472</v>
      </c>
    </row>
    <row r="1356" spans="1:16" s="11" customFormat="1" ht="12.75" customHeight="1">
      <c r="A1356" s="36" t="s">
        <v>839</v>
      </c>
      <c r="B1356" s="211" t="s">
        <v>698</v>
      </c>
      <c r="C1356" s="211" t="s">
        <v>1624</v>
      </c>
      <c r="D1356" s="38">
        <v>4200</v>
      </c>
      <c r="E1356" s="38"/>
      <c r="F1356" s="63">
        <f t="shared" si="636"/>
        <v>4200</v>
      </c>
      <c r="G1356" s="38">
        <v>7260</v>
      </c>
      <c r="H1356" s="38"/>
      <c r="I1356" s="38">
        <f t="shared" si="637"/>
        <v>7260</v>
      </c>
      <c r="J1356" s="63"/>
      <c r="K1356" s="38"/>
      <c r="L1356" s="63"/>
      <c r="M1356" s="218">
        <f t="shared" si="606"/>
        <v>0</v>
      </c>
      <c r="N1356" s="218">
        <f t="shared" si="607"/>
        <v>0</v>
      </c>
      <c r="O1356" s="218">
        <f t="shared" si="608"/>
        <v>0</v>
      </c>
      <c r="P1356" s="218">
        <f t="shared" si="635"/>
        <v>0</v>
      </c>
    </row>
    <row r="1357" spans="1:16" s="11" customFormat="1" ht="12.75" customHeight="1">
      <c r="A1357" s="36" t="s">
        <v>935</v>
      </c>
      <c r="B1357" s="211" t="s">
        <v>701</v>
      </c>
      <c r="C1357" s="211" t="s">
        <v>1625</v>
      </c>
      <c r="D1357" s="38">
        <v>620500</v>
      </c>
      <c r="E1357" s="38"/>
      <c r="F1357" s="63">
        <f>SUM(D1357:E1357)</f>
        <v>620500</v>
      </c>
      <c r="G1357" s="38">
        <v>305500</v>
      </c>
      <c r="H1357" s="38"/>
      <c r="I1357" s="38">
        <f t="shared" si="637"/>
        <v>305500</v>
      </c>
      <c r="J1357" s="63"/>
      <c r="K1357" s="38"/>
      <c r="L1357" s="63">
        <f>SUM(J1357:K1357)</f>
        <v>0</v>
      </c>
      <c r="M1357" s="218">
        <f t="shared" si="606"/>
        <v>0</v>
      </c>
      <c r="N1357" s="218">
        <f t="shared" si="607"/>
        <v>0</v>
      </c>
      <c r="O1357" s="218">
        <f t="shared" si="608"/>
        <v>0</v>
      </c>
      <c r="P1357" s="218">
        <f t="shared" si="635"/>
        <v>0</v>
      </c>
    </row>
    <row r="1358" spans="1:16" s="11" customFormat="1" ht="12.75" customHeight="1">
      <c r="A1358" s="36" t="s">
        <v>2071</v>
      </c>
      <c r="B1358" s="211" t="s">
        <v>2072</v>
      </c>
      <c r="C1358" s="211" t="s">
        <v>2186</v>
      </c>
      <c r="D1358" s="38"/>
      <c r="E1358" s="38"/>
      <c r="F1358" s="63"/>
      <c r="G1358" s="38">
        <v>315000</v>
      </c>
      <c r="H1358" s="38"/>
      <c r="I1358" s="38">
        <f t="shared" si="637"/>
        <v>315000</v>
      </c>
      <c r="J1358" s="63"/>
      <c r="K1358" s="38"/>
      <c r="L1358" s="63"/>
      <c r="M1358" s="218" t="str">
        <f t="shared" si="606"/>
        <v/>
      </c>
      <c r="N1358" s="218" t="str">
        <f t="shared" si="607"/>
        <v/>
      </c>
      <c r="O1358" s="218">
        <f t="shared" si="608"/>
        <v>0</v>
      </c>
      <c r="P1358" s="218"/>
    </row>
    <row r="1359" spans="1:16" s="11" customFormat="1" ht="12.75" customHeight="1">
      <c r="A1359" s="36" t="s">
        <v>358</v>
      </c>
      <c r="B1359" s="211" t="s">
        <v>417</v>
      </c>
      <c r="C1359" s="211" t="s">
        <v>2187</v>
      </c>
      <c r="D1359" s="38"/>
      <c r="E1359" s="38"/>
      <c r="F1359" s="63"/>
      <c r="G1359" s="38">
        <v>15000</v>
      </c>
      <c r="H1359" s="38"/>
      <c r="I1359" s="38">
        <f t="shared" si="637"/>
        <v>15000</v>
      </c>
      <c r="J1359" s="63"/>
      <c r="K1359" s="38"/>
      <c r="L1359" s="63"/>
      <c r="M1359" s="218" t="str">
        <f t="shared" ref="M1359:M1422" si="641">IF(D1359&gt;0,IF(J1359&gt;=0,J1359/D1359*100,""),"")</f>
        <v/>
      </c>
      <c r="N1359" s="218" t="str">
        <f t="shared" ref="N1359:N1422" si="642">IF(F1359&gt;0,IF(L1359&gt;=0,L1359/F1359*100,""),"")</f>
        <v/>
      </c>
      <c r="O1359" s="218">
        <f t="shared" ref="O1359:O1422" si="643">IF(G1359&gt;0,IF(J1359&gt;=0,J1359/G1359*100,""),"")</f>
        <v>0</v>
      </c>
      <c r="P1359" s="218"/>
    </row>
    <row r="1360" spans="1:16" s="11" customFormat="1" ht="12.75" customHeight="1">
      <c r="A1360" s="36" t="s">
        <v>2347</v>
      </c>
      <c r="B1360" s="211" t="s">
        <v>2346</v>
      </c>
      <c r="C1360" s="211" t="s">
        <v>2260</v>
      </c>
      <c r="D1360" s="38"/>
      <c r="E1360" s="38"/>
      <c r="F1360" s="63"/>
      <c r="G1360" s="38">
        <v>14000</v>
      </c>
      <c r="H1360" s="38"/>
      <c r="I1360" s="38">
        <f t="shared" si="637"/>
        <v>14000</v>
      </c>
      <c r="J1360" s="63"/>
      <c r="K1360" s="38"/>
      <c r="L1360" s="63">
        <f t="shared" ref="L1360" si="644">SUM(J1360:K1360)</f>
        <v>0</v>
      </c>
      <c r="M1360" s="218" t="str">
        <f t="shared" si="641"/>
        <v/>
      </c>
      <c r="N1360" s="218" t="str">
        <f t="shared" si="642"/>
        <v/>
      </c>
      <c r="O1360" s="218">
        <f t="shared" si="643"/>
        <v>0</v>
      </c>
      <c r="P1360" s="218"/>
    </row>
    <row r="1361" spans="1:16" s="11" customFormat="1" ht="12.75" customHeight="1">
      <c r="A1361" s="36" t="s">
        <v>791</v>
      </c>
      <c r="B1361" s="211" t="s">
        <v>151</v>
      </c>
      <c r="C1361" s="211" t="s">
        <v>2261</v>
      </c>
      <c r="D1361" s="38"/>
      <c r="E1361" s="38"/>
      <c r="F1361" s="63">
        <f t="shared" ref="F1361" si="645">SUM(D1361:E1361)</f>
        <v>0</v>
      </c>
      <c r="G1361" s="38">
        <v>27500</v>
      </c>
      <c r="H1361" s="38"/>
      <c r="I1361" s="38">
        <f t="shared" si="637"/>
        <v>27500</v>
      </c>
      <c r="J1361" s="38"/>
      <c r="K1361" s="38"/>
      <c r="L1361" s="63"/>
      <c r="M1361" s="218" t="str">
        <f t="shared" si="641"/>
        <v/>
      </c>
      <c r="N1361" s="218" t="str">
        <f t="shared" si="642"/>
        <v/>
      </c>
      <c r="O1361" s="218">
        <f t="shared" si="643"/>
        <v>0</v>
      </c>
      <c r="P1361" s="218"/>
    </row>
    <row r="1362" spans="1:16" s="3" customFormat="1" ht="6" customHeight="1">
      <c r="A1362" s="36"/>
      <c r="B1362" s="33"/>
      <c r="C1362" s="211" t="s">
        <v>268</v>
      </c>
      <c r="D1362" s="63"/>
      <c r="E1362" s="63"/>
      <c r="F1362" s="63"/>
      <c r="G1362" s="38"/>
      <c r="H1362" s="38"/>
      <c r="I1362" s="38"/>
      <c r="J1362" s="63"/>
      <c r="K1362" s="63"/>
      <c r="L1362" s="63"/>
      <c r="M1362" s="218" t="str">
        <f t="shared" si="641"/>
        <v/>
      </c>
      <c r="N1362" s="218" t="str">
        <f t="shared" si="642"/>
        <v/>
      </c>
      <c r="O1362" s="218" t="str">
        <f t="shared" si="643"/>
        <v/>
      </c>
      <c r="P1362" s="218" t="str">
        <f>IF(I1362&gt;0,IF(L1362&gt;=0,L1362/I1362*100,""),"")</f>
        <v/>
      </c>
    </row>
    <row r="1363" spans="1:16" s="11" customFormat="1" ht="12.75">
      <c r="A1363" s="58" t="s">
        <v>430</v>
      </c>
      <c r="B1363" s="65" t="s">
        <v>265</v>
      </c>
      <c r="C1363" s="308" t="s">
        <v>940</v>
      </c>
      <c r="D1363" s="42">
        <f>SUM(D1365:D1370)</f>
        <v>3430030</v>
      </c>
      <c r="E1363" s="42">
        <f>SUM(E1365:E1370)</f>
        <v>0</v>
      </c>
      <c r="F1363" s="42">
        <f>SUM(D1363:E1363)</f>
        <v>3430030</v>
      </c>
      <c r="G1363" s="55">
        <f>SUM(G1365:G1370)</f>
        <v>3929750</v>
      </c>
      <c r="H1363" s="55">
        <f>SUM(H1365:H1370)</f>
        <v>0</v>
      </c>
      <c r="I1363" s="55">
        <f>SUM(G1363:H1363)</f>
        <v>3929750</v>
      </c>
      <c r="J1363" s="42">
        <f>SUM(J1365:J1370)</f>
        <v>4701450</v>
      </c>
      <c r="K1363" s="42">
        <f>SUM(K1365:K1370)</f>
        <v>0</v>
      </c>
      <c r="L1363" s="42">
        <f>SUM(J1363:K1363)</f>
        <v>4701450</v>
      </c>
      <c r="M1363" s="225">
        <f t="shared" si="641"/>
        <v>137.06731428005003</v>
      </c>
      <c r="N1363" s="225">
        <f t="shared" si="642"/>
        <v>137.06731428005003</v>
      </c>
      <c r="O1363" s="225">
        <f t="shared" si="643"/>
        <v>119.63738151281889</v>
      </c>
      <c r="P1363" s="225">
        <f>IF(I1363&gt;0,IF(L1363&gt;=0,L1363/I1363*100,""),"")</f>
        <v>119.63738151281889</v>
      </c>
    </row>
    <row r="1364" spans="1:16" s="11" customFormat="1" hidden="1">
      <c r="A1364" s="80" t="s">
        <v>267</v>
      </c>
      <c r="B1364" s="184"/>
      <c r="C1364" s="320" t="s">
        <v>268</v>
      </c>
      <c r="D1364" s="38">
        <f>SUM(D1365:D1370)</f>
        <v>3430030</v>
      </c>
      <c r="E1364" s="77"/>
      <c r="F1364" s="48">
        <f>E1364+D1364</f>
        <v>3430030</v>
      </c>
      <c r="G1364" s="38">
        <f>SUM(G1365:G1370)</f>
        <v>3929750</v>
      </c>
      <c r="H1364" s="109"/>
      <c r="I1364" s="85">
        <f>H1364+G1364</f>
        <v>3929750</v>
      </c>
      <c r="J1364" s="48">
        <f>SUM(J1365:J1370)</f>
        <v>4701450</v>
      </c>
      <c r="K1364" s="77"/>
      <c r="L1364" s="48">
        <f>K1364+J1364</f>
        <v>4701450</v>
      </c>
      <c r="M1364" s="219">
        <f t="shared" si="641"/>
        <v>137.06731428005003</v>
      </c>
      <c r="N1364" s="219">
        <f t="shared" si="642"/>
        <v>137.06731428005003</v>
      </c>
      <c r="O1364" s="219">
        <f t="shared" si="643"/>
        <v>119.63738151281889</v>
      </c>
      <c r="P1364" s="219">
        <f>IF(I1364&gt;0,IF(L1364&gt;=0,L1364/I1364*100,""),"")</f>
        <v>119.63738151281889</v>
      </c>
    </row>
    <row r="1365" spans="1:16" s="3" customFormat="1" ht="12.75" customHeight="1">
      <c r="A1365" s="36" t="s">
        <v>180</v>
      </c>
      <c r="B1365" s="33" t="s">
        <v>419</v>
      </c>
      <c r="C1365" s="211" t="s">
        <v>1631</v>
      </c>
      <c r="D1365" s="63">
        <v>3248030</v>
      </c>
      <c r="E1365" s="63"/>
      <c r="F1365" s="48">
        <f>E1365+D1365</f>
        <v>3248030</v>
      </c>
      <c r="G1365" s="38">
        <v>3663750</v>
      </c>
      <c r="H1365" s="38"/>
      <c r="I1365" s="85">
        <f>H1365+G1365</f>
        <v>3663750</v>
      </c>
      <c r="J1365" s="63">
        <v>4307480</v>
      </c>
      <c r="K1365" s="63"/>
      <c r="L1365" s="48">
        <f>K1365+J1365</f>
        <v>4307480</v>
      </c>
      <c r="M1365" s="219">
        <f t="shared" si="641"/>
        <v>132.61823320597409</v>
      </c>
      <c r="N1365" s="219">
        <f t="shared" si="642"/>
        <v>132.61823320597409</v>
      </c>
      <c r="O1365" s="219">
        <f t="shared" si="643"/>
        <v>117.57024906175366</v>
      </c>
      <c r="P1365" s="219">
        <f>IF(I1365&gt;0,IF(L1365&gt;=0,L1365/I1365*100,""),"")</f>
        <v>117.57024906175366</v>
      </c>
    </row>
    <row r="1366" spans="1:16" s="3" customFormat="1" ht="12.75" customHeight="1">
      <c r="A1366" s="36" t="s">
        <v>2071</v>
      </c>
      <c r="B1366" s="33" t="s">
        <v>2072</v>
      </c>
      <c r="C1366" s="211" t="s">
        <v>2440</v>
      </c>
      <c r="D1366" s="63"/>
      <c r="E1366" s="63"/>
      <c r="F1366" s="48"/>
      <c r="G1366" s="38"/>
      <c r="H1366" s="38"/>
      <c r="I1366" s="85"/>
      <c r="J1366" s="63">
        <v>318370</v>
      </c>
      <c r="K1366" s="63"/>
      <c r="L1366" s="48">
        <f t="shared" ref="L1366:L1370" si="646">K1366+J1366</f>
        <v>318370</v>
      </c>
      <c r="M1366" s="219" t="str">
        <f t="shared" si="641"/>
        <v/>
      </c>
      <c r="N1366" s="219" t="str">
        <f t="shared" si="642"/>
        <v/>
      </c>
      <c r="O1366" s="219" t="str">
        <f t="shared" si="643"/>
        <v/>
      </c>
      <c r="P1366" s="219"/>
    </row>
    <row r="1367" spans="1:16" s="3" customFormat="1" ht="12.75" customHeight="1">
      <c r="A1367" s="36" t="s">
        <v>358</v>
      </c>
      <c r="B1367" s="33" t="s">
        <v>417</v>
      </c>
      <c r="C1367" s="211" t="s">
        <v>2439</v>
      </c>
      <c r="D1367" s="63"/>
      <c r="E1367" s="63"/>
      <c r="F1367" s="48"/>
      <c r="G1367" s="38"/>
      <c r="H1367" s="38"/>
      <c r="I1367" s="85"/>
      <c r="J1367" s="63">
        <v>14600</v>
      </c>
      <c r="K1367" s="63"/>
      <c r="L1367" s="48">
        <f t="shared" si="646"/>
        <v>14600</v>
      </c>
      <c r="M1367" s="219" t="str">
        <f t="shared" si="641"/>
        <v/>
      </c>
      <c r="N1367" s="219" t="str">
        <f t="shared" si="642"/>
        <v/>
      </c>
      <c r="O1367" s="219" t="str">
        <f t="shared" si="643"/>
        <v/>
      </c>
      <c r="P1367" s="219"/>
    </row>
    <row r="1368" spans="1:16" s="3" customFormat="1" ht="12.75" customHeight="1">
      <c r="A1368" s="46" t="s">
        <v>651</v>
      </c>
      <c r="B1368" s="33" t="s">
        <v>650</v>
      </c>
      <c r="C1368" s="211" t="s">
        <v>1632</v>
      </c>
      <c r="D1368" s="63">
        <v>55000</v>
      </c>
      <c r="E1368" s="63"/>
      <c r="F1368" s="48">
        <f>E1368+D1368</f>
        <v>55000</v>
      </c>
      <c r="G1368" s="38">
        <v>55000</v>
      </c>
      <c r="H1368" s="38"/>
      <c r="I1368" s="85">
        <f>H1368+G1368</f>
        <v>55000</v>
      </c>
      <c r="J1368" s="63">
        <v>53000</v>
      </c>
      <c r="K1368" s="63"/>
      <c r="L1368" s="48">
        <f>K1368+J1368</f>
        <v>53000</v>
      </c>
      <c r="M1368" s="219">
        <f t="shared" si="641"/>
        <v>96.36363636363636</v>
      </c>
      <c r="N1368" s="219">
        <f t="shared" si="642"/>
        <v>96.36363636363636</v>
      </c>
      <c r="O1368" s="219">
        <f t="shared" si="643"/>
        <v>96.36363636363636</v>
      </c>
      <c r="P1368" s="219">
        <f>IF(I1368&gt;0,IF(L1368&gt;=0,L1368/I1368*100,""),"")</f>
        <v>96.36363636363636</v>
      </c>
    </row>
    <row r="1369" spans="1:16" s="3" customFormat="1" ht="12.75" customHeight="1">
      <c r="A1369" s="36" t="s">
        <v>375</v>
      </c>
      <c r="B1369" s="183" t="s">
        <v>150</v>
      </c>
      <c r="C1369" s="323" t="s">
        <v>1633</v>
      </c>
      <c r="D1369" s="63">
        <f>7000+120000</f>
        <v>127000</v>
      </c>
      <c r="E1369" s="63"/>
      <c r="F1369" s="63">
        <f>SUM(D1369:E1369)</f>
        <v>127000</v>
      </c>
      <c r="G1369" s="38">
        <v>197000</v>
      </c>
      <c r="H1369" s="38"/>
      <c r="I1369" s="38">
        <f>SUM(G1369:H1369)</f>
        <v>197000</v>
      </c>
      <c r="J1369" s="63">
        <v>8000</v>
      </c>
      <c r="K1369" s="63"/>
      <c r="L1369" s="63">
        <f>SUM(J1369:K1369)</f>
        <v>8000</v>
      </c>
      <c r="M1369" s="219">
        <f t="shared" si="641"/>
        <v>6.2992125984251963</v>
      </c>
      <c r="N1369" s="219">
        <f t="shared" si="642"/>
        <v>6.2992125984251963</v>
      </c>
      <c r="O1369" s="219">
        <f t="shared" si="643"/>
        <v>4.0609137055837561</v>
      </c>
      <c r="P1369" s="219">
        <f>IF(I1369&gt;0,IF(L1369&gt;=0,L1369/I1369*100,""),"")</f>
        <v>4.0609137055837561</v>
      </c>
    </row>
    <row r="1370" spans="1:16" s="3" customFormat="1" ht="12.75" customHeight="1">
      <c r="A1370" s="36" t="s">
        <v>2347</v>
      </c>
      <c r="B1370" s="211" t="s">
        <v>2346</v>
      </c>
      <c r="C1370" s="211" t="s">
        <v>2252</v>
      </c>
      <c r="D1370" s="63"/>
      <c r="E1370" s="63"/>
      <c r="F1370" s="48"/>
      <c r="G1370" s="38">
        <v>14000</v>
      </c>
      <c r="H1370" s="38"/>
      <c r="I1370" s="85">
        <f>H1370+G1370</f>
        <v>14000</v>
      </c>
      <c r="J1370" s="63"/>
      <c r="K1370" s="63"/>
      <c r="L1370" s="48">
        <f t="shared" si="646"/>
        <v>0</v>
      </c>
      <c r="M1370" s="219" t="str">
        <f t="shared" si="641"/>
        <v/>
      </c>
      <c r="N1370" s="219" t="str">
        <f t="shared" si="642"/>
        <v/>
      </c>
      <c r="O1370" s="219">
        <f t="shared" si="643"/>
        <v>0</v>
      </c>
      <c r="P1370" s="219"/>
    </row>
    <row r="1371" spans="1:16" s="3" customFormat="1" ht="6" customHeight="1">
      <c r="A1371" s="36"/>
      <c r="B1371" s="33"/>
      <c r="C1371" s="211" t="s">
        <v>268</v>
      </c>
      <c r="D1371" s="63"/>
      <c r="E1371" s="63"/>
      <c r="F1371" s="63"/>
      <c r="G1371" s="38"/>
      <c r="H1371" s="38"/>
      <c r="I1371" s="38"/>
      <c r="J1371" s="63"/>
      <c r="K1371" s="63"/>
      <c r="L1371" s="63"/>
      <c r="M1371" s="218" t="str">
        <f t="shared" si="641"/>
        <v/>
      </c>
      <c r="N1371" s="218" t="str">
        <f t="shared" si="642"/>
        <v/>
      </c>
      <c r="O1371" s="218" t="str">
        <f t="shared" si="643"/>
        <v/>
      </c>
      <c r="P1371" s="218" t="str">
        <f t="shared" ref="P1371:P1381" si="647">IF(I1371&gt;0,IF(L1371&gt;=0,L1371/I1371*100,""),"")</f>
        <v/>
      </c>
    </row>
    <row r="1372" spans="1:16" s="11" customFormat="1" ht="12.75">
      <c r="A1372" s="58" t="s">
        <v>433</v>
      </c>
      <c r="B1372" s="65" t="s">
        <v>265</v>
      </c>
      <c r="C1372" s="308" t="s">
        <v>940</v>
      </c>
      <c r="D1372" s="86">
        <f>SUM(D1374:D1383)</f>
        <v>7078130</v>
      </c>
      <c r="E1372" s="86">
        <f>SUM(E1374:E1383)</f>
        <v>0</v>
      </c>
      <c r="F1372" s="86">
        <f t="shared" ref="F1372:F1376" si="648">SUM(D1372:E1372)</f>
        <v>7078130</v>
      </c>
      <c r="G1372" s="262">
        <f>SUM(G1374:G1383)</f>
        <v>7710267</v>
      </c>
      <c r="H1372" s="262">
        <f>SUM(H1374:H1383)</f>
        <v>0</v>
      </c>
      <c r="I1372" s="262">
        <f t="shared" ref="I1372:I1383" si="649">SUM(G1372:H1372)</f>
        <v>7710267</v>
      </c>
      <c r="J1372" s="86">
        <f>SUM(J1374:J1383)</f>
        <v>7611740</v>
      </c>
      <c r="K1372" s="86">
        <f>SUM(K1374:K1383)</f>
        <v>0</v>
      </c>
      <c r="L1372" s="86">
        <f t="shared" ref="L1372:L1376" si="650">SUM(J1372:K1372)</f>
        <v>7611740</v>
      </c>
      <c r="M1372" s="236">
        <f t="shared" si="641"/>
        <v>107.53885560169141</v>
      </c>
      <c r="N1372" s="236">
        <f t="shared" si="642"/>
        <v>107.53885560169141</v>
      </c>
      <c r="O1372" s="236">
        <f t="shared" si="643"/>
        <v>98.722132450147313</v>
      </c>
      <c r="P1372" s="236">
        <f t="shared" si="647"/>
        <v>98.722132450147313</v>
      </c>
    </row>
    <row r="1373" spans="1:16" s="11" customFormat="1" hidden="1">
      <c r="A1373" s="80" t="s">
        <v>267</v>
      </c>
      <c r="B1373" s="184"/>
      <c r="C1373" s="320" t="s">
        <v>268</v>
      </c>
      <c r="D1373" s="87">
        <f>SUM(D1374:D1383)</f>
        <v>7078130</v>
      </c>
      <c r="E1373" s="95"/>
      <c r="F1373" s="63">
        <f t="shared" si="648"/>
        <v>7078130</v>
      </c>
      <c r="G1373" s="87">
        <f>SUM(G1374:G1383)</f>
        <v>7710267</v>
      </c>
      <c r="H1373" s="261"/>
      <c r="I1373" s="38">
        <f t="shared" si="649"/>
        <v>7710267</v>
      </c>
      <c r="J1373" s="63">
        <f>SUM(J1374:J1383)</f>
        <v>7611740</v>
      </c>
      <c r="K1373" s="95"/>
      <c r="L1373" s="63">
        <f t="shared" si="650"/>
        <v>7611740</v>
      </c>
      <c r="M1373" s="218">
        <f t="shared" si="641"/>
        <v>107.53885560169141</v>
      </c>
      <c r="N1373" s="218">
        <f t="shared" si="642"/>
        <v>107.53885560169141</v>
      </c>
      <c r="O1373" s="218">
        <f t="shared" si="643"/>
        <v>98.722132450147313</v>
      </c>
      <c r="P1373" s="218">
        <f t="shared" si="647"/>
        <v>98.722132450147313</v>
      </c>
    </row>
    <row r="1374" spans="1:16" s="11" customFormat="1" ht="12.75" customHeight="1">
      <c r="A1374" s="36" t="s">
        <v>180</v>
      </c>
      <c r="B1374" s="33" t="s">
        <v>419</v>
      </c>
      <c r="C1374" s="211" t="s">
        <v>1634</v>
      </c>
      <c r="D1374" s="87">
        <v>6911930</v>
      </c>
      <c r="E1374" s="87"/>
      <c r="F1374" s="63">
        <f t="shared" si="648"/>
        <v>6911930</v>
      </c>
      <c r="G1374" s="87">
        <v>7389607</v>
      </c>
      <c r="H1374" s="87"/>
      <c r="I1374" s="38">
        <f t="shared" si="649"/>
        <v>7389607</v>
      </c>
      <c r="J1374" s="63">
        <v>7547620</v>
      </c>
      <c r="K1374" s="87"/>
      <c r="L1374" s="63">
        <f t="shared" si="650"/>
        <v>7547620</v>
      </c>
      <c r="M1374" s="218">
        <f t="shared" si="641"/>
        <v>109.19699707606993</v>
      </c>
      <c r="N1374" s="218">
        <f t="shared" si="642"/>
        <v>109.19699707606993</v>
      </c>
      <c r="O1374" s="218">
        <f t="shared" si="643"/>
        <v>102.1383139861159</v>
      </c>
      <c r="P1374" s="218">
        <f t="shared" si="647"/>
        <v>102.1383139861159</v>
      </c>
    </row>
    <row r="1375" spans="1:16" s="11" customFormat="1" ht="12.75" customHeight="1">
      <c r="A1375" s="36" t="s">
        <v>368</v>
      </c>
      <c r="B1375" s="33" t="s">
        <v>418</v>
      </c>
      <c r="C1375" s="211" t="s">
        <v>1635</v>
      </c>
      <c r="D1375" s="87">
        <v>132220</v>
      </c>
      <c r="E1375" s="87"/>
      <c r="F1375" s="63">
        <f t="shared" si="648"/>
        <v>132220</v>
      </c>
      <c r="G1375" s="87">
        <v>207220</v>
      </c>
      <c r="H1375" s="87"/>
      <c r="I1375" s="38">
        <f t="shared" si="649"/>
        <v>207220</v>
      </c>
      <c r="J1375" s="63">
        <v>35500</v>
      </c>
      <c r="K1375" s="87"/>
      <c r="L1375" s="63">
        <f t="shared" si="650"/>
        <v>35500</v>
      </c>
      <c r="M1375" s="218">
        <f t="shared" si="641"/>
        <v>26.849190742701555</v>
      </c>
      <c r="N1375" s="218">
        <f t="shared" si="642"/>
        <v>26.849190742701555</v>
      </c>
      <c r="O1375" s="218">
        <f t="shared" si="643"/>
        <v>17.131551008589906</v>
      </c>
      <c r="P1375" s="218">
        <f t="shared" si="647"/>
        <v>17.131551008589906</v>
      </c>
    </row>
    <row r="1376" spans="1:16" s="3" customFormat="1" ht="12.75" customHeight="1">
      <c r="A1376" s="354" t="s">
        <v>756</v>
      </c>
      <c r="B1376" s="66" t="s">
        <v>757</v>
      </c>
      <c r="C1376" s="311" t="s">
        <v>1636</v>
      </c>
      <c r="D1376" s="67">
        <v>15710</v>
      </c>
      <c r="E1376" s="67"/>
      <c r="F1376" s="67">
        <f t="shared" si="648"/>
        <v>15710</v>
      </c>
      <c r="G1376" s="61">
        <v>18400</v>
      </c>
      <c r="H1376" s="61"/>
      <c r="I1376" s="61">
        <f t="shared" si="649"/>
        <v>18400</v>
      </c>
      <c r="J1376" s="67">
        <v>10420</v>
      </c>
      <c r="K1376" s="67"/>
      <c r="L1376" s="67">
        <f t="shared" si="650"/>
        <v>10420</v>
      </c>
      <c r="M1376" s="273">
        <f t="shared" si="641"/>
        <v>66.327180140038195</v>
      </c>
      <c r="N1376" s="273">
        <f t="shared" si="642"/>
        <v>66.327180140038195</v>
      </c>
      <c r="O1376" s="273">
        <f t="shared" si="643"/>
        <v>56.630434782608695</v>
      </c>
      <c r="P1376" s="273">
        <f t="shared" si="647"/>
        <v>56.630434782608695</v>
      </c>
    </row>
    <row r="1377" spans="1:16" s="3" customFormat="1" ht="12.75" customHeight="1">
      <c r="A1377" s="80" t="s">
        <v>772</v>
      </c>
      <c r="B1377" s="79" t="s">
        <v>766</v>
      </c>
      <c r="C1377" s="302" t="s">
        <v>1637</v>
      </c>
      <c r="D1377" s="76">
        <v>3170</v>
      </c>
      <c r="E1377" s="76"/>
      <c r="F1377" s="76">
        <f>SUM(D1377:E1377)</f>
        <v>3170</v>
      </c>
      <c r="G1377" s="116">
        <v>3170</v>
      </c>
      <c r="H1377" s="116"/>
      <c r="I1377" s="116">
        <f t="shared" si="649"/>
        <v>3170</v>
      </c>
      <c r="J1377" s="76">
        <v>2100</v>
      </c>
      <c r="K1377" s="76"/>
      <c r="L1377" s="76">
        <f>SUM(J1377:K1377)</f>
        <v>2100</v>
      </c>
      <c r="M1377" s="226">
        <f t="shared" si="641"/>
        <v>66.246056782334378</v>
      </c>
      <c r="N1377" s="226">
        <f t="shared" si="642"/>
        <v>66.246056782334378</v>
      </c>
      <c r="O1377" s="226">
        <f t="shared" si="643"/>
        <v>66.246056782334378</v>
      </c>
      <c r="P1377" s="226">
        <f t="shared" si="647"/>
        <v>66.246056782334378</v>
      </c>
    </row>
    <row r="1378" spans="1:16" s="3" customFormat="1" ht="12.75" customHeight="1">
      <c r="A1378" s="36" t="s">
        <v>2482</v>
      </c>
      <c r="B1378" s="33" t="s">
        <v>2369</v>
      </c>
      <c r="C1378" s="211" t="s">
        <v>2441</v>
      </c>
      <c r="D1378" s="63"/>
      <c r="E1378" s="63"/>
      <c r="F1378" s="63"/>
      <c r="G1378" s="38"/>
      <c r="H1378" s="38"/>
      <c r="I1378" s="38"/>
      <c r="J1378" s="63">
        <v>2100</v>
      </c>
      <c r="K1378" s="63"/>
      <c r="L1378" s="63">
        <f>SUM(J1378:K1378)</f>
        <v>2100</v>
      </c>
      <c r="M1378" s="218" t="str">
        <f t="shared" si="641"/>
        <v/>
      </c>
      <c r="N1378" s="218" t="str">
        <f t="shared" si="642"/>
        <v/>
      </c>
      <c r="O1378" s="218" t="str">
        <f t="shared" si="643"/>
        <v/>
      </c>
      <c r="P1378" s="218"/>
    </row>
    <row r="1379" spans="1:16" s="3" customFormat="1" ht="12.75" customHeight="1">
      <c r="A1379" s="36" t="s">
        <v>375</v>
      </c>
      <c r="B1379" s="33" t="s">
        <v>150</v>
      </c>
      <c r="C1379" s="211" t="s">
        <v>1639</v>
      </c>
      <c r="D1379" s="63">
        <v>13000</v>
      </c>
      <c r="E1379" s="63"/>
      <c r="F1379" s="63">
        <f>SUM(D1379:E1379)</f>
        <v>13000</v>
      </c>
      <c r="G1379" s="38">
        <v>38000</v>
      </c>
      <c r="H1379" s="38"/>
      <c r="I1379" s="38">
        <f>SUM(G1379:H1379)</f>
        <v>38000</v>
      </c>
      <c r="J1379" s="63">
        <v>14000</v>
      </c>
      <c r="K1379" s="63"/>
      <c r="L1379" s="63">
        <f>SUM(J1379:K1379)</f>
        <v>14000</v>
      </c>
      <c r="M1379" s="218">
        <f t="shared" si="641"/>
        <v>107.69230769230769</v>
      </c>
      <c r="N1379" s="218">
        <f t="shared" si="642"/>
        <v>107.69230769230769</v>
      </c>
      <c r="O1379" s="218">
        <f t="shared" si="643"/>
        <v>36.84210526315789</v>
      </c>
      <c r="P1379" s="218">
        <f>IF(I1379&gt;0,IF(L1379&gt;=0,L1379/I1379*100,""),"")</f>
        <v>36.84210526315789</v>
      </c>
    </row>
    <row r="1380" spans="1:16" s="3" customFormat="1" ht="12.75" customHeight="1">
      <c r="A1380" s="36" t="s">
        <v>843</v>
      </c>
      <c r="B1380" s="211" t="s">
        <v>813</v>
      </c>
      <c r="C1380" s="211" t="s">
        <v>1640</v>
      </c>
      <c r="D1380" s="63"/>
      <c r="E1380" s="63"/>
      <c r="F1380" s="48">
        <f>SUM(D1380:E1380)</f>
        <v>0</v>
      </c>
      <c r="G1380" s="38">
        <v>12000</v>
      </c>
      <c r="H1380" s="38"/>
      <c r="I1380" s="38">
        <f t="shared" si="649"/>
        <v>12000</v>
      </c>
      <c r="J1380" s="63"/>
      <c r="K1380" s="63"/>
      <c r="L1380" s="48">
        <f>SUM(J1380:K1380)</f>
        <v>0</v>
      </c>
      <c r="M1380" s="219" t="str">
        <f t="shared" si="641"/>
        <v/>
      </c>
      <c r="N1380" s="219" t="str">
        <f t="shared" si="642"/>
        <v/>
      </c>
      <c r="O1380" s="219">
        <f t="shared" si="643"/>
        <v>0</v>
      </c>
      <c r="P1380" s="219">
        <f t="shared" si="647"/>
        <v>0</v>
      </c>
    </row>
    <row r="1381" spans="1:16" s="3" customFormat="1" ht="12.75" customHeight="1">
      <c r="A1381" s="36" t="s">
        <v>839</v>
      </c>
      <c r="B1381" s="211" t="s">
        <v>698</v>
      </c>
      <c r="C1381" s="211" t="s">
        <v>1638</v>
      </c>
      <c r="D1381" s="63">
        <v>2100</v>
      </c>
      <c r="E1381" s="63"/>
      <c r="F1381" s="63">
        <f>SUM(D1381:E1381)</f>
        <v>2100</v>
      </c>
      <c r="G1381" s="38">
        <v>2870</v>
      </c>
      <c r="H1381" s="38"/>
      <c r="I1381" s="38">
        <f t="shared" si="649"/>
        <v>2870</v>
      </c>
      <c r="J1381" s="63"/>
      <c r="K1381" s="63"/>
      <c r="L1381" s="63">
        <f>SUM(J1381:K1381)</f>
        <v>0</v>
      </c>
      <c r="M1381" s="218">
        <f t="shared" si="641"/>
        <v>0</v>
      </c>
      <c r="N1381" s="218">
        <f t="shared" si="642"/>
        <v>0</v>
      </c>
      <c r="O1381" s="218">
        <f t="shared" si="643"/>
        <v>0</v>
      </c>
      <c r="P1381" s="218">
        <f t="shared" si="647"/>
        <v>0</v>
      </c>
    </row>
    <row r="1382" spans="1:16" s="3" customFormat="1" ht="12.75" customHeight="1">
      <c r="A1382" s="36" t="s">
        <v>2069</v>
      </c>
      <c r="B1382" s="211" t="s">
        <v>2070</v>
      </c>
      <c r="C1382" s="211" t="s">
        <v>2188</v>
      </c>
      <c r="D1382" s="63"/>
      <c r="E1382" s="63"/>
      <c r="F1382" s="63"/>
      <c r="G1382" s="38">
        <v>25000</v>
      </c>
      <c r="H1382" s="38"/>
      <c r="I1382" s="38">
        <f t="shared" si="649"/>
        <v>25000</v>
      </c>
      <c r="J1382" s="63"/>
      <c r="K1382" s="63"/>
      <c r="L1382" s="63"/>
      <c r="M1382" s="218" t="str">
        <f t="shared" si="641"/>
        <v/>
      </c>
      <c r="N1382" s="218" t="str">
        <f t="shared" si="642"/>
        <v/>
      </c>
      <c r="O1382" s="218">
        <f t="shared" si="643"/>
        <v>0</v>
      </c>
      <c r="P1382" s="218"/>
    </row>
    <row r="1383" spans="1:16" s="3" customFormat="1" ht="12.75" customHeight="1">
      <c r="A1383" s="36" t="s">
        <v>2347</v>
      </c>
      <c r="B1383" s="211" t="s">
        <v>2346</v>
      </c>
      <c r="C1383" s="211" t="s">
        <v>2241</v>
      </c>
      <c r="D1383" s="63"/>
      <c r="E1383" s="63"/>
      <c r="F1383" s="63"/>
      <c r="G1383" s="38">
        <v>14000</v>
      </c>
      <c r="H1383" s="38"/>
      <c r="I1383" s="38">
        <f t="shared" si="649"/>
        <v>14000</v>
      </c>
      <c r="J1383" s="63"/>
      <c r="K1383" s="63"/>
      <c r="L1383" s="63"/>
      <c r="M1383" s="218" t="str">
        <f t="shared" si="641"/>
        <v/>
      </c>
      <c r="N1383" s="218" t="str">
        <f t="shared" si="642"/>
        <v/>
      </c>
      <c r="O1383" s="218">
        <f t="shared" si="643"/>
        <v>0</v>
      </c>
      <c r="P1383" s="218"/>
    </row>
    <row r="1384" spans="1:16" s="3" customFormat="1" ht="6" customHeight="1">
      <c r="A1384" s="36"/>
      <c r="B1384" s="33"/>
      <c r="C1384" s="211" t="s">
        <v>268</v>
      </c>
      <c r="D1384" s="63"/>
      <c r="E1384" s="63"/>
      <c r="F1384" s="63"/>
      <c r="G1384" s="38"/>
      <c r="H1384" s="38"/>
      <c r="I1384" s="38"/>
      <c r="J1384" s="63"/>
      <c r="K1384" s="63"/>
      <c r="L1384" s="63"/>
      <c r="M1384" s="218" t="str">
        <f t="shared" si="641"/>
        <v/>
      </c>
      <c r="N1384" s="218" t="str">
        <f t="shared" si="642"/>
        <v/>
      </c>
      <c r="O1384" s="218" t="str">
        <f t="shared" si="643"/>
        <v/>
      </c>
      <c r="P1384" s="218" t="str">
        <f t="shared" ref="P1384:P1390" si="651">IF(I1384&gt;0,IF(L1384&gt;=0,L1384/I1384*100,""),"")</f>
        <v/>
      </c>
    </row>
    <row r="1385" spans="1:16" s="11" customFormat="1" ht="12.75">
      <c r="A1385" s="58" t="s">
        <v>396</v>
      </c>
      <c r="B1385" s="65" t="s">
        <v>265</v>
      </c>
      <c r="C1385" s="308" t="s">
        <v>940</v>
      </c>
      <c r="D1385" s="42">
        <f>SUM(D1387:D1391)</f>
        <v>5089990</v>
      </c>
      <c r="E1385" s="42">
        <f>SUM(E1387:E1391)</f>
        <v>0</v>
      </c>
      <c r="F1385" s="42">
        <f>SUM(D1385:E1385)</f>
        <v>5089990</v>
      </c>
      <c r="G1385" s="55">
        <f>SUM(G1387:G1391)</f>
        <v>5351915</v>
      </c>
      <c r="H1385" s="55">
        <f>SUM(H1387:H1391)</f>
        <v>0</v>
      </c>
      <c r="I1385" s="55">
        <f t="shared" ref="I1385:I1391" si="652">SUM(G1385:H1385)</f>
        <v>5351915</v>
      </c>
      <c r="J1385" s="42">
        <f>SUM(J1387:J1391)</f>
        <v>5696320</v>
      </c>
      <c r="K1385" s="42">
        <f>SUM(K1387:K1391)</f>
        <v>0</v>
      </c>
      <c r="L1385" s="42">
        <f t="shared" ref="L1385:L1391" si="653">SUM(J1385:K1385)</f>
        <v>5696320</v>
      </c>
      <c r="M1385" s="225">
        <f t="shared" si="641"/>
        <v>111.91220414971346</v>
      </c>
      <c r="N1385" s="225">
        <f t="shared" si="642"/>
        <v>111.91220414971346</v>
      </c>
      <c r="O1385" s="225">
        <f t="shared" si="643"/>
        <v>106.4351732043577</v>
      </c>
      <c r="P1385" s="225">
        <f t="shared" si="651"/>
        <v>106.4351732043577</v>
      </c>
    </row>
    <row r="1386" spans="1:16" s="11" customFormat="1" hidden="1">
      <c r="A1386" s="80" t="s">
        <v>267</v>
      </c>
      <c r="B1386" s="184"/>
      <c r="C1386" s="320" t="s">
        <v>268</v>
      </c>
      <c r="D1386" s="116">
        <f>SUM(D1387:D1391)</f>
        <v>5089990</v>
      </c>
      <c r="E1386" s="111"/>
      <c r="F1386" s="63">
        <f>SUM(D1386:E1386)</f>
        <v>5089990</v>
      </c>
      <c r="G1386" s="116">
        <f>SUM(G1387:G1391)</f>
        <v>5351915</v>
      </c>
      <c r="H1386" s="193"/>
      <c r="I1386" s="38">
        <f t="shared" si="652"/>
        <v>5351915</v>
      </c>
      <c r="J1386" s="63">
        <f>SUM(J1387:J1391)</f>
        <v>5696320</v>
      </c>
      <c r="K1386" s="111"/>
      <c r="L1386" s="63">
        <f t="shared" si="653"/>
        <v>5696320</v>
      </c>
      <c r="M1386" s="218">
        <f t="shared" si="641"/>
        <v>111.91220414971346</v>
      </c>
      <c r="N1386" s="218">
        <f t="shared" si="642"/>
        <v>111.91220414971346</v>
      </c>
      <c r="O1386" s="218">
        <f t="shared" si="643"/>
        <v>106.4351732043577</v>
      </c>
      <c r="P1386" s="218">
        <f t="shared" si="651"/>
        <v>106.4351732043577</v>
      </c>
    </row>
    <row r="1387" spans="1:16" s="11" customFormat="1" ht="12.75" customHeight="1">
      <c r="A1387" s="36" t="s">
        <v>180</v>
      </c>
      <c r="B1387" s="33" t="s">
        <v>419</v>
      </c>
      <c r="C1387" s="211" t="s">
        <v>1641</v>
      </c>
      <c r="D1387" s="38">
        <v>5083990</v>
      </c>
      <c r="E1387" s="38"/>
      <c r="F1387" s="63">
        <f>SUM(D1387:E1387)</f>
        <v>5083990</v>
      </c>
      <c r="G1387" s="38">
        <v>5265915</v>
      </c>
      <c r="H1387" s="38"/>
      <c r="I1387" s="38">
        <f t="shared" si="652"/>
        <v>5265915</v>
      </c>
      <c r="J1387" s="63">
        <v>5677320</v>
      </c>
      <c r="K1387" s="38"/>
      <c r="L1387" s="63">
        <f t="shared" si="653"/>
        <v>5677320</v>
      </c>
      <c r="M1387" s="218">
        <f t="shared" si="641"/>
        <v>111.67055796726586</v>
      </c>
      <c r="N1387" s="218">
        <f t="shared" si="642"/>
        <v>111.67055796726586</v>
      </c>
      <c r="O1387" s="218">
        <f t="shared" si="643"/>
        <v>107.81260236824939</v>
      </c>
      <c r="P1387" s="218">
        <f t="shared" si="651"/>
        <v>107.81260236824939</v>
      </c>
    </row>
    <row r="1388" spans="1:16" s="3" customFormat="1" ht="12.75" customHeight="1">
      <c r="A1388" s="36" t="s">
        <v>2073</v>
      </c>
      <c r="B1388" s="33" t="s">
        <v>624</v>
      </c>
      <c r="C1388" s="211" t="s">
        <v>2189</v>
      </c>
      <c r="D1388" s="63"/>
      <c r="E1388" s="63"/>
      <c r="F1388" s="63"/>
      <c r="G1388" s="38">
        <v>10000</v>
      </c>
      <c r="H1388" s="38"/>
      <c r="I1388" s="38">
        <f>SUM(G1388:H1388)</f>
        <v>10000</v>
      </c>
      <c r="J1388" s="63">
        <v>12000</v>
      </c>
      <c r="K1388" s="63"/>
      <c r="L1388" s="63">
        <f>SUM(J1388:K1388)</f>
        <v>12000</v>
      </c>
      <c r="M1388" s="218" t="str">
        <f t="shared" si="641"/>
        <v/>
      </c>
      <c r="N1388" s="218" t="str">
        <f t="shared" si="642"/>
        <v/>
      </c>
      <c r="O1388" s="218">
        <f t="shared" si="643"/>
        <v>120</v>
      </c>
      <c r="P1388" s="218"/>
    </row>
    <row r="1389" spans="1:16" s="3" customFormat="1" ht="12.75" customHeight="1">
      <c r="A1389" s="36" t="s">
        <v>375</v>
      </c>
      <c r="B1389" s="33" t="s">
        <v>150</v>
      </c>
      <c r="C1389" s="211" t="s">
        <v>1642</v>
      </c>
      <c r="D1389" s="63">
        <v>6000</v>
      </c>
      <c r="E1389" s="63"/>
      <c r="F1389" s="63">
        <f>SUM(D1389:E1389)</f>
        <v>6000</v>
      </c>
      <c r="G1389" s="38">
        <v>6000</v>
      </c>
      <c r="H1389" s="38"/>
      <c r="I1389" s="38">
        <f>SUM(G1389:H1389)</f>
        <v>6000</v>
      </c>
      <c r="J1389" s="63">
        <v>7000</v>
      </c>
      <c r="K1389" s="63"/>
      <c r="L1389" s="63">
        <f>SUM(J1389:K1389)</f>
        <v>7000</v>
      </c>
      <c r="M1389" s="218">
        <f t="shared" si="641"/>
        <v>116.66666666666667</v>
      </c>
      <c r="N1389" s="218">
        <f t="shared" si="642"/>
        <v>116.66666666666667</v>
      </c>
      <c r="O1389" s="218">
        <f t="shared" si="643"/>
        <v>116.66666666666667</v>
      </c>
      <c r="P1389" s="218">
        <f>IF(I1389&gt;0,IF(L1389&gt;=0,L1389/I1389*100,""),"")</f>
        <v>116.66666666666667</v>
      </c>
    </row>
    <row r="1390" spans="1:16" s="11" customFormat="1" ht="12.75" customHeight="1">
      <c r="A1390" s="36" t="s">
        <v>368</v>
      </c>
      <c r="B1390" s="211" t="s">
        <v>418</v>
      </c>
      <c r="C1390" s="211" t="s">
        <v>1643</v>
      </c>
      <c r="D1390" s="38"/>
      <c r="E1390" s="38"/>
      <c r="F1390" s="63"/>
      <c r="G1390" s="38">
        <v>38000</v>
      </c>
      <c r="H1390" s="38"/>
      <c r="I1390" s="38">
        <f t="shared" si="652"/>
        <v>38000</v>
      </c>
      <c r="J1390" s="63"/>
      <c r="K1390" s="38"/>
      <c r="L1390" s="63">
        <f t="shared" si="653"/>
        <v>0</v>
      </c>
      <c r="M1390" s="218" t="str">
        <f t="shared" si="641"/>
        <v/>
      </c>
      <c r="N1390" s="218" t="str">
        <f t="shared" si="642"/>
        <v/>
      </c>
      <c r="O1390" s="218">
        <f t="shared" si="643"/>
        <v>0</v>
      </c>
      <c r="P1390" s="218">
        <f t="shared" si="651"/>
        <v>0</v>
      </c>
    </row>
    <row r="1391" spans="1:16" s="3" customFormat="1" ht="12.75" customHeight="1">
      <c r="A1391" s="36" t="s">
        <v>2347</v>
      </c>
      <c r="B1391" s="211" t="s">
        <v>2346</v>
      </c>
      <c r="C1391" s="211" t="s">
        <v>2240</v>
      </c>
      <c r="D1391" s="63"/>
      <c r="E1391" s="63"/>
      <c r="F1391" s="63"/>
      <c r="G1391" s="38">
        <v>32000</v>
      </c>
      <c r="H1391" s="38"/>
      <c r="I1391" s="38">
        <f t="shared" si="652"/>
        <v>32000</v>
      </c>
      <c r="J1391" s="63"/>
      <c r="K1391" s="63"/>
      <c r="L1391" s="63">
        <f t="shared" si="653"/>
        <v>0</v>
      </c>
      <c r="M1391" s="218" t="str">
        <f t="shared" si="641"/>
        <v/>
      </c>
      <c r="N1391" s="218" t="str">
        <f t="shared" si="642"/>
        <v/>
      </c>
      <c r="O1391" s="218">
        <f t="shared" si="643"/>
        <v>0</v>
      </c>
      <c r="P1391" s="218"/>
    </row>
    <row r="1392" spans="1:16" s="3" customFormat="1" ht="6" customHeight="1">
      <c r="A1392" s="36"/>
      <c r="B1392" s="33"/>
      <c r="C1392" s="211" t="s">
        <v>268</v>
      </c>
      <c r="D1392" s="63"/>
      <c r="E1392" s="63"/>
      <c r="F1392" s="63"/>
      <c r="G1392" s="38"/>
      <c r="H1392" s="38"/>
      <c r="I1392" s="38"/>
      <c r="J1392" s="63"/>
      <c r="K1392" s="63"/>
      <c r="L1392" s="63"/>
      <c r="M1392" s="218" t="str">
        <f t="shared" si="641"/>
        <v/>
      </c>
      <c r="N1392" s="218" t="str">
        <f t="shared" si="642"/>
        <v/>
      </c>
      <c r="O1392" s="218" t="str">
        <f t="shared" si="643"/>
        <v/>
      </c>
      <c r="P1392" s="218" t="str">
        <f t="shared" ref="P1392:P1401" si="654">IF(I1392&gt;0,IF(L1392&gt;=0,L1392/I1392*100,""),"")</f>
        <v/>
      </c>
    </row>
    <row r="1393" spans="1:16" s="11" customFormat="1" ht="25.5">
      <c r="A1393" s="41" t="s">
        <v>841</v>
      </c>
      <c r="B1393" s="65" t="s">
        <v>265</v>
      </c>
      <c r="C1393" s="308" t="s">
        <v>940</v>
      </c>
      <c r="D1393" s="42">
        <f>SUM(D1395:D1402)</f>
        <v>3971310</v>
      </c>
      <c r="E1393" s="42">
        <f>SUM(E1395:E1402)</f>
        <v>0</v>
      </c>
      <c r="F1393" s="42">
        <f t="shared" ref="F1393" si="655">SUM(D1393:E1393)</f>
        <v>3971310</v>
      </c>
      <c r="G1393" s="55">
        <f>SUM(G1395:G1403)</f>
        <v>4318101</v>
      </c>
      <c r="H1393" s="55">
        <f>SUM(H1395:H1402)</f>
        <v>0</v>
      </c>
      <c r="I1393" s="55">
        <f t="shared" ref="I1393:I1425" si="656">SUM(G1393:H1393)</f>
        <v>4318101</v>
      </c>
      <c r="J1393" s="42">
        <f>SUM(J1395:J1403)</f>
        <v>4448030</v>
      </c>
      <c r="K1393" s="42">
        <f>SUM(K1395:K1402)</f>
        <v>0</v>
      </c>
      <c r="L1393" s="42">
        <f t="shared" ref="L1393:L1395" si="657">SUM(J1393:K1393)</f>
        <v>4448030</v>
      </c>
      <c r="M1393" s="225">
        <f t="shared" si="641"/>
        <v>112.00409940296778</v>
      </c>
      <c r="N1393" s="225">
        <f t="shared" si="642"/>
        <v>112.00409940296778</v>
      </c>
      <c r="O1393" s="225">
        <f t="shared" si="643"/>
        <v>103.00893841992117</v>
      </c>
      <c r="P1393" s="225">
        <f t="shared" si="654"/>
        <v>103.00893841992117</v>
      </c>
    </row>
    <row r="1394" spans="1:16" s="11" customFormat="1" ht="12.75" customHeight="1">
      <c r="A1394" s="80" t="s">
        <v>267</v>
      </c>
      <c r="B1394" s="184"/>
      <c r="C1394" s="320" t="s">
        <v>268</v>
      </c>
      <c r="D1394" s="85">
        <f>SUM(D1395:D1402)</f>
        <v>3971310</v>
      </c>
      <c r="E1394" s="111"/>
      <c r="F1394" s="85">
        <f>SUM(D1394:E1394)</f>
        <v>3971310</v>
      </c>
      <c r="G1394" s="116">
        <f>SUM(G1395:G1402)</f>
        <v>4303701</v>
      </c>
      <c r="H1394" s="193"/>
      <c r="I1394" s="85">
        <f t="shared" si="656"/>
        <v>4303701</v>
      </c>
      <c r="J1394" s="85">
        <f>SUM(J1395:J1402)</f>
        <v>4448030</v>
      </c>
      <c r="K1394" s="111"/>
      <c r="L1394" s="85">
        <f>SUM(J1394:K1394)</f>
        <v>4448030</v>
      </c>
      <c r="M1394" s="238">
        <f t="shared" si="641"/>
        <v>112.00409940296778</v>
      </c>
      <c r="N1394" s="238">
        <f t="shared" si="642"/>
        <v>112.00409940296778</v>
      </c>
      <c r="O1394" s="238">
        <f t="shared" si="643"/>
        <v>103.35360193470689</v>
      </c>
      <c r="P1394" s="238">
        <f t="shared" si="654"/>
        <v>103.35360193470689</v>
      </c>
    </row>
    <row r="1395" spans="1:16" s="11" customFormat="1" ht="12.75" customHeight="1">
      <c r="A1395" s="36" t="s">
        <v>180</v>
      </c>
      <c r="B1395" s="33" t="s">
        <v>419</v>
      </c>
      <c r="C1395" s="211" t="s">
        <v>1644</v>
      </c>
      <c r="D1395" s="38">
        <v>3935850</v>
      </c>
      <c r="E1395" s="38"/>
      <c r="F1395" s="85">
        <f t="shared" ref="F1395" si="658">SUM(D1395:E1395)</f>
        <v>3935850</v>
      </c>
      <c r="G1395" s="38">
        <v>3977181</v>
      </c>
      <c r="H1395" s="38"/>
      <c r="I1395" s="85">
        <f t="shared" si="656"/>
        <v>3977181</v>
      </c>
      <c r="J1395" s="63">
        <v>4427770</v>
      </c>
      <c r="K1395" s="38"/>
      <c r="L1395" s="85">
        <f t="shared" si="657"/>
        <v>4427770</v>
      </c>
      <c r="M1395" s="238">
        <f t="shared" si="641"/>
        <v>112.49844379231932</v>
      </c>
      <c r="N1395" s="238">
        <f t="shared" si="642"/>
        <v>112.49844379231932</v>
      </c>
      <c r="O1395" s="238">
        <f t="shared" si="643"/>
        <v>111.32935614446512</v>
      </c>
      <c r="P1395" s="238">
        <f t="shared" si="654"/>
        <v>111.32935614446512</v>
      </c>
    </row>
    <row r="1396" spans="1:16" s="11" customFormat="1" ht="12.75" customHeight="1">
      <c r="A1396" s="36" t="s">
        <v>762</v>
      </c>
      <c r="B1396" s="33" t="s">
        <v>763</v>
      </c>
      <c r="C1396" s="211" t="s">
        <v>1645</v>
      </c>
      <c r="D1396" s="38">
        <v>15440</v>
      </c>
      <c r="E1396" s="38"/>
      <c r="F1396" s="85">
        <f>SUM(D1396:E1396)</f>
        <v>15440</v>
      </c>
      <c r="G1396" s="38">
        <v>13020</v>
      </c>
      <c r="H1396" s="38"/>
      <c r="I1396" s="85">
        <f>SUM(G1396:H1396)</f>
        <v>13020</v>
      </c>
      <c r="J1396" s="63">
        <v>5440</v>
      </c>
      <c r="K1396" s="38"/>
      <c r="L1396" s="85">
        <f t="shared" ref="L1396:L1401" si="659">SUM(J1396:K1396)</f>
        <v>5440</v>
      </c>
      <c r="M1396" s="238">
        <f t="shared" si="641"/>
        <v>35.233160621761655</v>
      </c>
      <c r="N1396" s="238">
        <f t="shared" si="642"/>
        <v>35.233160621761655</v>
      </c>
      <c r="O1396" s="238">
        <f t="shared" si="643"/>
        <v>41.781874039938558</v>
      </c>
      <c r="P1396" s="238">
        <f>IF(I1396&gt;0,IF(L1396&gt;=0,L1396/I1396*100,""),"")</f>
        <v>41.781874039938558</v>
      </c>
    </row>
    <row r="1397" spans="1:16" s="11" customFormat="1" ht="24">
      <c r="A1397" s="36" t="s">
        <v>764</v>
      </c>
      <c r="B1397" s="33" t="s">
        <v>765</v>
      </c>
      <c r="C1397" s="211" t="s">
        <v>1646</v>
      </c>
      <c r="D1397" s="38">
        <v>12920</v>
      </c>
      <c r="E1397" s="38"/>
      <c r="F1397" s="85">
        <f>SUM(D1397:E1397)</f>
        <v>12920</v>
      </c>
      <c r="G1397" s="38">
        <v>20700</v>
      </c>
      <c r="H1397" s="38"/>
      <c r="I1397" s="85">
        <f>SUM(G1397:H1397)</f>
        <v>20700</v>
      </c>
      <c r="J1397" s="63">
        <v>6720</v>
      </c>
      <c r="K1397" s="38"/>
      <c r="L1397" s="85">
        <f t="shared" si="659"/>
        <v>6720</v>
      </c>
      <c r="M1397" s="238">
        <f t="shared" si="641"/>
        <v>52.012383900928796</v>
      </c>
      <c r="N1397" s="238">
        <f t="shared" si="642"/>
        <v>52.012383900928796</v>
      </c>
      <c r="O1397" s="238">
        <f t="shared" si="643"/>
        <v>32.463768115942024</v>
      </c>
      <c r="P1397" s="238">
        <f>IF(I1397&gt;0,IF(L1397&gt;=0,L1397/I1397*100,""),"")</f>
        <v>32.463768115942024</v>
      </c>
    </row>
    <row r="1398" spans="1:16" s="11" customFormat="1" ht="12.75" customHeight="1">
      <c r="A1398" s="36" t="s">
        <v>2482</v>
      </c>
      <c r="B1398" s="33" t="s">
        <v>2369</v>
      </c>
      <c r="C1398" s="211" t="s">
        <v>2442</v>
      </c>
      <c r="D1398" s="38"/>
      <c r="E1398" s="38"/>
      <c r="F1398" s="85"/>
      <c r="G1398" s="38"/>
      <c r="H1398" s="38"/>
      <c r="I1398" s="85"/>
      <c r="J1398" s="63">
        <v>2100</v>
      </c>
      <c r="K1398" s="38"/>
      <c r="L1398" s="85">
        <f t="shared" si="659"/>
        <v>2100</v>
      </c>
      <c r="M1398" s="238" t="str">
        <f t="shared" si="641"/>
        <v/>
      </c>
      <c r="N1398" s="238" t="str">
        <f t="shared" si="642"/>
        <v/>
      </c>
      <c r="O1398" s="238" t="str">
        <f t="shared" si="643"/>
        <v/>
      </c>
      <c r="P1398" s="238"/>
    </row>
    <row r="1399" spans="1:16" s="3" customFormat="1" ht="12.75" customHeight="1">
      <c r="A1399" s="36" t="s">
        <v>375</v>
      </c>
      <c r="B1399" s="33" t="s">
        <v>150</v>
      </c>
      <c r="C1399" s="211" t="s">
        <v>1648</v>
      </c>
      <c r="D1399" s="38">
        <v>5000</v>
      </c>
      <c r="E1399" s="38"/>
      <c r="F1399" s="85">
        <f>SUM(D1399:E1399)</f>
        <v>5000</v>
      </c>
      <c r="G1399" s="38">
        <v>224100</v>
      </c>
      <c r="H1399" s="38"/>
      <c r="I1399" s="85">
        <f>SUM(G1399:H1399)</f>
        <v>224100</v>
      </c>
      <c r="J1399" s="63">
        <v>6000</v>
      </c>
      <c r="K1399" s="38"/>
      <c r="L1399" s="85">
        <f t="shared" si="659"/>
        <v>6000</v>
      </c>
      <c r="M1399" s="238">
        <f t="shared" si="641"/>
        <v>120</v>
      </c>
      <c r="N1399" s="238">
        <f t="shared" si="642"/>
        <v>120</v>
      </c>
      <c r="O1399" s="238">
        <f t="shared" si="643"/>
        <v>2.677376171352075</v>
      </c>
      <c r="P1399" s="238">
        <f>IF(I1399&gt;0,IF(L1399&gt;=0,L1399/I1399*100,""),"")</f>
        <v>2.677376171352075</v>
      </c>
    </row>
    <row r="1400" spans="1:16" s="11" customFormat="1" ht="12.75" customHeight="1">
      <c r="A1400" s="36" t="s">
        <v>368</v>
      </c>
      <c r="B1400" s="211" t="s">
        <v>418</v>
      </c>
      <c r="C1400" s="211" t="s">
        <v>1649</v>
      </c>
      <c r="D1400" s="38"/>
      <c r="E1400" s="38"/>
      <c r="F1400" s="85"/>
      <c r="G1400" s="38">
        <v>47000</v>
      </c>
      <c r="H1400" s="38"/>
      <c r="I1400" s="85">
        <f t="shared" si="656"/>
        <v>47000</v>
      </c>
      <c r="J1400" s="63"/>
      <c r="K1400" s="38"/>
      <c r="L1400" s="85">
        <f t="shared" si="659"/>
        <v>0</v>
      </c>
      <c r="M1400" s="238" t="str">
        <f t="shared" si="641"/>
        <v/>
      </c>
      <c r="N1400" s="238" t="str">
        <f t="shared" si="642"/>
        <v/>
      </c>
      <c r="O1400" s="238">
        <f t="shared" si="643"/>
        <v>0</v>
      </c>
      <c r="P1400" s="238">
        <f t="shared" si="654"/>
        <v>0</v>
      </c>
    </row>
    <row r="1401" spans="1:16" s="3" customFormat="1" ht="12.75" customHeight="1">
      <c r="A1401" s="36" t="s">
        <v>835</v>
      </c>
      <c r="B1401" s="211" t="s">
        <v>698</v>
      </c>
      <c r="C1401" s="211" t="s">
        <v>1647</v>
      </c>
      <c r="D1401" s="63">
        <v>2100</v>
      </c>
      <c r="E1401" s="63"/>
      <c r="F1401" s="48">
        <f>SUM(D1401:E1401)</f>
        <v>2100</v>
      </c>
      <c r="G1401" s="38">
        <v>4200</v>
      </c>
      <c r="H1401" s="38"/>
      <c r="I1401" s="85">
        <f t="shared" si="656"/>
        <v>4200</v>
      </c>
      <c r="J1401" s="63"/>
      <c r="K1401" s="63"/>
      <c r="L1401" s="48">
        <f t="shared" si="659"/>
        <v>0</v>
      </c>
      <c r="M1401" s="219">
        <f t="shared" si="641"/>
        <v>0</v>
      </c>
      <c r="N1401" s="219">
        <f t="shared" si="642"/>
        <v>0</v>
      </c>
      <c r="O1401" s="219">
        <f t="shared" si="643"/>
        <v>0</v>
      </c>
      <c r="P1401" s="219">
        <f t="shared" si="654"/>
        <v>0</v>
      </c>
    </row>
    <row r="1402" spans="1:16" s="3" customFormat="1" ht="12.75" customHeight="1">
      <c r="A1402" s="36" t="s">
        <v>358</v>
      </c>
      <c r="B1402" s="211" t="s">
        <v>417</v>
      </c>
      <c r="C1402" s="211" t="s">
        <v>2236</v>
      </c>
      <c r="D1402" s="63"/>
      <c r="E1402" s="63"/>
      <c r="F1402" s="48"/>
      <c r="G1402" s="38">
        <v>17500</v>
      </c>
      <c r="H1402" s="38"/>
      <c r="I1402" s="85">
        <f t="shared" si="656"/>
        <v>17500</v>
      </c>
      <c r="J1402" s="63"/>
      <c r="K1402" s="63"/>
      <c r="L1402" s="48"/>
      <c r="M1402" s="219" t="str">
        <f t="shared" si="641"/>
        <v/>
      </c>
      <c r="N1402" s="219" t="str">
        <f t="shared" si="642"/>
        <v/>
      </c>
      <c r="O1402" s="219">
        <f t="shared" si="643"/>
        <v>0</v>
      </c>
      <c r="P1402" s="219"/>
    </row>
    <row r="1403" spans="1:16" s="11" customFormat="1" ht="12.75" customHeight="1">
      <c r="A1403" s="36" t="s">
        <v>791</v>
      </c>
      <c r="B1403" s="211" t="s">
        <v>151</v>
      </c>
      <c r="C1403" s="211" t="s">
        <v>2235</v>
      </c>
      <c r="D1403" s="38"/>
      <c r="E1403" s="38"/>
      <c r="F1403" s="63"/>
      <c r="G1403" s="38">
        <v>14400</v>
      </c>
      <c r="H1403" s="38"/>
      <c r="I1403" s="85">
        <f t="shared" si="656"/>
        <v>14400</v>
      </c>
      <c r="J1403" s="38"/>
      <c r="K1403" s="38"/>
      <c r="L1403" s="63"/>
      <c r="M1403" s="218" t="str">
        <f t="shared" si="641"/>
        <v/>
      </c>
      <c r="N1403" s="218" t="str">
        <f t="shared" si="642"/>
        <v/>
      </c>
      <c r="O1403" s="218">
        <f t="shared" si="643"/>
        <v>0</v>
      </c>
      <c r="P1403" s="218"/>
    </row>
    <row r="1404" spans="1:16" s="3" customFormat="1" ht="6" customHeight="1">
      <c r="A1404" s="36"/>
      <c r="B1404" s="33"/>
      <c r="C1404" s="211" t="s">
        <v>268</v>
      </c>
      <c r="D1404" s="63"/>
      <c r="E1404" s="63"/>
      <c r="F1404" s="89">
        <f t="shared" ref="F1404" si="660">SUM(D1404:E1404)</f>
        <v>0</v>
      </c>
      <c r="G1404" s="38"/>
      <c r="H1404" s="38"/>
      <c r="I1404" s="266">
        <f t="shared" si="656"/>
        <v>0</v>
      </c>
      <c r="J1404" s="89"/>
      <c r="K1404" s="63"/>
      <c r="L1404" s="89">
        <f t="shared" ref="L1404" si="661">SUM(J1404:K1404)</f>
        <v>0</v>
      </c>
      <c r="M1404" s="239" t="str">
        <f t="shared" si="641"/>
        <v/>
      </c>
      <c r="N1404" s="239" t="str">
        <f t="shared" si="642"/>
        <v/>
      </c>
      <c r="O1404" s="239" t="str">
        <f t="shared" si="643"/>
        <v/>
      </c>
      <c r="P1404" s="239" t="str">
        <f>IF(I1404&gt;0,IF(L1404&gt;=0,L1404/I1404*100,""),"")</f>
        <v/>
      </c>
    </row>
    <row r="1405" spans="1:16" s="3" customFormat="1" ht="12.75">
      <c r="A1405" s="58" t="s">
        <v>337</v>
      </c>
      <c r="B1405" s="65" t="s">
        <v>265</v>
      </c>
      <c r="C1405" s="308" t="s">
        <v>940</v>
      </c>
      <c r="D1405" s="86">
        <f>SUM(D1407:D1412)</f>
        <v>2785690</v>
      </c>
      <c r="E1405" s="86">
        <f>SUM(E1407:E1411)</f>
        <v>0</v>
      </c>
      <c r="F1405" s="86">
        <f>SUM(D1405:E1405)</f>
        <v>2785690</v>
      </c>
      <c r="G1405" s="262">
        <f>SUM(G1407:G1412)</f>
        <v>4062530</v>
      </c>
      <c r="H1405" s="262">
        <f>SUM(H1407:H1411)</f>
        <v>0</v>
      </c>
      <c r="I1405" s="262">
        <f t="shared" si="656"/>
        <v>4062530</v>
      </c>
      <c r="J1405" s="86">
        <f>SUM(J1407:J1412)</f>
        <v>4809330</v>
      </c>
      <c r="K1405" s="86">
        <f>SUM(K1407:K1411)</f>
        <v>0</v>
      </c>
      <c r="L1405" s="86">
        <f>SUM(J1405:K1405)</f>
        <v>4809330</v>
      </c>
      <c r="M1405" s="236">
        <f t="shared" si="641"/>
        <v>172.64412048720425</v>
      </c>
      <c r="N1405" s="236">
        <f t="shared" si="642"/>
        <v>172.64412048720425</v>
      </c>
      <c r="O1405" s="236">
        <f t="shared" si="643"/>
        <v>118.38263348209122</v>
      </c>
      <c r="P1405" s="236">
        <f>IF(I1405&gt;0,IF(L1405&gt;=0,L1405/I1405*100,""),"")</f>
        <v>118.38263348209122</v>
      </c>
    </row>
    <row r="1406" spans="1:16" s="3" customFormat="1" hidden="1">
      <c r="A1406" s="80" t="s">
        <v>267</v>
      </c>
      <c r="B1406" s="184"/>
      <c r="C1406" s="320" t="s">
        <v>268</v>
      </c>
      <c r="D1406" s="87">
        <f>SUM(D1407:D1412)</f>
        <v>2785690</v>
      </c>
      <c r="E1406" s="95"/>
      <c r="F1406" s="63">
        <f>SUM(D1406:E1406)</f>
        <v>2785690</v>
      </c>
      <c r="G1406" s="87">
        <f>SUM(G1407:G1412)</f>
        <v>4062530</v>
      </c>
      <c r="H1406" s="261"/>
      <c r="I1406" s="38">
        <f t="shared" si="656"/>
        <v>4062530</v>
      </c>
      <c r="J1406" s="87">
        <f>SUM(J1407:J1412)</f>
        <v>4809330</v>
      </c>
      <c r="K1406" s="95"/>
      <c r="L1406" s="63">
        <f>SUM(J1406:K1406)</f>
        <v>4809330</v>
      </c>
      <c r="M1406" s="218">
        <f t="shared" si="641"/>
        <v>172.64412048720425</v>
      </c>
      <c r="N1406" s="218">
        <f t="shared" si="642"/>
        <v>172.64412048720425</v>
      </c>
      <c r="O1406" s="218">
        <f t="shared" si="643"/>
        <v>118.38263348209122</v>
      </c>
      <c r="P1406" s="218">
        <f>IF(I1406&gt;0,IF(L1406&gt;=0,L1406/I1406*100,""),"")</f>
        <v>118.38263348209122</v>
      </c>
    </row>
    <row r="1407" spans="1:16" s="3" customFormat="1" ht="12.75" customHeight="1">
      <c r="A1407" s="36" t="s">
        <v>180</v>
      </c>
      <c r="B1407" s="33" t="s">
        <v>419</v>
      </c>
      <c r="C1407" s="211" t="s">
        <v>1650</v>
      </c>
      <c r="D1407" s="87">
        <v>2778690</v>
      </c>
      <c r="E1407" s="95"/>
      <c r="F1407" s="63">
        <f>SUM(D1407:E1407)</f>
        <v>2778690</v>
      </c>
      <c r="G1407" s="87">
        <v>3872530</v>
      </c>
      <c r="H1407" s="261"/>
      <c r="I1407" s="38">
        <f t="shared" si="656"/>
        <v>3872530</v>
      </c>
      <c r="J1407" s="63">
        <v>4795330</v>
      </c>
      <c r="K1407" s="95"/>
      <c r="L1407" s="63">
        <f t="shared" ref="L1407:L1412" si="662">SUM(J1407:K1407)</f>
        <v>4795330</v>
      </c>
      <c r="M1407" s="218">
        <f t="shared" si="641"/>
        <v>172.57520630225034</v>
      </c>
      <c r="N1407" s="218">
        <f t="shared" si="642"/>
        <v>172.57520630225034</v>
      </c>
      <c r="O1407" s="218">
        <f t="shared" si="643"/>
        <v>123.82938285823479</v>
      </c>
      <c r="P1407" s="218">
        <f>IF(I1407&gt;0,IF(L1407&gt;=0,L1407/I1407*100,""),"")</f>
        <v>123.82938285823479</v>
      </c>
    </row>
    <row r="1408" spans="1:16" s="3" customFormat="1" ht="12.75" customHeight="1">
      <c r="A1408" s="36" t="s">
        <v>2073</v>
      </c>
      <c r="B1408" s="33" t="s">
        <v>624</v>
      </c>
      <c r="C1408" s="211" t="s">
        <v>2190</v>
      </c>
      <c r="D1408" s="87"/>
      <c r="E1408" s="95"/>
      <c r="F1408" s="63"/>
      <c r="G1408" s="87">
        <v>5000</v>
      </c>
      <c r="H1408" s="261"/>
      <c r="I1408" s="38">
        <f>SUM(G1408:H1408)</f>
        <v>5000</v>
      </c>
      <c r="J1408" s="63">
        <v>6000</v>
      </c>
      <c r="K1408" s="95"/>
      <c r="L1408" s="63">
        <f>SUM(J1408:K1408)</f>
        <v>6000</v>
      </c>
      <c r="M1408" s="218" t="str">
        <f t="shared" si="641"/>
        <v/>
      </c>
      <c r="N1408" s="218" t="str">
        <f t="shared" si="642"/>
        <v/>
      </c>
      <c r="O1408" s="218">
        <f t="shared" si="643"/>
        <v>120</v>
      </c>
      <c r="P1408" s="218"/>
    </row>
    <row r="1409" spans="1:16" s="3" customFormat="1" ht="12.75" customHeight="1">
      <c r="A1409" s="36" t="s">
        <v>375</v>
      </c>
      <c r="B1409" s="33" t="s">
        <v>150</v>
      </c>
      <c r="C1409" s="211" t="s">
        <v>1651</v>
      </c>
      <c r="D1409" s="87">
        <v>7000</v>
      </c>
      <c r="E1409" s="95"/>
      <c r="F1409" s="63">
        <f>SUM(D1409:E1409)</f>
        <v>7000</v>
      </c>
      <c r="G1409" s="87">
        <v>88000</v>
      </c>
      <c r="H1409" s="261"/>
      <c r="I1409" s="38">
        <f>SUM(G1409:H1409)</f>
        <v>88000</v>
      </c>
      <c r="J1409" s="63">
        <v>8000</v>
      </c>
      <c r="K1409" s="95"/>
      <c r="L1409" s="63">
        <f>SUM(J1409:K1409)</f>
        <v>8000</v>
      </c>
      <c r="M1409" s="218">
        <f t="shared" si="641"/>
        <v>114.28571428571428</v>
      </c>
      <c r="N1409" s="218">
        <f t="shared" si="642"/>
        <v>114.28571428571428</v>
      </c>
      <c r="O1409" s="218">
        <f t="shared" si="643"/>
        <v>9.0909090909090917</v>
      </c>
      <c r="P1409" s="218">
        <f>IF(I1409&gt;0,IF(L1409&gt;=0,L1409/I1409*100,""),"")</f>
        <v>9.0909090909090917</v>
      </c>
    </row>
    <row r="1410" spans="1:16" s="3" customFormat="1" ht="12.75" customHeight="1">
      <c r="A1410" s="36" t="s">
        <v>368</v>
      </c>
      <c r="B1410" s="211" t="s">
        <v>418</v>
      </c>
      <c r="C1410" s="211" t="s">
        <v>1652</v>
      </c>
      <c r="D1410" s="87"/>
      <c r="E1410" s="95"/>
      <c r="F1410" s="63"/>
      <c r="G1410" s="87">
        <v>30000</v>
      </c>
      <c r="H1410" s="261"/>
      <c r="I1410" s="38">
        <f t="shared" si="656"/>
        <v>30000</v>
      </c>
      <c r="J1410" s="63"/>
      <c r="K1410" s="95"/>
      <c r="L1410" s="63">
        <f t="shared" si="662"/>
        <v>0</v>
      </c>
      <c r="M1410" s="218" t="str">
        <f t="shared" si="641"/>
        <v/>
      </c>
      <c r="N1410" s="218" t="str">
        <f t="shared" si="642"/>
        <v/>
      </c>
      <c r="O1410" s="218">
        <f t="shared" si="643"/>
        <v>0</v>
      </c>
      <c r="P1410" s="218">
        <f>IF(I1410&gt;0,IF(L1410&gt;=0,L1410/I1410*100,""),"")</f>
        <v>0</v>
      </c>
    </row>
    <row r="1411" spans="1:16" s="3" customFormat="1" ht="12.75" customHeight="1">
      <c r="A1411" s="36" t="s">
        <v>358</v>
      </c>
      <c r="B1411" s="211" t="s">
        <v>417</v>
      </c>
      <c r="C1411" s="211" t="s">
        <v>2238</v>
      </c>
      <c r="D1411" s="87"/>
      <c r="E1411" s="95"/>
      <c r="F1411" s="63"/>
      <c r="G1411" s="87">
        <v>35000</v>
      </c>
      <c r="H1411" s="261"/>
      <c r="I1411" s="38">
        <f t="shared" si="656"/>
        <v>35000</v>
      </c>
      <c r="J1411" s="63"/>
      <c r="K1411" s="95"/>
      <c r="L1411" s="63">
        <f t="shared" si="662"/>
        <v>0</v>
      </c>
      <c r="M1411" s="218" t="str">
        <f t="shared" si="641"/>
        <v/>
      </c>
      <c r="N1411" s="218" t="str">
        <f t="shared" si="642"/>
        <v/>
      </c>
      <c r="O1411" s="218">
        <f t="shared" si="643"/>
        <v>0</v>
      </c>
      <c r="P1411" s="218"/>
    </row>
    <row r="1412" spans="1:16" s="3" customFormat="1" ht="12.75" customHeight="1">
      <c r="A1412" s="36" t="s">
        <v>2347</v>
      </c>
      <c r="B1412" s="211" t="s">
        <v>2346</v>
      </c>
      <c r="C1412" s="211" t="s">
        <v>2237</v>
      </c>
      <c r="D1412" s="87"/>
      <c r="E1412" s="95"/>
      <c r="F1412" s="63"/>
      <c r="G1412" s="87">
        <v>32000</v>
      </c>
      <c r="H1412" s="261"/>
      <c r="I1412" s="38">
        <f t="shared" si="656"/>
        <v>32000</v>
      </c>
      <c r="J1412" s="63"/>
      <c r="K1412" s="95"/>
      <c r="L1412" s="63">
        <f t="shared" si="662"/>
        <v>0</v>
      </c>
      <c r="M1412" s="218" t="str">
        <f t="shared" si="641"/>
        <v/>
      </c>
      <c r="N1412" s="218" t="str">
        <f t="shared" si="642"/>
        <v/>
      </c>
      <c r="O1412" s="218">
        <f t="shared" si="643"/>
        <v>0</v>
      </c>
      <c r="P1412" s="218"/>
    </row>
    <row r="1413" spans="1:16" s="3" customFormat="1" ht="6" customHeight="1">
      <c r="A1413" s="36"/>
      <c r="B1413" s="33"/>
      <c r="C1413" s="211" t="s">
        <v>268</v>
      </c>
      <c r="D1413" s="63"/>
      <c r="E1413" s="63"/>
      <c r="F1413" s="63"/>
      <c r="G1413" s="38"/>
      <c r="H1413" s="38"/>
      <c r="I1413" s="38">
        <f t="shared" si="656"/>
        <v>0</v>
      </c>
      <c r="J1413" s="63"/>
      <c r="K1413" s="63"/>
      <c r="L1413" s="63"/>
      <c r="M1413" s="218" t="str">
        <f t="shared" si="641"/>
        <v/>
      </c>
      <c r="N1413" s="218" t="str">
        <f t="shared" si="642"/>
        <v/>
      </c>
      <c r="O1413" s="218" t="str">
        <f t="shared" si="643"/>
        <v/>
      </c>
      <c r="P1413" s="218" t="str">
        <f t="shared" ref="P1413:P1422" si="663">IF(I1413&gt;0,IF(L1413&gt;=0,L1413/I1413*100,""),"")</f>
        <v/>
      </c>
    </row>
    <row r="1414" spans="1:16" s="3" customFormat="1" ht="25.5">
      <c r="A1414" s="58" t="s">
        <v>842</v>
      </c>
      <c r="B1414" s="65" t="s">
        <v>265</v>
      </c>
      <c r="C1414" s="308" t="s">
        <v>940</v>
      </c>
      <c r="D1414" s="42">
        <f>SUM(D1416:D1425)</f>
        <v>25867550</v>
      </c>
      <c r="E1414" s="42">
        <f>SUM(E1416:E1424)</f>
        <v>0</v>
      </c>
      <c r="F1414" s="42">
        <f t="shared" ref="F1414:F1416" si="664">SUM(D1414:E1414)</f>
        <v>25867550</v>
      </c>
      <c r="G1414" s="55">
        <f>SUM(G1416:G1425)</f>
        <v>26771151</v>
      </c>
      <c r="H1414" s="55">
        <f>SUM(H1416:H1424)</f>
        <v>0</v>
      </c>
      <c r="I1414" s="55">
        <f t="shared" si="656"/>
        <v>26771151</v>
      </c>
      <c r="J1414" s="42">
        <f>SUM(J1416:J1425)</f>
        <v>27335920</v>
      </c>
      <c r="K1414" s="42">
        <f>SUM(K1416:K1424)</f>
        <v>0</v>
      </c>
      <c r="L1414" s="42">
        <f t="shared" ref="L1414:L1415" si="665">SUM(J1414:K1414)</f>
        <v>27335920</v>
      </c>
      <c r="M1414" s="225">
        <f t="shared" si="641"/>
        <v>105.67649429497574</v>
      </c>
      <c r="N1414" s="225">
        <f t="shared" si="642"/>
        <v>105.67649429497574</v>
      </c>
      <c r="O1414" s="225">
        <f t="shared" si="643"/>
        <v>102.10961792416022</v>
      </c>
      <c r="P1414" s="225">
        <f t="shared" si="663"/>
        <v>102.10961792416022</v>
      </c>
    </row>
    <row r="1415" spans="1:16" s="3" customFormat="1" ht="12.75" customHeight="1">
      <c r="A1415" s="80" t="s">
        <v>267</v>
      </c>
      <c r="B1415" s="79"/>
      <c r="C1415" s="302" t="s">
        <v>268</v>
      </c>
      <c r="D1415" s="63">
        <f>SUM(D1416:D1424)</f>
        <v>25867550</v>
      </c>
      <c r="E1415" s="113">
        <f>SUM(E1416:E1424)</f>
        <v>0</v>
      </c>
      <c r="F1415" s="63">
        <f t="shared" si="664"/>
        <v>25867550</v>
      </c>
      <c r="G1415" s="187">
        <f>SUM(G1416:G1424)</f>
        <v>26743651</v>
      </c>
      <c r="H1415" s="187">
        <f>SUM(H1416:H1424)</f>
        <v>0</v>
      </c>
      <c r="I1415" s="38">
        <f t="shared" si="656"/>
        <v>26743651</v>
      </c>
      <c r="J1415" s="113">
        <f>SUM(J1416:J1424)</f>
        <v>27335920</v>
      </c>
      <c r="K1415" s="113">
        <f>SUM(K1416:K1424)</f>
        <v>0</v>
      </c>
      <c r="L1415" s="63">
        <f t="shared" si="665"/>
        <v>27335920</v>
      </c>
      <c r="M1415" s="218">
        <f t="shared" si="641"/>
        <v>105.67649429497574</v>
      </c>
      <c r="N1415" s="218">
        <f t="shared" si="642"/>
        <v>105.67649429497574</v>
      </c>
      <c r="O1415" s="218">
        <f t="shared" si="643"/>
        <v>102.2146153492655</v>
      </c>
      <c r="P1415" s="218">
        <f t="shared" si="663"/>
        <v>102.2146153492655</v>
      </c>
    </row>
    <row r="1416" spans="1:16" s="3" customFormat="1" ht="12.75" customHeight="1">
      <c r="A1416" s="36" t="s">
        <v>180</v>
      </c>
      <c r="B1416" s="33" t="s">
        <v>419</v>
      </c>
      <c r="C1416" s="211" t="s">
        <v>1653</v>
      </c>
      <c r="D1416" s="63">
        <v>25727050</v>
      </c>
      <c r="E1416" s="63"/>
      <c r="F1416" s="63">
        <f t="shared" si="664"/>
        <v>25727050</v>
      </c>
      <c r="G1416" s="38">
        <v>26177010</v>
      </c>
      <c r="H1416" s="38"/>
      <c r="I1416" s="38">
        <f t="shared" si="656"/>
        <v>26177010</v>
      </c>
      <c r="J1416" s="63">
        <v>26968530</v>
      </c>
      <c r="K1416" s="63"/>
      <c r="L1416" s="63">
        <f t="shared" ref="L1416" si="666">SUM(J1416:K1416)</f>
        <v>26968530</v>
      </c>
      <c r="M1416" s="218">
        <f t="shared" si="641"/>
        <v>104.8255824122859</v>
      </c>
      <c r="N1416" s="218">
        <f t="shared" si="642"/>
        <v>104.8255824122859</v>
      </c>
      <c r="O1416" s="218">
        <f t="shared" si="643"/>
        <v>103.0237219606059</v>
      </c>
      <c r="P1416" s="218">
        <f t="shared" si="663"/>
        <v>103.0237219606059</v>
      </c>
    </row>
    <row r="1417" spans="1:16" s="3" customFormat="1" ht="12.75" customHeight="1">
      <c r="A1417" s="36" t="s">
        <v>13</v>
      </c>
      <c r="B1417" s="33" t="s">
        <v>10</v>
      </c>
      <c r="C1417" s="211" t="s">
        <v>1656</v>
      </c>
      <c r="D1417" s="63">
        <v>16500</v>
      </c>
      <c r="E1417" s="63"/>
      <c r="F1417" s="63">
        <f>SUM(D1417:E1417)</f>
        <v>16500</v>
      </c>
      <c r="G1417" s="38">
        <v>16500</v>
      </c>
      <c r="H1417" s="38"/>
      <c r="I1417" s="38">
        <f>SUM(G1417:H1417)</f>
        <v>16500</v>
      </c>
      <c r="J1417" s="63">
        <v>122390</v>
      </c>
      <c r="K1417" s="63"/>
      <c r="L1417" s="63">
        <f>SUM(J1417:K1417)</f>
        <v>122390</v>
      </c>
      <c r="M1417" s="218">
        <f t="shared" si="641"/>
        <v>741.75757575757575</v>
      </c>
      <c r="N1417" s="218">
        <f t="shared" si="642"/>
        <v>741.75757575757575</v>
      </c>
      <c r="O1417" s="218">
        <f t="shared" si="643"/>
        <v>741.75757575757575</v>
      </c>
      <c r="P1417" s="218">
        <f>IF(I1417&gt;0,IF(L1417&gt;=0,L1417/I1417*100,""),"")</f>
        <v>741.75757575757575</v>
      </c>
    </row>
    <row r="1418" spans="1:16" s="3" customFormat="1" ht="12.75" customHeight="1">
      <c r="A1418" s="36" t="s">
        <v>2071</v>
      </c>
      <c r="B1418" s="33" t="s">
        <v>2072</v>
      </c>
      <c r="C1418" s="211" t="s">
        <v>2268</v>
      </c>
      <c r="D1418" s="63"/>
      <c r="E1418" s="63"/>
      <c r="F1418" s="63"/>
      <c r="G1418" s="38">
        <v>13000</v>
      </c>
      <c r="H1418" s="38"/>
      <c r="I1418" s="38">
        <f>SUM(G1418:H1418)</f>
        <v>13000</v>
      </c>
      <c r="J1418" s="63">
        <v>156000</v>
      </c>
      <c r="K1418" s="63"/>
      <c r="L1418" s="63">
        <f>SUM(J1418:K1418)</f>
        <v>156000</v>
      </c>
      <c r="M1418" s="218" t="str">
        <f t="shared" si="641"/>
        <v/>
      </c>
      <c r="N1418" s="218" t="str">
        <f t="shared" si="642"/>
        <v/>
      </c>
      <c r="O1418" s="218">
        <f t="shared" si="643"/>
        <v>1200</v>
      </c>
      <c r="P1418" s="218"/>
    </row>
    <row r="1419" spans="1:16" s="3" customFormat="1" ht="12.75" customHeight="1">
      <c r="A1419" s="36" t="s">
        <v>651</v>
      </c>
      <c r="B1419" s="33" t="s">
        <v>650</v>
      </c>
      <c r="C1419" s="211" t="s">
        <v>1654</v>
      </c>
      <c r="D1419" s="63">
        <v>67000</v>
      </c>
      <c r="E1419" s="63"/>
      <c r="F1419" s="63">
        <f>SUM(D1419:E1419)</f>
        <v>67000</v>
      </c>
      <c r="G1419" s="38">
        <v>67000</v>
      </c>
      <c r="H1419" s="38"/>
      <c r="I1419" s="38">
        <f>SUM(G1419:H1419)</f>
        <v>67000</v>
      </c>
      <c r="J1419" s="63">
        <v>67000</v>
      </c>
      <c r="K1419" s="63"/>
      <c r="L1419" s="63">
        <f>SUM(J1419:K1419)</f>
        <v>67000</v>
      </c>
      <c r="M1419" s="218">
        <f t="shared" si="641"/>
        <v>100</v>
      </c>
      <c r="N1419" s="218">
        <f t="shared" si="642"/>
        <v>100</v>
      </c>
      <c r="O1419" s="218">
        <f t="shared" si="643"/>
        <v>100</v>
      </c>
      <c r="P1419" s="218">
        <f>IF(I1419&gt;0,IF(L1419&gt;=0,L1419/I1419*100,""),"")</f>
        <v>100</v>
      </c>
    </row>
    <row r="1420" spans="1:16" s="3" customFormat="1" ht="12.75" customHeight="1">
      <c r="A1420" s="46" t="s">
        <v>375</v>
      </c>
      <c r="B1420" s="33" t="s">
        <v>150</v>
      </c>
      <c r="C1420" s="211" t="s">
        <v>1657</v>
      </c>
      <c r="D1420" s="63">
        <v>21000</v>
      </c>
      <c r="E1420" s="63"/>
      <c r="F1420" s="63">
        <f>SUM(D1420:E1420)</f>
        <v>21000</v>
      </c>
      <c r="G1420" s="38">
        <v>316000</v>
      </c>
      <c r="H1420" s="38"/>
      <c r="I1420" s="38">
        <f>SUM(G1420:H1420)</f>
        <v>316000</v>
      </c>
      <c r="J1420" s="63">
        <v>22000</v>
      </c>
      <c r="K1420" s="63"/>
      <c r="L1420" s="63">
        <f>SUM(J1420:K1420)</f>
        <v>22000</v>
      </c>
      <c r="M1420" s="218">
        <f t="shared" si="641"/>
        <v>104.76190476190477</v>
      </c>
      <c r="N1420" s="218">
        <f t="shared" si="642"/>
        <v>104.76190476190477</v>
      </c>
      <c r="O1420" s="218">
        <f t="shared" si="643"/>
        <v>6.962025316455696</v>
      </c>
      <c r="P1420" s="218">
        <f>IF(I1420&gt;0,IF(L1420&gt;=0,L1420/I1420*100,""),"")</f>
        <v>6.962025316455696</v>
      </c>
    </row>
    <row r="1421" spans="1:16" s="3" customFormat="1" ht="12.75" customHeight="1">
      <c r="A1421" s="46" t="s">
        <v>368</v>
      </c>
      <c r="B1421" s="211" t="s">
        <v>418</v>
      </c>
      <c r="C1421" s="211" t="s">
        <v>1658</v>
      </c>
      <c r="D1421" s="63"/>
      <c r="E1421" s="63"/>
      <c r="F1421" s="63">
        <f>SUM(D1421:E1421)</f>
        <v>0</v>
      </c>
      <c r="G1421" s="38">
        <v>101021</v>
      </c>
      <c r="H1421" s="38"/>
      <c r="I1421" s="38">
        <f t="shared" si="656"/>
        <v>101021</v>
      </c>
      <c r="J1421" s="63"/>
      <c r="K1421" s="63"/>
      <c r="L1421" s="63">
        <f>SUM(J1421:K1421)</f>
        <v>0</v>
      </c>
      <c r="M1421" s="218" t="str">
        <f t="shared" si="641"/>
        <v/>
      </c>
      <c r="N1421" s="218" t="str">
        <f t="shared" si="642"/>
        <v/>
      </c>
      <c r="O1421" s="218">
        <f t="shared" si="643"/>
        <v>0</v>
      </c>
      <c r="P1421" s="218">
        <f t="shared" si="663"/>
        <v>0</v>
      </c>
    </row>
    <row r="1422" spans="1:16" s="3" customFormat="1" ht="12.75" customHeight="1">
      <c r="A1422" s="36" t="s">
        <v>843</v>
      </c>
      <c r="B1422" s="211" t="s">
        <v>813</v>
      </c>
      <c r="C1422" s="211" t="s">
        <v>1655</v>
      </c>
      <c r="D1422" s="63">
        <v>36000</v>
      </c>
      <c r="E1422" s="63"/>
      <c r="F1422" s="63">
        <f>SUM(D1422:E1422)</f>
        <v>36000</v>
      </c>
      <c r="G1422" s="38">
        <v>36000</v>
      </c>
      <c r="H1422" s="38"/>
      <c r="I1422" s="38">
        <f t="shared" si="656"/>
        <v>36000</v>
      </c>
      <c r="J1422" s="63"/>
      <c r="K1422" s="63"/>
      <c r="L1422" s="63">
        <f t="shared" ref="L1422:L1424" si="667">SUM(J1422:K1422)</f>
        <v>0</v>
      </c>
      <c r="M1422" s="218">
        <f t="shared" si="641"/>
        <v>0</v>
      </c>
      <c r="N1422" s="218">
        <f t="shared" si="642"/>
        <v>0</v>
      </c>
      <c r="O1422" s="218">
        <f t="shared" si="643"/>
        <v>0</v>
      </c>
      <c r="P1422" s="218">
        <f t="shared" si="663"/>
        <v>0</v>
      </c>
    </row>
    <row r="1423" spans="1:16" s="3" customFormat="1" ht="12.75" customHeight="1">
      <c r="A1423" s="36" t="s">
        <v>2069</v>
      </c>
      <c r="B1423" s="211" t="s">
        <v>2070</v>
      </c>
      <c r="C1423" s="211" t="s">
        <v>2191</v>
      </c>
      <c r="D1423" s="63"/>
      <c r="E1423" s="63"/>
      <c r="F1423" s="63"/>
      <c r="G1423" s="38">
        <v>3120</v>
      </c>
      <c r="H1423" s="38"/>
      <c r="I1423" s="38">
        <f t="shared" si="656"/>
        <v>3120</v>
      </c>
      <c r="J1423" s="63"/>
      <c r="K1423" s="63"/>
      <c r="L1423" s="63">
        <f t="shared" si="667"/>
        <v>0</v>
      </c>
      <c r="M1423" s="218" t="str">
        <f t="shared" ref="M1423:M1486" si="668">IF(D1423&gt;0,IF(J1423&gt;=0,J1423/D1423*100,""),"")</f>
        <v/>
      </c>
      <c r="N1423" s="218" t="str">
        <f t="shared" ref="N1423:N1486" si="669">IF(F1423&gt;0,IF(L1423&gt;=0,L1423/F1423*100,""),"")</f>
        <v/>
      </c>
      <c r="O1423" s="218">
        <f t="shared" ref="O1423:O1486" si="670">IF(G1423&gt;0,IF(J1423&gt;=0,J1423/G1423*100,""),"")</f>
        <v>0</v>
      </c>
      <c r="P1423" s="218"/>
    </row>
    <row r="1424" spans="1:16" s="3" customFormat="1" ht="12.75" customHeight="1">
      <c r="A1424" s="46" t="s">
        <v>2347</v>
      </c>
      <c r="B1424" s="211" t="s">
        <v>2346</v>
      </c>
      <c r="C1424" s="211" t="s">
        <v>2267</v>
      </c>
      <c r="D1424" s="63"/>
      <c r="E1424" s="63"/>
      <c r="F1424" s="63"/>
      <c r="G1424" s="38">
        <v>14000</v>
      </c>
      <c r="H1424" s="38"/>
      <c r="I1424" s="38">
        <f t="shared" si="656"/>
        <v>14000</v>
      </c>
      <c r="J1424" s="63"/>
      <c r="K1424" s="63"/>
      <c r="L1424" s="63">
        <f t="shared" si="667"/>
        <v>0</v>
      </c>
      <c r="M1424" s="218" t="str">
        <f t="shared" si="668"/>
        <v/>
      </c>
      <c r="N1424" s="218" t="str">
        <f t="shared" si="669"/>
        <v/>
      </c>
      <c r="O1424" s="218">
        <f t="shared" si="670"/>
        <v>0</v>
      </c>
      <c r="P1424" s="218"/>
    </row>
    <row r="1425" spans="1:16" s="3" customFormat="1" ht="12.75" customHeight="1">
      <c r="A1425" s="36" t="s">
        <v>791</v>
      </c>
      <c r="B1425" s="211" t="s">
        <v>151</v>
      </c>
      <c r="C1425" s="211" t="s">
        <v>1659</v>
      </c>
      <c r="D1425" s="63"/>
      <c r="E1425" s="63"/>
      <c r="F1425" s="63"/>
      <c r="G1425" s="38">
        <v>27500</v>
      </c>
      <c r="H1425" s="38"/>
      <c r="I1425" s="38">
        <f t="shared" si="656"/>
        <v>27500</v>
      </c>
      <c r="J1425" s="63"/>
      <c r="K1425" s="63"/>
      <c r="L1425" s="63">
        <f t="shared" ref="L1425:L1428" si="671">SUM(J1425:K1425)</f>
        <v>0</v>
      </c>
      <c r="M1425" s="218" t="str">
        <f t="shared" si="668"/>
        <v/>
      </c>
      <c r="N1425" s="218" t="str">
        <f t="shared" si="669"/>
        <v/>
      </c>
      <c r="O1425" s="218">
        <f t="shared" si="670"/>
        <v>0</v>
      </c>
      <c r="P1425" s="218">
        <f t="shared" ref="P1425:P1436" si="672">IF(I1425&gt;0,IF(L1425&gt;=0,L1425/I1425*100,""),"")</f>
        <v>0</v>
      </c>
    </row>
    <row r="1426" spans="1:16" s="3" customFormat="1" ht="6" customHeight="1">
      <c r="A1426" s="46"/>
      <c r="B1426" s="33"/>
      <c r="C1426" s="211" t="s">
        <v>268</v>
      </c>
      <c r="D1426" s="63"/>
      <c r="E1426" s="63"/>
      <c r="F1426" s="63"/>
      <c r="G1426" s="38"/>
      <c r="H1426" s="38"/>
      <c r="I1426" s="38"/>
      <c r="J1426" s="63"/>
      <c r="K1426" s="63"/>
      <c r="L1426" s="63">
        <f t="shared" si="671"/>
        <v>0</v>
      </c>
      <c r="M1426" s="218" t="str">
        <f t="shared" si="668"/>
        <v/>
      </c>
      <c r="N1426" s="218" t="str">
        <f t="shared" si="669"/>
        <v/>
      </c>
      <c r="O1426" s="218" t="str">
        <f t="shared" si="670"/>
        <v/>
      </c>
      <c r="P1426" s="218" t="str">
        <f t="shared" si="672"/>
        <v/>
      </c>
    </row>
    <row r="1427" spans="1:16" s="11" customFormat="1" ht="12.75">
      <c r="A1427" s="58" t="s">
        <v>97</v>
      </c>
      <c r="B1427" s="65" t="s">
        <v>265</v>
      </c>
      <c r="C1427" s="308" t="s">
        <v>940</v>
      </c>
      <c r="D1427" s="42">
        <f>SUM(D1429:D1439)</f>
        <v>8395300</v>
      </c>
      <c r="E1427" s="42">
        <f>SUM(E1429:E1440)</f>
        <v>0</v>
      </c>
      <c r="F1427" s="42">
        <f t="shared" ref="F1427:F1429" si="673">SUM(D1427:E1427)</f>
        <v>8395300</v>
      </c>
      <c r="G1427" s="55">
        <f>SUM(G1429:G1439)</f>
        <v>8759810</v>
      </c>
      <c r="H1427" s="55">
        <f>SUM(H1429:H1440)</f>
        <v>0</v>
      </c>
      <c r="I1427" s="55">
        <f t="shared" ref="I1427:I1457" si="674">SUM(G1427:H1427)</f>
        <v>8759810</v>
      </c>
      <c r="J1427" s="42">
        <f>SUM(J1429:J1439)</f>
        <v>8962950</v>
      </c>
      <c r="K1427" s="42">
        <f>SUM(K1429:K1440)</f>
        <v>0</v>
      </c>
      <c r="L1427" s="42">
        <f t="shared" si="671"/>
        <v>8962950</v>
      </c>
      <c r="M1427" s="225">
        <f t="shared" si="668"/>
        <v>106.7615213274094</v>
      </c>
      <c r="N1427" s="225">
        <f t="shared" si="669"/>
        <v>106.7615213274094</v>
      </c>
      <c r="O1427" s="225">
        <f t="shared" si="670"/>
        <v>102.31900006963622</v>
      </c>
      <c r="P1427" s="225">
        <f t="shared" si="672"/>
        <v>102.31900006963622</v>
      </c>
    </row>
    <row r="1428" spans="1:16" s="11" customFormat="1" ht="12.75" customHeight="1">
      <c r="A1428" s="36" t="s">
        <v>267</v>
      </c>
      <c r="B1428" s="92"/>
      <c r="C1428" s="312" t="s">
        <v>268</v>
      </c>
      <c r="D1428" s="38">
        <f>SUM(D1429:D1438)</f>
        <v>8395300</v>
      </c>
      <c r="E1428" s="77"/>
      <c r="F1428" s="63">
        <f t="shared" si="673"/>
        <v>8395300</v>
      </c>
      <c r="G1428" s="38">
        <f>SUM(G1429:G1438)</f>
        <v>8732310</v>
      </c>
      <c r="H1428" s="109"/>
      <c r="I1428" s="38">
        <f t="shared" si="674"/>
        <v>8732310</v>
      </c>
      <c r="J1428" s="38">
        <f>SUM(J1429:J1438)</f>
        <v>8962950</v>
      </c>
      <c r="K1428" s="77"/>
      <c r="L1428" s="63">
        <f t="shared" si="671"/>
        <v>8962950</v>
      </c>
      <c r="M1428" s="218">
        <f t="shared" si="668"/>
        <v>106.7615213274094</v>
      </c>
      <c r="N1428" s="218">
        <f t="shared" si="669"/>
        <v>106.7615213274094</v>
      </c>
      <c r="O1428" s="218">
        <f t="shared" si="670"/>
        <v>102.64122551764655</v>
      </c>
      <c r="P1428" s="218">
        <f t="shared" si="672"/>
        <v>102.64122551764655</v>
      </c>
    </row>
    <row r="1429" spans="1:16" s="11" customFormat="1" ht="12.75" customHeight="1">
      <c r="A1429" s="36" t="s">
        <v>180</v>
      </c>
      <c r="B1429" s="33" t="s">
        <v>419</v>
      </c>
      <c r="C1429" s="211" t="s">
        <v>1660</v>
      </c>
      <c r="D1429" s="38">
        <v>8055650</v>
      </c>
      <c r="E1429" s="38"/>
      <c r="F1429" s="63">
        <f t="shared" si="673"/>
        <v>8055650</v>
      </c>
      <c r="G1429" s="38">
        <v>8183650</v>
      </c>
      <c r="H1429" s="38"/>
      <c r="I1429" s="38">
        <f t="shared" si="674"/>
        <v>8183650</v>
      </c>
      <c r="J1429" s="63">
        <v>8491660</v>
      </c>
      <c r="K1429" s="38"/>
      <c r="L1429" s="63">
        <f t="shared" ref="L1429:L1436" si="675">SUM(J1429:K1429)</f>
        <v>8491660</v>
      </c>
      <c r="M1429" s="218">
        <f t="shared" si="668"/>
        <v>105.4124744744372</v>
      </c>
      <c r="N1429" s="218">
        <f t="shared" si="669"/>
        <v>105.4124744744372</v>
      </c>
      <c r="O1429" s="218">
        <f t="shared" si="670"/>
        <v>103.76372401067984</v>
      </c>
      <c r="P1429" s="218">
        <f t="shared" si="672"/>
        <v>103.76372401067984</v>
      </c>
    </row>
    <row r="1430" spans="1:16" s="11" customFormat="1" ht="12.75" customHeight="1">
      <c r="A1430" s="36" t="s">
        <v>756</v>
      </c>
      <c r="B1430" s="33" t="s">
        <v>757</v>
      </c>
      <c r="C1430" s="211" t="s">
        <v>1661</v>
      </c>
      <c r="D1430" s="38">
        <v>11560</v>
      </c>
      <c r="E1430" s="38"/>
      <c r="F1430" s="63">
        <f>SUM(D1430:E1430)</f>
        <v>11560</v>
      </c>
      <c r="G1430" s="38">
        <v>20970</v>
      </c>
      <c r="H1430" s="38"/>
      <c r="I1430" s="38">
        <f t="shared" si="674"/>
        <v>20970</v>
      </c>
      <c r="J1430" s="63">
        <v>8160</v>
      </c>
      <c r="K1430" s="38"/>
      <c r="L1430" s="63">
        <f>SUM(J1430:K1430)</f>
        <v>8160</v>
      </c>
      <c r="M1430" s="218">
        <f t="shared" si="668"/>
        <v>70.588235294117652</v>
      </c>
      <c r="N1430" s="218">
        <f t="shared" si="669"/>
        <v>70.588235294117652</v>
      </c>
      <c r="O1430" s="218">
        <f t="shared" si="670"/>
        <v>38.912732474964237</v>
      </c>
      <c r="P1430" s="218">
        <f t="shared" si="672"/>
        <v>38.912732474964237</v>
      </c>
    </row>
    <row r="1431" spans="1:16" s="11" customFormat="1" ht="12.75" customHeight="1">
      <c r="A1431" s="36" t="s">
        <v>758</v>
      </c>
      <c r="B1431" s="33" t="s">
        <v>759</v>
      </c>
      <c r="C1431" s="211" t="s">
        <v>1662</v>
      </c>
      <c r="D1431" s="38">
        <v>51000</v>
      </c>
      <c r="E1431" s="38"/>
      <c r="F1431" s="63">
        <f t="shared" ref="F1431:F1436" si="676">SUM(D1431:E1431)</f>
        <v>51000</v>
      </c>
      <c r="G1431" s="38">
        <v>68280</v>
      </c>
      <c r="H1431" s="38"/>
      <c r="I1431" s="38">
        <f t="shared" si="674"/>
        <v>68280</v>
      </c>
      <c r="J1431" s="63">
        <v>30600</v>
      </c>
      <c r="K1431" s="38"/>
      <c r="L1431" s="63">
        <f t="shared" si="675"/>
        <v>30600</v>
      </c>
      <c r="M1431" s="218">
        <f t="shared" si="668"/>
        <v>60</v>
      </c>
      <c r="N1431" s="218">
        <f t="shared" si="669"/>
        <v>60</v>
      </c>
      <c r="O1431" s="218">
        <f t="shared" si="670"/>
        <v>44.815465729349732</v>
      </c>
      <c r="P1431" s="218">
        <f t="shared" si="672"/>
        <v>44.815465729349732</v>
      </c>
    </row>
    <row r="1432" spans="1:16" s="11" customFormat="1" ht="12.75" customHeight="1">
      <c r="A1432" s="36" t="s">
        <v>760</v>
      </c>
      <c r="B1432" s="33" t="s">
        <v>761</v>
      </c>
      <c r="C1432" s="211" t="s">
        <v>1663</v>
      </c>
      <c r="D1432" s="38">
        <v>43520</v>
      </c>
      <c r="E1432" s="38"/>
      <c r="F1432" s="63">
        <f t="shared" si="676"/>
        <v>43520</v>
      </c>
      <c r="G1432" s="38">
        <v>69510</v>
      </c>
      <c r="H1432" s="38"/>
      <c r="I1432" s="38">
        <f t="shared" si="674"/>
        <v>69510</v>
      </c>
      <c r="J1432" s="63">
        <v>28560</v>
      </c>
      <c r="K1432" s="38"/>
      <c r="L1432" s="63">
        <f t="shared" si="675"/>
        <v>28560</v>
      </c>
      <c r="M1432" s="218">
        <f t="shared" si="668"/>
        <v>65.625</v>
      </c>
      <c r="N1432" s="218">
        <f t="shared" si="669"/>
        <v>65.625</v>
      </c>
      <c r="O1432" s="218">
        <f t="shared" si="670"/>
        <v>41.087613293051362</v>
      </c>
      <c r="P1432" s="218">
        <f t="shared" si="672"/>
        <v>41.087613293051362</v>
      </c>
    </row>
    <row r="1433" spans="1:16" s="11" customFormat="1" ht="12.75" customHeight="1">
      <c r="A1433" s="36" t="s">
        <v>762</v>
      </c>
      <c r="B1433" s="33" t="s">
        <v>763</v>
      </c>
      <c r="C1433" s="211" t="s">
        <v>1664</v>
      </c>
      <c r="D1433" s="38">
        <v>160960</v>
      </c>
      <c r="E1433" s="38"/>
      <c r="F1433" s="63">
        <f t="shared" si="676"/>
        <v>160960</v>
      </c>
      <c r="G1433" s="38">
        <v>242750</v>
      </c>
      <c r="H1433" s="38"/>
      <c r="I1433" s="38">
        <f t="shared" si="674"/>
        <v>242750</v>
      </c>
      <c r="J1433" s="63">
        <v>102210</v>
      </c>
      <c r="K1433" s="38"/>
      <c r="L1433" s="63">
        <f t="shared" si="675"/>
        <v>102210</v>
      </c>
      <c r="M1433" s="218">
        <f t="shared" si="668"/>
        <v>63.500248508946321</v>
      </c>
      <c r="N1433" s="218">
        <f t="shared" si="669"/>
        <v>63.500248508946321</v>
      </c>
      <c r="O1433" s="218">
        <f t="shared" si="670"/>
        <v>42.105046343975282</v>
      </c>
      <c r="P1433" s="218">
        <f t="shared" si="672"/>
        <v>42.105046343975282</v>
      </c>
    </row>
    <row r="1434" spans="1:16" s="11" customFormat="1" ht="24">
      <c r="A1434" s="36" t="s">
        <v>764</v>
      </c>
      <c r="B1434" s="33" t="s">
        <v>765</v>
      </c>
      <c r="C1434" s="211" t="s">
        <v>1665</v>
      </c>
      <c r="D1434" s="38">
        <v>13470</v>
      </c>
      <c r="E1434" s="38"/>
      <c r="F1434" s="63">
        <f t="shared" si="676"/>
        <v>13470</v>
      </c>
      <c r="G1434" s="38">
        <v>18700</v>
      </c>
      <c r="H1434" s="38"/>
      <c r="I1434" s="38">
        <f t="shared" si="674"/>
        <v>18700</v>
      </c>
      <c r="J1434" s="63">
        <v>7380</v>
      </c>
      <c r="K1434" s="38"/>
      <c r="L1434" s="63">
        <f t="shared" si="675"/>
        <v>7380</v>
      </c>
      <c r="M1434" s="218">
        <f t="shared" si="668"/>
        <v>54.788418708240542</v>
      </c>
      <c r="N1434" s="218">
        <f t="shared" si="669"/>
        <v>54.788418708240542</v>
      </c>
      <c r="O1434" s="218">
        <f t="shared" si="670"/>
        <v>39.465240641711233</v>
      </c>
      <c r="P1434" s="218">
        <f t="shared" si="672"/>
        <v>39.465240641711233</v>
      </c>
    </row>
    <row r="1435" spans="1:16" s="11" customFormat="1" ht="12.75" customHeight="1">
      <c r="A1435" s="36" t="s">
        <v>754</v>
      </c>
      <c r="B1435" s="33" t="s">
        <v>755</v>
      </c>
      <c r="C1435" s="211" t="s">
        <v>1666</v>
      </c>
      <c r="D1435" s="38">
        <v>2730</v>
      </c>
      <c r="E1435" s="38"/>
      <c r="F1435" s="63">
        <f t="shared" si="676"/>
        <v>2730</v>
      </c>
      <c r="G1435" s="38">
        <v>5450</v>
      </c>
      <c r="H1435" s="38"/>
      <c r="I1435" s="38">
        <f t="shared" si="674"/>
        <v>5450</v>
      </c>
      <c r="J1435" s="63">
        <v>2720</v>
      </c>
      <c r="K1435" s="38"/>
      <c r="L1435" s="63">
        <f t="shared" si="675"/>
        <v>2720</v>
      </c>
      <c r="M1435" s="218">
        <f t="shared" si="668"/>
        <v>99.633699633699635</v>
      </c>
      <c r="N1435" s="218">
        <f t="shared" si="669"/>
        <v>99.633699633699635</v>
      </c>
      <c r="O1435" s="218">
        <f t="shared" si="670"/>
        <v>49.908256880733944</v>
      </c>
      <c r="P1435" s="218">
        <f t="shared" si="672"/>
        <v>49.908256880733944</v>
      </c>
    </row>
    <row r="1436" spans="1:16" s="11" customFormat="1" ht="12.75" customHeight="1">
      <c r="A1436" s="354" t="s">
        <v>13</v>
      </c>
      <c r="B1436" s="66" t="s">
        <v>10</v>
      </c>
      <c r="C1436" s="311" t="s">
        <v>1667</v>
      </c>
      <c r="D1436" s="61">
        <v>41410</v>
      </c>
      <c r="E1436" s="61"/>
      <c r="F1436" s="67">
        <f t="shared" si="676"/>
        <v>41410</v>
      </c>
      <c r="G1436" s="61"/>
      <c r="H1436" s="61"/>
      <c r="I1436" s="61">
        <f t="shared" si="674"/>
        <v>0</v>
      </c>
      <c r="J1436" s="67">
        <v>275660</v>
      </c>
      <c r="K1436" s="61"/>
      <c r="L1436" s="67">
        <f t="shared" si="675"/>
        <v>275660</v>
      </c>
      <c r="M1436" s="273">
        <f t="shared" si="668"/>
        <v>665.68461724221197</v>
      </c>
      <c r="N1436" s="273">
        <f t="shared" si="669"/>
        <v>665.68461724221197</v>
      </c>
      <c r="O1436" s="273" t="str">
        <f t="shared" si="670"/>
        <v/>
      </c>
      <c r="P1436" s="273" t="str">
        <f t="shared" si="672"/>
        <v/>
      </c>
    </row>
    <row r="1437" spans="1:16" s="11" customFormat="1" ht="12.75" customHeight="1">
      <c r="A1437" s="80" t="s">
        <v>375</v>
      </c>
      <c r="B1437" s="79" t="s">
        <v>150</v>
      </c>
      <c r="C1437" s="302" t="s">
        <v>1668</v>
      </c>
      <c r="D1437" s="116">
        <v>15000</v>
      </c>
      <c r="E1437" s="116"/>
      <c r="F1437" s="76">
        <f>SUM(D1437:E1437)</f>
        <v>15000</v>
      </c>
      <c r="G1437" s="116">
        <v>15000</v>
      </c>
      <c r="H1437" s="116"/>
      <c r="I1437" s="116">
        <f>SUM(G1437:H1437)</f>
        <v>15000</v>
      </c>
      <c r="J1437" s="76">
        <v>16000</v>
      </c>
      <c r="K1437" s="116"/>
      <c r="L1437" s="76">
        <f>SUM(J1437:K1437)</f>
        <v>16000</v>
      </c>
      <c r="M1437" s="226">
        <f t="shared" si="668"/>
        <v>106.66666666666667</v>
      </c>
      <c r="N1437" s="226">
        <f t="shared" si="669"/>
        <v>106.66666666666667</v>
      </c>
      <c r="O1437" s="226">
        <f t="shared" si="670"/>
        <v>106.66666666666667</v>
      </c>
      <c r="P1437" s="226">
        <f>IF(I1437&gt;0,IF(L1437&gt;=0,L1437/I1437*100,""),"")</f>
        <v>106.66666666666667</v>
      </c>
    </row>
    <row r="1438" spans="1:16" s="11" customFormat="1" ht="12.75" customHeight="1">
      <c r="A1438" s="36" t="s">
        <v>368</v>
      </c>
      <c r="B1438" s="211" t="s">
        <v>418</v>
      </c>
      <c r="C1438" s="211" t="s">
        <v>1669</v>
      </c>
      <c r="D1438" s="38"/>
      <c r="E1438" s="38"/>
      <c r="F1438" s="63"/>
      <c r="G1438" s="38">
        <v>108000</v>
      </c>
      <c r="H1438" s="38"/>
      <c r="I1438" s="38">
        <f>SUM(G1438:H1438)</f>
        <v>108000</v>
      </c>
      <c r="J1438" s="63"/>
      <c r="K1438" s="38"/>
      <c r="L1438" s="63">
        <f>SUM(J1438:K1438)</f>
        <v>0</v>
      </c>
      <c r="M1438" s="218" t="str">
        <f t="shared" si="668"/>
        <v/>
      </c>
      <c r="N1438" s="218" t="str">
        <f t="shared" si="669"/>
        <v/>
      </c>
      <c r="O1438" s="218">
        <f t="shared" si="670"/>
        <v>0</v>
      </c>
      <c r="P1438" s="218">
        <f>IF(I1438&gt;0,IF(L1438&gt;=0,L1438/I1438*100,""),"")</f>
        <v>0</v>
      </c>
    </row>
    <row r="1439" spans="1:16" s="11" customFormat="1" ht="12.75" customHeight="1">
      <c r="A1439" s="36" t="s">
        <v>791</v>
      </c>
      <c r="B1439" s="211" t="s">
        <v>151</v>
      </c>
      <c r="C1439" s="211" t="s">
        <v>2343</v>
      </c>
      <c r="D1439" s="38"/>
      <c r="E1439" s="38"/>
      <c r="F1439" s="63"/>
      <c r="G1439" s="38">
        <v>27500</v>
      </c>
      <c r="H1439" s="38"/>
      <c r="I1439" s="38">
        <f t="shared" si="674"/>
        <v>27500</v>
      </c>
      <c r="J1439" s="63"/>
      <c r="K1439" s="38"/>
      <c r="L1439" s="63"/>
      <c r="M1439" s="218" t="str">
        <f t="shared" si="668"/>
        <v/>
      </c>
      <c r="N1439" s="218" t="str">
        <f t="shared" si="669"/>
        <v/>
      </c>
      <c r="O1439" s="218">
        <f t="shared" si="670"/>
        <v>0</v>
      </c>
      <c r="P1439" s="218"/>
    </row>
    <row r="1440" spans="1:16" s="3" customFormat="1" ht="6" customHeight="1">
      <c r="A1440" s="36"/>
      <c r="B1440" s="33"/>
      <c r="C1440" s="211" t="s">
        <v>268</v>
      </c>
      <c r="D1440" s="63"/>
      <c r="E1440" s="63"/>
      <c r="F1440" s="63">
        <f>SUM(D1440:E1440)</f>
        <v>0</v>
      </c>
      <c r="G1440" s="38"/>
      <c r="H1440" s="38"/>
      <c r="I1440" s="38">
        <f t="shared" si="674"/>
        <v>0</v>
      </c>
      <c r="J1440" s="63"/>
      <c r="K1440" s="63"/>
      <c r="L1440" s="63">
        <f>SUM(J1440:K1440)</f>
        <v>0</v>
      </c>
      <c r="M1440" s="218" t="str">
        <f t="shared" si="668"/>
        <v/>
      </c>
      <c r="N1440" s="218" t="str">
        <f t="shared" si="669"/>
        <v/>
      </c>
      <c r="O1440" s="218" t="str">
        <f t="shared" si="670"/>
        <v/>
      </c>
      <c r="P1440" s="218" t="str">
        <f t="shared" ref="P1440:P1452" si="677">IF(I1440&gt;0,IF(L1440&gt;=0,L1440/I1440*100,""),"")</f>
        <v/>
      </c>
    </row>
    <row r="1441" spans="1:16" s="11" customFormat="1" ht="12.75">
      <c r="A1441" s="58" t="s">
        <v>98</v>
      </c>
      <c r="B1441" s="65" t="s">
        <v>265</v>
      </c>
      <c r="C1441" s="308" t="s">
        <v>940</v>
      </c>
      <c r="D1441" s="42">
        <f>SUM(D1443:D1447)</f>
        <v>5285910</v>
      </c>
      <c r="E1441" s="42">
        <f>SUM(E1443:E1448)</f>
        <v>0</v>
      </c>
      <c r="F1441" s="42">
        <f t="shared" ref="F1441:F1443" si="678">SUM(D1441:E1441)</f>
        <v>5285910</v>
      </c>
      <c r="G1441" s="55">
        <f>SUM(G1443:G1447)</f>
        <v>5593510</v>
      </c>
      <c r="H1441" s="55">
        <f>SUM(H1443:H1448)</f>
        <v>0</v>
      </c>
      <c r="I1441" s="55">
        <f t="shared" si="674"/>
        <v>5593510</v>
      </c>
      <c r="J1441" s="42">
        <f>SUM(J1443:J1447)</f>
        <v>5418230</v>
      </c>
      <c r="K1441" s="42">
        <f>SUM(K1443:K1448)</f>
        <v>0</v>
      </c>
      <c r="L1441" s="42">
        <f t="shared" ref="L1441:L1451" si="679">SUM(J1441:K1441)</f>
        <v>5418230</v>
      </c>
      <c r="M1441" s="225">
        <f t="shared" si="668"/>
        <v>102.50325866312518</v>
      </c>
      <c r="N1441" s="225">
        <f t="shared" si="669"/>
        <v>102.50325866312518</v>
      </c>
      <c r="O1441" s="225">
        <f t="shared" si="670"/>
        <v>96.866368344742398</v>
      </c>
      <c r="P1441" s="225">
        <f t="shared" si="677"/>
        <v>96.866368344742398</v>
      </c>
    </row>
    <row r="1442" spans="1:16" s="11" customFormat="1" hidden="1">
      <c r="A1442" s="36" t="s">
        <v>267</v>
      </c>
      <c r="B1442" s="92"/>
      <c r="C1442" s="312" t="s">
        <v>268</v>
      </c>
      <c r="D1442" s="38">
        <f>SUM(D1443:D1447)</f>
        <v>5285910</v>
      </c>
      <c r="E1442" s="77"/>
      <c r="F1442" s="63">
        <f t="shared" si="678"/>
        <v>5285910</v>
      </c>
      <c r="G1442" s="38">
        <f>SUM(G1443:G1447)</f>
        <v>5593510</v>
      </c>
      <c r="H1442" s="109"/>
      <c r="I1442" s="38">
        <f t="shared" si="674"/>
        <v>5593510</v>
      </c>
      <c r="J1442" s="63">
        <f>SUM(J1443:J1447)</f>
        <v>5418230</v>
      </c>
      <c r="K1442" s="77"/>
      <c r="L1442" s="63">
        <f t="shared" si="679"/>
        <v>5418230</v>
      </c>
      <c r="M1442" s="218">
        <f t="shared" si="668"/>
        <v>102.50325866312518</v>
      </c>
      <c r="N1442" s="218">
        <f t="shared" si="669"/>
        <v>102.50325866312518</v>
      </c>
      <c r="O1442" s="218">
        <f t="shared" si="670"/>
        <v>96.866368344742398</v>
      </c>
      <c r="P1442" s="218">
        <f t="shared" si="677"/>
        <v>96.866368344742398</v>
      </c>
    </row>
    <row r="1443" spans="1:16" s="11" customFormat="1" ht="12.75" customHeight="1">
      <c r="A1443" s="36" t="s">
        <v>180</v>
      </c>
      <c r="B1443" s="33" t="s">
        <v>419</v>
      </c>
      <c r="C1443" s="211" t="s">
        <v>1670</v>
      </c>
      <c r="D1443" s="38">
        <v>5280910</v>
      </c>
      <c r="E1443" s="38"/>
      <c r="F1443" s="63">
        <f t="shared" si="678"/>
        <v>5280910</v>
      </c>
      <c r="G1443" s="38">
        <v>5392510</v>
      </c>
      <c r="H1443" s="38"/>
      <c r="I1443" s="38">
        <f t="shared" si="674"/>
        <v>5392510</v>
      </c>
      <c r="J1443" s="63">
        <v>5242330</v>
      </c>
      <c r="K1443" s="38"/>
      <c r="L1443" s="63">
        <f t="shared" si="679"/>
        <v>5242330</v>
      </c>
      <c r="M1443" s="218">
        <f t="shared" si="668"/>
        <v>99.269444092022013</v>
      </c>
      <c r="N1443" s="218">
        <f t="shared" si="669"/>
        <v>99.269444092022013</v>
      </c>
      <c r="O1443" s="218">
        <f t="shared" si="670"/>
        <v>97.215026026840931</v>
      </c>
      <c r="P1443" s="218">
        <f t="shared" si="677"/>
        <v>97.215026026840931</v>
      </c>
    </row>
    <row r="1444" spans="1:16" s="11" customFormat="1" ht="12.75" customHeight="1">
      <c r="A1444" s="36" t="s">
        <v>368</v>
      </c>
      <c r="B1444" s="33" t="s">
        <v>418</v>
      </c>
      <c r="C1444" s="211" t="s">
        <v>1672</v>
      </c>
      <c r="D1444" s="38"/>
      <c r="E1444" s="38"/>
      <c r="F1444" s="63"/>
      <c r="G1444" s="38">
        <v>87000</v>
      </c>
      <c r="H1444" s="38"/>
      <c r="I1444" s="38">
        <f t="shared" si="674"/>
        <v>87000</v>
      </c>
      <c r="J1444" s="63">
        <v>40000</v>
      </c>
      <c r="K1444" s="38"/>
      <c r="L1444" s="63">
        <f t="shared" si="679"/>
        <v>40000</v>
      </c>
      <c r="M1444" s="218" t="str">
        <f t="shared" si="668"/>
        <v/>
      </c>
      <c r="N1444" s="218" t="str">
        <f t="shared" si="669"/>
        <v/>
      </c>
      <c r="O1444" s="218">
        <f t="shared" si="670"/>
        <v>45.977011494252871</v>
      </c>
      <c r="P1444" s="218">
        <f t="shared" si="677"/>
        <v>45.977011494252871</v>
      </c>
    </row>
    <row r="1445" spans="1:16" s="11" customFormat="1" ht="12.75" customHeight="1">
      <c r="A1445" s="36" t="s">
        <v>358</v>
      </c>
      <c r="B1445" s="33" t="s">
        <v>417</v>
      </c>
      <c r="C1445" s="211" t="s">
        <v>1673</v>
      </c>
      <c r="D1445" s="38"/>
      <c r="E1445" s="38"/>
      <c r="F1445" s="63">
        <f t="shared" ref="F1445:F1451" si="680">SUM(D1445:E1445)</f>
        <v>0</v>
      </c>
      <c r="G1445" s="38">
        <v>25000</v>
      </c>
      <c r="H1445" s="38"/>
      <c r="I1445" s="38">
        <f t="shared" si="674"/>
        <v>25000</v>
      </c>
      <c r="J1445" s="63">
        <v>2000</v>
      </c>
      <c r="K1445" s="38"/>
      <c r="L1445" s="63">
        <f t="shared" si="679"/>
        <v>2000</v>
      </c>
      <c r="M1445" s="218" t="str">
        <f t="shared" si="668"/>
        <v/>
      </c>
      <c r="N1445" s="218" t="str">
        <f t="shared" si="669"/>
        <v/>
      </c>
      <c r="O1445" s="218">
        <f t="shared" si="670"/>
        <v>8</v>
      </c>
      <c r="P1445" s="218">
        <f t="shared" si="677"/>
        <v>8</v>
      </c>
    </row>
    <row r="1446" spans="1:16" s="11" customFormat="1" ht="12.75" customHeight="1">
      <c r="A1446" s="36" t="s">
        <v>2071</v>
      </c>
      <c r="B1446" s="33" t="s">
        <v>2072</v>
      </c>
      <c r="C1446" s="211"/>
      <c r="D1446" s="38"/>
      <c r="E1446" s="38"/>
      <c r="F1446" s="63"/>
      <c r="G1446" s="38"/>
      <c r="H1446" s="38"/>
      <c r="I1446" s="38"/>
      <c r="J1446" s="63">
        <v>127900</v>
      </c>
      <c r="K1446" s="38"/>
      <c r="L1446" s="63">
        <f t="shared" si="679"/>
        <v>127900</v>
      </c>
      <c r="M1446" s="218" t="str">
        <f t="shared" si="668"/>
        <v/>
      </c>
      <c r="N1446" s="218" t="str">
        <f t="shared" si="669"/>
        <v/>
      </c>
      <c r="O1446" s="218" t="str">
        <f t="shared" si="670"/>
        <v/>
      </c>
      <c r="P1446" s="218" t="str">
        <f t="shared" ref="P1446" si="681">IF(I1446&gt;0,IF(L1446&gt;=0,L1446/I1446*100,""),"")</f>
        <v/>
      </c>
    </row>
    <row r="1447" spans="1:16" s="11" customFormat="1" ht="12.75" customHeight="1">
      <c r="A1447" s="36" t="s">
        <v>375</v>
      </c>
      <c r="B1447" s="33" t="s">
        <v>150</v>
      </c>
      <c r="C1447" s="211" t="s">
        <v>1671</v>
      </c>
      <c r="D1447" s="38">
        <v>5000</v>
      </c>
      <c r="E1447" s="38"/>
      <c r="F1447" s="63">
        <f>SUM(D1447:E1447)</f>
        <v>5000</v>
      </c>
      <c r="G1447" s="38">
        <v>89000</v>
      </c>
      <c r="H1447" s="38"/>
      <c r="I1447" s="38">
        <f>SUM(G1447:H1447)</f>
        <v>89000</v>
      </c>
      <c r="J1447" s="63">
        <v>6000</v>
      </c>
      <c r="K1447" s="38"/>
      <c r="L1447" s="63">
        <f>SUM(J1447:K1447)</f>
        <v>6000</v>
      </c>
      <c r="M1447" s="218">
        <f t="shared" si="668"/>
        <v>120</v>
      </c>
      <c r="N1447" s="218">
        <f t="shared" si="669"/>
        <v>120</v>
      </c>
      <c r="O1447" s="218">
        <f t="shared" si="670"/>
        <v>6.7415730337078648</v>
      </c>
      <c r="P1447" s="218">
        <f t="shared" si="677"/>
        <v>6.7415730337078648</v>
      </c>
    </row>
    <row r="1448" spans="1:16" s="3" customFormat="1" ht="6" customHeight="1">
      <c r="A1448" s="36"/>
      <c r="B1448" s="33"/>
      <c r="C1448" s="211" t="s">
        <v>268</v>
      </c>
      <c r="D1448" s="63"/>
      <c r="E1448" s="63"/>
      <c r="F1448" s="63">
        <f t="shared" si="680"/>
        <v>0</v>
      </c>
      <c r="G1448" s="38"/>
      <c r="H1448" s="38"/>
      <c r="I1448" s="38">
        <f t="shared" si="674"/>
        <v>0</v>
      </c>
      <c r="J1448" s="63"/>
      <c r="K1448" s="63"/>
      <c r="L1448" s="63">
        <f t="shared" si="679"/>
        <v>0</v>
      </c>
      <c r="M1448" s="218" t="str">
        <f t="shared" si="668"/>
        <v/>
      </c>
      <c r="N1448" s="218" t="str">
        <f t="shared" si="669"/>
        <v/>
      </c>
      <c r="O1448" s="218" t="str">
        <f t="shared" si="670"/>
        <v/>
      </c>
      <c r="P1448" s="218" t="str">
        <f t="shared" si="677"/>
        <v/>
      </c>
    </row>
    <row r="1449" spans="1:16" s="11" customFormat="1" ht="12.75">
      <c r="A1449" s="58" t="s">
        <v>644</v>
      </c>
      <c r="B1449" s="65" t="s">
        <v>265</v>
      </c>
      <c r="C1449" s="308" t="s">
        <v>940</v>
      </c>
      <c r="D1449" s="42">
        <f>SUM(D1451:D1457)</f>
        <v>9692180</v>
      </c>
      <c r="E1449" s="42">
        <f>SUM(E1451:E1457)</f>
        <v>0</v>
      </c>
      <c r="F1449" s="42">
        <f t="shared" si="680"/>
        <v>9692180</v>
      </c>
      <c r="G1449" s="55">
        <f>SUM(G1451:G1457)</f>
        <v>10161418</v>
      </c>
      <c r="H1449" s="55">
        <f>SUM(H1451:H1457)</f>
        <v>0</v>
      </c>
      <c r="I1449" s="55">
        <f t="shared" si="674"/>
        <v>10161418</v>
      </c>
      <c r="J1449" s="42">
        <f>SUM(J1451:J1457)</f>
        <v>10317960</v>
      </c>
      <c r="K1449" s="42">
        <f>SUM(K1451:K1457)</f>
        <v>0</v>
      </c>
      <c r="L1449" s="42">
        <f t="shared" si="679"/>
        <v>10317960</v>
      </c>
      <c r="M1449" s="225">
        <f t="shared" si="668"/>
        <v>106.45654537988358</v>
      </c>
      <c r="N1449" s="225">
        <f t="shared" si="669"/>
        <v>106.45654537988358</v>
      </c>
      <c r="O1449" s="225">
        <f t="shared" si="670"/>
        <v>101.54055270632504</v>
      </c>
      <c r="P1449" s="225">
        <f t="shared" si="677"/>
        <v>101.54055270632504</v>
      </c>
    </row>
    <row r="1450" spans="1:16" s="3" customFormat="1" hidden="1">
      <c r="A1450" s="80" t="s">
        <v>267</v>
      </c>
      <c r="B1450" s="79"/>
      <c r="C1450" s="302" t="s">
        <v>268</v>
      </c>
      <c r="D1450" s="113">
        <f>SUM(D1451:D1456)</f>
        <v>9692180</v>
      </c>
      <c r="E1450" s="113">
        <f>SUM(E1451:E1456)</f>
        <v>0</v>
      </c>
      <c r="F1450" s="76">
        <f t="shared" si="680"/>
        <v>9692180</v>
      </c>
      <c r="G1450" s="187">
        <f>SUM(G1451:G1456)</f>
        <v>10161418</v>
      </c>
      <c r="H1450" s="187">
        <f>SUM(H1451:H1456)</f>
        <v>0</v>
      </c>
      <c r="I1450" s="116">
        <f t="shared" si="674"/>
        <v>10161418</v>
      </c>
      <c r="J1450" s="76">
        <f>SUM(J1451:J1456)</f>
        <v>10317960</v>
      </c>
      <c r="K1450" s="113">
        <f>SUM(K1451:K1456)</f>
        <v>0</v>
      </c>
      <c r="L1450" s="76">
        <f t="shared" si="679"/>
        <v>10317960</v>
      </c>
      <c r="M1450" s="226">
        <f t="shared" si="668"/>
        <v>106.45654537988358</v>
      </c>
      <c r="N1450" s="226">
        <f t="shared" si="669"/>
        <v>106.45654537988358</v>
      </c>
      <c r="O1450" s="226">
        <f t="shared" si="670"/>
        <v>101.54055270632504</v>
      </c>
      <c r="P1450" s="226">
        <f t="shared" si="677"/>
        <v>101.54055270632504</v>
      </c>
    </row>
    <row r="1451" spans="1:16" s="11" customFormat="1" ht="12.75" customHeight="1">
      <c r="A1451" s="36" t="s">
        <v>180</v>
      </c>
      <c r="B1451" s="33" t="s">
        <v>419</v>
      </c>
      <c r="C1451" s="211" t="s">
        <v>1674</v>
      </c>
      <c r="D1451" s="38">
        <v>9554180</v>
      </c>
      <c r="E1451" s="77"/>
      <c r="F1451" s="63">
        <f t="shared" si="680"/>
        <v>9554180</v>
      </c>
      <c r="G1451" s="38">
        <v>9666630</v>
      </c>
      <c r="H1451" s="109"/>
      <c r="I1451" s="38">
        <f t="shared" si="674"/>
        <v>9666630</v>
      </c>
      <c r="J1451" s="63">
        <v>10168960</v>
      </c>
      <c r="K1451" s="77"/>
      <c r="L1451" s="63">
        <f t="shared" si="679"/>
        <v>10168960</v>
      </c>
      <c r="M1451" s="218">
        <f t="shared" si="668"/>
        <v>106.43467047930852</v>
      </c>
      <c r="N1451" s="218">
        <f t="shared" si="669"/>
        <v>106.43467047930852</v>
      </c>
      <c r="O1451" s="218">
        <f t="shared" si="670"/>
        <v>105.19653695238154</v>
      </c>
      <c r="P1451" s="218">
        <f t="shared" si="677"/>
        <v>105.19653695238154</v>
      </c>
    </row>
    <row r="1452" spans="1:16" s="3" customFormat="1" ht="12.75" customHeight="1">
      <c r="A1452" s="36" t="s">
        <v>358</v>
      </c>
      <c r="B1452" s="33" t="s">
        <v>417</v>
      </c>
      <c r="C1452" s="211" t="s">
        <v>1676</v>
      </c>
      <c r="D1452" s="63">
        <v>110000</v>
      </c>
      <c r="E1452" s="63"/>
      <c r="F1452" s="63">
        <f>SUM(D1452:E1452)</f>
        <v>110000</v>
      </c>
      <c r="G1452" s="38">
        <v>362300</v>
      </c>
      <c r="H1452" s="38"/>
      <c r="I1452" s="38">
        <f t="shared" si="674"/>
        <v>362300</v>
      </c>
      <c r="J1452" s="63">
        <v>110000</v>
      </c>
      <c r="K1452" s="63"/>
      <c r="L1452" s="63">
        <f>SUM(J1452:K1452)</f>
        <v>110000</v>
      </c>
      <c r="M1452" s="218">
        <f t="shared" si="668"/>
        <v>100</v>
      </c>
      <c r="N1452" s="218">
        <f t="shared" si="669"/>
        <v>100</v>
      </c>
      <c r="O1452" s="218">
        <f t="shared" si="670"/>
        <v>30.361578802097711</v>
      </c>
      <c r="P1452" s="218">
        <f t="shared" si="677"/>
        <v>30.361578802097711</v>
      </c>
    </row>
    <row r="1453" spans="1:16" s="11" customFormat="1" ht="12.75" customHeight="1">
      <c r="A1453" s="46" t="s">
        <v>651</v>
      </c>
      <c r="B1453" s="33" t="s">
        <v>650</v>
      </c>
      <c r="C1453" s="211" t="s">
        <v>1675</v>
      </c>
      <c r="D1453" s="38">
        <v>20000</v>
      </c>
      <c r="E1453" s="77"/>
      <c r="F1453" s="63">
        <f>SUM(D1453:E1453)</f>
        <v>20000</v>
      </c>
      <c r="G1453" s="38">
        <v>20000</v>
      </c>
      <c r="H1453" s="109"/>
      <c r="I1453" s="38">
        <f>SUM(G1453:H1453)</f>
        <v>20000</v>
      </c>
      <c r="J1453" s="63">
        <v>30000</v>
      </c>
      <c r="K1453" s="77"/>
      <c r="L1453" s="63">
        <f>SUM(J1453:K1453)</f>
        <v>30000</v>
      </c>
      <c r="M1453" s="218">
        <f t="shared" si="668"/>
        <v>150</v>
      </c>
      <c r="N1453" s="218">
        <f t="shared" si="669"/>
        <v>150</v>
      </c>
      <c r="O1453" s="218">
        <f t="shared" si="670"/>
        <v>150</v>
      </c>
      <c r="P1453" s="218">
        <f>IF(I1453&gt;0,IF(L1453&gt;=0,L1453/I1453*100,""),"")</f>
        <v>150</v>
      </c>
    </row>
    <row r="1454" spans="1:16" s="3" customFormat="1" ht="12.75" customHeight="1">
      <c r="A1454" s="36" t="s">
        <v>375</v>
      </c>
      <c r="B1454" s="33" t="s">
        <v>150</v>
      </c>
      <c r="C1454" s="211" t="s">
        <v>1677</v>
      </c>
      <c r="D1454" s="63">
        <v>8000</v>
      </c>
      <c r="E1454" s="63"/>
      <c r="F1454" s="63">
        <f>SUM(D1454:E1454)</f>
        <v>8000</v>
      </c>
      <c r="G1454" s="38">
        <v>8000</v>
      </c>
      <c r="H1454" s="38"/>
      <c r="I1454" s="38">
        <f>SUM(G1454:H1454)</f>
        <v>8000</v>
      </c>
      <c r="J1454" s="63">
        <v>9000</v>
      </c>
      <c r="K1454" s="63"/>
      <c r="L1454" s="63">
        <f>SUM(J1454:K1454)</f>
        <v>9000</v>
      </c>
      <c r="M1454" s="218">
        <f t="shared" si="668"/>
        <v>112.5</v>
      </c>
      <c r="N1454" s="218">
        <f t="shared" si="669"/>
        <v>112.5</v>
      </c>
      <c r="O1454" s="218">
        <f t="shared" si="670"/>
        <v>112.5</v>
      </c>
      <c r="P1454" s="218">
        <f>IF(I1454&gt;0,IF(L1454&gt;=0,L1454/I1454*100,""),"")</f>
        <v>112.5</v>
      </c>
    </row>
    <row r="1455" spans="1:16" s="11" customFormat="1" ht="12.75" customHeight="1">
      <c r="A1455" s="46" t="s">
        <v>368</v>
      </c>
      <c r="B1455" s="211" t="s">
        <v>418</v>
      </c>
      <c r="C1455" s="211" t="s">
        <v>1678</v>
      </c>
      <c r="D1455" s="38"/>
      <c r="E1455" s="77"/>
      <c r="F1455" s="63">
        <f>SUM(D1455:E1455)</f>
        <v>0</v>
      </c>
      <c r="G1455" s="38">
        <v>55048</v>
      </c>
      <c r="H1455" s="109"/>
      <c r="I1455" s="38">
        <f>SUM(G1455:H1455)</f>
        <v>55048</v>
      </c>
      <c r="J1455" s="63"/>
      <c r="K1455" s="77"/>
      <c r="L1455" s="63">
        <f>SUM(J1455:K1455)</f>
        <v>0</v>
      </c>
      <c r="M1455" s="218" t="str">
        <f t="shared" si="668"/>
        <v/>
      </c>
      <c r="N1455" s="218" t="str">
        <f t="shared" si="669"/>
        <v/>
      </c>
      <c r="O1455" s="218">
        <f t="shared" si="670"/>
        <v>0</v>
      </c>
      <c r="P1455" s="218">
        <f>IF(I1455&gt;0,IF(L1455&gt;=0,L1455/I1455*100,""),"")</f>
        <v>0</v>
      </c>
    </row>
    <row r="1456" spans="1:16" s="3" customFormat="1" ht="12.75" customHeight="1">
      <c r="A1456" s="36" t="s">
        <v>2074</v>
      </c>
      <c r="B1456" s="211" t="s">
        <v>2075</v>
      </c>
      <c r="C1456" s="211" t="s">
        <v>2192</v>
      </c>
      <c r="D1456" s="63"/>
      <c r="E1456" s="63"/>
      <c r="F1456" s="63"/>
      <c r="G1456" s="38">
        <v>49440</v>
      </c>
      <c r="H1456" s="38"/>
      <c r="I1456" s="38">
        <f t="shared" si="674"/>
        <v>49440</v>
      </c>
      <c r="J1456" s="63"/>
      <c r="K1456" s="63"/>
      <c r="L1456" s="63"/>
      <c r="M1456" s="218" t="str">
        <f t="shared" si="668"/>
        <v/>
      </c>
      <c r="N1456" s="218" t="str">
        <f t="shared" si="669"/>
        <v/>
      </c>
      <c r="O1456" s="218">
        <f t="shared" si="670"/>
        <v>0</v>
      </c>
      <c r="P1456" s="218"/>
    </row>
    <row r="1457" spans="1:16" s="3" customFormat="1" hidden="1">
      <c r="A1457" s="36" t="s">
        <v>791</v>
      </c>
      <c r="B1457" s="33" t="s">
        <v>151</v>
      </c>
      <c r="C1457" s="211" t="s">
        <v>1679</v>
      </c>
      <c r="D1457" s="63"/>
      <c r="E1457" s="63"/>
      <c r="F1457" s="63">
        <f t="shared" ref="F1457" si="682">SUM(D1457:E1457)</f>
        <v>0</v>
      </c>
      <c r="G1457" s="38"/>
      <c r="H1457" s="38"/>
      <c r="I1457" s="38">
        <f t="shared" si="674"/>
        <v>0</v>
      </c>
      <c r="J1457" s="63"/>
      <c r="K1457" s="63"/>
      <c r="L1457" s="63">
        <f t="shared" ref="L1457" si="683">SUM(J1457:K1457)</f>
        <v>0</v>
      </c>
      <c r="M1457" s="218" t="str">
        <f t="shared" si="668"/>
        <v/>
      </c>
      <c r="N1457" s="218" t="str">
        <f t="shared" si="669"/>
        <v/>
      </c>
      <c r="O1457" s="218" t="str">
        <f t="shared" si="670"/>
        <v/>
      </c>
      <c r="P1457" s="218" t="str">
        <f t="shared" ref="P1457:P1461" si="684">IF(I1457&gt;0,IF(L1457&gt;=0,L1457/I1457*100,""),"")</f>
        <v/>
      </c>
    </row>
    <row r="1458" spans="1:16" s="3" customFormat="1" ht="6" customHeight="1">
      <c r="A1458" s="36"/>
      <c r="B1458" s="33"/>
      <c r="C1458" s="211" t="s">
        <v>268</v>
      </c>
      <c r="D1458" s="63"/>
      <c r="E1458" s="63"/>
      <c r="F1458" s="63"/>
      <c r="G1458" s="38"/>
      <c r="H1458" s="38"/>
      <c r="I1458" s="38"/>
      <c r="J1458" s="63"/>
      <c r="K1458" s="63"/>
      <c r="L1458" s="63"/>
      <c r="M1458" s="218" t="str">
        <f t="shared" si="668"/>
        <v/>
      </c>
      <c r="N1458" s="218" t="str">
        <f t="shared" si="669"/>
        <v/>
      </c>
      <c r="O1458" s="218" t="str">
        <f t="shared" si="670"/>
        <v/>
      </c>
      <c r="P1458" s="218" t="str">
        <f t="shared" si="684"/>
        <v/>
      </c>
    </row>
    <row r="1459" spans="1:16" s="11" customFormat="1" ht="12.75">
      <c r="A1459" s="58" t="s">
        <v>931</v>
      </c>
      <c r="B1459" s="65" t="s">
        <v>265</v>
      </c>
      <c r="C1459" s="308" t="s">
        <v>940</v>
      </c>
      <c r="D1459" s="86">
        <f>SUM(D1461:D1466)</f>
        <v>8589040</v>
      </c>
      <c r="E1459" s="86">
        <f>SUM(E1461:E1466)</f>
        <v>0</v>
      </c>
      <c r="F1459" s="86">
        <f t="shared" ref="F1459:F1461" si="685">SUM(D1459:E1459)</f>
        <v>8589040</v>
      </c>
      <c r="G1459" s="262">
        <f>SUM(G1461:G1466)</f>
        <v>9697740</v>
      </c>
      <c r="H1459" s="262">
        <f>SUM(H1461:H1466)</f>
        <v>0</v>
      </c>
      <c r="I1459" s="262">
        <f t="shared" ref="I1459:I1466" si="686">SUM(G1459:H1459)</f>
        <v>9697740</v>
      </c>
      <c r="J1459" s="86">
        <f>SUM(J1461:J1466)</f>
        <v>9270340</v>
      </c>
      <c r="K1459" s="86">
        <f>SUM(K1461:K1466)</f>
        <v>0</v>
      </c>
      <c r="L1459" s="86">
        <f t="shared" ref="L1459:L1466" si="687">SUM(J1459:K1459)</f>
        <v>9270340</v>
      </c>
      <c r="M1459" s="236">
        <f t="shared" si="668"/>
        <v>107.93220196902098</v>
      </c>
      <c r="N1459" s="236">
        <f t="shared" si="669"/>
        <v>107.93220196902098</v>
      </c>
      <c r="O1459" s="236">
        <f t="shared" si="670"/>
        <v>95.592787597935185</v>
      </c>
      <c r="P1459" s="236">
        <f t="shared" si="684"/>
        <v>95.592787597935185</v>
      </c>
    </row>
    <row r="1460" spans="1:16" s="11" customFormat="1" hidden="1">
      <c r="A1460" s="36" t="s">
        <v>267</v>
      </c>
      <c r="B1460" s="184"/>
      <c r="C1460" s="320" t="s">
        <v>268</v>
      </c>
      <c r="D1460" s="87">
        <f>SUM(D1461:D1466)</f>
        <v>8589040</v>
      </c>
      <c r="E1460" s="95"/>
      <c r="F1460" s="63">
        <f t="shared" si="685"/>
        <v>8589040</v>
      </c>
      <c r="G1460" s="87">
        <f>SUM(G1461:G1466)</f>
        <v>9697740</v>
      </c>
      <c r="H1460" s="261"/>
      <c r="I1460" s="38">
        <f t="shared" si="686"/>
        <v>9697740</v>
      </c>
      <c r="J1460" s="63">
        <f>SUM(J1461:J1466)</f>
        <v>9270340</v>
      </c>
      <c r="K1460" s="95"/>
      <c r="L1460" s="63">
        <f t="shared" si="687"/>
        <v>9270340</v>
      </c>
      <c r="M1460" s="218">
        <f t="shared" si="668"/>
        <v>107.93220196902098</v>
      </c>
      <c r="N1460" s="218">
        <f t="shared" si="669"/>
        <v>107.93220196902098</v>
      </c>
      <c r="O1460" s="218">
        <f t="shared" si="670"/>
        <v>95.592787597935185</v>
      </c>
      <c r="P1460" s="218">
        <f t="shared" si="684"/>
        <v>95.592787597935185</v>
      </c>
    </row>
    <row r="1461" spans="1:16" s="11" customFormat="1" ht="12.75" customHeight="1">
      <c r="A1461" s="36" t="s">
        <v>180</v>
      </c>
      <c r="B1461" s="33" t="s">
        <v>419</v>
      </c>
      <c r="C1461" s="211" t="s">
        <v>1680</v>
      </c>
      <c r="D1461" s="87">
        <v>8161540</v>
      </c>
      <c r="E1461" s="87"/>
      <c r="F1461" s="63">
        <f t="shared" si="685"/>
        <v>8161540</v>
      </c>
      <c r="G1461" s="87">
        <v>8381140</v>
      </c>
      <c r="H1461" s="87"/>
      <c r="I1461" s="38">
        <f t="shared" si="686"/>
        <v>8381140</v>
      </c>
      <c r="J1461" s="63">
        <v>8700340</v>
      </c>
      <c r="K1461" s="87"/>
      <c r="L1461" s="63">
        <f t="shared" si="687"/>
        <v>8700340</v>
      </c>
      <c r="M1461" s="218">
        <f t="shared" si="668"/>
        <v>106.60169526829495</v>
      </c>
      <c r="N1461" s="218">
        <f t="shared" si="669"/>
        <v>106.60169526829495</v>
      </c>
      <c r="O1461" s="218">
        <f t="shared" si="670"/>
        <v>103.80855110402642</v>
      </c>
      <c r="P1461" s="218">
        <f t="shared" si="684"/>
        <v>103.80855110402642</v>
      </c>
    </row>
    <row r="1462" spans="1:16" s="11" customFormat="1" ht="12.75" customHeight="1">
      <c r="A1462" s="36" t="s">
        <v>2071</v>
      </c>
      <c r="B1462" s="33" t="s">
        <v>2072</v>
      </c>
      <c r="C1462" s="211" t="s">
        <v>2193</v>
      </c>
      <c r="D1462" s="87"/>
      <c r="E1462" s="87"/>
      <c r="F1462" s="63"/>
      <c r="G1462" s="87">
        <v>526000</v>
      </c>
      <c r="H1462" s="87"/>
      <c r="I1462" s="38">
        <f t="shared" si="686"/>
        <v>526000</v>
      </c>
      <c r="J1462" s="63">
        <v>530000</v>
      </c>
      <c r="K1462" s="87"/>
      <c r="L1462" s="63">
        <f t="shared" si="687"/>
        <v>530000</v>
      </c>
      <c r="M1462" s="218" t="str">
        <f t="shared" si="668"/>
        <v/>
      </c>
      <c r="N1462" s="218" t="str">
        <f t="shared" si="669"/>
        <v/>
      </c>
      <c r="O1462" s="218">
        <f t="shared" si="670"/>
        <v>100.76045627376426</v>
      </c>
      <c r="P1462" s="218"/>
    </row>
    <row r="1463" spans="1:16" s="11" customFormat="1" ht="12.75" customHeight="1">
      <c r="A1463" s="46" t="s">
        <v>651</v>
      </c>
      <c r="B1463" s="33" t="s">
        <v>650</v>
      </c>
      <c r="C1463" s="211" t="s">
        <v>1681</v>
      </c>
      <c r="D1463" s="87">
        <v>4000</v>
      </c>
      <c r="E1463" s="87"/>
      <c r="F1463" s="63">
        <f>SUM(D1463:E1463)</f>
        <v>4000</v>
      </c>
      <c r="G1463" s="87">
        <v>26000</v>
      </c>
      <c r="H1463" s="87"/>
      <c r="I1463" s="38">
        <f>SUM(G1463:H1463)</f>
        <v>26000</v>
      </c>
      <c r="J1463" s="63">
        <v>24000</v>
      </c>
      <c r="K1463" s="87"/>
      <c r="L1463" s="63">
        <f t="shared" si="687"/>
        <v>24000</v>
      </c>
      <c r="M1463" s="218">
        <f t="shared" si="668"/>
        <v>600</v>
      </c>
      <c r="N1463" s="218">
        <f t="shared" si="669"/>
        <v>600</v>
      </c>
      <c r="O1463" s="218">
        <f t="shared" si="670"/>
        <v>92.307692307692307</v>
      </c>
      <c r="P1463" s="218">
        <f t="shared" ref="P1463:P1483" si="688">IF(I1463&gt;0,IF(L1463&gt;=0,L1463/I1463*100,""),"")</f>
        <v>92.307692307692307</v>
      </c>
    </row>
    <row r="1464" spans="1:16" s="11" customFormat="1" ht="12.75" customHeight="1">
      <c r="A1464" s="36" t="s">
        <v>375</v>
      </c>
      <c r="B1464" s="33" t="s">
        <v>150</v>
      </c>
      <c r="C1464" s="211" t="s">
        <v>1683</v>
      </c>
      <c r="D1464" s="38">
        <v>15000</v>
      </c>
      <c r="E1464" s="38"/>
      <c r="F1464" s="63">
        <f>SUM(D1464:E1464)</f>
        <v>15000</v>
      </c>
      <c r="G1464" s="38">
        <v>21400</v>
      </c>
      <c r="H1464" s="38"/>
      <c r="I1464" s="38">
        <f t="shared" si="686"/>
        <v>21400</v>
      </c>
      <c r="J1464" s="63">
        <v>16000</v>
      </c>
      <c r="K1464" s="38"/>
      <c r="L1464" s="63">
        <f t="shared" si="687"/>
        <v>16000</v>
      </c>
      <c r="M1464" s="218">
        <f t="shared" si="668"/>
        <v>106.66666666666667</v>
      </c>
      <c r="N1464" s="218">
        <f t="shared" si="669"/>
        <v>106.66666666666667</v>
      </c>
      <c r="O1464" s="218">
        <f t="shared" si="670"/>
        <v>74.766355140186917</v>
      </c>
      <c r="P1464" s="218">
        <f t="shared" si="688"/>
        <v>74.766355140186917</v>
      </c>
    </row>
    <row r="1465" spans="1:16" s="11" customFormat="1" ht="12.75" customHeight="1">
      <c r="A1465" s="36" t="s">
        <v>935</v>
      </c>
      <c r="B1465" s="211" t="s">
        <v>701</v>
      </c>
      <c r="C1465" s="211" t="s">
        <v>1682</v>
      </c>
      <c r="D1465" s="87">
        <v>408500</v>
      </c>
      <c r="E1465" s="87"/>
      <c r="F1465" s="63">
        <f>SUM(D1465:E1465)</f>
        <v>408500</v>
      </c>
      <c r="G1465" s="87">
        <v>408500</v>
      </c>
      <c r="H1465" s="87"/>
      <c r="I1465" s="38">
        <f>SUM(G1465:H1465)</f>
        <v>408500</v>
      </c>
      <c r="J1465" s="63"/>
      <c r="K1465" s="87"/>
      <c r="L1465" s="63">
        <f>SUM(J1465:K1465)</f>
        <v>0</v>
      </c>
      <c r="M1465" s="218">
        <f t="shared" si="668"/>
        <v>0</v>
      </c>
      <c r="N1465" s="218">
        <f t="shared" si="669"/>
        <v>0</v>
      </c>
      <c r="O1465" s="218">
        <f t="shared" si="670"/>
        <v>0</v>
      </c>
      <c r="P1465" s="218">
        <f>IF(I1465&gt;0,IF(L1465&gt;=0,L1465/I1465*100,""),"")</f>
        <v>0</v>
      </c>
    </row>
    <row r="1466" spans="1:16" s="11" customFormat="1" ht="12.75" customHeight="1">
      <c r="A1466" s="36" t="s">
        <v>358</v>
      </c>
      <c r="B1466" s="211" t="s">
        <v>417</v>
      </c>
      <c r="C1466" s="211" t="s">
        <v>1684</v>
      </c>
      <c r="D1466" s="87"/>
      <c r="E1466" s="87"/>
      <c r="F1466" s="63"/>
      <c r="G1466" s="87">
        <v>334700</v>
      </c>
      <c r="H1466" s="87"/>
      <c r="I1466" s="38">
        <f t="shared" si="686"/>
        <v>334700</v>
      </c>
      <c r="J1466" s="87"/>
      <c r="K1466" s="87"/>
      <c r="L1466" s="63">
        <f t="shared" si="687"/>
        <v>0</v>
      </c>
      <c r="M1466" s="218" t="str">
        <f t="shared" si="668"/>
        <v/>
      </c>
      <c r="N1466" s="218" t="str">
        <f t="shared" si="669"/>
        <v/>
      </c>
      <c r="O1466" s="218">
        <f t="shared" si="670"/>
        <v>0</v>
      </c>
      <c r="P1466" s="218">
        <f t="shared" si="688"/>
        <v>0</v>
      </c>
    </row>
    <row r="1467" spans="1:16" s="23" customFormat="1" ht="6" customHeight="1">
      <c r="A1467" s="36"/>
      <c r="B1467" s="33"/>
      <c r="C1467" s="211" t="s">
        <v>268</v>
      </c>
      <c r="D1467" s="38"/>
      <c r="E1467" s="38"/>
      <c r="F1467" s="63"/>
      <c r="G1467" s="38"/>
      <c r="H1467" s="38"/>
      <c r="I1467" s="38"/>
      <c r="J1467" s="63"/>
      <c r="K1467" s="38"/>
      <c r="L1467" s="63"/>
      <c r="M1467" s="218" t="str">
        <f t="shared" si="668"/>
        <v/>
      </c>
      <c r="N1467" s="218" t="str">
        <f t="shared" si="669"/>
        <v/>
      </c>
      <c r="O1467" s="218" t="str">
        <f t="shared" si="670"/>
        <v/>
      </c>
      <c r="P1467" s="218" t="str">
        <f t="shared" si="688"/>
        <v/>
      </c>
    </row>
    <row r="1468" spans="1:16" s="11" customFormat="1" ht="12.75">
      <c r="A1468" s="58" t="s">
        <v>932</v>
      </c>
      <c r="B1468" s="65" t="s">
        <v>265</v>
      </c>
      <c r="C1468" s="308" t="s">
        <v>940</v>
      </c>
      <c r="D1468" s="86">
        <f>SUM(D1470:D1472)</f>
        <v>4855630</v>
      </c>
      <c r="E1468" s="86">
        <f>SUM(E1470:E1472)</f>
        <v>0</v>
      </c>
      <c r="F1468" s="86">
        <f t="shared" ref="F1468:F1470" si="689">SUM(D1468:E1468)</f>
        <v>4855630</v>
      </c>
      <c r="G1468" s="262">
        <f>SUM(G1470:G1472)</f>
        <v>4894630</v>
      </c>
      <c r="H1468" s="262">
        <f>SUM(H1470:H1472)</f>
        <v>0</v>
      </c>
      <c r="I1468" s="262">
        <f t="shared" ref="I1468:I1474" si="690">SUM(G1468:H1468)</f>
        <v>4894630</v>
      </c>
      <c r="J1468" s="86">
        <f>SUM(J1470:J1472)</f>
        <v>5074730</v>
      </c>
      <c r="K1468" s="86">
        <f>SUM(K1470:K1472)</f>
        <v>0</v>
      </c>
      <c r="L1468" s="86">
        <f t="shared" ref="L1468:L1474" si="691">SUM(J1468:K1468)</f>
        <v>5074730</v>
      </c>
      <c r="M1468" s="236">
        <f t="shared" si="668"/>
        <v>104.51228779787587</v>
      </c>
      <c r="N1468" s="236">
        <f t="shared" si="669"/>
        <v>104.51228779787587</v>
      </c>
      <c r="O1468" s="236">
        <f t="shared" si="670"/>
        <v>103.67954268249082</v>
      </c>
      <c r="P1468" s="236">
        <f t="shared" si="688"/>
        <v>103.67954268249082</v>
      </c>
    </row>
    <row r="1469" spans="1:16" s="11" customFormat="1" hidden="1">
      <c r="A1469" s="36" t="s">
        <v>267</v>
      </c>
      <c r="B1469" s="184"/>
      <c r="C1469" s="320" t="s">
        <v>268</v>
      </c>
      <c r="D1469" s="87">
        <f>SUM(D1470:D1472)</f>
        <v>4855630</v>
      </c>
      <c r="E1469" s="95"/>
      <c r="F1469" s="63">
        <f t="shared" si="689"/>
        <v>4855630</v>
      </c>
      <c r="G1469" s="87">
        <f>SUM(G1470:G1472)</f>
        <v>4894630</v>
      </c>
      <c r="H1469" s="261"/>
      <c r="I1469" s="38">
        <f t="shared" si="690"/>
        <v>4894630</v>
      </c>
      <c r="J1469" s="63">
        <f>SUM(J1470:J1472)</f>
        <v>5074730</v>
      </c>
      <c r="K1469" s="95"/>
      <c r="L1469" s="63">
        <f t="shared" si="691"/>
        <v>5074730</v>
      </c>
      <c r="M1469" s="218">
        <f t="shared" si="668"/>
        <v>104.51228779787587</v>
      </c>
      <c r="N1469" s="218">
        <f t="shared" si="669"/>
        <v>104.51228779787587</v>
      </c>
      <c r="O1469" s="218">
        <f t="shared" si="670"/>
        <v>103.67954268249082</v>
      </c>
      <c r="P1469" s="218">
        <f t="shared" si="688"/>
        <v>103.67954268249082</v>
      </c>
    </row>
    <row r="1470" spans="1:16" s="11" customFormat="1" ht="12.75" customHeight="1">
      <c r="A1470" s="36" t="s">
        <v>180</v>
      </c>
      <c r="B1470" s="33" t="s">
        <v>419</v>
      </c>
      <c r="C1470" s="211" t="s">
        <v>1685</v>
      </c>
      <c r="D1470" s="87">
        <v>4848630</v>
      </c>
      <c r="E1470" s="95"/>
      <c r="F1470" s="63">
        <f t="shared" si="689"/>
        <v>4848630</v>
      </c>
      <c r="G1470" s="87">
        <v>4854630</v>
      </c>
      <c r="H1470" s="261"/>
      <c r="I1470" s="38">
        <f t="shared" si="690"/>
        <v>4854630</v>
      </c>
      <c r="J1470" s="63">
        <v>5066730</v>
      </c>
      <c r="K1470" s="95"/>
      <c r="L1470" s="63">
        <f t="shared" si="691"/>
        <v>5066730</v>
      </c>
      <c r="M1470" s="218">
        <f t="shared" si="668"/>
        <v>104.49817783580104</v>
      </c>
      <c r="N1470" s="218">
        <f t="shared" si="669"/>
        <v>104.49817783580104</v>
      </c>
      <c r="O1470" s="218">
        <f t="shared" si="670"/>
        <v>104.36902503383368</v>
      </c>
      <c r="P1470" s="218">
        <f t="shared" si="688"/>
        <v>104.36902503383368</v>
      </c>
    </row>
    <row r="1471" spans="1:16" s="3" customFormat="1" ht="12.75" customHeight="1">
      <c r="A1471" s="36" t="s">
        <v>375</v>
      </c>
      <c r="B1471" s="33" t="s">
        <v>150</v>
      </c>
      <c r="C1471" s="211" t="s">
        <v>1686</v>
      </c>
      <c r="D1471" s="38">
        <v>7000</v>
      </c>
      <c r="E1471" s="63"/>
      <c r="F1471" s="63">
        <f>SUM(D1471:E1471)</f>
        <v>7000</v>
      </c>
      <c r="G1471" s="38">
        <v>7000</v>
      </c>
      <c r="H1471" s="38"/>
      <c r="I1471" s="38">
        <f>SUM(G1471:H1471)</f>
        <v>7000</v>
      </c>
      <c r="J1471" s="63">
        <v>8000</v>
      </c>
      <c r="K1471" s="63"/>
      <c r="L1471" s="63">
        <f>SUM(J1471:K1471)</f>
        <v>8000</v>
      </c>
      <c r="M1471" s="218">
        <f t="shared" si="668"/>
        <v>114.28571428571428</v>
      </c>
      <c r="N1471" s="218">
        <f t="shared" si="669"/>
        <v>114.28571428571428</v>
      </c>
      <c r="O1471" s="218">
        <f t="shared" si="670"/>
        <v>114.28571428571428</v>
      </c>
      <c r="P1471" s="218">
        <f>IF(I1471&gt;0,IF(L1471&gt;=0,L1471/I1471*100,""),"")</f>
        <v>114.28571428571428</v>
      </c>
    </row>
    <row r="1472" spans="1:16" s="11" customFormat="1" ht="12.75" customHeight="1">
      <c r="A1472" s="36" t="s">
        <v>368</v>
      </c>
      <c r="B1472" s="211" t="s">
        <v>418</v>
      </c>
      <c r="C1472" s="211" t="s">
        <v>1687</v>
      </c>
      <c r="D1472" s="87"/>
      <c r="E1472" s="95"/>
      <c r="F1472" s="63"/>
      <c r="G1472" s="87">
        <v>33000</v>
      </c>
      <c r="H1472" s="261"/>
      <c r="I1472" s="38">
        <f>SUM(G1472:H1472)</f>
        <v>33000</v>
      </c>
      <c r="J1472" s="63"/>
      <c r="K1472" s="95"/>
      <c r="L1472" s="63">
        <f>SUM(J1472:K1472)</f>
        <v>0</v>
      </c>
      <c r="M1472" s="218" t="str">
        <f t="shared" si="668"/>
        <v/>
      </c>
      <c r="N1472" s="218" t="str">
        <f t="shared" si="669"/>
        <v/>
      </c>
      <c r="O1472" s="218">
        <f t="shared" si="670"/>
        <v>0</v>
      </c>
      <c r="P1472" s="218">
        <f t="shared" si="688"/>
        <v>0</v>
      </c>
    </row>
    <row r="1473" spans="1:16" s="3" customFormat="1" ht="6" customHeight="1">
      <c r="A1473" s="36"/>
      <c r="B1473" s="33"/>
      <c r="C1473" s="211" t="s">
        <v>268</v>
      </c>
      <c r="D1473" s="63"/>
      <c r="E1473" s="63"/>
      <c r="F1473" s="63">
        <f t="shared" ref="F1473:F1474" si="692">SUM(D1473:E1473)</f>
        <v>0</v>
      </c>
      <c r="G1473" s="38"/>
      <c r="H1473" s="38"/>
      <c r="I1473" s="38">
        <f t="shared" si="690"/>
        <v>0</v>
      </c>
      <c r="J1473" s="63"/>
      <c r="K1473" s="63"/>
      <c r="L1473" s="63">
        <f t="shared" si="691"/>
        <v>0</v>
      </c>
      <c r="M1473" s="218" t="str">
        <f t="shared" si="668"/>
        <v/>
      </c>
      <c r="N1473" s="218" t="str">
        <f t="shared" si="669"/>
        <v/>
      </c>
      <c r="O1473" s="218" t="str">
        <f t="shared" si="670"/>
        <v/>
      </c>
      <c r="P1473" s="218" t="str">
        <f t="shared" si="688"/>
        <v/>
      </c>
    </row>
    <row r="1474" spans="1:16" s="3" customFormat="1" ht="12.75">
      <c r="A1474" s="58" t="s">
        <v>249</v>
      </c>
      <c r="B1474" s="66" t="s">
        <v>265</v>
      </c>
      <c r="C1474" s="311" t="s">
        <v>940</v>
      </c>
      <c r="D1474" s="55">
        <f>SUM(D1476:D1485)</f>
        <v>11332920</v>
      </c>
      <c r="E1474" s="67">
        <f>SUM(E1476:E1484)</f>
        <v>0</v>
      </c>
      <c r="F1474" s="42">
        <f t="shared" si="692"/>
        <v>11332920</v>
      </c>
      <c r="G1474" s="55">
        <f>SUM(G1476:G1485)</f>
        <v>12057359</v>
      </c>
      <c r="H1474" s="61">
        <f>SUM(H1476:H1484)</f>
        <v>0</v>
      </c>
      <c r="I1474" s="55">
        <f t="shared" si="690"/>
        <v>12057359</v>
      </c>
      <c r="J1474" s="55">
        <f>SUM(J1476:J1485)</f>
        <v>12764080</v>
      </c>
      <c r="K1474" s="67">
        <f>SUM(K1476:K1484)</f>
        <v>0</v>
      </c>
      <c r="L1474" s="42">
        <f t="shared" si="691"/>
        <v>12764080</v>
      </c>
      <c r="M1474" s="225">
        <f t="shared" si="668"/>
        <v>112.62834291603576</v>
      </c>
      <c r="N1474" s="225">
        <f t="shared" si="669"/>
        <v>112.62834291603576</v>
      </c>
      <c r="O1474" s="225">
        <f t="shared" si="670"/>
        <v>105.8613250215076</v>
      </c>
      <c r="P1474" s="225">
        <f t="shared" si="688"/>
        <v>105.8613250215076</v>
      </c>
    </row>
    <row r="1475" spans="1:16" s="3" customFormat="1" hidden="1">
      <c r="A1475" s="46" t="s">
        <v>267</v>
      </c>
      <c r="B1475" s="79"/>
      <c r="C1475" s="302" t="s">
        <v>268</v>
      </c>
      <c r="D1475" s="38">
        <f>SUM(D1476:D1484)</f>
        <v>11332920</v>
      </c>
      <c r="E1475" s="63"/>
      <c r="F1475" s="48">
        <f>E1475+D1475</f>
        <v>11332920</v>
      </c>
      <c r="G1475" s="38">
        <f>SUM(G1476:G1484)</f>
        <v>12057359</v>
      </c>
      <c r="H1475" s="38"/>
      <c r="I1475" s="85">
        <f>H1475+G1475</f>
        <v>12057359</v>
      </c>
      <c r="J1475" s="38">
        <f>SUM(J1476:J1484)</f>
        <v>12764080</v>
      </c>
      <c r="K1475" s="63"/>
      <c r="L1475" s="48">
        <f>K1475+J1475</f>
        <v>12764080</v>
      </c>
      <c r="M1475" s="219">
        <f t="shared" si="668"/>
        <v>112.62834291603576</v>
      </c>
      <c r="N1475" s="219">
        <f t="shared" si="669"/>
        <v>112.62834291603576</v>
      </c>
      <c r="O1475" s="219">
        <f t="shared" si="670"/>
        <v>105.8613250215076</v>
      </c>
      <c r="P1475" s="219">
        <f t="shared" si="688"/>
        <v>105.8613250215076</v>
      </c>
    </row>
    <row r="1476" spans="1:16" s="3" customFormat="1" ht="12.75" customHeight="1">
      <c r="A1476" s="36" t="s">
        <v>180</v>
      </c>
      <c r="B1476" s="33" t="s">
        <v>419</v>
      </c>
      <c r="C1476" s="211" t="s">
        <v>1688</v>
      </c>
      <c r="D1476" s="63">
        <v>11222330</v>
      </c>
      <c r="E1476" s="63"/>
      <c r="F1476" s="48">
        <f>E1476+D1476</f>
        <v>11222330</v>
      </c>
      <c r="G1476" s="38">
        <v>11429858</v>
      </c>
      <c r="H1476" s="38"/>
      <c r="I1476" s="85">
        <f>H1476+G1476</f>
        <v>11429858</v>
      </c>
      <c r="J1476" s="63">
        <v>12440800</v>
      </c>
      <c r="K1476" s="63"/>
      <c r="L1476" s="48">
        <f>K1476+J1476</f>
        <v>12440800</v>
      </c>
      <c r="M1476" s="219">
        <f t="shared" si="668"/>
        <v>110.85754918987412</v>
      </c>
      <c r="N1476" s="219">
        <f t="shared" si="669"/>
        <v>110.85754918987412</v>
      </c>
      <c r="O1476" s="219">
        <f t="shared" si="670"/>
        <v>108.84474680262871</v>
      </c>
      <c r="P1476" s="219">
        <f t="shared" si="688"/>
        <v>108.84474680262871</v>
      </c>
    </row>
    <row r="1477" spans="1:16" s="3" customFormat="1" ht="12.75" customHeight="1">
      <c r="A1477" s="36" t="s">
        <v>368</v>
      </c>
      <c r="B1477" s="33" t="s">
        <v>418</v>
      </c>
      <c r="C1477" s="211" t="s">
        <v>1689</v>
      </c>
      <c r="D1477" s="63">
        <v>17000</v>
      </c>
      <c r="E1477" s="63"/>
      <c r="F1477" s="48">
        <f>E1477+D1477</f>
        <v>17000</v>
      </c>
      <c r="G1477" s="38">
        <v>108031</v>
      </c>
      <c r="H1477" s="38"/>
      <c r="I1477" s="85">
        <f>H1477+G1477</f>
        <v>108031</v>
      </c>
      <c r="J1477" s="63">
        <v>22000</v>
      </c>
      <c r="K1477" s="63"/>
      <c r="L1477" s="48">
        <f t="shared" ref="L1477:L1485" si="693">K1477+J1477</f>
        <v>22000</v>
      </c>
      <c r="M1477" s="219">
        <f t="shared" si="668"/>
        <v>129.41176470588235</v>
      </c>
      <c r="N1477" s="219">
        <f t="shared" si="669"/>
        <v>129.41176470588235</v>
      </c>
      <c r="O1477" s="219">
        <f t="shared" si="670"/>
        <v>20.364524997454435</v>
      </c>
      <c r="P1477" s="219">
        <f t="shared" si="688"/>
        <v>20.364524997454435</v>
      </c>
    </row>
    <row r="1478" spans="1:16" s="3" customFormat="1" ht="12.75" customHeight="1">
      <c r="A1478" s="36" t="s">
        <v>754</v>
      </c>
      <c r="B1478" s="33" t="s">
        <v>755</v>
      </c>
      <c r="C1478" s="211" t="s">
        <v>1692</v>
      </c>
      <c r="D1478" s="63">
        <v>21870</v>
      </c>
      <c r="E1478" s="63"/>
      <c r="F1478" s="63">
        <f>SUM(D1478:E1478)</f>
        <v>21870</v>
      </c>
      <c r="G1478" s="38">
        <v>21870</v>
      </c>
      <c r="H1478" s="38"/>
      <c r="I1478" s="38">
        <f>SUM(G1478:H1478)</f>
        <v>21870</v>
      </c>
      <c r="J1478" s="63">
        <v>17280</v>
      </c>
      <c r="K1478" s="63"/>
      <c r="L1478" s="48">
        <f>K1478+J1478</f>
        <v>17280</v>
      </c>
      <c r="M1478" s="218">
        <f t="shared" si="668"/>
        <v>79.012345679012341</v>
      </c>
      <c r="N1478" s="218">
        <f t="shared" si="669"/>
        <v>79.012345679012341</v>
      </c>
      <c r="O1478" s="218">
        <f t="shared" si="670"/>
        <v>79.012345679012341</v>
      </c>
      <c r="P1478" s="218">
        <f>IF(I1478&gt;0,IF(L1478&gt;=0,L1478/I1478*100,""),"")</f>
        <v>79.012345679012341</v>
      </c>
    </row>
    <row r="1479" spans="1:16" s="3" customFormat="1" ht="12.75" customHeight="1">
      <c r="A1479" s="36" t="s">
        <v>2071</v>
      </c>
      <c r="B1479" s="33" t="s">
        <v>2072</v>
      </c>
      <c r="C1479" s="211" t="s">
        <v>2194</v>
      </c>
      <c r="D1479" s="63"/>
      <c r="E1479" s="63"/>
      <c r="F1479" s="63"/>
      <c r="G1479" s="38">
        <v>220000</v>
      </c>
      <c r="H1479" s="38"/>
      <c r="I1479" s="38">
        <f>SUM(G1479:H1479)</f>
        <v>220000</v>
      </c>
      <c r="J1479" s="63">
        <v>220000</v>
      </c>
      <c r="K1479" s="63"/>
      <c r="L1479" s="48">
        <f>K1479+J1479</f>
        <v>220000</v>
      </c>
      <c r="M1479" s="218" t="str">
        <f t="shared" si="668"/>
        <v/>
      </c>
      <c r="N1479" s="218" t="str">
        <f t="shared" si="669"/>
        <v/>
      </c>
      <c r="O1479" s="218">
        <f t="shared" si="670"/>
        <v>100</v>
      </c>
      <c r="P1479" s="218"/>
    </row>
    <row r="1480" spans="1:16" s="3" customFormat="1" ht="12.75" customHeight="1">
      <c r="A1480" s="46" t="s">
        <v>651</v>
      </c>
      <c r="B1480" s="33" t="s">
        <v>650</v>
      </c>
      <c r="C1480" s="211" t="s">
        <v>1690</v>
      </c>
      <c r="D1480" s="63">
        <v>51000</v>
      </c>
      <c r="E1480" s="63"/>
      <c r="F1480" s="48">
        <f>E1480+D1480</f>
        <v>51000</v>
      </c>
      <c r="G1480" s="38">
        <v>51000</v>
      </c>
      <c r="H1480" s="38"/>
      <c r="I1480" s="85">
        <f>H1480+G1480</f>
        <v>51000</v>
      </c>
      <c r="J1480" s="63">
        <v>51000</v>
      </c>
      <c r="K1480" s="63"/>
      <c r="L1480" s="48">
        <f>K1480+J1480</f>
        <v>51000</v>
      </c>
      <c r="M1480" s="219">
        <f t="shared" si="668"/>
        <v>100</v>
      </c>
      <c r="N1480" s="219">
        <f t="shared" si="669"/>
        <v>100</v>
      </c>
      <c r="O1480" s="219">
        <f t="shared" si="670"/>
        <v>100</v>
      </c>
      <c r="P1480" s="219">
        <f>IF(I1480&gt;0,IF(L1480&gt;=0,L1480/I1480*100,""),"")</f>
        <v>100</v>
      </c>
    </row>
    <row r="1481" spans="1:16" s="3" customFormat="1" ht="12.75" customHeight="1">
      <c r="A1481" s="36" t="s">
        <v>375</v>
      </c>
      <c r="B1481" s="33" t="s">
        <v>150</v>
      </c>
      <c r="C1481" s="211" t="s">
        <v>1693</v>
      </c>
      <c r="D1481" s="63">
        <v>12000</v>
      </c>
      <c r="E1481" s="63"/>
      <c r="F1481" s="63">
        <f>SUM(D1481:E1481)</f>
        <v>12000</v>
      </c>
      <c r="G1481" s="38">
        <v>165700</v>
      </c>
      <c r="H1481" s="38"/>
      <c r="I1481" s="38">
        <f>SUM(G1481:H1481)</f>
        <v>165700</v>
      </c>
      <c r="J1481" s="63">
        <v>13000</v>
      </c>
      <c r="K1481" s="63"/>
      <c r="L1481" s="48">
        <f>K1481+J1481</f>
        <v>13000</v>
      </c>
      <c r="M1481" s="218">
        <f t="shared" si="668"/>
        <v>108.33333333333333</v>
      </c>
      <c r="N1481" s="218">
        <f t="shared" si="669"/>
        <v>108.33333333333333</v>
      </c>
      <c r="O1481" s="218">
        <f t="shared" si="670"/>
        <v>7.8455039227519618</v>
      </c>
      <c r="P1481" s="218">
        <f>IF(I1481&gt;0,IF(L1481&gt;=0,L1481/I1481*100,""),"")</f>
        <v>7.8455039227519618</v>
      </c>
    </row>
    <row r="1482" spans="1:16" s="3" customFormat="1" ht="12.75" customHeight="1">
      <c r="A1482" s="36" t="s">
        <v>2074</v>
      </c>
      <c r="B1482" s="211" t="s">
        <v>2075</v>
      </c>
      <c r="C1482" s="211" t="s">
        <v>2195</v>
      </c>
      <c r="D1482" s="63"/>
      <c r="E1482" s="63"/>
      <c r="F1482" s="63"/>
      <c r="G1482" s="38">
        <v>6830</v>
      </c>
      <c r="H1482" s="38"/>
      <c r="I1482" s="38">
        <f>SUM(G1482:H1482)</f>
        <v>6830</v>
      </c>
      <c r="J1482" s="63"/>
      <c r="K1482" s="63"/>
      <c r="L1482" s="48">
        <f>K1482+J1482</f>
        <v>0</v>
      </c>
      <c r="M1482" s="218" t="str">
        <f t="shared" si="668"/>
        <v/>
      </c>
      <c r="N1482" s="218" t="str">
        <f t="shared" si="669"/>
        <v/>
      </c>
      <c r="O1482" s="218">
        <f t="shared" si="670"/>
        <v>0</v>
      </c>
      <c r="P1482" s="218"/>
    </row>
    <row r="1483" spans="1:16" s="3" customFormat="1" ht="12.75" customHeight="1">
      <c r="A1483" s="46" t="s">
        <v>772</v>
      </c>
      <c r="B1483" s="211" t="s">
        <v>766</v>
      </c>
      <c r="C1483" s="212" t="s">
        <v>1691</v>
      </c>
      <c r="D1483" s="63">
        <v>8720</v>
      </c>
      <c r="E1483" s="63"/>
      <c r="F1483" s="63">
        <f t="shared" ref="F1483" si="694">SUM(D1483:E1483)</f>
        <v>8720</v>
      </c>
      <c r="G1483" s="38">
        <v>10320</v>
      </c>
      <c r="H1483" s="38"/>
      <c r="I1483" s="38">
        <f t="shared" ref="I1483:I1484" si="695">SUM(G1483:H1483)</f>
        <v>10320</v>
      </c>
      <c r="J1483" s="63"/>
      <c r="K1483" s="63"/>
      <c r="L1483" s="48">
        <f t="shared" si="693"/>
        <v>0</v>
      </c>
      <c r="M1483" s="218">
        <f t="shared" si="668"/>
        <v>0</v>
      </c>
      <c r="N1483" s="218">
        <f t="shared" si="669"/>
        <v>0</v>
      </c>
      <c r="O1483" s="218">
        <f t="shared" si="670"/>
        <v>0</v>
      </c>
      <c r="P1483" s="218">
        <f t="shared" si="688"/>
        <v>0</v>
      </c>
    </row>
    <row r="1484" spans="1:16" s="3" customFormat="1" ht="12.75" customHeight="1">
      <c r="A1484" s="36" t="s">
        <v>358</v>
      </c>
      <c r="B1484" s="211" t="s">
        <v>417</v>
      </c>
      <c r="C1484" s="211" t="s">
        <v>2239</v>
      </c>
      <c r="D1484" s="63"/>
      <c r="E1484" s="63"/>
      <c r="F1484" s="63"/>
      <c r="G1484" s="38">
        <v>43750</v>
      </c>
      <c r="H1484" s="38"/>
      <c r="I1484" s="38">
        <f t="shared" si="695"/>
        <v>43750</v>
      </c>
      <c r="J1484" s="63"/>
      <c r="K1484" s="63"/>
      <c r="L1484" s="48">
        <f t="shared" si="693"/>
        <v>0</v>
      </c>
      <c r="M1484" s="218" t="str">
        <f t="shared" si="668"/>
        <v/>
      </c>
      <c r="N1484" s="218" t="str">
        <f t="shared" si="669"/>
        <v/>
      </c>
      <c r="O1484" s="218">
        <f t="shared" si="670"/>
        <v>0</v>
      </c>
      <c r="P1484" s="218"/>
    </row>
    <row r="1485" spans="1:16" s="3" customFormat="1" hidden="1">
      <c r="A1485" s="36" t="s">
        <v>791</v>
      </c>
      <c r="B1485" s="33" t="s">
        <v>151</v>
      </c>
      <c r="C1485" s="211" t="s">
        <v>1694</v>
      </c>
      <c r="D1485" s="63"/>
      <c r="E1485" s="63"/>
      <c r="F1485" s="63"/>
      <c r="G1485" s="38"/>
      <c r="H1485" s="38"/>
      <c r="I1485" s="38"/>
      <c r="J1485" s="63"/>
      <c r="K1485" s="63"/>
      <c r="L1485" s="48">
        <f t="shared" si="693"/>
        <v>0</v>
      </c>
      <c r="M1485" s="218" t="str">
        <f t="shared" si="668"/>
        <v/>
      </c>
      <c r="N1485" s="218" t="str">
        <f t="shared" si="669"/>
        <v/>
      </c>
      <c r="O1485" s="218" t="str">
        <f t="shared" si="670"/>
        <v/>
      </c>
      <c r="P1485" s="218" t="str">
        <f t="shared" ref="P1485:P1495" si="696">IF(I1485&gt;0,IF(L1485&gt;=0,L1485/I1485*100,""),"")</f>
        <v/>
      </c>
    </row>
    <row r="1486" spans="1:16" s="3" customFormat="1" ht="6" customHeight="1">
      <c r="A1486" s="36"/>
      <c r="B1486" s="33"/>
      <c r="C1486" s="211" t="s">
        <v>268</v>
      </c>
      <c r="D1486" s="48"/>
      <c r="E1486" s="48"/>
      <c r="F1486" s="48">
        <f t="shared" ref="F1486:F1494" si="697">SUM(D1486:E1486)</f>
        <v>0</v>
      </c>
      <c r="G1486" s="85"/>
      <c r="H1486" s="85"/>
      <c r="I1486" s="85">
        <f t="shared" ref="I1486:I1497" si="698">SUM(G1486:H1486)</f>
        <v>0</v>
      </c>
      <c r="J1486" s="48"/>
      <c r="K1486" s="48"/>
      <c r="L1486" s="48">
        <f t="shared" ref="L1486:L1497" si="699">SUM(J1486:K1486)</f>
        <v>0</v>
      </c>
      <c r="M1486" s="219" t="str">
        <f t="shared" si="668"/>
        <v/>
      </c>
      <c r="N1486" s="219" t="str">
        <f t="shared" si="669"/>
        <v/>
      </c>
      <c r="O1486" s="219" t="str">
        <f t="shared" si="670"/>
        <v/>
      </c>
      <c r="P1486" s="219" t="str">
        <f t="shared" si="696"/>
        <v/>
      </c>
    </row>
    <row r="1487" spans="1:16" s="3" customFormat="1" ht="12.75">
      <c r="A1487" s="58" t="s">
        <v>376</v>
      </c>
      <c r="B1487" s="65" t="s">
        <v>265</v>
      </c>
      <c r="C1487" s="308" t="s">
        <v>940</v>
      </c>
      <c r="D1487" s="90">
        <f>SUM(D1489:D1497)</f>
        <v>9680750</v>
      </c>
      <c r="E1487" s="90">
        <f>SUM(E1489:E1497)</f>
        <v>0</v>
      </c>
      <c r="F1487" s="90">
        <f t="shared" si="697"/>
        <v>9680750</v>
      </c>
      <c r="G1487" s="60">
        <f>SUM(G1489:G1497)</f>
        <v>10573830</v>
      </c>
      <c r="H1487" s="60">
        <f>SUM(H1489:H1497)</f>
        <v>0</v>
      </c>
      <c r="I1487" s="60">
        <f t="shared" si="698"/>
        <v>10573830</v>
      </c>
      <c r="J1487" s="90">
        <f>SUM(J1489:J1497)</f>
        <v>10728430</v>
      </c>
      <c r="K1487" s="90">
        <f>SUM(K1489:K1497)</f>
        <v>0</v>
      </c>
      <c r="L1487" s="90">
        <f t="shared" si="699"/>
        <v>10728430</v>
      </c>
      <c r="M1487" s="227">
        <f t="shared" ref="M1487:M1550" si="700">IF(D1487&gt;0,IF(J1487&gt;=0,J1487/D1487*100,""),"")</f>
        <v>110.82230199106473</v>
      </c>
      <c r="N1487" s="227">
        <f t="shared" ref="N1487:N1550" si="701">IF(F1487&gt;0,IF(L1487&gt;=0,L1487/F1487*100,""),"")</f>
        <v>110.82230199106473</v>
      </c>
      <c r="O1487" s="227">
        <f t="shared" ref="O1487:O1550" si="702">IF(G1487&gt;0,IF(J1487&gt;=0,J1487/G1487*100,""),"")</f>
        <v>101.46210029856731</v>
      </c>
      <c r="P1487" s="227">
        <f t="shared" si="696"/>
        <v>101.46210029856731</v>
      </c>
    </row>
    <row r="1488" spans="1:16" s="3" customFormat="1" ht="12.75" customHeight="1">
      <c r="A1488" s="80" t="s">
        <v>267</v>
      </c>
      <c r="B1488" s="79"/>
      <c r="C1488" s="302" t="s">
        <v>268</v>
      </c>
      <c r="D1488" s="113">
        <f>SUM(D1489:D1496)</f>
        <v>9680750</v>
      </c>
      <c r="E1488" s="113">
        <f>SUM(E1489:E1496)</f>
        <v>0</v>
      </c>
      <c r="F1488" s="63">
        <f t="shared" si="697"/>
        <v>9680750</v>
      </c>
      <c r="G1488" s="187">
        <f>SUM(G1489:G1496)</f>
        <v>10546330</v>
      </c>
      <c r="H1488" s="187">
        <f>SUM(H1489:H1496)</f>
        <v>0</v>
      </c>
      <c r="I1488" s="38">
        <f t="shared" si="698"/>
        <v>10546330</v>
      </c>
      <c r="J1488" s="63">
        <f>SUM(J1489:J1496)</f>
        <v>10728430</v>
      </c>
      <c r="K1488" s="113">
        <f>SUM(K1489:K1496)</f>
        <v>0</v>
      </c>
      <c r="L1488" s="63">
        <f t="shared" si="699"/>
        <v>10728430</v>
      </c>
      <c r="M1488" s="218">
        <f t="shared" si="700"/>
        <v>110.82230199106473</v>
      </c>
      <c r="N1488" s="218">
        <f t="shared" si="701"/>
        <v>110.82230199106473</v>
      </c>
      <c r="O1488" s="218">
        <f t="shared" si="702"/>
        <v>101.72666700169633</v>
      </c>
      <c r="P1488" s="218">
        <f t="shared" si="696"/>
        <v>101.72666700169633</v>
      </c>
    </row>
    <row r="1489" spans="1:16" s="3" customFormat="1" ht="12.75" customHeight="1">
      <c r="A1489" s="36" t="s">
        <v>180</v>
      </c>
      <c r="B1489" s="33" t="s">
        <v>419</v>
      </c>
      <c r="C1489" s="211" t="s">
        <v>1695</v>
      </c>
      <c r="D1489" s="38">
        <v>9469380</v>
      </c>
      <c r="E1489" s="38"/>
      <c r="F1489" s="63">
        <f t="shared" si="697"/>
        <v>9469380</v>
      </c>
      <c r="G1489" s="38">
        <v>9898320</v>
      </c>
      <c r="H1489" s="38"/>
      <c r="I1489" s="38">
        <f t="shared" si="698"/>
        <v>9898320</v>
      </c>
      <c r="J1489" s="63">
        <v>10631590</v>
      </c>
      <c r="K1489" s="38"/>
      <c r="L1489" s="63">
        <f t="shared" si="699"/>
        <v>10631590</v>
      </c>
      <c r="M1489" s="218">
        <f t="shared" si="700"/>
        <v>112.27334841351811</v>
      </c>
      <c r="N1489" s="218">
        <f t="shared" si="701"/>
        <v>112.27334841351811</v>
      </c>
      <c r="O1489" s="218">
        <f t="shared" si="702"/>
        <v>107.40802479612701</v>
      </c>
      <c r="P1489" s="218">
        <f t="shared" si="696"/>
        <v>107.40802479612701</v>
      </c>
    </row>
    <row r="1490" spans="1:16" s="3" customFormat="1" ht="12.75" customHeight="1">
      <c r="A1490" s="36" t="s">
        <v>754</v>
      </c>
      <c r="B1490" s="33" t="s">
        <v>755</v>
      </c>
      <c r="C1490" s="211" t="s">
        <v>1698</v>
      </c>
      <c r="D1490" s="38">
        <v>14670</v>
      </c>
      <c r="E1490" s="38"/>
      <c r="F1490" s="63">
        <f>SUM(D1490:E1490)</f>
        <v>14670</v>
      </c>
      <c r="G1490" s="38">
        <v>14670</v>
      </c>
      <c r="H1490" s="38"/>
      <c r="I1490" s="38">
        <f>SUM(G1490:H1490)</f>
        <v>14670</v>
      </c>
      <c r="J1490" s="63">
        <v>3600</v>
      </c>
      <c r="K1490" s="38"/>
      <c r="L1490" s="63">
        <f>SUM(J1490:K1490)</f>
        <v>3600</v>
      </c>
      <c r="M1490" s="218">
        <f t="shared" si="700"/>
        <v>24.539877300613497</v>
      </c>
      <c r="N1490" s="218">
        <f t="shared" si="701"/>
        <v>24.539877300613497</v>
      </c>
      <c r="O1490" s="218">
        <f t="shared" si="702"/>
        <v>24.539877300613497</v>
      </c>
      <c r="P1490" s="218">
        <f>IF(I1490&gt;0,IF(L1490&gt;=0,L1490/I1490*100,""),"")</f>
        <v>24.539877300613497</v>
      </c>
    </row>
    <row r="1491" spans="1:16" s="3" customFormat="1" ht="12.75" customHeight="1">
      <c r="A1491" s="36" t="s">
        <v>13</v>
      </c>
      <c r="B1491" s="33" t="s">
        <v>10</v>
      </c>
      <c r="C1491" s="211" t="s">
        <v>1699</v>
      </c>
      <c r="D1491" s="38">
        <v>29700</v>
      </c>
      <c r="E1491" s="38"/>
      <c r="F1491" s="63">
        <f>SUM(D1491:E1491)</f>
        <v>29700</v>
      </c>
      <c r="G1491" s="38">
        <v>17000</v>
      </c>
      <c r="H1491" s="38"/>
      <c r="I1491" s="38">
        <f>SUM(G1491:H1491)</f>
        <v>17000</v>
      </c>
      <c r="J1491" s="63">
        <v>81240</v>
      </c>
      <c r="K1491" s="38"/>
      <c r="L1491" s="63">
        <f>SUM(J1491:K1491)</f>
        <v>81240</v>
      </c>
      <c r="M1491" s="218">
        <f t="shared" si="700"/>
        <v>273.53535353535352</v>
      </c>
      <c r="N1491" s="218">
        <f t="shared" si="701"/>
        <v>273.53535353535352</v>
      </c>
      <c r="O1491" s="218">
        <f t="shared" si="702"/>
        <v>477.88235294117652</v>
      </c>
      <c r="P1491" s="218">
        <f>IF(I1491&gt;0,IF(L1491&gt;=0,L1491/I1491*100,""),"")</f>
        <v>477.88235294117652</v>
      </c>
    </row>
    <row r="1492" spans="1:16" s="3" customFormat="1" ht="12.75" customHeight="1">
      <c r="A1492" s="36" t="s">
        <v>375</v>
      </c>
      <c r="B1492" s="33" t="s">
        <v>150</v>
      </c>
      <c r="C1492" s="211" t="s">
        <v>1700</v>
      </c>
      <c r="D1492" s="38">
        <v>11000</v>
      </c>
      <c r="E1492" s="38"/>
      <c r="F1492" s="63">
        <f>SUM(D1492:E1492)</f>
        <v>11000</v>
      </c>
      <c r="G1492" s="38">
        <v>261000</v>
      </c>
      <c r="H1492" s="38"/>
      <c r="I1492" s="38">
        <f>SUM(G1492:H1492)</f>
        <v>261000</v>
      </c>
      <c r="J1492" s="63">
        <v>12000</v>
      </c>
      <c r="K1492" s="38"/>
      <c r="L1492" s="63">
        <f>SUM(J1492:K1492)</f>
        <v>12000</v>
      </c>
      <c r="M1492" s="218">
        <f t="shared" si="700"/>
        <v>109.09090909090908</v>
      </c>
      <c r="N1492" s="218">
        <f t="shared" si="701"/>
        <v>109.09090909090908</v>
      </c>
      <c r="O1492" s="218">
        <f t="shared" si="702"/>
        <v>4.5977011494252871</v>
      </c>
      <c r="P1492" s="218">
        <f>IF(I1492&gt;0,IF(L1492&gt;=0,L1492/I1492*100,""),"")</f>
        <v>4.5977011494252871</v>
      </c>
    </row>
    <row r="1493" spans="1:16" s="3" customFormat="1" ht="12.75" customHeight="1">
      <c r="A1493" s="36" t="s">
        <v>368</v>
      </c>
      <c r="B1493" s="211" t="s">
        <v>418</v>
      </c>
      <c r="C1493" s="211" t="s">
        <v>1696</v>
      </c>
      <c r="D1493" s="38">
        <v>10000</v>
      </c>
      <c r="E1493" s="38"/>
      <c r="F1493" s="63">
        <f t="shared" si="697"/>
        <v>10000</v>
      </c>
      <c r="G1493" s="38">
        <v>35500</v>
      </c>
      <c r="H1493" s="38"/>
      <c r="I1493" s="38">
        <f t="shared" si="698"/>
        <v>35500</v>
      </c>
      <c r="J1493" s="63"/>
      <c r="K1493" s="38"/>
      <c r="L1493" s="63">
        <f t="shared" si="699"/>
        <v>0</v>
      </c>
      <c r="M1493" s="218">
        <f t="shared" si="700"/>
        <v>0</v>
      </c>
      <c r="N1493" s="218">
        <f t="shared" si="701"/>
        <v>0</v>
      </c>
      <c r="O1493" s="218">
        <f t="shared" si="702"/>
        <v>0</v>
      </c>
      <c r="P1493" s="218">
        <f t="shared" si="696"/>
        <v>0</v>
      </c>
    </row>
    <row r="1494" spans="1:16" s="3" customFormat="1" ht="12.75" customHeight="1">
      <c r="A1494" s="36" t="s">
        <v>935</v>
      </c>
      <c r="B1494" s="211" t="s">
        <v>701</v>
      </c>
      <c r="C1494" s="212" t="s">
        <v>1697</v>
      </c>
      <c r="D1494" s="38">
        <v>146000</v>
      </c>
      <c r="E1494" s="38"/>
      <c r="F1494" s="63">
        <f t="shared" si="697"/>
        <v>146000</v>
      </c>
      <c r="G1494" s="38">
        <v>146000</v>
      </c>
      <c r="H1494" s="38"/>
      <c r="I1494" s="38">
        <f t="shared" si="698"/>
        <v>146000</v>
      </c>
      <c r="J1494" s="63"/>
      <c r="K1494" s="38"/>
      <c r="L1494" s="63">
        <f t="shared" si="699"/>
        <v>0</v>
      </c>
      <c r="M1494" s="218">
        <f t="shared" si="700"/>
        <v>0</v>
      </c>
      <c r="N1494" s="218">
        <f t="shared" si="701"/>
        <v>0</v>
      </c>
      <c r="O1494" s="218">
        <f t="shared" si="702"/>
        <v>0</v>
      </c>
      <c r="P1494" s="218">
        <f t="shared" si="696"/>
        <v>0</v>
      </c>
    </row>
    <row r="1495" spans="1:16" s="3" customFormat="1" ht="12.75" customHeight="1">
      <c r="A1495" s="36" t="s">
        <v>116</v>
      </c>
      <c r="B1495" s="211" t="s">
        <v>799</v>
      </c>
      <c r="C1495" s="212" t="s">
        <v>1701</v>
      </c>
      <c r="D1495" s="38"/>
      <c r="E1495" s="38"/>
      <c r="F1495" s="63">
        <f>SUM(D1495:E1495)</f>
        <v>0</v>
      </c>
      <c r="G1495" s="38">
        <v>156340</v>
      </c>
      <c r="H1495" s="38"/>
      <c r="I1495" s="38">
        <f t="shared" si="698"/>
        <v>156340</v>
      </c>
      <c r="J1495" s="63"/>
      <c r="K1495" s="38"/>
      <c r="L1495" s="63">
        <f t="shared" si="699"/>
        <v>0</v>
      </c>
      <c r="M1495" s="218" t="str">
        <f t="shared" si="700"/>
        <v/>
      </c>
      <c r="N1495" s="218" t="str">
        <f t="shared" si="701"/>
        <v/>
      </c>
      <c r="O1495" s="218">
        <f t="shared" si="702"/>
        <v>0</v>
      </c>
      <c r="P1495" s="218">
        <f t="shared" si="696"/>
        <v>0</v>
      </c>
    </row>
    <row r="1496" spans="1:16" s="3" customFormat="1" ht="12.75" customHeight="1">
      <c r="A1496" s="36" t="s">
        <v>358</v>
      </c>
      <c r="B1496" s="211" t="s">
        <v>417</v>
      </c>
      <c r="C1496" s="212" t="s">
        <v>2311</v>
      </c>
      <c r="D1496" s="38"/>
      <c r="E1496" s="38"/>
      <c r="F1496" s="63"/>
      <c r="G1496" s="38">
        <v>17500</v>
      </c>
      <c r="H1496" s="38"/>
      <c r="I1496" s="38">
        <f t="shared" si="698"/>
        <v>17500</v>
      </c>
      <c r="J1496" s="63"/>
      <c r="K1496" s="38"/>
      <c r="L1496" s="63">
        <f t="shared" si="699"/>
        <v>0</v>
      </c>
      <c r="M1496" s="218" t="str">
        <f t="shared" si="700"/>
        <v/>
      </c>
      <c r="N1496" s="218" t="str">
        <f t="shared" si="701"/>
        <v/>
      </c>
      <c r="O1496" s="218">
        <f t="shared" si="702"/>
        <v>0</v>
      </c>
      <c r="P1496" s="218"/>
    </row>
    <row r="1497" spans="1:16" s="3" customFormat="1" ht="12.75" customHeight="1">
      <c r="A1497" s="36" t="s">
        <v>791</v>
      </c>
      <c r="B1497" s="211" t="s">
        <v>151</v>
      </c>
      <c r="C1497" s="211" t="s">
        <v>1702</v>
      </c>
      <c r="D1497" s="38"/>
      <c r="E1497" s="38"/>
      <c r="F1497" s="63">
        <f t="shared" ref="F1497" si="703">SUM(D1497:E1497)</f>
        <v>0</v>
      </c>
      <c r="G1497" s="38">
        <v>27500</v>
      </c>
      <c r="H1497" s="38"/>
      <c r="I1497" s="38">
        <f t="shared" si="698"/>
        <v>27500</v>
      </c>
      <c r="J1497" s="63"/>
      <c r="K1497" s="38"/>
      <c r="L1497" s="63">
        <f t="shared" si="699"/>
        <v>0</v>
      </c>
      <c r="M1497" s="218" t="str">
        <f t="shared" si="700"/>
        <v/>
      </c>
      <c r="N1497" s="218" t="str">
        <f t="shared" si="701"/>
        <v/>
      </c>
      <c r="O1497" s="218">
        <f t="shared" si="702"/>
        <v>0</v>
      </c>
      <c r="P1497" s="218">
        <f t="shared" ref="P1497:P1515" si="704">IF(I1497&gt;0,IF(L1497&gt;=0,L1497/I1497*100,""),"")</f>
        <v>0</v>
      </c>
    </row>
    <row r="1498" spans="1:16" s="3" customFormat="1" ht="6" customHeight="1">
      <c r="A1498" s="36"/>
      <c r="B1498" s="211"/>
      <c r="C1498" s="211" t="s">
        <v>268</v>
      </c>
      <c r="D1498" s="38"/>
      <c r="E1498" s="38"/>
      <c r="F1498" s="63"/>
      <c r="G1498" s="38"/>
      <c r="H1498" s="38"/>
      <c r="I1498" s="38"/>
      <c r="J1498" s="63"/>
      <c r="K1498" s="38"/>
      <c r="L1498" s="63"/>
      <c r="M1498" s="218" t="str">
        <f t="shared" si="700"/>
        <v/>
      </c>
      <c r="N1498" s="218" t="str">
        <f t="shared" si="701"/>
        <v/>
      </c>
      <c r="O1498" s="218" t="str">
        <f t="shared" si="702"/>
        <v/>
      </c>
      <c r="P1498" s="218" t="str">
        <f t="shared" si="704"/>
        <v/>
      </c>
    </row>
    <row r="1499" spans="1:16" s="3" customFormat="1" ht="12.75">
      <c r="A1499" s="58" t="s">
        <v>377</v>
      </c>
      <c r="B1499" s="65" t="s">
        <v>265</v>
      </c>
      <c r="C1499" s="308" t="s">
        <v>940</v>
      </c>
      <c r="D1499" s="42">
        <f>SUM(D1501:D1506)</f>
        <v>8044790</v>
      </c>
      <c r="E1499" s="42">
        <f>SUM(E1501:E1506)</f>
        <v>0</v>
      </c>
      <c r="F1499" s="42">
        <f>SUM(D1499:E1499)</f>
        <v>8044790</v>
      </c>
      <c r="G1499" s="55">
        <f>SUM(G1501:G1506)</f>
        <v>8768658</v>
      </c>
      <c r="H1499" s="55">
        <f>SUM(H1501:H1506)</f>
        <v>0</v>
      </c>
      <c r="I1499" s="55">
        <f t="shared" ref="I1499:I1528" si="705">SUM(G1499:H1499)</f>
        <v>8768658</v>
      </c>
      <c r="J1499" s="42">
        <f>SUM(J1501:J1506)</f>
        <v>9235520</v>
      </c>
      <c r="K1499" s="42">
        <f>SUM(K1501:K1506)</f>
        <v>0</v>
      </c>
      <c r="L1499" s="42">
        <f>SUM(J1499:K1499)</f>
        <v>9235520</v>
      </c>
      <c r="M1499" s="225">
        <f t="shared" si="700"/>
        <v>114.80125646536455</v>
      </c>
      <c r="N1499" s="225">
        <f t="shared" si="701"/>
        <v>114.80125646536455</v>
      </c>
      <c r="O1499" s="225">
        <f t="shared" si="702"/>
        <v>105.3242126674344</v>
      </c>
      <c r="P1499" s="225">
        <f t="shared" si="704"/>
        <v>105.3242126674344</v>
      </c>
    </row>
    <row r="1500" spans="1:16" s="3" customFormat="1" hidden="1">
      <c r="A1500" s="80" t="s">
        <v>267</v>
      </c>
      <c r="B1500" s="79"/>
      <c r="C1500" s="302" t="s">
        <v>268</v>
      </c>
      <c r="D1500" s="113">
        <f>SUM(D1501:D1505)</f>
        <v>8044790</v>
      </c>
      <c r="E1500" s="113">
        <f>SUM(E1501:E1505)</f>
        <v>0</v>
      </c>
      <c r="F1500" s="63">
        <f>SUM(D1500:E1500)</f>
        <v>8044790</v>
      </c>
      <c r="G1500" s="187">
        <f>SUM(G1501:G1505)</f>
        <v>8768658</v>
      </c>
      <c r="H1500" s="187">
        <f>SUM(H1501:H1505)</f>
        <v>0</v>
      </c>
      <c r="I1500" s="38">
        <f t="shared" si="705"/>
        <v>8768658</v>
      </c>
      <c r="J1500" s="63">
        <f>SUM(J1501:J1505)</f>
        <v>9235520</v>
      </c>
      <c r="K1500" s="113">
        <f>SUM(K1501:K1505)</f>
        <v>0</v>
      </c>
      <c r="L1500" s="63">
        <f>SUM(J1500:K1500)</f>
        <v>9235520</v>
      </c>
      <c r="M1500" s="218">
        <f t="shared" si="700"/>
        <v>114.80125646536455</v>
      </c>
      <c r="N1500" s="218">
        <f t="shared" si="701"/>
        <v>114.80125646536455</v>
      </c>
      <c r="O1500" s="218">
        <f t="shared" si="702"/>
        <v>105.3242126674344</v>
      </c>
      <c r="P1500" s="218">
        <f t="shared" si="704"/>
        <v>105.3242126674344</v>
      </c>
    </row>
    <row r="1501" spans="1:16" s="3" customFormat="1" ht="12.75" customHeight="1">
      <c r="A1501" s="36" t="s">
        <v>180</v>
      </c>
      <c r="B1501" s="33" t="s">
        <v>419</v>
      </c>
      <c r="C1501" s="211" t="s">
        <v>1703</v>
      </c>
      <c r="D1501" s="38">
        <v>7949330</v>
      </c>
      <c r="E1501" s="38"/>
      <c r="F1501" s="63">
        <f t="shared" ref="F1501" si="706">SUM(D1501:E1501)</f>
        <v>7949330</v>
      </c>
      <c r="G1501" s="38">
        <v>8181950</v>
      </c>
      <c r="H1501" s="38"/>
      <c r="I1501" s="38">
        <f t="shared" si="705"/>
        <v>8181950</v>
      </c>
      <c r="J1501" s="63">
        <v>9148520</v>
      </c>
      <c r="K1501" s="38"/>
      <c r="L1501" s="63">
        <f t="shared" ref="L1501" si="707">SUM(J1501:K1501)</f>
        <v>9148520</v>
      </c>
      <c r="M1501" s="218">
        <f t="shared" si="700"/>
        <v>115.08542229345116</v>
      </c>
      <c r="N1501" s="218">
        <f t="shared" si="701"/>
        <v>115.08542229345116</v>
      </c>
      <c r="O1501" s="218">
        <f t="shared" si="702"/>
        <v>111.81344300564047</v>
      </c>
      <c r="P1501" s="218">
        <f t="shared" si="704"/>
        <v>111.81344300564047</v>
      </c>
    </row>
    <row r="1502" spans="1:16" s="3" customFormat="1" ht="12.75" customHeight="1">
      <c r="A1502" s="36" t="s">
        <v>13</v>
      </c>
      <c r="B1502" s="47" t="s">
        <v>10</v>
      </c>
      <c r="C1502" s="212" t="s">
        <v>1704</v>
      </c>
      <c r="D1502" s="38">
        <v>66460</v>
      </c>
      <c r="E1502" s="38"/>
      <c r="F1502" s="63">
        <f>SUM(D1502:E1502)</f>
        <v>66460</v>
      </c>
      <c r="G1502" s="38">
        <v>54000</v>
      </c>
      <c r="H1502" s="38"/>
      <c r="I1502" s="38">
        <f>SUM(G1502:H1502)</f>
        <v>54000</v>
      </c>
      <c r="J1502" s="63">
        <v>77000</v>
      </c>
      <c r="K1502" s="38"/>
      <c r="L1502" s="63">
        <f>SUM(J1502:K1502)</f>
        <v>77000</v>
      </c>
      <c r="M1502" s="218">
        <f t="shared" si="700"/>
        <v>115.85916340656033</v>
      </c>
      <c r="N1502" s="218">
        <f t="shared" si="701"/>
        <v>115.85916340656033</v>
      </c>
      <c r="O1502" s="218">
        <f t="shared" si="702"/>
        <v>142.59259259259258</v>
      </c>
      <c r="P1502" s="218">
        <f>IF(I1502&gt;0,IF(L1502&gt;=0,L1502/I1502*100,""),"")</f>
        <v>142.59259259259258</v>
      </c>
    </row>
    <row r="1503" spans="1:16" s="3" customFormat="1" ht="12.75" customHeight="1">
      <c r="A1503" s="36" t="s">
        <v>375</v>
      </c>
      <c r="B1503" s="33" t="s">
        <v>150</v>
      </c>
      <c r="C1503" s="211" t="s">
        <v>1706</v>
      </c>
      <c r="D1503" s="38">
        <v>9000</v>
      </c>
      <c r="E1503" s="38"/>
      <c r="F1503" s="63">
        <f>SUM(D1503:E1503)</f>
        <v>9000</v>
      </c>
      <c r="G1503" s="38">
        <v>489000</v>
      </c>
      <c r="H1503" s="38"/>
      <c r="I1503" s="38">
        <f>SUM(G1503:H1503)</f>
        <v>489000</v>
      </c>
      <c r="J1503" s="63">
        <v>10000</v>
      </c>
      <c r="K1503" s="38"/>
      <c r="L1503" s="63">
        <f>SUM(J1503:K1503)</f>
        <v>10000</v>
      </c>
      <c r="M1503" s="218">
        <f t="shared" si="700"/>
        <v>111.11111111111111</v>
      </c>
      <c r="N1503" s="218">
        <f t="shared" si="701"/>
        <v>111.11111111111111</v>
      </c>
      <c r="O1503" s="218">
        <f t="shared" si="702"/>
        <v>2.0449897750511248</v>
      </c>
      <c r="P1503" s="218">
        <f>IF(I1503&gt;0,IF(L1503&gt;=0,L1503/I1503*100,""),"")</f>
        <v>2.0449897750511248</v>
      </c>
    </row>
    <row r="1504" spans="1:16" s="3" customFormat="1" ht="12.75" customHeight="1">
      <c r="A1504" s="36" t="s">
        <v>368</v>
      </c>
      <c r="B1504" s="211" t="s">
        <v>418</v>
      </c>
      <c r="C1504" s="211" t="s">
        <v>1707</v>
      </c>
      <c r="D1504" s="38"/>
      <c r="E1504" s="38"/>
      <c r="F1504" s="63">
        <f>SUM(D1504:E1504)</f>
        <v>0</v>
      </c>
      <c r="G1504" s="38">
        <v>23708</v>
      </c>
      <c r="H1504" s="38"/>
      <c r="I1504" s="38">
        <f>SUM(G1504:H1504)</f>
        <v>23708</v>
      </c>
      <c r="J1504" s="63"/>
      <c r="K1504" s="38"/>
      <c r="L1504" s="63">
        <f>SUM(J1504:K1504)</f>
        <v>0</v>
      </c>
      <c r="M1504" s="218" t="str">
        <f t="shared" si="700"/>
        <v/>
      </c>
      <c r="N1504" s="218" t="str">
        <f t="shared" si="701"/>
        <v/>
      </c>
      <c r="O1504" s="218">
        <f t="shared" si="702"/>
        <v>0</v>
      </c>
      <c r="P1504" s="218">
        <f t="shared" si="704"/>
        <v>0</v>
      </c>
    </row>
    <row r="1505" spans="1:16" s="3" customFormat="1" ht="12.75" customHeight="1">
      <c r="A1505" s="354" t="s">
        <v>651</v>
      </c>
      <c r="B1505" s="311" t="s">
        <v>650</v>
      </c>
      <c r="C1505" s="311" t="s">
        <v>1705</v>
      </c>
      <c r="D1505" s="61">
        <v>20000</v>
      </c>
      <c r="E1505" s="61"/>
      <c r="F1505" s="67">
        <f>SUM(D1505:E1505)</f>
        <v>20000</v>
      </c>
      <c r="G1505" s="61">
        <v>20000</v>
      </c>
      <c r="H1505" s="61"/>
      <c r="I1505" s="61">
        <f t="shared" si="705"/>
        <v>20000</v>
      </c>
      <c r="J1505" s="67"/>
      <c r="K1505" s="61"/>
      <c r="L1505" s="67">
        <f>SUM(J1505:K1505)</f>
        <v>0</v>
      </c>
      <c r="M1505" s="273">
        <f t="shared" si="700"/>
        <v>0</v>
      </c>
      <c r="N1505" s="273">
        <f t="shared" si="701"/>
        <v>0</v>
      </c>
      <c r="O1505" s="273">
        <f t="shared" si="702"/>
        <v>0</v>
      </c>
      <c r="P1505" s="273">
        <f t="shared" si="704"/>
        <v>0</v>
      </c>
    </row>
    <row r="1506" spans="1:16" s="3" customFormat="1" hidden="1">
      <c r="A1506" s="378" t="s">
        <v>791</v>
      </c>
      <c r="B1506" s="68" t="s">
        <v>151</v>
      </c>
      <c r="C1506" s="330" t="s">
        <v>1708</v>
      </c>
      <c r="D1506" s="370"/>
      <c r="E1506" s="370"/>
      <c r="F1506" s="368">
        <f t="shared" ref="F1506:F1519" si="708">SUM(D1506:E1506)</f>
        <v>0</v>
      </c>
      <c r="G1506" s="370"/>
      <c r="H1506" s="370"/>
      <c r="I1506" s="370">
        <f t="shared" si="705"/>
        <v>0</v>
      </c>
      <c r="J1506" s="368"/>
      <c r="K1506" s="370"/>
      <c r="L1506" s="368">
        <f t="shared" ref="L1506:L1509" si="709">SUM(J1506:K1506)</f>
        <v>0</v>
      </c>
      <c r="M1506" s="377" t="str">
        <f t="shared" si="700"/>
        <v/>
      </c>
      <c r="N1506" s="377" t="str">
        <f t="shared" si="701"/>
        <v/>
      </c>
      <c r="O1506" s="377" t="str">
        <f t="shared" si="702"/>
        <v/>
      </c>
      <c r="P1506" s="377" t="str">
        <f t="shared" si="704"/>
        <v/>
      </c>
    </row>
    <row r="1507" spans="1:16" s="3" customFormat="1" ht="6" customHeight="1">
      <c r="A1507" s="379"/>
      <c r="B1507" s="79"/>
      <c r="C1507" s="302" t="s">
        <v>268</v>
      </c>
      <c r="D1507" s="76"/>
      <c r="E1507" s="76"/>
      <c r="F1507" s="76">
        <f t="shared" si="708"/>
        <v>0</v>
      </c>
      <c r="G1507" s="116"/>
      <c r="H1507" s="116"/>
      <c r="I1507" s="116">
        <f t="shared" si="705"/>
        <v>0</v>
      </c>
      <c r="J1507" s="76"/>
      <c r="K1507" s="76"/>
      <c r="L1507" s="76">
        <f t="shared" si="709"/>
        <v>0</v>
      </c>
      <c r="M1507" s="226" t="str">
        <f t="shared" si="700"/>
        <v/>
      </c>
      <c r="N1507" s="226" t="str">
        <f t="shared" si="701"/>
        <v/>
      </c>
      <c r="O1507" s="226" t="str">
        <f t="shared" si="702"/>
        <v/>
      </c>
      <c r="P1507" s="226" t="str">
        <f t="shared" si="704"/>
        <v/>
      </c>
    </row>
    <row r="1508" spans="1:16" s="3" customFormat="1" ht="12.75">
      <c r="A1508" s="58" t="s">
        <v>378</v>
      </c>
      <c r="B1508" s="65" t="s">
        <v>265</v>
      </c>
      <c r="C1508" s="308" t="s">
        <v>940</v>
      </c>
      <c r="D1508" s="86">
        <f>SUM(D1510:D1517)</f>
        <v>11963930</v>
      </c>
      <c r="E1508" s="86">
        <f>SUM(E1510:E1516)</f>
        <v>0</v>
      </c>
      <c r="F1508" s="86">
        <f t="shared" si="708"/>
        <v>11963930</v>
      </c>
      <c r="G1508" s="262">
        <f>SUM(G1510:G1517)</f>
        <v>14135736</v>
      </c>
      <c r="H1508" s="262">
        <f>SUM(H1510:H1516)</f>
        <v>0</v>
      </c>
      <c r="I1508" s="262">
        <f t="shared" si="705"/>
        <v>14135736</v>
      </c>
      <c r="J1508" s="86">
        <f>SUM(J1510:J1517)</f>
        <v>13132340</v>
      </c>
      <c r="K1508" s="86">
        <f>SUM(K1510:K1516)</f>
        <v>0</v>
      </c>
      <c r="L1508" s="86">
        <f t="shared" si="709"/>
        <v>13132340</v>
      </c>
      <c r="M1508" s="236">
        <f t="shared" si="700"/>
        <v>109.76610528480191</v>
      </c>
      <c r="N1508" s="236">
        <f t="shared" si="701"/>
        <v>109.76610528480191</v>
      </c>
      <c r="O1508" s="236">
        <f t="shared" si="702"/>
        <v>92.901706709859326</v>
      </c>
      <c r="P1508" s="236">
        <f t="shared" si="704"/>
        <v>92.901706709859326</v>
      </c>
    </row>
    <row r="1509" spans="1:16" s="3" customFormat="1" ht="12.75" customHeight="1">
      <c r="A1509" s="36" t="s">
        <v>267</v>
      </c>
      <c r="B1509" s="184"/>
      <c r="C1509" s="320" t="s">
        <v>268</v>
      </c>
      <c r="D1509" s="87">
        <f>SUM(D1510:D1516)</f>
        <v>11963930</v>
      </c>
      <c r="E1509" s="95"/>
      <c r="F1509" s="63">
        <f t="shared" si="708"/>
        <v>11963930</v>
      </c>
      <c r="G1509" s="87">
        <f>SUM(G1510:G1516)</f>
        <v>14108236</v>
      </c>
      <c r="H1509" s="261"/>
      <c r="I1509" s="38">
        <f t="shared" si="705"/>
        <v>14108236</v>
      </c>
      <c r="J1509" s="87">
        <f>SUM(J1510:J1516)</f>
        <v>13132340</v>
      </c>
      <c r="K1509" s="95"/>
      <c r="L1509" s="63">
        <f t="shared" si="709"/>
        <v>13132340</v>
      </c>
      <c r="M1509" s="218">
        <f t="shared" si="700"/>
        <v>109.76610528480191</v>
      </c>
      <c r="N1509" s="218">
        <f t="shared" si="701"/>
        <v>109.76610528480191</v>
      </c>
      <c r="O1509" s="218">
        <f t="shared" si="702"/>
        <v>93.082792207331948</v>
      </c>
      <c r="P1509" s="218">
        <f t="shared" si="704"/>
        <v>93.082792207331948</v>
      </c>
    </row>
    <row r="1510" spans="1:16" s="3" customFormat="1" ht="12.75" customHeight="1">
      <c r="A1510" s="36" t="s">
        <v>180</v>
      </c>
      <c r="B1510" s="33" t="s">
        <v>419</v>
      </c>
      <c r="C1510" s="211" t="s">
        <v>1709</v>
      </c>
      <c r="D1510" s="87">
        <v>11383280</v>
      </c>
      <c r="E1510" s="87"/>
      <c r="F1510" s="63">
        <f t="shared" si="708"/>
        <v>11383280</v>
      </c>
      <c r="G1510" s="87">
        <v>13009296</v>
      </c>
      <c r="H1510" s="87"/>
      <c r="I1510" s="38">
        <f t="shared" si="705"/>
        <v>13009296</v>
      </c>
      <c r="J1510" s="63">
        <v>12592340</v>
      </c>
      <c r="K1510" s="87"/>
      <c r="L1510" s="63">
        <f t="shared" ref="L1510:L1519" si="710">SUM(J1510:K1510)</f>
        <v>12592340</v>
      </c>
      <c r="M1510" s="218">
        <f t="shared" si="700"/>
        <v>110.62136747932054</v>
      </c>
      <c r="N1510" s="218">
        <f t="shared" si="701"/>
        <v>110.62136747932054</v>
      </c>
      <c r="O1510" s="218">
        <f t="shared" si="702"/>
        <v>96.794938019705285</v>
      </c>
      <c r="P1510" s="218">
        <f t="shared" si="704"/>
        <v>96.794938019705285</v>
      </c>
    </row>
    <row r="1511" spans="1:16" s="3" customFormat="1" ht="12.75" customHeight="1">
      <c r="A1511" s="46" t="s">
        <v>2071</v>
      </c>
      <c r="B1511" s="47" t="s">
        <v>2072</v>
      </c>
      <c r="C1511" s="212" t="s">
        <v>2196</v>
      </c>
      <c r="D1511" s="38"/>
      <c r="E1511" s="38"/>
      <c r="F1511" s="63"/>
      <c r="G1511" s="38">
        <v>384640</v>
      </c>
      <c r="H1511" s="38"/>
      <c r="I1511" s="38">
        <f>SUM(G1511:H1511)</f>
        <v>384640</v>
      </c>
      <c r="J1511" s="63">
        <v>500000</v>
      </c>
      <c r="K1511" s="38"/>
      <c r="L1511" s="63">
        <f>SUM(J1511:K1511)</f>
        <v>500000</v>
      </c>
      <c r="M1511" s="218" t="str">
        <f t="shared" si="700"/>
        <v/>
      </c>
      <c r="N1511" s="218" t="str">
        <f t="shared" si="701"/>
        <v/>
      </c>
      <c r="O1511" s="218">
        <f t="shared" si="702"/>
        <v>129.99168053244591</v>
      </c>
      <c r="P1511" s="218"/>
    </row>
    <row r="1512" spans="1:16" s="3" customFormat="1" ht="12.75" customHeight="1">
      <c r="A1512" s="46" t="s">
        <v>651</v>
      </c>
      <c r="B1512" s="47" t="s">
        <v>650</v>
      </c>
      <c r="C1512" s="212" t="s">
        <v>1711</v>
      </c>
      <c r="D1512" s="38">
        <v>10000</v>
      </c>
      <c r="E1512" s="38"/>
      <c r="F1512" s="63">
        <f>SUM(D1512:E1512)</f>
        <v>10000</v>
      </c>
      <c r="G1512" s="38">
        <v>10000</v>
      </c>
      <c r="H1512" s="38"/>
      <c r="I1512" s="38">
        <f>SUM(G1512:H1512)</f>
        <v>10000</v>
      </c>
      <c r="J1512" s="63">
        <v>25000</v>
      </c>
      <c r="K1512" s="38"/>
      <c r="L1512" s="63">
        <f>SUM(J1512:K1512)</f>
        <v>25000</v>
      </c>
      <c r="M1512" s="218">
        <f t="shared" si="700"/>
        <v>250</v>
      </c>
      <c r="N1512" s="218">
        <f t="shared" si="701"/>
        <v>250</v>
      </c>
      <c r="O1512" s="218">
        <f t="shared" si="702"/>
        <v>250</v>
      </c>
      <c r="P1512" s="218">
        <f>IF(I1512&gt;0,IF(L1512&gt;=0,L1512/I1512*100,""),"")</f>
        <v>250</v>
      </c>
    </row>
    <row r="1513" spans="1:16" s="3" customFormat="1" ht="12.75" customHeight="1">
      <c r="A1513" s="36" t="s">
        <v>375</v>
      </c>
      <c r="B1513" s="33" t="s">
        <v>150</v>
      </c>
      <c r="C1513" s="211" t="s">
        <v>1714</v>
      </c>
      <c r="D1513" s="38">
        <v>14000</v>
      </c>
      <c r="E1513" s="38"/>
      <c r="F1513" s="63">
        <f>SUM(D1513:E1513)</f>
        <v>14000</v>
      </c>
      <c r="G1513" s="38">
        <v>199000</v>
      </c>
      <c r="H1513" s="38"/>
      <c r="I1513" s="38">
        <f>SUM(G1513:H1513)</f>
        <v>199000</v>
      </c>
      <c r="J1513" s="63">
        <v>15000</v>
      </c>
      <c r="K1513" s="38"/>
      <c r="L1513" s="63">
        <f>SUM(J1513:K1513)</f>
        <v>15000</v>
      </c>
      <c r="M1513" s="218">
        <f t="shared" si="700"/>
        <v>107.14285714285714</v>
      </c>
      <c r="N1513" s="218">
        <f t="shared" si="701"/>
        <v>107.14285714285714</v>
      </c>
      <c r="O1513" s="218">
        <f t="shared" si="702"/>
        <v>7.5376884422110546</v>
      </c>
      <c r="P1513" s="218">
        <f>IF(I1513&gt;0,IF(L1513&gt;=0,L1513/I1513*100,""),"")</f>
        <v>7.5376884422110546</v>
      </c>
    </row>
    <row r="1514" spans="1:16" s="3" customFormat="1" ht="12.75" customHeight="1">
      <c r="A1514" s="36" t="s">
        <v>368</v>
      </c>
      <c r="B1514" s="211" t="s">
        <v>418</v>
      </c>
      <c r="C1514" s="211" t="s">
        <v>1710</v>
      </c>
      <c r="D1514" s="38">
        <v>10000</v>
      </c>
      <c r="E1514" s="38"/>
      <c r="F1514" s="63">
        <f t="shared" si="708"/>
        <v>10000</v>
      </c>
      <c r="G1514" s="38">
        <v>31500</v>
      </c>
      <c r="H1514" s="38"/>
      <c r="I1514" s="38">
        <f t="shared" si="705"/>
        <v>31500</v>
      </c>
      <c r="J1514" s="63"/>
      <c r="K1514" s="38"/>
      <c r="L1514" s="63">
        <f t="shared" si="710"/>
        <v>0</v>
      </c>
      <c r="M1514" s="218">
        <f t="shared" si="700"/>
        <v>0</v>
      </c>
      <c r="N1514" s="218">
        <f t="shared" si="701"/>
        <v>0</v>
      </c>
      <c r="O1514" s="218">
        <f t="shared" si="702"/>
        <v>0</v>
      </c>
      <c r="P1514" s="218">
        <f t="shared" si="704"/>
        <v>0</v>
      </c>
    </row>
    <row r="1515" spans="1:16" s="3" customFormat="1" ht="12.75" customHeight="1">
      <c r="A1515" s="46" t="s">
        <v>935</v>
      </c>
      <c r="B1515" s="211" t="s">
        <v>701</v>
      </c>
      <c r="C1515" s="212" t="s">
        <v>1712</v>
      </c>
      <c r="D1515" s="38">
        <v>531800</v>
      </c>
      <c r="E1515" s="38"/>
      <c r="F1515" s="63">
        <f t="shared" si="708"/>
        <v>531800</v>
      </c>
      <c r="G1515" s="38">
        <v>473800</v>
      </c>
      <c r="H1515" s="38"/>
      <c r="I1515" s="38">
        <f t="shared" si="705"/>
        <v>473800</v>
      </c>
      <c r="J1515" s="63"/>
      <c r="K1515" s="38"/>
      <c r="L1515" s="63">
        <f t="shared" si="710"/>
        <v>0</v>
      </c>
      <c r="M1515" s="218">
        <f t="shared" si="700"/>
        <v>0</v>
      </c>
      <c r="N1515" s="218">
        <f t="shared" si="701"/>
        <v>0</v>
      </c>
      <c r="O1515" s="218">
        <f t="shared" si="702"/>
        <v>0</v>
      </c>
      <c r="P1515" s="218">
        <f t="shared" si="704"/>
        <v>0</v>
      </c>
    </row>
    <row r="1516" spans="1:16" s="3" customFormat="1" ht="12.75" customHeight="1">
      <c r="A1516" s="46" t="s">
        <v>13</v>
      </c>
      <c r="B1516" s="211" t="s">
        <v>10</v>
      </c>
      <c r="C1516" s="212" t="s">
        <v>1713</v>
      </c>
      <c r="D1516" s="38">
        <v>14850</v>
      </c>
      <c r="E1516" s="38"/>
      <c r="F1516" s="63">
        <f t="shared" si="708"/>
        <v>14850</v>
      </c>
      <c r="G1516" s="38"/>
      <c r="H1516" s="38"/>
      <c r="I1516" s="38">
        <f t="shared" si="705"/>
        <v>0</v>
      </c>
      <c r="J1516" s="63"/>
      <c r="K1516" s="38"/>
      <c r="L1516" s="63">
        <f t="shared" si="710"/>
        <v>0</v>
      </c>
      <c r="M1516" s="218">
        <f t="shared" si="700"/>
        <v>0</v>
      </c>
      <c r="N1516" s="218">
        <f t="shared" si="701"/>
        <v>0</v>
      </c>
      <c r="O1516" s="218" t="str">
        <f t="shared" si="702"/>
        <v/>
      </c>
      <c r="P1516" s="218" t="str">
        <f>IF(I1516&gt;0,IF(L1516&gt;=0,L1516/I1516*100,""),"")</f>
        <v/>
      </c>
    </row>
    <row r="1517" spans="1:16" s="3" customFormat="1" ht="12.75" customHeight="1">
      <c r="A1517" s="36" t="s">
        <v>791</v>
      </c>
      <c r="B1517" s="211" t="s">
        <v>151</v>
      </c>
      <c r="C1517" s="211" t="s">
        <v>2310</v>
      </c>
      <c r="D1517" s="38"/>
      <c r="E1517" s="38"/>
      <c r="F1517" s="63">
        <f t="shared" si="708"/>
        <v>0</v>
      </c>
      <c r="G1517" s="38">
        <v>27500</v>
      </c>
      <c r="H1517" s="38"/>
      <c r="I1517" s="38">
        <f t="shared" si="705"/>
        <v>27500</v>
      </c>
      <c r="J1517" s="38"/>
      <c r="K1517" s="38"/>
      <c r="L1517" s="63"/>
      <c r="M1517" s="218" t="str">
        <f t="shared" si="700"/>
        <v/>
      </c>
      <c r="N1517" s="218" t="str">
        <f t="shared" si="701"/>
        <v/>
      </c>
      <c r="O1517" s="218">
        <f t="shared" si="702"/>
        <v>0</v>
      </c>
      <c r="P1517" s="218"/>
    </row>
    <row r="1518" spans="1:16" s="3" customFormat="1" ht="6" customHeight="1">
      <c r="A1518" s="46"/>
      <c r="B1518" s="47"/>
      <c r="C1518" s="212" t="s">
        <v>268</v>
      </c>
      <c r="D1518" s="70"/>
      <c r="E1518" s="70"/>
      <c r="F1518" s="70">
        <f t="shared" si="708"/>
        <v>0</v>
      </c>
      <c r="G1518" s="84"/>
      <c r="H1518" s="84"/>
      <c r="I1518" s="84">
        <f t="shared" si="705"/>
        <v>0</v>
      </c>
      <c r="J1518" s="70"/>
      <c r="K1518" s="70"/>
      <c r="L1518" s="70">
        <f t="shared" si="710"/>
        <v>0</v>
      </c>
      <c r="M1518" s="224" t="str">
        <f t="shared" si="700"/>
        <v/>
      </c>
      <c r="N1518" s="224" t="str">
        <f t="shared" si="701"/>
        <v/>
      </c>
      <c r="O1518" s="224" t="str">
        <f t="shared" si="702"/>
        <v/>
      </c>
      <c r="P1518" s="224" t="str">
        <f t="shared" ref="P1518:P1524" si="711">IF(I1518&gt;0,IF(L1518&gt;=0,L1518/I1518*100,""),"")</f>
        <v/>
      </c>
    </row>
    <row r="1519" spans="1:16" s="3" customFormat="1" ht="12.75">
      <c r="A1519" s="58" t="s">
        <v>380</v>
      </c>
      <c r="B1519" s="59" t="s">
        <v>265</v>
      </c>
      <c r="C1519" s="310" t="s">
        <v>940</v>
      </c>
      <c r="D1519" s="115">
        <f>SUM(D1521:D1528)</f>
        <v>6230530</v>
      </c>
      <c r="E1519" s="115">
        <f>SUM(E1521:E1528)</f>
        <v>0</v>
      </c>
      <c r="F1519" s="69">
        <f t="shared" si="708"/>
        <v>6230530</v>
      </c>
      <c r="G1519" s="115">
        <f>SUM(G1521:G1528)</f>
        <v>6818586</v>
      </c>
      <c r="H1519" s="115">
        <f>SUM(H1521:H1528)</f>
        <v>0</v>
      </c>
      <c r="I1519" s="115">
        <f t="shared" si="705"/>
        <v>6818586</v>
      </c>
      <c r="J1519" s="69">
        <f>SUM(J1521:J1528)</f>
        <v>6740600</v>
      </c>
      <c r="K1519" s="115">
        <f>SUM(K1521:K1528)</f>
        <v>0</v>
      </c>
      <c r="L1519" s="69">
        <f t="shared" si="710"/>
        <v>6740600</v>
      </c>
      <c r="M1519" s="217">
        <f t="shared" si="700"/>
        <v>108.18662296786951</v>
      </c>
      <c r="N1519" s="217">
        <f t="shared" si="701"/>
        <v>108.18662296786951</v>
      </c>
      <c r="O1519" s="217">
        <f t="shared" si="702"/>
        <v>98.856273133461983</v>
      </c>
      <c r="P1519" s="217">
        <f t="shared" si="711"/>
        <v>98.856273133461983</v>
      </c>
    </row>
    <row r="1520" spans="1:16" s="3" customFormat="1" ht="12.75" customHeight="1">
      <c r="A1520" s="80" t="s">
        <v>267</v>
      </c>
      <c r="B1520" s="79"/>
      <c r="C1520" s="302" t="s">
        <v>268</v>
      </c>
      <c r="D1520" s="113">
        <f>SUM(D1521:D1527)</f>
        <v>6230530</v>
      </c>
      <c r="E1520" s="113">
        <f>SUM(E1521:E1527)</f>
        <v>0</v>
      </c>
      <c r="F1520" s="63">
        <f>SUM(D1520:E1520)</f>
        <v>6230530</v>
      </c>
      <c r="G1520" s="187">
        <f>SUM(G1521:G1527)</f>
        <v>6398586</v>
      </c>
      <c r="H1520" s="187">
        <f>SUM(H1521:H1527)</f>
        <v>0</v>
      </c>
      <c r="I1520" s="38">
        <f t="shared" si="705"/>
        <v>6398586</v>
      </c>
      <c r="J1520" s="63">
        <f>SUM(J1521:J1527)</f>
        <v>6740600</v>
      </c>
      <c r="K1520" s="113">
        <f>SUM(K1521:K1527)</f>
        <v>0</v>
      </c>
      <c r="L1520" s="63">
        <f>SUM(J1520:K1520)</f>
        <v>6740600</v>
      </c>
      <c r="M1520" s="218">
        <f t="shared" si="700"/>
        <v>108.18662296786951</v>
      </c>
      <c r="N1520" s="218">
        <f t="shared" si="701"/>
        <v>108.18662296786951</v>
      </c>
      <c r="O1520" s="218">
        <f t="shared" si="702"/>
        <v>105.34514969401052</v>
      </c>
      <c r="P1520" s="218">
        <f t="shared" si="711"/>
        <v>105.34514969401052</v>
      </c>
    </row>
    <row r="1521" spans="1:16" s="3" customFormat="1" ht="12.75" customHeight="1">
      <c r="A1521" s="36" t="s">
        <v>180</v>
      </c>
      <c r="B1521" s="33" t="s">
        <v>419</v>
      </c>
      <c r="C1521" s="211" t="s">
        <v>1715</v>
      </c>
      <c r="D1521" s="70">
        <v>6139530</v>
      </c>
      <c r="E1521" s="110"/>
      <c r="F1521" s="63">
        <f t="shared" ref="F1521" si="712">SUM(D1521:E1521)</f>
        <v>6139530</v>
      </c>
      <c r="G1521" s="84">
        <v>6211150</v>
      </c>
      <c r="H1521" s="259"/>
      <c r="I1521" s="38">
        <f t="shared" si="705"/>
        <v>6211150</v>
      </c>
      <c r="J1521" s="63">
        <v>6629100</v>
      </c>
      <c r="K1521" s="110"/>
      <c r="L1521" s="63">
        <f t="shared" ref="L1521" si="713">SUM(J1521:K1521)</f>
        <v>6629100</v>
      </c>
      <c r="M1521" s="218">
        <f t="shared" si="700"/>
        <v>107.97406316118661</v>
      </c>
      <c r="N1521" s="218">
        <f t="shared" si="701"/>
        <v>107.97406316118661</v>
      </c>
      <c r="O1521" s="218">
        <f t="shared" si="702"/>
        <v>106.72902763578402</v>
      </c>
      <c r="P1521" s="218">
        <f t="shared" si="711"/>
        <v>106.72902763578402</v>
      </c>
    </row>
    <row r="1522" spans="1:16" s="3" customFormat="1" ht="12.75" customHeight="1">
      <c r="A1522" s="46" t="s">
        <v>651</v>
      </c>
      <c r="B1522" s="47" t="s">
        <v>650</v>
      </c>
      <c r="C1522" s="212" t="s">
        <v>1716</v>
      </c>
      <c r="D1522" s="63">
        <v>83000</v>
      </c>
      <c r="E1522" s="63"/>
      <c r="F1522" s="63">
        <f>SUM(D1522:E1522)</f>
        <v>83000</v>
      </c>
      <c r="G1522" s="38">
        <v>83000</v>
      </c>
      <c r="H1522" s="38"/>
      <c r="I1522" s="38">
        <f>SUM(G1522:H1522)</f>
        <v>83000</v>
      </c>
      <c r="J1522" s="63">
        <v>102500</v>
      </c>
      <c r="K1522" s="63"/>
      <c r="L1522" s="63">
        <f>SUM(J1522:K1522)</f>
        <v>102500</v>
      </c>
      <c r="M1522" s="218">
        <f t="shared" si="700"/>
        <v>123.49397590361446</v>
      </c>
      <c r="N1522" s="218">
        <f t="shared" si="701"/>
        <v>123.49397590361446</v>
      </c>
      <c r="O1522" s="218">
        <f t="shared" si="702"/>
        <v>123.49397590361446</v>
      </c>
      <c r="P1522" s="218">
        <f t="shared" si="711"/>
        <v>123.49397590361446</v>
      </c>
    </row>
    <row r="1523" spans="1:16" s="3" customFormat="1" ht="12.75" customHeight="1">
      <c r="A1523" s="36" t="s">
        <v>375</v>
      </c>
      <c r="B1523" s="33" t="s">
        <v>150</v>
      </c>
      <c r="C1523" s="211" t="s">
        <v>1717</v>
      </c>
      <c r="D1523" s="70">
        <v>8000</v>
      </c>
      <c r="E1523" s="70"/>
      <c r="F1523" s="63">
        <f>SUM(D1523:E1523)</f>
        <v>8000</v>
      </c>
      <c r="G1523" s="84">
        <v>8000</v>
      </c>
      <c r="H1523" s="84"/>
      <c r="I1523" s="38">
        <f>SUM(G1523:H1523)</f>
        <v>8000</v>
      </c>
      <c r="J1523" s="63">
        <v>9000</v>
      </c>
      <c r="K1523" s="70"/>
      <c r="L1523" s="63">
        <f>SUM(J1523:K1523)</f>
        <v>9000</v>
      </c>
      <c r="M1523" s="218">
        <f t="shared" si="700"/>
        <v>112.5</v>
      </c>
      <c r="N1523" s="218">
        <f t="shared" si="701"/>
        <v>112.5</v>
      </c>
      <c r="O1523" s="218">
        <f t="shared" si="702"/>
        <v>112.5</v>
      </c>
      <c r="P1523" s="218">
        <f t="shared" si="711"/>
        <v>112.5</v>
      </c>
    </row>
    <row r="1524" spans="1:16" s="3" customFormat="1" ht="12.75" customHeight="1">
      <c r="A1524" s="36" t="s">
        <v>368</v>
      </c>
      <c r="B1524" s="211" t="s">
        <v>418</v>
      </c>
      <c r="C1524" s="211" t="s">
        <v>1718</v>
      </c>
      <c r="D1524" s="70"/>
      <c r="E1524" s="70"/>
      <c r="F1524" s="63">
        <f>SUM(D1524:E1524)</f>
        <v>0</v>
      </c>
      <c r="G1524" s="84">
        <v>12646</v>
      </c>
      <c r="H1524" s="84"/>
      <c r="I1524" s="38">
        <f t="shared" si="705"/>
        <v>12646</v>
      </c>
      <c r="J1524" s="63"/>
      <c r="K1524" s="70"/>
      <c r="L1524" s="63">
        <f>SUM(J1524:K1524)</f>
        <v>0</v>
      </c>
      <c r="M1524" s="218" t="str">
        <f t="shared" si="700"/>
        <v/>
      </c>
      <c r="N1524" s="218" t="str">
        <f t="shared" si="701"/>
        <v/>
      </c>
      <c r="O1524" s="218">
        <f t="shared" si="702"/>
        <v>0</v>
      </c>
      <c r="P1524" s="218">
        <f t="shared" si="711"/>
        <v>0</v>
      </c>
    </row>
    <row r="1525" spans="1:16" s="3" customFormat="1" ht="12.75" customHeight="1">
      <c r="A1525" s="36" t="s">
        <v>358</v>
      </c>
      <c r="B1525" s="211" t="s">
        <v>417</v>
      </c>
      <c r="C1525" s="211" t="s">
        <v>2309</v>
      </c>
      <c r="D1525" s="70"/>
      <c r="E1525" s="70"/>
      <c r="F1525" s="63"/>
      <c r="G1525" s="84">
        <v>48750</v>
      </c>
      <c r="H1525" s="84"/>
      <c r="I1525" s="38">
        <f t="shared" si="705"/>
        <v>48750</v>
      </c>
      <c r="J1525" s="63"/>
      <c r="K1525" s="70"/>
      <c r="L1525" s="63"/>
      <c r="M1525" s="218" t="str">
        <f t="shared" si="700"/>
        <v/>
      </c>
      <c r="N1525" s="218" t="str">
        <f t="shared" si="701"/>
        <v/>
      </c>
      <c r="O1525" s="218">
        <f t="shared" si="702"/>
        <v>0</v>
      </c>
      <c r="P1525" s="218"/>
    </row>
    <row r="1526" spans="1:16" s="3" customFormat="1" ht="12.75" customHeight="1">
      <c r="A1526" s="36" t="s">
        <v>2074</v>
      </c>
      <c r="B1526" s="211" t="s">
        <v>2075</v>
      </c>
      <c r="C1526" s="211" t="s">
        <v>2197</v>
      </c>
      <c r="D1526" s="70"/>
      <c r="E1526" s="110"/>
      <c r="F1526" s="63"/>
      <c r="G1526" s="84">
        <v>21040</v>
      </c>
      <c r="H1526" s="259"/>
      <c r="I1526" s="38">
        <f t="shared" si="705"/>
        <v>21040</v>
      </c>
      <c r="J1526" s="63"/>
      <c r="K1526" s="110"/>
      <c r="L1526" s="63"/>
      <c r="M1526" s="218" t="str">
        <f t="shared" si="700"/>
        <v/>
      </c>
      <c r="N1526" s="218" t="str">
        <f t="shared" si="701"/>
        <v/>
      </c>
      <c r="O1526" s="218">
        <f t="shared" si="702"/>
        <v>0</v>
      </c>
      <c r="P1526" s="218"/>
    </row>
    <row r="1527" spans="1:16" s="3" customFormat="1" ht="12.75" customHeight="1">
      <c r="A1527" s="36" t="s">
        <v>2347</v>
      </c>
      <c r="B1527" s="211" t="s">
        <v>2346</v>
      </c>
      <c r="C1527" s="211" t="s">
        <v>2308</v>
      </c>
      <c r="D1527" s="70"/>
      <c r="E1527" s="110"/>
      <c r="F1527" s="63"/>
      <c r="G1527" s="84">
        <v>14000</v>
      </c>
      <c r="H1527" s="259"/>
      <c r="I1527" s="38">
        <f t="shared" si="705"/>
        <v>14000</v>
      </c>
      <c r="J1527" s="63"/>
      <c r="K1527" s="110"/>
      <c r="L1527" s="63"/>
      <c r="M1527" s="218" t="str">
        <f t="shared" si="700"/>
        <v/>
      </c>
      <c r="N1527" s="218" t="str">
        <f t="shared" si="701"/>
        <v/>
      </c>
      <c r="O1527" s="218">
        <f t="shared" si="702"/>
        <v>0</v>
      </c>
      <c r="P1527" s="218"/>
    </row>
    <row r="1528" spans="1:16" s="3" customFormat="1" ht="12.75" customHeight="1">
      <c r="A1528" s="46" t="s">
        <v>791</v>
      </c>
      <c r="B1528" s="211" t="s">
        <v>151</v>
      </c>
      <c r="C1528" s="211" t="s">
        <v>1719</v>
      </c>
      <c r="D1528" s="63"/>
      <c r="E1528" s="63"/>
      <c r="F1528" s="63">
        <f t="shared" ref="F1528" si="714">SUM(D1528:E1528)</f>
        <v>0</v>
      </c>
      <c r="G1528" s="38">
        <v>420000</v>
      </c>
      <c r="H1528" s="38"/>
      <c r="I1528" s="38">
        <f t="shared" si="705"/>
        <v>420000</v>
      </c>
      <c r="J1528" s="63"/>
      <c r="K1528" s="63"/>
      <c r="L1528" s="63">
        <f t="shared" ref="L1528" si="715">SUM(J1528:K1528)</f>
        <v>0</v>
      </c>
      <c r="M1528" s="218" t="str">
        <f t="shared" si="700"/>
        <v/>
      </c>
      <c r="N1528" s="218" t="str">
        <f t="shared" si="701"/>
        <v/>
      </c>
      <c r="O1528" s="218">
        <f t="shared" si="702"/>
        <v>0</v>
      </c>
      <c r="P1528" s="218">
        <f t="shared" ref="P1528:P1535" si="716">IF(I1528&gt;0,IF(L1528&gt;=0,L1528/I1528*100,""),"")</f>
        <v>0</v>
      </c>
    </row>
    <row r="1529" spans="1:16" s="3" customFormat="1" ht="6" customHeight="1">
      <c r="A1529" s="36"/>
      <c r="B1529" s="47"/>
      <c r="C1529" s="212" t="s">
        <v>268</v>
      </c>
      <c r="D1529" s="70"/>
      <c r="E1529" s="70"/>
      <c r="F1529" s="70"/>
      <c r="G1529" s="84"/>
      <c r="H1529" s="84"/>
      <c r="I1529" s="84"/>
      <c r="J1529" s="70"/>
      <c r="K1529" s="70"/>
      <c r="L1529" s="70"/>
      <c r="M1529" s="224" t="str">
        <f t="shared" si="700"/>
        <v/>
      </c>
      <c r="N1529" s="224" t="str">
        <f t="shared" si="701"/>
        <v/>
      </c>
      <c r="O1529" s="224" t="str">
        <f t="shared" si="702"/>
        <v/>
      </c>
      <c r="P1529" s="224" t="str">
        <f t="shared" si="716"/>
        <v/>
      </c>
    </row>
    <row r="1530" spans="1:16" s="3" customFormat="1" ht="25.5">
      <c r="A1530" s="58" t="s">
        <v>185</v>
      </c>
      <c r="B1530" s="59" t="s">
        <v>265</v>
      </c>
      <c r="C1530" s="310" t="s">
        <v>940</v>
      </c>
      <c r="D1530" s="115">
        <f>SUM(D1532:D1540)</f>
        <v>18741590</v>
      </c>
      <c r="E1530" s="115">
        <f>SUM(E1532:E1539)</f>
        <v>0</v>
      </c>
      <c r="F1530" s="69">
        <f t="shared" ref="F1530:F1533" si="717">SUM(D1530:E1530)</f>
        <v>18741590</v>
      </c>
      <c r="G1530" s="115">
        <f>SUM(G1532:G1540)</f>
        <v>18906566</v>
      </c>
      <c r="H1530" s="115">
        <f>SUM(H1532:H1539)</f>
        <v>0</v>
      </c>
      <c r="I1530" s="115">
        <f t="shared" ref="I1530:I1540" si="718">SUM(G1530:H1530)</f>
        <v>18906566</v>
      </c>
      <c r="J1530" s="115">
        <f>SUM(J1532:J1540)</f>
        <v>19151350</v>
      </c>
      <c r="K1530" s="115">
        <f>SUM(K1532:K1539)</f>
        <v>0</v>
      </c>
      <c r="L1530" s="69">
        <f t="shared" ref="L1530:L1531" si="719">SUM(J1530:K1530)</f>
        <v>19151350</v>
      </c>
      <c r="M1530" s="217">
        <f t="shared" si="700"/>
        <v>102.18636732529096</v>
      </c>
      <c r="N1530" s="217">
        <f t="shared" si="701"/>
        <v>102.18636732529096</v>
      </c>
      <c r="O1530" s="217">
        <f t="shared" si="702"/>
        <v>101.2947036495152</v>
      </c>
      <c r="P1530" s="217">
        <f t="shared" si="716"/>
        <v>101.2947036495152</v>
      </c>
    </row>
    <row r="1531" spans="1:16" s="3" customFormat="1" ht="12.75" customHeight="1">
      <c r="A1531" s="80" t="s">
        <v>267</v>
      </c>
      <c r="B1531" s="44"/>
      <c r="C1531" s="304" t="s">
        <v>268</v>
      </c>
      <c r="D1531" s="187">
        <f>SUM(D1532:D1539)</f>
        <v>18741590</v>
      </c>
      <c r="E1531" s="186"/>
      <c r="F1531" s="63">
        <f t="shared" si="717"/>
        <v>18741590</v>
      </c>
      <c r="G1531" s="187">
        <f>SUM(G1532:G1539)</f>
        <v>18879066</v>
      </c>
      <c r="H1531" s="186"/>
      <c r="I1531" s="38">
        <f t="shared" si="718"/>
        <v>18879066</v>
      </c>
      <c r="J1531" s="187">
        <f>SUM(J1532:J1539)</f>
        <v>19151350</v>
      </c>
      <c r="K1531" s="186"/>
      <c r="L1531" s="63">
        <f t="shared" si="719"/>
        <v>19151350</v>
      </c>
      <c r="M1531" s="218">
        <f t="shared" si="700"/>
        <v>102.18636732529096</v>
      </c>
      <c r="N1531" s="218">
        <f t="shared" si="701"/>
        <v>102.18636732529096</v>
      </c>
      <c r="O1531" s="218">
        <f t="shared" si="702"/>
        <v>101.44225355216196</v>
      </c>
      <c r="P1531" s="218">
        <f t="shared" si="716"/>
        <v>101.44225355216196</v>
      </c>
    </row>
    <row r="1532" spans="1:16" s="3" customFormat="1" ht="12.75" customHeight="1">
      <c r="A1532" s="36" t="s">
        <v>180</v>
      </c>
      <c r="B1532" s="33" t="s">
        <v>419</v>
      </c>
      <c r="C1532" s="211" t="s">
        <v>1720</v>
      </c>
      <c r="D1532" s="70">
        <v>18083840</v>
      </c>
      <c r="E1532" s="110"/>
      <c r="F1532" s="63">
        <f t="shared" si="717"/>
        <v>18083840</v>
      </c>
      <c r="G1532" s="84">
        <v>18086265</v>
      </c>
      <c r="H1532" s="259"/>
      <c r="I1532" s="38">
        <f t="shared" si="718"/>
        <v>18086265</v>
      </c>
      <c r="J1532" s="63">
        <v>18711110</v>
      </c>
      <c r="K1532" s="110"/>
      <c r="L1532" s="63">
        <f t="shared" ref="L1532:L1533" si="720">SUM(J1532:K1532)</f>
        <v>18711110</v>
      </c>
      <c r="M1532" s="218">
        <f t="shared" si="700"/>
        <v>103.46867700665345</v>
      </c>
      <c r="N1532" s="218">
        <f t="shared" si="701"/>
        <v>103.46867700665345</v>
      </c>
      <c r="O1532" s="218">
        <f t="shared" si="702"/>
        <v>103.45480396311785</v>
      </c>
      <c r="P1532" s="218">
        <f t="shared" si="716"/>
        <v>103.45480396311785</v>
      </c>
    </row>
    <row r="1533" spans="1:16" s="3" customFormat="1" ht="12.75" customHeight="1">
      <c r="A1533" s="46" t="s">
        <v>651</v>
      </c>
      <c r="B1533" s="47" t="s">
        <v>650</v>
      </c>
      <c r="C1533" s="212" t="s">
        <v>1721</v>
      </c>
      <c r="D1533" s="70">
        <v>2000</v>
      </c>
      <c r="E1533" s="70"/>
      <c r="F1533" s="63">
        <f t="shared" si="717"/>
        <v>2000</v>
      </c>
      <c r="G1533" s="84">
        <v>2000</v>
      </c>
      <c r="H1533" s="84"/>
      <c r="I1533" s="38">
        <f t="shared" si="718"/>
        <v>2000</v>
      </c>
      <c r="J1533" s="63">
        <v>12000</v>
      </c>
      <c r="K1533" s="70"/>
      <c r="L1533" s="63">
        <f t="shared" si="720"/>
        <v>12000</v>
      </c>
      <c r="M1533" s="218">
        <f t="shared" si="700"/>
        <v>600</v>
      </c>
      <c r="N1533" s="218">
        <f t="shared" si="701"/>
        <v>600</v>
      </c>
      <c r="O1533" s="218">
        <f t="shared" si="702"/>
        <v>600</v>
      </c>
      <c r="P1533" s="218">
        <f t="shared" si="716"/>
        <v>600</v>
      </c>
    </row>
    <row r="1534" spans="1:16" s="3" customFormat="1" ht="12.75" customHeight="1">
      <c r="A1534" s="36" t="s">
        <v>887</v>
      </c>
      <c r="B1534" s="33" t="s">
        <v>886</v>
      </c>
      <c r="C1534" s="211" t="s">
        <v>1722</v>
      </c>
      <c r="D1534" s="70">
        <v>625900</v>
      </c>
      <c r="E1534" s="70"/>
      <c r="F1534" s="63">
        <f>SUM(D1534:E1534)</f>
        <v>625900</v>
      </c>
      <c r="G1534" s="84">
        <v>625900</v>
      </c>
      <c r="H1534" s="84"/>
      <c r="I1534" s="38">
        <f t="shared" si="718"/>
        <v>625900</v>
      </c>
      <c r="J1534" s="63">
        <v>313000</v>
      </c>
      <c r="K1534" s="70"/>
      <c r="L1534" s="63">
        <f>SUM(J1534:K1534)</f>
        <v>313000</v>
      </c>
      <c r="M1534" s="218">
        <f t="shared" si="700"/>
        <v>50.007988496564948</v>
      </c>
      <c r="N1534" s="218">
        <f t="shared" si="701"/>
        <v>50.007988496564948</v>
      </c>
      <c r="O1534" s="218">
        <f t="shared" si="702"/>
        <v>50.007988496564948</v>
      </c>
      <c r="P1534" s="218">
        <f t="shared" si="716"/>
        <v>50.007988496564948</v>
      </c>
    </row>
    <row r="1535" spans="1:16" s="3" customFormat="1" ht="12.75" customHeight="1">
      <c r="A1535" s="36" t="s">
        <v>13</v>
      </c>
      <c r="B1535" s="33" t="s">
        <v>10</v>
      </c>
      <c r="C1535" s="211" t="s">
        <v>1723</v>
      </c>
      <c r="D1535" s="70">
        <v>14850</v>
      </c>
      <c r="E1535" s="70"/>
      <c r="F1535" s="63">
        <f>SUM(D1535:E1535)</f>
        <v>14850</v>
      </c>
      <c r="G1535" s="84"/>
      <c r="H1535" s="84"/>
      <c r="I1535" s="38">
        <f t="shared" si="718"/>
        <v>0</v>
      </c>
      <c r="J1535" s="63">
        <v>81240</v>
      </c>
      <c r="K1535" s="70"/>
      <c r="L1535" s="63">
        <f t="shared" ref="L1535:L1539" si="721">SUM(J1535:K1535)</f>
        <v>81240</v>
      </c>
      <c r="M1535" s="218">
        <f t="shared" si="700"/>
        <v>547.07070707070704</v>
      </c>
      <c r="N1535" s="218">
        <f t="shared" si="701"/>
        <v>547.07070707070704</v>
      </c>
      <c r="O1535" s="218" t="str">
        <f t="shared" si="702"/>
        <v/>
      </c>
      <c r="P1535" s="218" t="str">
        <f t="shared" si="716"/>
        <v/>
      </c>
    </row>
    <row r="1536" spans="1:16" s="3" customFormat="1" ht="12.75" customHeight="1">
      <c r="A1536" s="36" t="s">
        <v>2073</v>
      </c>
      <c r="B1536" s="33" t="s">
        <v>624</v>
      </c>
      <c r="C1536" s="211" t="s">
        <v>2200</v>
      </c>
      <c r="D1536" s="70"/>
      <c r="E1536" s="70"/>
      <c r="F1536" s="63">
        <f t="shared" ref="F1536:F1540" si="722">SUM(D1536:E1536)</f>
        <v>0</v>
      </c>
      <c r="G1536" s="84">
        <v>15000</v>
      </c>
      <c r="H1536" s="84"/>
      <c r="I1536" s="38">
        <f t="shared" si="718"/>
        <v>15000</v>
      </c>
      <c r="J1536" s="63">
        <v>18000</v>
      </c>
      <c r="K1536" s="70"/>
      <c r="L1536" s="63">
        <f t="shared" si="721"/>
        <v>18000</v>
      </c>
      <c r="M1536" s="218" t="str">
        <f t="shared" si="700"/>
        <v/>
      </c>
      <c r="N1536" s="218" t="str">
        <f t="shared" si="701"/>
        <v/>
      </c>
      <c r="O1536" s="218">
        <f t="shared" si="702"/>
        <v>120</v>
      </c>
      <c r="P1536" s="218"/>
    </row>
    <row r="1537" spans="1:16" s="3" customFormat="1" ht="12.75" customHeight="1">
      <c r="A1537" s="36" t="s">
        <v>375</v>
      </c>
      <c r="B1537" s="33" t="s">
        <v>150</v>
      </c>
      <c r="C1537" s="211" t="s">
        <v>1724</v>
      </c>
      <c r="D1537" s="70">
        <v>15000</v>
      </c>
      <c r="E1537" s="70"/>
      <c r="F1537" s="63">
        <f t="shared" si="722"/>
        <v>15000</v>
      </c>
      <c r="G1537" s="84">
        <v>105000</v>
      </c>
      <c r="H1537" s="84"/>
      <c r="I1537" s="38">
        <f t="shared" si="718"/>
        <v>105000</v>
      </c>
      <c r="J1537" s="63">
        <v>16000</v>
      </c>
      <c r="K1537" s="70"/>
      <c r="L1537" s="63">
        <f t="shared" si="721"/>
        <v>16000</v>
      </c>
      <c r="M1537" s="218">
        <f t="shared" si="700"/>
        <v>106.66666666666667</v>
      </c>
      <c r="N1537" s="218">
        <f t="shared" si="701"/>
        <v>106.66666666666667</v>
      </c>
      <c r="O1537" s="218">
        <f t="shared" si="702"/>
        <v>15.238095238095239</v>
      </c>
      <c r="P1537" s="218">
        <f>IF(I1537&gt;0,IF(L1537&gt;=0,L1537/I1537*100,""),"")</f>
        <v>15.238095238095239</v>
      </c>
    </row>
    <row r="1538" spans="1:16" s="3" customFormat="1" ht="12.75" customHeight="1">
      <c r="A1538" s="36" t="s">
        <v>2074</v>
      </c>
      <c r="B1538" s="211" t="s">
        <v>2075</v>
      </c>
      <c r="C1538" s="211" t="s">
        <v>2198</v>
      </c>
      <c r="D1538" s="70"/>
      <c r="E1538" s="70"/>
      <c r="F1538" s="63">
        <f>SUM(D1538:E1538)</f>
        <v>0</v>
      </c>
      <c r="G1538" s="84">
        <v>24000</v>
      </c>
      <c r="H1538" s="84"/>
      <c r="I1538" s="38">
        <f>SUM(G1538:H1538)</f>
        <v>24000</v>
      </c>
      <c r="J1538" s="63"/>
      <c r="K1538" s="70"/>
      <c r="L1538" s="63">
        <f>SUM(J1538:K1538)</f>
        <v>0</v>
      </c>
      <c r="M1538" s="218" t="str">
        <f t="shared" si="700"/>
        <v/>
      </c>
      <c r="N1538" s="218" t="str">
        <f t="shared" si="701"/>
        <v/>
      </c>
      <c r="O1538" s="218">
        <f t="shared" si="702"/>
        <v>0</v>
      </c>
      <c r="P1538" s="218"/>
    </row>
    <row r="1539" spans="1:16" s="3" customFormat="1" ht="12.75" customHeight="1">
      <c r="A1539" s="36" t="s">
        <v>368</v>
      </c>
      <c r="B1539" s="211" t="s">
        <v>418</v>
      </c>
      <c r="C1539" s="211" t="s">
        <v>1725</v>
      </c>
      <c r="D1539" s="70"/>
      <c r="E1539" s="70"/>
      <c r="F1539" s="63">
        <f t="shared" si="722"/>
        <v>0</v>
      </c>
      <c r="G1539" s="84">
        <v>20901</v>
      </c>
      <c r="H1539" s="84"/>
      <c r="I1539" s="38">
        <f t="shared" si="718"/>
        <v>20901</v>
      </c>
      <c r="J1539" s="70"/>
      <c r="K1539" s="70"/>
      <c r="L1539" s="63">
        <f t="shared" si="721"/>
        <v>0</v>
      </c>
      <c r="M1539" s="218" t="str">
        <f t="shared" si="700"/>
        <v/>
      </c>
      <c r="N1539" s="218" t="str">
        <f t="shared" si="701"/>
        <v/>
      </c>
      <c r="O1539" s="218">
        <f t="shared" si="702"/>
        <v>0</v>
      </c>
      <c r="P1539" s="218">
        <f>IF(I1539&gt;0,IF(L1539&gt;=0,L1539/I1539*100,""),"")</f>
        <v>0</v>
      </c>
    </row>
    <row r="1540" spans="1:16" s="3" customFormat="1" ht="12.75" customHeight="1">
      <c r="A1540" s="36" t="s">
        <v>791</v>
      </c>
      <c r="B1540" s="211" t="s">
        <v>151</v>
      </c>
      <c r="C1540" s="211" t="s">
        <v>2199</v>
      </c>
      <c r="D1540" s="70"/>
      <c r="E1540" s="70"/>
      <c r="F1540" s="63">
        <f t="shared" si="722"/>
        <v>0</v>
      </c>
      <c r="G1540" s="84">
        <v>27500</v>
      </c>
      <c r="H1540" s="84"/>
      <c r="I1540" s="38">
        <f t="shared" si="718"/>
        <v>27500</v>
      </c>
      <c r="J1540" s="70"/>
      <c r="K1540" s="70"/>
      <c r="L1540" s="63"/>
      <c r="M1540" s="218" t="str">
        <f t="shared" si="700"/>
        <v/>
      </c>
      <c r="N1540" s="218" t="str">
        <f t="shared" si="701"/>
        <v/>
      </c>
      <c r="O1540" s="218">
        <f t="shared" si="702"/>
        <v>0</v>
      </c>
      <c r="P1540" s="218"/>
    </row>
    <row r="1541" spans="1:16" s="3" customFormat="1" ht="6" customHeight="1">
      <c r="A1541" s="46"/>
      <c r="B1541" s="47"/>
      <c r="C1541" s="212" t="s">
        <v>268</v>
      </c>
      <c r="D1541" s="70"/>
      <c r="E1541" s="70"/>
      <c r="F1541" s="70"/>
      <c r="G1541" s="84"/>
      <c r="H1541" s="84"/>
      <c r="I1541" s="84"/>
      <c r="J1541" s="70"/>
      <c r="K1541" s="70"/>
      <c r="L1541" s="70"/>
      <c r="M1541" s="224" t="str">
        <f t="shared" si="700"/>
        <v/>
      </c>
      <c r="N1541" s="224" t="str">
        <f t="shared" si="701"/>
        <v/>
      </c>
      <c r="O1541" s="224" t="str">
        <f t="shared" si="702"/>
        <v/>
      </c>
      <c r="P1541" s="224" t="str">
        <f t="shared" ref="P1541:P1546" si="723">IF(I1541&gt;0,IF(L1541&gt;=0,L1541/I1541*100,""),"")</f>
        <v/>
      </c>
    </row>
    <row r="1542" spans="1:16" s="3" customFormat="1" ht="25.5">
      <c r="A1542" s="58" t="s">
        <v>421</v>
      </c>
      <c r="B1542" s="65" t="s">
        <v>265</v>
      </c>
      <c r="C1542" s="308" t="s">
        <v>940</v>
      </c>
      <c r="D1542" s="42">
        <f>SUM(D1544:D1551)</f>
        <v>11903830</v>
      </c>
      <c r="E1542" s="42">
        <f>SUM(E1544:E1551)</f>
        <v>0</v>
      </c>
      <c r="F1542" s="42">
        <f t="shared" ref="F1542:F1545" si="724">SUM(D1542:E1542)</f>
        <v>11903830</v>
      </c>
      <c r="G1542" s="55">
        <f>SUM(G1544:G1551)</f>
        <v>12594790</v>
      </c>
      <c r="H1542" s="55">
        <f>SUM(H1544:H1551)</f>
        <v>0</v>
      </c>
      <c r="I1542" s="55">
        <f t="shared" ref="I1542:I1551" si="725">SUM(G1542:H1542)</f>
        <v>12594790</v>
      </c>
      <c r="J1542" s="42">
        <f>SUM(J1544:J1551)</f>
        <v>11961630</v>
      </c>
      <c r="K1542" s="42">
        <f>SUM(K1544:K1551)</f>
        <v>0</v>
      </c>
      <c r="L1542" s="42">
        <f t="shared" ref="L1542:L1544" si="726">SUM(J1542:K1542)</f>
        <v>11961630</v>
      </c>
      <c r="M1542" s="225">
        <f t="shared" si="700"/>
        <v>100.48555800948098</v>
      </c>
      <c r="N1542" s="225">
        <f t="shared" si="701"/>
        <v>100.48555800948098</v>
      </c>
      <c r="O1542" s="225">
        <f t="shared" si="702"/>
        <v>94.972841944962965</v>
      </c>
      <c r="P1542" s="225">
        <f t="shared" si="723"/>
        <v>94.972841944962965</v>
      </c>
    </row>
    <row r="1543" spans="1:16" s="3" customFormat="1" hidden="1">
      <c r="A1543" s="36" t="s">
        <v>267</v>
      </c>
      <c r="B1543" s="184"/>
      <c r="C1543" s="320" t="s">
        <v>268</v>
      </c>
      <c r="D1543" s="38">
        <f>SUM(D1544:D1551)</f>
        <v>11903830</v>
      </c>
      <c r="E1543" s="77"/>
      <c r="F1543" s="63">
        <f t="shared" si="724"/>
        <v>11903830</v>
      </c>
      <c r="G1543" s="38">
        <f>SUM(G1544:G1551)</f>
        <v>12594790</v>
      </c>
      <c r="H1543" s="109"/>
      <c r="I1543" s="38">
        <f t="shared" si="725"/>
        <v>12594790</v>
      </c>
      <c r="J1543" s="63">
        <f>SUM(J1544:J1551)</f>
        <v>11961630</v>
      </c>
      <c r="K1543" s="77"/>
      <c r="L1543" s="63">
        <f t="shared" si="726"/>
        <v>11961630</v>
      </c>
      <c r="M1543" s="218">
        <f t="shared" si="700"/>
        <v>100.48555800948098</v>
      </c>
      <c r="N1543" s="218">
        <f t="shared" si="701"/>
        <v>100.48555800948098</v>
      </c>
      <c r="O1543" s="218">
        <f t="shared" si="702"/>
        <v>94.972841944962965</v>
      </c>
      <c r="P1543" s="218">
        <f t="shared" si="723"/>
        <v>94.972841944962965</v>
      </c>
    </row>
    <row r="1544" spans="1:16" s="3" customFormat="1" ht="12.75" customHeight="1">
      <c r="A1544" s="36" t="s">
        <v>180</v>
      </c>
      <c r="B1544" s="33" t="s">
        <v>419</v>
      </c>
      <c r="C1544" s="211" t="s">
        <v>1726</v>
      </c>
      <c r="D1544" s="38">
        <v>11505830</v>
      </c>
      <c r="E1544" s="38"/>
      <c r="F1544" s="63">
        <f t="shared" si="724"/>
        <v>11505830</v>
      </c>
      <c r="G1544" s="38">
        <v>11729230</v>
      </c>
      <c r="H1544" s="38"/>
      <c r="I1544" s="38">
        <f t="shared" si="725"/>
        <v>11729230</v>
      </c>
      <c r="J1544" s="63">
        <v>11737630</v>
      </c>
      <c r="K1544" s="38"/>
      <c r="L1544" s="63">
        <f t="shared" si="726"/>
        <v>11737630</v>
      </c>
      <c r="M1544" s="218">
        <f t="shared" si="700"/>
        <v>102.01463084366796</v>
      </c>
      <c r="N1544" s="218">
        <f t="shared" si="701"/>
        <v>102.01463084366796</v>
      </c>
      <c r="O1544" s="218">
        <f t="shared" si="702"/>
        <v>100.07161595432947</v>
      </c>
      <c r="P1544" s="218">
        <f t="shared" si="723"/>
        <v>100.07161595432947</v>
      </c>
    </row>
    <row r="1545" spans="1:16" s="3" customFormat="1" ht="12.75" customHeight="1">
      <c r="A1545" s="46" t="s">
        <v>651</v>
      </c>
      <c r="B1545" s="33" t="s">
        <v>650</v>
      </c>
      <c r="C1545" s="211" t="s">
        <v>1727</v>
      </c>
      <c r="D1545" s="38">
        <v>30000</v>
      </c>
      <c r="E1545" s="38"/>
      <c r="F1545" s="63">
        <f t="shared" si="724"/>
        <v>30000</v>
      </c>
      <c r="G1545" s="38">
        <v>30000</v>
      </c>
      <c r="H1545" s="38"/>
      <c r="I1545" s="38">
        <f t="shared" si="725"/>
        <v>30000</v>
      </c>
      <c r="J1545" s="63">
        <v>20000</v>
      </c>
      <c r="K1545" s="38"/>
      <c r="L1545" s="63">
        <f t="shared" ref="L1545" si="727">SUM(J1545:K1545)</f>
        <v>20000</v>
      </c>
      <c r="M1545" s="218">
        <f t="shared" si="700"/>
        <v>66.666666666666657</v>
      </c>
      <c r="N1545" s="218">
        <f t="shared" si="701"/>
        <v>66.666666666666657</v>
      </c>
      <c r="O1545" s="218">
        <f t="shared" si="702"/>
        <v>66.666666666666657</v>
      </c>
      <c r="P1545" s="218">
        <f t="shared" si="723"/>
        <v>66.666666666666657</v>
      </c>
    </row>
    <row r="1546" spans="1:16" s="3" customFormat="1" ht="12.75" customHeight="1">
      <c r="A1546" s="36" t="s">
        <v>935</v>
      </c>
      <c r="B1546" s="33" t="s">
        <v>701</v>
      </c>
      <c r="C1546" s="211" t="s">
        <v>1728</v>
      </c>
      <c r="D1546" s="38">
        <v>357000</v>
      </c>
      <c r="E1546" s="38"/>
      <c r="F1546" s="63">
        <f>SUM(D1546:E1546)</f>
        <v>357000</v>
      </c>
      <c r="G1546" s="38">
        <v>456800</v>
      </c>
      <c r="H1546" s="38"/>
      <c r="I1546" s="38">
        <f t="shared" si="725"/>
        <v>456800</v>
      </c>
      <c r="J1546" s="63">
        <v>45000</v>
      </c>
      <c r="K1546" s="38"/>
      <c r="L1546" s="63">
        <f>SUM(J1546:K1546)</f>
        <v>45000</v>
      </c>
      <c r="M1546" s="218">
        <f t="shared" si="700"/>
        <v>12.605042016806722</v>
      </c>
      <c r="N1546" s="218">
        <f t="shared" si="701"/>
        <v>12.605042016806722</v>
      </c>
      <c r="O1546" s="218">
        <f t="shared" si="702"/>
        <v>9.8511383537653234</v>
      </c>
      <c r="P1546" s="218">
        <f t="shared" si="723"/>
        <v>9.8511383537653234</v>
      </c>
    </row>
    <row r="1547" spans="1:16" s="3" customFormat="1" ht="12.75" customHeight="1">
      <c r="A1547" s="36" t="s">
        <v>2071</v>
      </c>
      <c r="B1547" s="33" t="s">
        <v>2072</v>
      </c>
      <c r="C1547" s="211" t="s">
        <v>2201</v>
      </c>
      <c r="D1547" s="38"/>
      <c r="E1547" s="38"/>
      <c r="F1547" s="63"/>
      <c r="G1547" s="38">
        <v>220000</v>
      </c>
      <c r="H1547" s="38"/>
      <c r="I1547" s="38">
        <f t="shared" si="725"/>
        <v>220000</v>
      </c>
      <c r="J1547" s="63">
        <v>135000</v>
      </c>
      <c r="K1547" s="38"/>
      <c r="L1547" s="63">
        <f t="shared" ref="L1547:L1551" si="728">SUM(J1547:K1547)</f>
        <v>135000</v>
      </c>
      <c r="M1547" s="218" t="str">
        <f t="shared" si="700"/>
        <v/>
      </c>
      <c r="N1547" s="218" t="str">
        <f t="shared" si="701"/>
        <v/>
      </c>
      <c r="O1547" s="218">
        <f t="shared" si="702"/>
        <v>61.363636363636367</v>
      </c>
      <c r="P1547" s="218"/>
    </row>
    <row r="1548" spans="1:16" s="3" customFormat="1" ht="12.75" customHeight="1">
      <c r="A1548" s="36" t="s">
        <v>2073</v>
      </c>
      <c r="B1548" s="33" t="s">
        <v>624</v>
      </c>
      <c r="C1548" s="211" t="s">
        <v>2202</v>
      </c>
      <c r="D1548" s="38"/>
      <c r="E1548" s="38"/>
      <c r="F1548" s="63"/>
      <c r="G1548" s="38">
        <v>10000</v>
      </c>
      <c r="H1548" s="38"/>
      <c r="I1548" s="38">
        <f t="shared" si="725"/>
        <v>10000</v>
      </c>
      <c r="J1548" s="63">
        <v>12000</v>
      </c>
      <c r="K1548" s="38"/>
      <c r="L1548" s="63">
        <f t="shared" si="728"/>
        <v>12000</v>
      </c>
      <c r="M1548" s="218" t="str">
        <f t="shared" si="700"/>
        <v/>
      </c>
      <c r="N1548" s="218" t="str">
        <f t="shared" si="701"/>
        <v/>
      </c>
      <c r="O1548" s="218">
        <f t="shared" si="702"/>
        <v>120</v>
      </c>
      <c r="P1548" s="218"/>
    </row>
    <row r="1549" spans="1:16" s="3" customFormat="1" ht="12.75" customHeight="1">
      <c r="A1549" s="36" t="s">
        <v>375</v>
      </c>
      <c r="B1549" s="33" t="s">
        <v>150</v>
      </c>
      <c r="C1549" s="211" t="s">
        <v>1729</v>
      </c>
      <c r="D1549" s="38">
        <v>11000</v>
      </c>
      <c r="E1549" s="38"/>
      <c r="F1549" s="63">
        <f>SUM(D1549:E1549)</f>
        <v>11000</v>
      </c>
      <c r="G1549" s="38">
        <v>103000</v>
      </c>
      <c r="H1549" s="38"/>
      <c r="I1549" s="38">
        <f>SUM(G1549:H1549)</f>
        <v>103000</v>
      </c>
      <c r="J1549" s="63">
        <v>12000</v>
      </c>
      <c r="K1549" s="38"/>
      <c r="L1549" s="63">
        <f>SUM(J1549:K1549)</f>
        <v>12000</v>
      </c>
      <c r="M1549" s="218">
        <f t="shared" si="700"/>
        <v>109.09090909090908</v>
      </c>
      <c r="N1549" s="218">
        <f t="shared" si="701"/>
        <v>109.09090909090908</v>
      </c>
      <c r="O1549" s="218">
        <f t="shared" si="702"/>
        <v>11.650485436893204</v>
      </c>
      <c r="P1549" s="218">
        <f>IF(I1549&gt;0,IF(L1549&gt;=0,L1549/I1549*100,""),"")</f>
        <v>11.650485436893204</v>
      </c>
    </row>
    <row r="1550" spans="1:16" s="3" customFormat="1" ht="12.75" customHeight="1">
      <c r="A1550" s="36" t="s">
        <v>368</v>
      </c>
      <c r="B1550" s="211" t="s">
        <v>418</v>
      </c>
      <c r="C1550" s="211" t="s">
        <v>1730</v>
      </c>
      <c r="D1550" s="38"/>
      <c r="E1550" s="38"/>
      <c r="F1550" s="63"/>
      <c r="G1550" s="38">
        <v>36760</v>
      </c>
      <c r="H1550" s="38"/>
      <c r="I1550" s="38">
        <f>SUM(G1550:H1550)</f>
        <v>36760</v>
      </c>
      <c r="J1550" s="63"/>
      <c r="K1550" s="38"/>
      <c r="L1550" s="63">
        <f>SUM(J1550:K1550)</f>
        <v>0</v>
      </c>
      <c r="M1550" s="218" t="str">
        <f t="shared" si="700"/>
        <v/>
      </c>
      <c r="N1550" s="218" t="str">
        <f t="shared" si="701"/>
        <v/>
      </c>
      <c r="O1550" s="218">
        <f t="shared" si="702"/>
        <v>0</v>
      </c>
      <c r="P1550" s="218">
        <f>IF(I1550&gt;0,IF(L1550&gt;=0,L1550/I1550*100,""),"")</f>
        <v>0</v>
      </c>
    </row>
    <row r="1551" spans="1:16" s="3" customFormat="1" ht="12.75" customHeight="1">
      <c r="A1551" s="36" t="s">
        <v>2347</v>
      </c>
      <c r="B1551" s="211" t="s">
        <v>2346</v>
      </c>
      <c r="C1551" s="211" t="s">
        <v>2307</v>
      </c>
      <c r="D1551" s="38"/>
      <c r="E1551" s="38"/>
      <c r="F1551" s="63"/>
      <c r="G1551" s="38">
        <v>9000</v>
      </c>
      <c r="H1551" s="38"/>
      <c r="I1551" s="38">
        <f t="shared" si="725"/>
        <v>9000</v>
      </c>
      <c r="J1551" s="63"/>
      <c r="K1551" s="38"/>
      <c r="L1551" s="63">
        <f t="shared" si="728"/>
        <v>0</v>
      </c>
      <c r="M1551" s="218" t="str">
        <f t="shared" ref="M1551:M1614" si="729">IF(D1551&gt;0,IF(J1551&gt;=0,J1551/D1551*100,""),"")</f>
        <v/>
      </c>
      <c r="N1551" s="218" t="str">
        <f t="shared" ref="N1551:N1614" si="730">IF(F1551&gt;0,IF(L1551&gt;=0,L1551/F1551*100,""),"")</f>
        <v/>
      </c>
      <c r="O1551" s="218">
        <f t="shared" ref="O1551:O1614" si="731">IF(G1551&gt;0,IF(J1551&gt;=0,J1551/G1551*100,""),"")</f>
        <v>0</v>
      </c>
      <c r="P1551" s="218"/>
    </row>
    <row r="1552" spans="1:16" s="3" customFormat="1" ht="6" customHeight="1">
      <c r="A1552" s="46"/>
      <c r="B1552" s="211"/>
      <c r="C1552" s="211" t="s">
        <v>268</v>
      </c>
      <c r="D1552" s="63"/>
      <c r="E1552" s="63"/>
      <c r="F1552" s="63"/>
      <c r="G1552" s="38"/>
      <c r="H1552" s="38"/>
      <c r="I1552" s="38"/>
      <c r="J1552" s="63"/>
      <c r="K1552" s="63"/>
      <c r="L1552" s="63"/>
      <c r="M1552" s="218" t="str">
        <f t="shared" si="729"/>
        <v/>
      </c>
      <c r="N1552" s="218" t="str">
        <f t="shared" si="730"/>
        <v/>
      </c>
      <c r="O1552" s="218" t="str">
        <f t="shared" si="731"/>
        <v/>
      </c>
      <c r="P1552" s="218" t="str">
        <f t="shared" ref="P1552:P1566" si="732">IF(I1552&gt;0,IF(L1552&gt;=0,L1552/I1552*100,""),"")</f>
        <v/>
      </c>
    </row>
    <row r="1553" spans="1:16" s="11" customFormat="1" ht="25.5">
      <c r="A1553" s="58" t="s">
        <v>258</v>
      </c>
      <c r="B1553" s="65" t="s">
        <v>265</v>
      </c>
      <c r="C1553" s="308" t="s">
        <v>940</v>
      </c>
      <c r="D1553" s="69">
        <f>SUM(D1555:D1561)</f>
        <v>6980070</v>
      </c>
      <c r="E1553" s="69">
        <f>SUM(E1555:E1560)</f>
        <v>0</v>
      </c>
      <c r="F1553" s="69">
        <f t="shared" ref="F1553:F1561" si="733">SUM(D1553:E1553)</f>
        <v>6980070</v>
      </c>
      <c r="G1553" s="115">
        <f>SUM(G1555:G1561)</f>
        <v>7488977</v>
      </c>
      <c r="H1553" s="115">
        <f>SUM(H1555:H1560)</f>
        <v>0</v>
      </c>
      <c r="I1553" s="115">
        <f t="shared" ref="I1553:I1561" si="734">SUM(G1553:H1553)</f>
        <v>7488977</v>
      </c>
      <c r="J1553" s="69">
        <f>SUM(J1555:J1562)</f>
        <v>7668050</v>
      </c>
      <c r="K1553" s="69">
        <f>SUM(K1555:K1560)</f>
        <v>0</v>
      </c>
      <c r="L1553" s="69">
        <f t="shared" ref="L1553:L1561" si="735">SUM(J1553:K1553)</f>
        <v>7668050</v>
      </c>
      <c r="M1553" s="217">
        <f t="shared" si="729"/>
        <v>109.85634814550571</v>
      </c>
      <c r="N1553" s="217">
        <f t="shared" si="730"/>
        <v>109.85634814550571</v>
      </c>
      <c r="O1553" s="217">
        <f t="shared" si="731"/>
        <v>102.39115435926695</v>
      </c>
      <c r="P1553" s="217">
        <f t="shared" si="732"/>
        <v>102.39115435926695</v>
      </c>
    </row>
    <row r="1554" spans="1:16" s="3" customFormat="1" hidden="1">
      <c r="A1554" s="36" t="s">
        <v>267</v>
      </c>
      <c r="B1554" s="79"/>
      <c r="C1554" s="302" t="s">
        <v>268</v>
      </c>
      <c r="D1554" s="63">
        <f>SUM(D1555:D1560)</f>
        <v>6980070</v>
      </c>
      <c r="E1554" s="63"/>
      <c r="F1554" s="63">
        <f t="shared" si="733"/>
        <v>6980070</v>
      </c>
      <c r="G1554" s="38">
        <f>SUM(G1555:G1560)</f>
        <v>7488977</v>
      </c>
      <c r="H1554" s="38"/>
      <c r="I1554" s="38">
        <f t="shared" si="734"/>
        <v>7488977</v>
      </c>
      <c r="J1554" s="63">
        <f>SUM(J1555:J1560)</f>
        <v>7668050</v>
      </c>
      <c r="K1554" s="63"/>
      <c r="L1554" s="63">
        <f t="shared" si="735"/>
        <v>7668050</v>
      </c>
      <c r="M1554" s="218">
        <f t="shared" si="729"/>
        <v>109.85634814550571</v>
      </c>
      <c r="N1554" s="218">
        <f t="shared" si="730"/>
        <v>109.85634814550571</v>
      </c>
      <c r="O1554" s="218">
        <f t="shared" si="731"/>
        <v>102.39115435926695</v>
      </c>
      <c r="P1554" s="218">
        <f t="shared" si="732"/>
        <v>102.39115435926695</v>
      </c>
    </row>
    <row r="1555" spans="1:16" s="11" customFormat="1" ht="12.75" customHeight="1">
      <c r="A1555" s="36" t="s">
        <v>180</v>
      </c>
      <c r="B1555" s="33" t="s">
        <v>419</v>
      </c>
      <c r="C1555" s="211" t="s">
        <v>1731</v>
      </c>
      <c r="D1555" s="84">
        <v>6818590</v>
      </c>
      <c r="E1555" s="84"/>
      <c r="F1555" s="63">
        <f t="shared" si="733"/>
        <v>6818590</v>
      </c>
      <c r="G1555" s="84">
        <v>7058381</v>
      </c>
      <c r="H1555" s="84"/>
      <c r="I1555" s="38">
        <f t="shared" si="734"/>
        <v>7058381</v>
      </c>
      <c r="J1555" s="63">
        <v>7421170</v>
      </c>
      <c r="K1555" s="84"/>
      <c r="L1555" s="63">
        <f t="shared" si="735"/>
        <v>7421170</v>
      </c>
      <c r="M1555" s="218">
        <f t="shared" si="729"/>
        <v>108.83731093965174</v>
      </c>
      <c r="N1555" s="218">
        <f t="shared" si="730"/>
        <v>108.83731093965174</v>
      </c>
      <c r="O1555" s="218">
        <f t="shared" si="731"/>
        <v>105.13983305803414</v>
      </c>
      <c r="P1555" s="218">
        <f t="shared" si="732"/>
        <v>105.13983305803414</v>
      </c>
    </row>
    <row r="1556" spans="1:16" s="11" customFormat="1" ht="12.75" customHeight="1">
      <c r="A1556" s="36" t="s">
        <v>13</v>
      </c>
      <c r="B1556" s="33" t="s">
        <v>10</v>
      </c>
      <c r="C1556" s="211" t="s">
        <v>1732</v>
      </c>
      <c r="D1556" s="84">
        <v>81310</v>
      </c>
      <c r="E1556" s="84"/>
      <c r="F1556" s="63">
        <f>SUM(D1556:E1556)</f>
        <v>81310</v>
      </c>
      <c r="G1556" s="84">
        <v>54000</v>
      </c>
      <c r="H1556" s="84"/>
      <c r="I1556" s="38">
        <f>SUM(G1556:H1556)</f>
        <v>54000</v>
      </c>
      <c r="J1556" s="63">
        <v>157880</v>
      </c>
      <c r="K1556" s="84"/>
      <c r="L1556" s="63">
        <f>SUM(J1556:K1556)</f>
        <v>157880</v>
      </c>
      <c r="M1556" s="218">
        <f t="shared" si="729"/>
        <v>194.17045873816258</v>
      </c>
      <c r="N1556" s="218">
        <f t="shared" si="730"/>
        <v>194.17045873816258</v>
      </c>
      <c r="O1556" s="218">
        <f t="shared" si="731"/>
        <v>292.37037037037038</v>
      </c>
      <c r="P1556" s="218">
        <f>IF(I1556&gt;0,IF(L1556&gt;=0,L1556/I1556*100,""),"")</f>
        <v>292.37037037037038</v>
      </c>
    </row>
    <row r="1557" spans="1:16" s="11" customFormat="1" ht="12.75" customHeight="1">
      <c r="A1557" s="36" t="s">
        <v>358</v>
      </c>
      <c r="B1557" s="33" t="s">
        <v>417</v>
      </c>
      <c r="C1557" s="211" t="s">
        <v>1734</v>
      </c>
      <c r="D1557" s="84">
        <v>65000</v>
      </c>
      <c r="E1557" s="84"/>
      <c r="F1557" s="63">
        <f>SUM(D1557:E1557)</f>
        <v>65000</v>
      </c>
      <c r="G1557" s="84">
        <v>65000</v>
      </c>
      <c r="H1557" s="84"/>
      <c r="I1557" s="38">
        <f>SUM(G1557:H1557)</f>
        <v>65000</v>
      </c>
      <c r="J1557" s="63">
        <v>78000</v>
      </c>
      <c r="K1557" s="84"/>
      <c r="L1557" s="63">
        <f>SUM(J1557:K1557)</f>
        <v>78000</v>
      </c>
      <c r="M1557" s="218">
        <f t="shared" si="729"/>
        <v>120</v>
      </c>
      <c r="N1557" s="218">
        <f t="shared" si="730"/>
        <v>120</v>
      </c>
      <c r="O1557" s="218">
        <f t="shared" si="731"/>
        <v>120</v>
      </c>
      <c r="P1557" s="218">
        <f>IF(I1557&gt;0,IF(L1557&gt;=0,L1557/I1557*100,""),"")</f>
        <v>120</v>
      </c>
    </row>
    <row r="1558" spans="1:16" s="11" customFormat="1" ht="12.75" customHeight="1">
      <c r="A1558" s="36" t="s">
        <v>375</v>
      </c>
      <c r="B1558" s="33" t="s">
        <v>150</v>
      </c>
      <c r="C1558" s="211" t="s">
        <v>1735</v>
      </c>
      <c r="D1558" s="84">
        <v>10000</v>
      </c>
      <c r="E1558" s="84"/>
      <c r="F1558" s="63">
        <f>SUM(D1558:E1558)</f>
        <v>10000</v>
      </c>
      <c r="G1558" s="84">
        <v>304400</v>
      </c>
      <c r="H1558" s="84"/>
      <c r="I1558" s="38">
        <f>SUM(G1558:H1558)</f>
        <v>304400</v>
      </c>
      <c r="J1558" s="63">
        <v>11000</v>
      </c>
      <c r="K1558" s="84"/>
      <c r="L1558" s="63">
        <f>SUM(J1558:K1558)</f>
        <v>11000</v>
      </c>
      <c r="M1558" s="218">
        <f t="shared" si="729"/>
        <v>110.00000000000001</v>
      </c>
      <c r="N1558" s="218">
        <f t="shared" si="730"/>
        <v>110.00000000000001</v>
      </c>
      <c r="O1558" s="218">
        <f t="shared" si="731"/>
        <v>3.613666228646518</v>
      </c>
      <c r="P1558" s="218">
        <f>IF(I1558&gt;0,IF(L1558&gt;=0,L1558/I1558*100,""),"")</f>
        <v>3.613666228646518</v>
      </c>
    </row>
    <row r="1559" spans="1:16" s="11" customFormat="1" ht="12.75" customHeight="1">
      <c r="A1559" s="36" t="s">
        <v>368</v>
      </c>
      <c r="B1559" s="211" t="s">
        <v>418</v>
      </c>
      <c r="C1559" s="211" t="s">
        <v>1736</v>
      </c>
      <c r="D1559" s="84"/>
      <c r="E1559" s="84"/>
      <c r="F1559" s="63">
        <f>SUM(D1559:E1559)</f>
        <v>0</v>
      </c>
      <c r="G1559" s="84">
        <v>2026</v>
      </c>
      <c r="H1559" s="84"/>
      <c r="I1559" s="38">
        <f>SUM(G1559:H1559)</f>
        <v>2026</v>
      </c>
      <c r="J1559" s="63"/>
      <c r="K1559" s="84"/>
      <c r="L1559" s="63">
        <f>SUM(J1559:K1559)</f>
        <v>0</v>
      </c>
      <c r="M1559" s="218" t="str">
        <f t="shared" si="729"/>
        <v/>
      </c>
      <c r="N1559" s="218" t="str">
        <f t="shared" si="730"/>
        <v/>
      </c>
      <c r="O1559" s="218">
        <f t="shared" si="731"/>
        <v>0</v>
      </c>
      <c r="P1559" s="218">
        <f t="shared" si="732"/>
        <v>0</v>
      </c>
    </row>
    <row r="1560" spans="1:16" s="11" customFormat="1" ht="12.75" customHeight="1">
      <c r="A1560" s="36" t="s">
        <v>772</v>
      </c>
      <c r="B1560" s="211" t="s">
        <v>766</v>
      </c>
      <c r="C1560" s="211" t="s">
        <v>1733</v>
      </c>
      <c r="D1560" s="84">
        <v>5170</v>
      </c>
      <c r="E1560" s="84"/>
      <c r="F1560" s="63">
        <f t="shared" si="733"/>
        <v>5170</v>
      </c>
      <c r="G1560" s="84">
        <v>5170</v>
      </c>
      <c r="H1560" s="84"/>
      <c r="I1560" s="38">
        <f t="shared" si="734"/>
        <v>5170</v>
      </c>
      <c r="J1560" s="63"/>
      <c r="K1560" s="84"/>
      <c r="L1560" s="63">
        <f t="shared" si="735"/>
        <v>0</v>
      </c>
      <c r="M1560" s="218">
        <f t="shared" si="729"/>
        <v>0</v>
      </c>
      <c r="N1560" s="218">
        <f t="shared" si="730"/>
        <v>0</v>
      </c>
      <c r="O1560" s="218">
        <f t="shared" si="731"/>
        <v>0</v>
      </c>
      <c r="P1560" s="218">
        <f t="shared" si="732"/>
        <v>0</v>
      </c>
    </row>
    <row r="1561" spans="1:16" s="3" customFormat="1" hidden="1">
      <c r="A1561" s="36" t="s">
        <v>791</v>
      </c>
      <c r="B1561" s="33" t="s">
        <v>151</v>
      </c>
      <c r="C1561" s="211" t="s">
        <v>1737</v>
      </c>
      <c r="D1561" s="63"/>
      <c r="E1561" s="63"/>
      <c r="F1561" s="63">
        <f t="shared" si="733"/>
        <v>0</v>
      </c>
      <c r="G1561" s="38"/>
      <c r="H1561" s="38"/>
      <c r="I1561" s="38">
        <f t="shared" si="734"/>
        <v>0</v>
      </c>
      <c r="J1561" s="63"/>
      <c r="K1561" s="63"/>
      <c r="L1561" s="63">
        <f t="shared" si="735"/>
        <v>0</v>
      </c>
      <c r="M1561" s="218" t="str">
        <f t="shared" si="729"/>
        <v/>
      </c>
      <c r="N1561" s="218" t="str">
        <f t="shared" si="730"/>
        <v/>
      </c>
      <c r="O1561" s="218" t="str">
        <f t="shared" si="731"/>
        <v/>
      </c>
      <c r="P1561" s="218" t="str">
        <f t="shared" si="732"/>
        <v/>
      </c>
    </row>
    <row r="1562" spans="1:16" s="3" customFormat="1" ht="6" customHeight="1">
      <c r="A1562" s="46"/>
      <c r="B1562" s="33"/>
      <c r="C1562" s="211" t="s">
        <v>268</v>
      </c>
      <c r="D1562" s="63"/>
      <c r="E1562" s="63"/>
      <c r="F1562" s="63"/>
      <c r="G1562" s="38"/>
      <c r="H1562" s="38"/>
      <c r="I1562" s="38"/>
      <c r="J1562" s="63"/>
      <c r="K1562" s="63"/>
      <c r="L1562" s="63"/>
      <c r="M1562" s="218" t="str">
        <f t="shared" si="729"/>
        <v/>
      </c>
      <c r="N1562" s="218" t="str">
        <f t="shared" si="730"/>
        <v/>
      </c>
      <c r="O1562" s="218" t="str">
        <f t="shared" si="731"/>
        <v/>
      </c>
      <c r="P1562" s="218" t="str">
        <f t="shared" si="732"/>
        <v/>
      </c>
    </row>
    <row r="1563" spans="1:16" s="3" customFormat="1" ht="25.5">
      <c r="A1563" s="58" t="s">
        <v>42</v>
      </c>
      <c r="B1563" s="65" t="s">
        <v>265</v>
      </c>
      <c r="C1563" s="308" t="s">
        <v>940</v>
      </c>
      <c r="D1563" s="42">
        <f>SUM(D1565:D1569)</f>
        <v>2413140</v>
      </c>
      <c r="E1563" s="42">
        <f>SUM(E1565:E1569)</f>
        <v>0</v>
      </c>
      <c r="F1563" s="42">
        <f>SUM(D1563:E1563)</f>
        <v>2413140</v>
      </c>
      <c r="G1563" s="55">
        <f>SUM(G1565:G1569)</f>
        <v>3442880</v>
      </c>
      <c r="H1563" s="55">
        <f>SUM(H1565:H1569)</f>
        <v>0</v>
      </c>
      <c r="I1563" s="55">
        <f>SUM(G1563:H1563)</f>
        <v>3442880</v>
      </c>
      <c r="J1563" s="42">
        <f>SUM(J1565:J1569)</f>
        <v>3130380</v>
      </c>
      <c r="K1563" s="42">
        <f>SUM(K1565:K1569)</f>
        <v>0</v>
      </c>
      <c r="L1563" s="42">
        <f>SUM(J1563:K1563)</f>
        <v>3130380</v>
      </c>
      <c r="M1563" s="225">
        <f t="shared" si="729"/>
        <v>129.72227056863673</v>
      </c>
      <c r="N1563" s="225">
        <f t="shared" si="730"/>
        <v>129.72227056863673</v>
      </c>
      <c r="O1563" s="225">
        <f t="shared" si="731"/>
        <v>90.923296774793201</v>
      </c>
      <c r="P1563" s="225">
        <f t="shared" si="732"/>
        <v>90.923296774793201</v>
      </c>
    </row>
    <row r="1564" spans="1:16" s="3" customFormat="1" hidden="1">
      <c r="A1564" s="36" t="s">
        <v>267</v>
      </c>
      <c r="B1564" s="184"/>
      <c r="C1564" s="320" t="s">
        <v>268</v>
      </c>
      <c r="D1564" s="38">
        <f>SUM(D1565:D1569)</f>
        <v>2413140</v>
      </c>
      <c r="E1564" s="77"/>
      <c r="F1564" s="63">
        <f t="shared" ref="F1564" si="736">SUM(D1564:E1564)</f>
        <v>2413140</v>
      </c>
      <c r="G1564" s="38">
        <f>SUM(G1565:G1569)</f>
        <v>3442880</v>
      </c>
      <c r="H1564" s="109"/>
      <c r="I1564" s="38">
        <f>SUM(G1564:H1564)</f>
        <v>3442880</v>
      </c>
      <c r="J1564" s="63">
        <f>SUM(J1565:J1569)</f>
        <v>3130380</v>
      </c>
      <c r="K1564" s="77"/>
      <c r="L1564" s="63">
        <f t="shared" ref="L1564" si="737">SUM(J1564:K1564)</f>
        <v>3130380</v>
      </c>
      <c r="M1564" s="218">
        <f t="shared" si="729"/>
        <v>129.72227056863673</v>
      </c>
      <c r="N1564" s="218">
        <f t="shared" si="730"/>
        <v>129.72227056863673</v>
      </c>
      <c r="O1564" s="218">
        <f t="shared" si="731"/>
        <v>90.923296774793201</v>
      </c>
      <c r="P1564" s="218">
        <f t="shared" si="732"/>
        <v>90.923296774793201</v>
      </c>
    </row>
    <row r="1565" spans="1:16" s="3" customFormat="1" ht="12.75" customHeight="1">
      <c r="A1565" s="36" t="s">
        <v>180</v>
      </c>
      <c r="B1565" s="33" t="s">
        <v>419</v>
      </c>
      <c r="C1565" s="211" t="s">
        <v>1738</v>
      </c>
      <c r="D1565" s="38">
        <v>2085540</v>
      </c>
      <c r="E1565" s="38"/>
      <c r="F1565" s="63">
        <f>SUM(D1565:E1565)</f>
        <v>2085540</v>
      </c>
      <c r="G1565" s="38">
        <v>2164340</v>
      </c>
      <c r="H1565" s="38"/>
      <c r="I1565" s="38">
        <f>SUM(G1565:H1565)</f>
        <v>2164340</v>
      </c>
      <c r="J1565" s="63">
        <v>2378380</v>
      </c>
      <c r="K1565" s="38"/>
      <c r="L1565" s="63">
        <f>SUM(J1565:K1565)</f>
        <v>2378380</v>
      </c>
      <c r="M1565" s="218">
        <f t="shared" si="729"/>
        <v>114.04144729902089</v>
      </c>
      <c r="N1565" s="218">
        <f t="shared" si="730"/>
        <v>114.04144729902089</v>
      </c>
      <c r="O1565" s="218">
        <f t="shared" si="731"/>
        <v>109.88938891301736</v>
      </c>
      <c r="P1565" s="218">
        <f t="shared" si="732"/>
        <v>109.88938891301736</v>
      </c>
    </row>
    <row r="1566" spans="1:16" s="3" customFormat="1" ht="12.75" customHeight="1">
      <c r="A1566" s="36" t="s">
        <v>46</v>
      </c>
      <c r="B1566" s="33" t="s">
        <v>41</v>
      </c>
      <c r="C1566" s="211" t="s">
        <v>1739</v>
      </c>
      <c r="D1566" s="38">
        <v>321600</v>
      </c>
      <c r="E1566" s="77"/>
      <c r="F1566" s="63">
        <f>SUM(D1566,E1566)</f>
        <v>321600</v>
      </c>
      <c r="G1566" s="38">
        <v>321600</v>
      </c>
      <c r="H1566" s="109"/>
      <c r="I1566" s="38">
        <f>SUM(G1566,H1566)</f>
        <v>321600</v>
      </c>
      <c r="J1566" s="63">
        <v>345000</v>
      </c>
      <c r="K1566" s="77"/>
      <c r="L1566" s="63">
        <f>SUM(J1566,K1566)</f>
        <v>345000</v>
      </c>
      <c r="M1566" s="218">
        <f t="shared" si="729"/>
        <v>107.27611940298507</v>
      </c>
      <c r="N1566" s="218">
        <f t="shared" si="730"/>
        <v>107.27611940298507</v>
      </c>
      <c r="O1566" s="218">
        <f t="shared" si="731"/>
        <v>107.27611940298507</v>
      </c>
      <c r="P1566" s="218">
        <f t="shared" si="732"/>
        <v>107.27611940298507</v>
      </c>
    </row>
    <row r="1567" spans="1:16" s="3" customFormat="1" ht="12.75" customHeight="1">
      <c r="A1567" s="36" t="s">
        <v>2347</v>
      </c>
      <c r="B1567" s="33" t="s">
        <v>2346</v>
      </c>
      <c r="C1567" s="211" t="s">
        <v>2339</v>
      </c>
      <c r="D1567" s="38"/>
      <c r="E1567" s="77"/>
      <c r="F1567" s="63"/>
      <c r="G1567" s="38">
        <v>790940</v>
      </c>
      <c r="H1567" s="109"/>
      <c r="I1567" s="38">
        <f>SUM(G1567,H1567)</f>
        <v>790940</v>
      </c>
      <c r="J1567" s="63">
        <v>400000</v>
      </c>
      <c r="K1567" s="77"/>
      <c r="L1567" s="63">
        <f>SUM(J1567,K1567)</f>
        <v>400000</v>
      </c>
      <c r="M1567" s="218" t="str">
        <f t="shared" si="729"/>
        <v/>
      </c>
      <c r="N1567" s="218" t="str">
        <f t="shared" si="730"/>
        <v/>
      </c>
      <c r="O1567" s="218">
        <f t="shared" si="731"/>
        <v>50.572736237894155</v>
      </c>
      <c r="P1567" s="218">
        <f t="shared" ref="P1567" si="738">IF(I1567&gt;0,IF(L1567&gt;=0,L1567/I1567*100,""),"")</f>
        <v>50.572736237894155</v>
      </c>
    </row>
    <row r="1568" spans="1:16" s="3" customFormat="1" ht="12.75" customHeight="1">
      <c r="A1568" s="359" t="s">
        <v>375</v>
      </c>
      <c r="B1568" s="66" t="s">
        <v>150</v>
      </c>
      <c r="C1568" s="311" t="s">
        <v>1740</v>
      </c>
      <c r="D1568" s="67">
        <v>6000</v>
      </c>
      <c r="E1568" s="67"/>
      <c r="F1568" s="67">
        <f>SUM(D1568:E1568)</f>
        <v>6000</v>
      </c>
      <c r="G1568" s="61">
        <v>166000</v>
      </c>
      <c r="H1568" s="61"/>
      <c r="I1568" s="61">
        <f>SUM(G1568:H1568)</f>
        <v>166000</v>
      </c>
      <c r="J1568" s="67">
        <v>7000</v>
      </c>
      <c r="K1568" s="67"/>
      <c r="L1568" s="67">
        <f>SUM(J1568:K1568)</f>
        <v>7000</v>
      </c>
      <c r="M1568" s="273">
        <f t="shared" si="729"/>
        <v>116.66666666666667</v>
      </c>
      <c r="N1568" s="273">
        <f t="shared" si="730"/>
        <v>116.66666666666667</v>
      </c>
      <c r="O1568" s="273">
        <f t="shared" si="731"/>
        <v>4.2168674698795181</v>
      </c>
      <c r="P1568" s="273">
        <f>IF(I1568&gt;0,IF(L1568&gt;=0,L1568/I1568*100,""),"")</f>
        <v>4.2168674698795181</v>
      </c>
    </row>
    <row r="1569" spans="1:16" s="3" customFormat="1" hidden="1">
      <c r="A1569" s="367" t="s">
        <v>368</v>
      </c>
      <c r="B1569" s="68" t="s">
        <v>418</v>
      </c>
      <c r="C1569" s="330" t="s">
        <v>1741</v>
      </c>
      <c r="D1569" s="370"/>
      <c r="E1569" s="375"/>
      <c r="F1569" s="368">
        <f>SUM(D1569,E1569)</f>
        <v>0</v>
      </c>
      <c r="G1569" s="370"/>
      <c r="H1569" s="376"/>
      <c r="I1569" s="370">
        <f>SUM(G1569,H1569)</f>
        <v>0</v>
      </c>
      <c r="J1569" s="370"/>
      <c r="K1569" s="375"/>
      <c r="L1569" s="368">
        <f>SUM(J1569,K1569)</f>
        <v>0</v>
      </c>
      <c r="M1569" s="377" t="str">
        <f t="shared" si="729"/>
        <v/>
      </c>
      <c r="N1569" s="377" t="str">
        <f t="shared" si="730"/>
        <v/>
      </c>
      <c r="O1569" s="377" t="str">
        <f t="shared" si="731"/>
        <v/>
      </c>
      <c r="P1569" s="377" t="str">
        <f t="shared" ref="P1569:P1573" si="739">IF(I1569&gt;0,IF(L1569&gt;=0,L1569/I1569*100,""),"")</f>
        <v/>
      </c>
    </row>
    <row r="1570" spans="1:16" s="3" customFormat="1" ht="6" customHeight="1">
      <c r="A1570" s="43"/>
      <c r="B1570" s="79"/>
      <c r="C1570" s="302" t="s">
        <v>268</v>
      </c>
      <c r="D1570" s="76"/>
      <c r="E1570" s="76"/>
      <c r="F1570" s="76"/>
      <c r="G1570" s="116"/>
      <c r="H1570" s="116"/>
      <c r="I1570" s="116"/>
      <c r="J1570" s="76"/>
      <c r="K1570" s="76"/>
      <c r="L1570" s="76"/>
      <c r="M1570" s="226" t="str">
        <f t="shared" si="729"/>
        <v/>
      </c>
      <c r="N1570" s="226" t="str">
        <f t="shared" si="730"/>
        <v/>
      </c>
      <c r="O1570" s="226" t="str">
        <f t="shared" si="731"/>
        <v/>
      </c>
      <c r="P1570" s="226" t="str">
        <f t="shared" si="739"/>
        <v/>
      </c>
    </row>
    <row r="1571" spans="1:16" s="3" customFormat="1" ht="25.5">
      <c r="A1571" s="58" t="s">
        <v>333</v>
      </c>
      <c r="B1571" s="65" t="s">
        <v>265</v>
      </c>
      <c r="C1571" s="308" t="s">
        <v>940</v>
      </c>
      <c r="D1571" s="86">
        <f>SUM(D1573:D1574)</f>
        <v>2258170</v>
      </c>
      <c r="E1571" s="86">
        <f>SUM(E1573:E1574)</f>
        <v>0</v>
      </c>
      <c r="F1571" s="86">
        <f>SUM(D1571:E1571)</f>
        <v>2258170</v>
      </c>
      <c r="G1571" s="262">
        <f>SUM(G1573:G1576)</f>
        <v>3270910</v>
      </c>
      <c r="H1571" s="262">
        <f>SUM(H1573:H1574)</f>
        <v>0</v>
      </c>
      <c r="I1571" s="262">
        <f t="shared" ref="I1571:I1587" si="740">SUM(G1571:H1571)</f>
        <v>3270910</v>
      </c>
      <c r="J1571" s="86">
        <f>SUM(J1573:J1577)</f>
        <v>2826150</v>
      </c>
      <c r="K1571" s="86">
        <f>SUM(K1573:K1574)</f>
        <v>0</v>
      </c>
      <c r="L1571" s="86">
        <f>SUM(J1571:K1571)</f>
        <v>2826150</v>
      </c>
      <c r="M1571" s="236">
        <f t="shared" si="729"/>
        <v>125.15222503177353</v>
      </c>
      <c r="N1571" s="236">
        <f t="shared" si="730"/>
        <v>125.15222503177353</v>
      </c>
      <c r="O1571" s="236">
        <f t="shared" si="731"/>
        <v>86.402560755263821</v>
      </c>
      <c r="P1571" s="236">
        <f t="shared" si="739"/>
        <v>86.402560755263821</v>
      </c>
    </row>
    <row r="1572" spans="1:16" s="3" customFormat="1" hidden="1">
      <c r="A1572" s="36" t="s">
        <v>267</v>
      </c>
      <c r="B1572" s="184"/>
      <c r="C1572" s="320" t="s">
        <v>268</v>
      </c>
      <c r="D1572" s="87">
        <f>SUM(D1573:D1576)</f>
        <v>2258170</v>
      </c>
      <c r="E1572" s="95"/>
      <c r="F1572" s="63">
        <f>SUM(D1572:E1572)</f>
        <v>2258170</v>
      </c>
      <c r="G1572" s="87">
        <f>SUM(G1573:G1576)</f>
        <v>3270910</v>
      </c>
      <c r="H1572" s="261"/>
      <c r="I1572" s="38">
        <f t="shared" si="740"/>
        <v>3270910</v>
      </c>
      <c r="J1572" s="87">
        <f>SUM(J1573:J1576)</f>
        <v>2826150</v>
      </c>
      <c r="K1572" s="95"/>
      <c r="L1572" s="63">
        <f>SUM(J1572:K1572)</f>
        <v>2826150</v>
      </c>
      <c r="M1572" s="218">
        <f t="shared" si="729"/>
        <v>125.15222503177353</v>
      </c>
      <c r="N1572" s="218">
        <f t="shared" si="730"/>
        <v>125.15222503177353</v>
      </c>
      <c r="O1572" s="218">
        <f t="shared" si="731"/>
        <v>86.402560755263821</v>
      </c>
      <c r="P1572" s="218">
        <f t="shared" si="739"/>
        <v>86.402560755263821</v>
      </c>
    </row>
    <row r="1573" spans="1:16" s="3" customFormat="1" ht="12.75" customHeight="1">
      <c r="A1573" s="36" t="s">
        <v>180</v>
      </c>
      <c r="B1573" s="33" t="s">
        <v>419</v>
      </c>
      <c r="C1573" s="211" t="s">
        <v>1742</v>
      </c>
      <c r="D1573" s="87">
        <v>1936570</v>
      </c>
      <c r="E1573" s="95"/>
      <c r="F1573" s="63">
        <f>SUM(D1573:E1573)</f>
        <v>1936570</v>
      </c>
      <c r="G1573" s="87">
        <v>2053370</v>
      </c>
      <c r="H1573" s="261"/>
      <c r="I1573" s="38">
        <f t="shared" si="740"/>
        <v>2053370</v>
      </c>
      <c r="J1573" s="63">
        <v>2081150</v>
      </c>
      <c r="K1573" s="95"/>
      <c r="L1573" s="63">
        <f>SUM(J1573:K1573)</f>
        <v>2081150</v>
      </c>
      <c r="M1573" s="218">
        <f t="shared" si="729"/>
        <v>107.46577712140537</v>
      </c>
      <c r="N1573" s="218">
        <f t="shared" si="730"/>
        <v>107.46577712140537</v>
      </c>
      <c r="O1573" s="218">
        <f t="shared" si="731"/>
        <v>101.35289791903065</v>
      </c>
      <c r="P1573" s="218">
        <f t="shared" si="739"/>
        <v>101.35289791903065</v>
      </c>
    </row>
    <row r="1574" spans="1:16" s="3" customFormat="1" ht="12.75" customHeight="1">
      <c r="A1574" s="36" t="s">
        <v>46</v>
      </c>
      <c r="B1574" s="33" t="s">
        <v>41</v>
      </c>
      <c r="C1574" s="211" t="s">
        <v>1743</v>
      </c>
      <c r="D1574" s="38">
        <v>321600</v>
      </c>
      <c r="E1574" s="77"/>
      <c r="F1574" s="63">
        <f>SUM(D1574,E1574)</f>
        <v>321600</v>
      </c>
      <c r="G1574" s="38">
        <v>321600</v>
      </c>
      <c r="H1574" s="109"/>
      <c r="I1574" s="38">
        <f>SUM(G1574:H1574)</f>
        <v>321600</v>
      </c>
      <c r="J1574" s="63">
        <v>345000</v>
      </c>
      <c r="K1574" s="77"/>
      <c r="L1574" s="63">
        <f>SUM(J1574,K1574)</f>
        <v>345000</v>
      </c>
      <c r="M1574" s="218">
        <f t="shared" si="729"/>
        <v>107.27611940298507</v>
      </c>
      <c r="N1574" s="218">
        <f t="shared" si="730"/>
        <v>107.27611940298507</v>
      </c>
      <c r="O1574" s="218">
        <f t="shared" si="731"/>
        <v>107.27611940298507</v>
      </c>
      <c r="P1574" s="218">
        <f>IF(I1574&gt;0,IF(L1574&gt;=0,L1574/I1574*100,""),"")</f>
        <v>107.27611940298507</v>
      </c>
    </row>
    <row r="1575" spans="1:16" s="3" customFormat="1" ht="12.75" customHeight="1">
      <c r="A1575" s="36" t="s">
        <v>2347</v>
      </c>
      <c r="B1575" s="33" t="s">
        <v>2346</v>
      </c>
      <c r="C1575" s="211" t="s">
        <v>2287</v>
      </c>
      <c r="D1575" s="87"/>
      <c r="E1575" s="95"/>
      <c r="F1575" s="63"/>
      <c r="G1575" s="87">
        <v>801440</v>
      </c>
      <c r="H1575" s="261"/>
      <c r="I1575" s="38">
        <f>SUM(G1575:H1575)</f>
        <v>801440</v>
      </c>
      <c r="J1575" s="87">
        <v>400000</v>
      </c>
      <c r="K1575" s="95"/>
      <c r="L1575" s="63">
        <f>SUM(J1575,K1575)</f>
        <v>400000</v>
      </c>
      <c r="M1575" s="218" t="str">
        <f t="shared" si="729"/>
        <v/>
      </c>
      <c r="N1575" s="218" t="str">
        <f t="shared" si="730"/>
        <v/>
      </c>
      <c r="O1575" s="218">
        <f t="shared" si="731"/>
        <v>49.910161708923937</v>
      </c>
      <c r="P1575" s="218">
        <f>IF(I1575&gt;0,IF(L1575&gt;=0,L1575/I1575*100,""),"")</f>
        <v>49.910161708923937</v>
      </c>
    </row>
    <row r="1576" spans="1:16" s="3" customFormat="1" ht="12.75" customHeight="1">
      <c r="A1576" s="36" t="s">
        <v>2069</v>
      </c>
      <c r="B1576" s="211" t="s">
        <v>2070</v>
      </c>
      <c r="C1576" s="211" t="s">
        <v>2203</v>
      </c>
      <c r="D1576" s="87"/>
      <c r="E1576" s="95"/>
      <c r="F1576" s="63"/>
      <c r="G1576" s="87">
        <v>94500</v>
      </c>
      <c r="H1576" s="261"/>
      <c r="I1576" s="38">
        <f t="shared" si="740"/>
        <v>94500</v>
      </c>
      <c r="J1576" s="87"/>
      <c r="K1576" s="95"/>
      <c r="L1576" s="63">
        <f t="shared" ref="L1576" si="741">SUM(J1576,K1576)</f>
        <v>0</v>
      </c>
      <c r="M1576" s="218" t="str">
        <f t="shared" si="729"/>
        <v/>
      </c>
      <c r="N1576" s="218" t="str">
        <f t="shared" si="730"/>
        <v/>
      </c>
      <c r="O1576" s="218">
        <f t="shared" si="731"/>
        <v>0</v>
      </c>
      <c r="P1576" s="218">
        <f t="shared" ref="P1576" si="742">IF(I1576&gt;0,IF(L1576&gt;=0,L1576/I1576*100,""),"")</f>
        <v>0</v>
      </c>
    </row>
    <row r="1577" spans="1:16" s="3" customFormat="1" ht="6" customHeight="1">
      <c r="A1577" s="36"/>
      <c r="B1577" s="33"/>
      <c r="C1577" s="211" t="s">
        <v>268</v>
      </c>
      <c r="D1577" s="63"/>
      <c r="E1577" s="63"/>
      <c r="F1577" s="63">
        <f t="shared" ref="F1577" si="743">SUM(D1577:E1577)</f>
        <v>0</v>
      </c>
      <c r="G1577" s="38"/>
      <c r="H1577" s="38"/>
      <c r="I1577" s="38">
        <f t="shared" si="740"/>
        <v>0</v>
      </c>
      <c r="J1577" s="63"/>
      <c r="K1577" s="63"/>
      <c r="L1577" s="63">
        <f t="shared" ref="L1577" si="744">SUM(J1577:K1577)</f>
        <v>0</v>
      </c>
      <c r="M1577" s="218" t="str">
        <f t="shared" si="729"/>
        <v/>
      </c>
      <c r="N1577" s="218" t="str">
        <f t="shared" si="730"/>
        <v/>
      </c>
      <c r="O1577" s="218" t="str">
        <f t="shared" si="731"/>
        <v/>
      </c>
      <c r="P1577" s="218" t="str">
        <f t="shared" ref="P1577:P1583" si="745">IF(I1577&gt;0,IF(L1577&gt;=0,L1577/I1577*100,""),"")</f>
        <v/>
      </c>
    </row>
    <row r="1578" spans="1:16" s="11" customFormat="1" ht="25.5">
      <c r="A1578" s="58" t="s">
        <v>930</v>
      </c>
      <c r="B1578" s="65" t="s">
        <v>265</v>
      </c>
      <c r="C1578" s="308" t="s">
        <v>940</v>
      </c>
      <c r="D1578" s="42">
        <f>SUM(D1580:D1584)</f>
        <v>2615040</v>
      </c>
      <c r="E1578" s="42">
        <f>SUM(E1580:E1583)</f>
        <v>0</v>
      </c>
      <c r="F1578" s="42">
        <f t="shared" ref="F1578:F1583" si="746">SUM(D1578:E1578)</f>
        <v>2615040</v>
      </c>
      <c r="G1578" s="55">
        <f>SUM(G1580:G1584)</f>
        <v>3480980</v>
      </c>
      <c r="H1578" s="55">
        <f>SUM(H1580:H1583)</f>
        <v>0</v>
      </c>
      <c r="I1578" s="55">
        <f t="shared" si="740"/>
        <v>3480980</v>
      </c>
      <c r="J1578" s="42">
        <f>SUM(J1580:J1584)</f>
        <v>3275080</v>
      </c>
      <c r="K1578" s="42">
        <f>SUM(K1580:K1583)</f>
        <v>0</v>
      </c>
      <c r="L1578" s="42">
        <f t="shared" ref="L1578:L1584" si="747">SUM(J1578:K1578)</f>
        <v>3275080</v>
      </c>
      <c r="M1578" s="225">
        <f t="shared" si="729"/>
        <v>125.24014929025941</v>
      </c>
      <c r="N1578" s="225">
        <f t="shared" si="730"/>
        <v>125.24014929025941</v>
      </c>
      <c r="O1578" s="225">
        <f t="shared" si="731"/>
        <v>94.084999051991105</v>
      </c>
      <c r="P1578" s="225">
        <f t="shared" si="745"/>
        <v>94.084999051991105</v>
      </c>
    </row>
    <row r="1579" spans="1:16" s="11" customFormat="1" hidden="1">
      <c r="A1579" s="36" t="s">
        <v>267</v>
      </c>
      <c r="B1579" s="184"/>
      <c r="C1579" s="320" t="s">
        <v>268</v>
      </c>
      <c r="D1579" s="38">
        <f>SUM(D1580:D1583)</f>
        <v>2615040</v>
      </c>
      <c r="E1579" s="77"/>
      <c r="F1579" s="63">
        <f t="shared" si="746"/>
        <v>2615040</v>
      </c>
      <c r="G1579" s="38">
        <f>SUM(G1580:G1583)</f>
        <v>3480980</v>
      </c>
      <c r="H1579" s="109"/>
      <c r="I1579" s="38">
        <f t="shared" si="740"/>
        <v>3480980</v>
      </c>
      <c r="J1579" s="38">
        <f>SUM(J1580:J1584)</f>
        <v>3275080</v>
      </c>
      <c r="K1579" s="196"/>
      <c r="L1579" s="38">
        <f t="shared" si="747"/>
        <v>3275080</v>
      </c>
      <c r="M1579" s="218">
        <f t="shared" si="729"/>
        <v>125.24014929025941</v>
      </c>
      <c r="N1579" s="218">
        <f t="shared" si="730"/>
        <v>125.24014929025941</v>
      </c>
      <c r="O1579" s="218">
        <f t="shared" si="731"/>
        <v>94.084999051991105</v>
      </c>
      <c r="P1579" s="218">
        <f t="shared" si="745"/>
        <v>94.084999051991105</v>
      </c>
    </row>
    <row r="1580" spans="1:16" s="11" customFormat="1" ht="12.75" customHeight="1">
      <c r="A1580" s="36" t="s">
        <v>180</v>
      </c>
      <c r="B1580" s="33" t="s">
        <v>419</v>
      </c>
      <c r="C1580" s="211" t="s">
        <v>1744</v>
      </c>
      <c r="D1580" s="38">
        <v>2285440</v>
      </c>
      <c r="E1580" s="38"/>
      <c r="F1580" s="63">
        <f t="shared" si="746"/>
        <v>2285440</v>
      </c>
      <c r="G1580" s="38">
        <v>2360440</v>
      </c>
      <c r="H1580" s="38"/>
      <c r="I1580" s="38">
        <f t="shared" si="740"/>
        <v>2360440</v>
      </c>
      <c r="J1580" s="63">
        <v>2530080</v>
      </c>
      <c r="K1580" s="195"/>
      <c r="L1580" s="38">
        <f t="shared" si="747"/>
        <v>2530080</v>
      </c>
      <c r="M1580" s="218">
        <f t="shared" si="729"/>
        <v>110.70428451414169</v>
      </c>
      <c r="N1580" s="218">
        <f t="shared" si="730"/>
        <v>110.70428451414169</v>
      </c>
      <c r="O1580" s="218">
        <f t="shared" si="731"/>
        <v>107.18679568216096</v>
      </c>
      <c r="P1580" s="218">
        <f t="shared" si="745"/>
        <v>107.18679568216096</v>
      </c>
    </row>
    <row r="1581" spans="1:16" s="3" customFormat="1" ht="12.75" customHeight="1">
      <c r="A1581" s="36" t="s">
        <v>46</v>
      </c>
      <c r="B1581" s="33" t="s">
        <v>41</v>
      </c>
      <c r="C1581" s="211" t="s">
        <v>1746</v>
      </c>
      <c r="D1581" s="38">
        <v>321600</v>
      </c>
      <c r="E1581" s="77"/>
      <c r="F1581" s="63">
        <f>SUM(D1581,E1581)</f>
        <v>321600</v>
      </c>
      <c r="G1581" s="38">
        <v>321600</v>
      </c>
      <c r="H1581" s="109"/>
      <c r="I1581" s="38">
        <f>SUM(G1581:H1581)</f>
        <v>321600</v>
      </c>
      <c r="J1581" s="63">
        <v>345000</v>
      </c>
      <c r="K1581" s="196"/>
      <c r="L1581" s="38">
        <f>SUM(J1581:K1581)</f>
        <v>345000</v>
      </c>
      <c r="M1581" s="218">
        <f t="shared" si="729"/>
        <v>107.27611940298507</v>
      </c>
      <c r="N1581" s="218">
        <f t="shared" si="730"/>
        <v>107.27611940298507</v>
      </c>
      <c r="O1581" s="218">
        <f t="shared" si="731"/>
        <v>107.27611940298507</v>
      </c>
      <c r="P1581" s="218">
        <f>IF(I1581&gt;0,IF(L1581&gt;=0,L1581/I1581*100,""),"")</f>
        <v>107.27611940298507</v>
      </c>
    </row>
    <row r="1582" spans="1:16" s="3" customFormat="1" ht="12.75" customHeight="1">
      <c r="A1582" s="36" t="s">
        <v>2347</v>
      </c>
      <c r="B1582" s="33" t="s">
        <v>2346</v>
      </c>
      <c r="C1582" s="211" t="s">
        <v>2340</v>
      </c>
      <c r="D1582" s="38"/>
      <c r="E1582" s="77"/>
      <c r="F1582" s="63"/>
      <c r="G1582" s="38">
        <v>790940</v>
      </c>
      <c r="H1582" s="109"/>
      <c r="I1582" s="38">
        <f>SUM(G1582:H1582)</f>
        <v>790940</v>
      </c>
      <c r="J1582" s="63">
        <v>400000</v>
      </c>
      <c r="K1582" s="196"/>
      <c r="L1582" s="38">
        <f>SUM(J1582:K1582)</f>
        <v>400000</v>
      </c>
      <c r="M1582" s="218" t="str">
        <f t="shared" si="729"/>
        <v/>
      </c>
      <c r="N1582" s="218" t="str">
        <f t="shared" si="730"/>
        <v/>
      </c>
      <c r="O1582" s="218">
        <f t="shared" si="731"/>
        <v>50.572736237894155</v>
      </c>
      <c r="P1582" s="218">
        <f>IF(I1582&gt;0,IF(L1582&gt;=0,L1582/I1582*100,""),"")</f>
        <v>50.572736237894155</v>
      </c>
    </row>
    <row r="1583" spans="1:16" s="11" customFormat="1" ht="12.75" customHeight="1">
      <c r="A1583" s="46" t="s">
        <v>651</v>
      </c>
      <c r="B1583" s="211" t="s">
        <v>650</v>
      </c>
      <c r="C1583" s="211" t="s">
        <v>1745</v>
      </c>
      <c r="D1583" s="38">
        <v>8000</v>
      </c>
      <c r="E1583" s="38"/>
      <c r="F1583" s="63">
        <f t="shared" si="746"/>
        <v>8000</v>
      </c>
      <c r="G1583" s="38">
        <v>8000</v>
      </c>
      <c r="H1583" s="38"/>
      <c r="I1583" s="38">
        <f t="shared" si="740"/>
        <v>8000</v>
      </c>
      <c r="J1583" s="63"/>
      <c r="K1583" s="195"/>
      <c r="L1583" s="38">
        <f t="shared" si="747"/>
        <v>0</v>
      </c>
      <c r="M1583" s="218">
        <f t="shared" si="729"/>
        <v>0</v>
      </c>
      <c r="N1583" s="218">
        <f t="shared" si="730"/>
        <v>0</v>
      </c>
      <c r="O1583" s="218">
        <f t="shared" si="731"/>
        <v>0</v>
      </c>
      <c r="P1583" s="218">
        <f t="shared" si="745"/>
        <v>0</v>
      </c>
    </row>
    <row r="1584" spans="1:16" s="3" customFormat="1" ht="6" customHeight="1">
      <c r="A1584" s="36"/>
      <c r="B1584" s="33"/>
      <c r="C1584" s="211" t="s">
        <v>268</v>
      </c>
      <c r="D1584" s="63"/>
      <c r="E1584" s="63"/>
      <c r="F1584" s="63"/>
      <c r="G1584" s="38"/>
      <c r="H1584" s="38"/>
      <c r="I1584" s="38">
        <f t="shared" si="740"/>
        <v>0</v>
      </c>
      <c r="J1584" s="63"/>
      <c r="K1584" s="63"/>
      <c r="L1584" s="38">
        <f t="shared" si="747"/>
        <v>0</v>
      </c>
      <c r="M1584" s="218" t="str">
        <f t="shared" si="729"/>
        <v/>
      </c>
      <c r="N1584" s="218" t="str">
        <f t="shared" si="730"/>
        <v/>
      </c>
      <c r="O1584" s="218" t="str">
        <f t="shared" si="731"/>
        <v/>
      </c>
      <c r="P1584" s="218" t="str">
        <f t="shared" ref="P1584:P1589" si="748">IF(I1584&gt;0,IF(L1584&gt;=0,L1584/I1584*100,""),"")</f>
        <v/>
      </c>
    </row>
    <row r="1585" spans="1:16" s="3" customFormat="1" ht="25.5">
      <c r="A1585" s="58" t="s">
        <v>662</v>
      </c>
      <c r="B1585" s="65" t="s">
        <v>265</v>
      </c>
      <c r="C1585" s="308" t="s">
        <v>940</v>
      </c>
      <c r="D1585" s="42">
        <f>SUM(D1587:D1591)</f>
        <v>3793590</v>
      </c>
      <c r="E1585" s="42">
        <f>SUM(E1587:E1589)</f>
        <v>0</v>
      </c>
      <c r="F1585" s="42">
        <f>SUM(D1585:E1585)</f>
        <v>3793590</v>
      </c>
      <c r="G1585" s="55">
        <f>SUM(G1587:G1591)</f>
        <v>6934640</v>
      </c>
      <c r="H1585" s="55">
        <f>SUM(H1587:H1589)</f>
        <v>0</v>
      </c>
      <c r="I1585" s="55">
        <f t="shared" si="740"/>
        <v>6934640</v>
      </c>
      <c r="J1585" s="42">
        <f>SUM(J1587:J1591)</f>
        <v>6724900</v>
      </c>
      <c r="K1585" s="42">
        <f>SUM(K1587:K1589)</f>
        <v>0</v>
      </c>
      <c r="L1585" s="42">
        <f>SUM(J1585:K1585)</f>
        <v>6724900</v>
      </c>
      <c r="M1585" s="225">
        <f t="shared" si="729"/>
        <v>177.27007926528697</v>
      </c>
      <c r="N1585" s="225">
        <f t="shared" si="730"/>
        <v>177.27007926528697</v>
      </c>
      <c r="O1585" s="225">
        <f t="shared" si="731"/>
        <v>96.97547385300463</v>
      </c>
      <c r="P1585" s="225">
        <f t="shared" si="748"/>
        <v>96.97547385300463</v>
      </c>
    </row>
    <row r="1586" spans="1:16" s="3" customFormat="1" hidden="1">
      <c r="A1586" s="36" t="s">
        <v>267</v>
      </c>
      <c r="B1586" s="184"/>
      <c r="C1586" s="320" t="s">
        <v>268</v>
      </c>
      <c r="D1586" s="38">
        <f>SUM(D1587:D1591)</f>
        <v>3793590</v>
      </c>
      <c r="E1586" s="77"/>
      <c r="F1586" s="63">
        <f>SUM(D1586:E1586)</f>
        <v>3793590</v>
      </c>
      <c r="G1586" s="38">
        <f>SUM(G1587:G1591)</f>
        <v>6934640</v>
      </c>
      <c r="H1586" s="109"/>
      <c r="I1586" s="38">
        <f t="shared" si="740"/>
        <v>6934640</v>
      </c>
      <c r="J1586" s="63">
        <f>SUM(J1587:J1591)</f>
        <v>6724900</v>
      </c>
      <c r="K1586" s="77"/>
      <c r="L1586" s="63">
        <f>SUM(J1586:K1586)</f>
        <v>6724900</v>
      </c>
      <c r="M1586" s="218">
        <f t="shared" si="729"/>
        <v>177.27007926528697</v>
      </c>
      <c r="N1586" s="218">
        <f t="shared" si="730"/>
        <v>177.27007926528697</v>
      </c>
      <c r="O1586" s="218">
        <f t="shared" si="731"/>
        <v>96.97547385300463</v>
      </c>
      <c r="P1586" s="218">
        <f t="shared" si="748"/>
        <v>96.97547385300463</v>
      </c>
    </row>
    <row r="1587" spans="1:16" s="3" customFormat="1" ht="12.75" customHeight="1">
      <c r="A1587" s="36" t="s">
        <v>180</v>
      </c>
      <c r="B1587" s="33" t="s">
        <v>419</v>
      </c>
      <c r="C1587" s="211" t="s">
        <v>1747</v>
      </c>
      <c r="D1587" s="38">
        <v>3471990</v>
      </c>
      <c r="E1587" s="38"/>
      <c r="F1587" s="63">
        <f>SUM(D1587:E1587)</f>
        <v>3471990</v>
      </c>
      <c r="G1587" s="38">
        <v>3475800</v>
      </c>
      <c r="H1587" s="38"/>
      <c r="I1587" s="38">
        <f t="shared" si="740"/>
        <v>3475800</v>
      </c>
      <c r="J1587" s="63">
        <v>3532860</v>
      </c>
      <c r="K1587" s="38"/>
      <c r="L1587" s="63">
        <f>SUM(J1587:K1587)</f>
        <v>3532860</v>
      </c>
      <c r="M1587" s="218">
        <f t="shared" si="729"/>
        <v>101.7531732522271</v>
      </c>
      <c r="N1587" s="218">
        <f t="shared" si="730"/>
        <v>101.7531732522271</v>
      </c>
      <c r="O1587" s="218">
        <f t="shared" si="731"/>
        <v>101.64163645779389</v>
      </c>
      <c r="P1587" s="218">
        <f t="shared" si="748"/>
        <v>101.64163645779389</v>
      </c>
    </row>
    <row r="1588" spans="1:16" s="3" customFormat="1" ht="12.75" customHeight="1">
      <c r="A1588" s="46" t="s">
        <v>358</v>
      </c>
      <c r="B1588" s="33" t="s">
        <v>417</v>
      </c>
      <c r="C1588" s="211" t="s">
        <v>1749</v>
      </c>
      <c r="D1588" s="63"/>
      <c r="E1588" s="63"/>
      <c r="F1588" s="63">
        <f>SUM(D1588:E1588)</f>
        <v>0</v>
      </c>
      <c r="G1588" s="38">
        <v>2346300</v>
      </c>
      <c r="H1588" s="38"/>
      <c r="I1588" s="38">
        <f>SUM(G1588:H1588)</f>
        <v>2346300</v>
      </c>
      <c r="J1588" s="63">
        <v>2372040</v>
      </c>
      <c r="K1588" s="63"/>
      <c r="L1588" s="63">
        <f>SUM(J1588:K1588)</f>
        <v>2372040</v>
      </c>
      <c r="M1588" s="218" t="str">
        <f t="shared" si="729"/>
        <v/>
      </c>
      <c r="N1588" s="218" t="str">
        <f t="shared" si="730"/>
        <v/>
      </c>
      <c r="O1588" s="218">
        <f t="shared" si="731"/>
        <v>101.0970464135021</v>
      </c>
      <c r="P1588" s="218">
        <f>IF(I1588&gt;0,IF(L1588&gt;=0,L1588/I1588*100,""),"")</f>
        <v>101.0970464135021</v>
      </c>
    </row>
    <row r="1589" spans="1:16" s="3" customFormat="1" ht="12.75" customHeight="1">
      <c r="A1589" s="36" t="s">
        <v>46</v>
      </c>
      <c r="B1589" s="33" t="s">
        <v>41</v>
      </c>
      <c r="C1589" s="211" t="s">
        <v>1748</v>
      </c>
      <c r="D1589" s="38">
        <v>321600</v>
      </c>
      <c r="E1589" s="77"/>
      <c r="F1589" s="63">
        <f>SUM(D1589,E1589)</f>
        <v>321600</v>
      </c>
      <c r="G1589" s="38">
        <v>321600</v>
      </c>
      <c r="H1589" s="109"/>
      <c r="I1589" s="38">
        <f>SUM(G1589,H1589)</f>
        <v>321600</v>
      </c>
      <c r="J1589" s="63">
        <v>420000</v>
      </c>
      <c r="K1589" s="77"/>
      <c r="L1589" s="63">
        <f>SUM(J1589,K1589)</f>
        <v>420000</v>
      </c>
      <c r="M1589" s="218">
        <f t="shared" si="729"/>
        <v>130.59701492537314</v>
      </c>
      <c r="N1589" s="218">
        <f t="shared" si="730"/>
        <v>130.59701492537314</v>
      </c>
      <c r="O1589" s="218">
        <f t="shared" si="731"/>
        <v>130.59701492537314</v>
      </c>
      <c r="P1589" s="218">
        <f t="shared" si="748"/>
        <v>130.59701492537314</v>
      </c>
    </row>
    <row r="1590" spans="1:16" s="3" customFormat="1" ht="12.75" customHeight="1">
      <c r="A1590" s="46" t="s">
        <v>2347</v>
      </c>
      <c r="B1590" s="33" t="s">
        <v>2346</v>
      </c>
      <c r="C1590" s="211" t="s">
        <v>2286</v>
      </c>
      <c r="D1590" s="63"/>
      <c r="E1590" s="63"/>
      <c r="F1590" s="63"/>
      <c r="G1590" s="38">
        <v>790940</v>
      </c>
      <c r="H1590" s="38"/>
      <c r="I1590" s="38">
        <f>SUM(G1590:H1590)</f>
        <v>790940</v>
      </c>
      <c r="J1590" s="63">
        <v>400000</v>
      </c>
      <c r="K1590" s="63"/>
      <c r="L1590" s="63">
        <f>SUM(J1590:K1590)</f>
        <v>400000</v>
      </c>
      <c r="M1590" s="218" t="str">
        <f t="shared" si="729"/>
        <v/>
      </c>
      <c r="N1590" s="218" t="str">
        <f t="shared" si="730"/>
        <v/>
      </c>
      <c r="O1590" s="218">
        <f t="shared" si="731"/>
        <v>50.572736237894155</v>
      </c>
      <c r="P1590" s="218">
        <f t="shared" ref="P1590" si="749">IF(I1590&gt;0,IF(L1590&gt;=0,L1590/I1590*100,""),"")</f>
        <v>50.572736237894155</v>
      </c>
    </row>
    <row r="1591" spans="1:16" s="3" customFormat="1" ht="12.75" hidden="1" customHeight="1">
      <c r="A1591" s="36" t="s">
        <v>368</v>
      </c>
      <c r="B1591" s="33" t="s">
        <v>418</v>
      </c>
      <c r="C1591" s="211" t="s">
        <v>1750</v>
      </c>
      <c r="D1591" s="38"/>
      <c r="E1591" s="77"/>
      <c r="F1591" s="63">
        <f>SUM(D1591,E1591)</f>
        <v>0</v>
      </c>
      <c r="G1591" s="38"/>
      <c r="H1591" s="109"/>
      <c r="I1591" s="38">
        <f>SUM(G1591,H1591)</f>
        <v>0</v>
      </c>
      <c r="J1591" s="38"/>
      <c r="K1591" s="77"/>
      <c r="L1591" s="63">
        <f>SUM(J1591,K1591)</f>
        <v>0</v>
      </c>
      <c r="M1591" s="218" t="str">
        <f t="shared" si="729"/>
        <v/>
      </c>
      <c r="N1591" s="218" t="str">
        <f t="shared" si="730"/>
        <v/>
      </c>
      <c r="O1591" s="218" t="str">
        <f t="shared" si="731"/>
        <v/>
      </c>
      <c r="P1591" s="218" t="str">
        <f t="shared" ref="P1591:P1596" si="750">IF(I1591&gt;0,IF(L1591&gt;=0,L1591/I1591*100,""),"")</f>
        <v/>
      </c>
    </row>
    <row r="1592" spans="1:16" s="3" customFormat="1" ht="6" customHeight="1">
      <c r="A1592" s="46"/>
      <c r="B1592" s="33"/>
      <c r="C1592" s="211" t="s">
        <v>268</v>
      </c>
      <c r="D1592" s="63"/>
      <c r="E1592" s="63"/>
      <c r="F1592" s="63"/>
      <c r="G1592" s="38"/>
      <c r="H1592" s="38"/>
      <c r="I1592" s="38"/>
      <c r="J1592" s="63"/>
      <c r="K1592" s="63"/>
      <c r="L1592" s="63"/>
      <c r="M1592" s="218" t="str">
        <f t="shared" si="729"/>
        <v/>
      </c>
      <c r="N1592" s="218" t="str">
        <f t="shared" si="730"/>
        <v/>
      </c>
      <c r="O1592" s="218" t="str">
        <f t="shared" si="731"/>
        <v/>
      </c>
      <c r="P1592" s="218" t="str">
        <f t="shared" si="750"/>
        <v/>
      </c>
    </row>
    <row r="1593" spans="1:16" s="3" customFormat="1" ht="12.75">
      <c r="A1593" s="58" t="s">
        <v>422</v>
      </c>
      <c r="B1593" s="65" t="s">
        <v>265</v>
      </c>
      <c r="C1593" s="308" t="s">
        <v>940</v>
      </c>
      <c r="D1593" s="42">
        <f>SUM(D1595:D1597)</f>
        <v>3699890</v>
      </c>
      <c r="E1593" s="42">
        <f>SUM(E1595:E1595)</f>
        <v>0</v>
      </c>
      <c r="F1593" s="42">
        <f>SUM(D1593:E1593)</f>
        <v>3699890</v>
      </c>
      <c r="G1593" s="55">
        <f>SUM(G1595:G1597)</f>
        <v>4548830</v>
      </c>
      <c r="H1593" s="55">
        <f>SUM(H1595:H1595)</f>
        <v>0</v>
      </c>
      <c r="I1593" s="55">
        <f>SUM(G1593:H1593)</f>
        <v>4548830</v>
      </c>
      <c r="J1593" s="42">
        <f>SUM(J1595:J1597)</f>
        <v>4198890</v>
      </c>
      <c r="K1593" s="42">
        <f>SUM(K1595:K1595)</f>
        <v>0</v>
      </c>
      <c r="L1593" s="42">
        <f>SUM(J1593:K1593)</f>
        <v>4198890</v>
      </c>
      <c r="M1593" s="225">
        <f t="shared" si="729"/>
        <v>113.48688744800522</v>
      </c>
      <c r="N1593" s="225">
        <f t="shared" si="730"/>
        <v>113.48688744800522</v>
      </c>
      <c r="O1593" s="225">
        <f t="shared" si="731"/>
        <v>92.30703279744462</v>
      </c>
      <c r="P1593" s="225">
        <f t="shared" si="750"/>
        <v>92.30703279744462</v>
      </c>
    </row>
    <row r="1594" spans="1:16" s="3" customFormat="1" hidden="1">
      <c r="A1594" s="46" t="s">
        <v>267</v>
      </c>
      <c r="B1594" s="184"/>
      <c r="C1594" s="320" t="s">
        <v>268</v>
      </c>
      <c r="D1594" s="38">
        <f>SUM(D1595:D1597)</f>
        <v>3699890</v>
      </c>
      <c r="E1594" s="77"/>
      <c r="F1594" s="63">
        <f>SUM(D1594,E1594)</f>
        <v>3699890</v>
      </c>
      <c r="G1594" s="38">
        <f>SUM(G1595:G1597)</f>
        <v>4548830</v>
      </c>
      <c r="H1594" s="109"/>
      <c r="I1594" s="38">
        <f>SUM(G1594,H1594)</f>
        <v>4548830</v>
      </c>
      <c r="J1594" s="63">
        <f>SUM(J1595:J1597)</f>
        <v>4198890</v>
      </c>
      <c r="K1594" s="77"/>
      <c r="L1594" s="63">
        <f>SUM(J1594,K1594)</f>
        <v>4198890</v>
      </c>
      <c r="M1594" s="218">
        <f t="shared" si="729"/>
        <v>113.48688744800522</v>
      </c>
      <c r="N1594" s="218">
        <f t="shared" si="730"/>
        <v>113.48688744800522</v>
      </c>
      <c r="O1594" s="218">
        <f t="shared" si="731"/>
        <v>92.30703279744462</v>
      </c>
      <c r="P1594" s="218">
        <f t="shared" si="750"/>
        <v>92.30703279744462</v>
      </c>
    </row>
    <row r="1595" spans="1:16" s="3" customFormat="1" ht="12.75" customHeight="1">
      <c r="A1595" s="36" t="s">
        <v>180</v>
      </c>
      <c r="B1595" s="33" t="s">
        <v>419</v>
      </c>
      <c r="C1595" s="211" t="s">
        <v>1751</v>
      </c>
      <c r="D1595" s="38">
        <v>3378290</v>
      </c>
      <c r="E1595" s="77"/>
      <c r="F1595" s="63">
        <f>SUM(D1595,E1595)</f>
        <v>3378290</v>
      </c>
      <c r="G1595" s="38">
        <v>3436290</v>
      </c>
      <c r="H1595" s="109"/>
      <c r="I1595" s="38">
        <f>SUM(G1595,H1595)</f>
        <v>3436290</v>
      </c>
      <c r="J1595" s="63">
        <v>3528890</v>
      </c>
      <c r="K1595" s="77"/>
      <c r="L1595" s="63">
        <f>SUM(J1595,K1595)</f>
        <v>3528890</v>
      </c>
      <c r="M1595" s="218">
        <f t="shared" si="729"/>
        <v>104.45787661805232</v>
      </c>
      <c r="N1595" s="218">
        <f t="shared" si="730"/>
        <v>104.45787661805232</v>
      </c>
      <c r="O1595" s="218">
        <f t="shared" si="731"/>
        <v>102.69476673971056</v>
      </c>
      <c r="P1595" s="218">
        <f t="shared" si="750"/>
        <v>102.69476673971056</v>
      </c>
    </row>
    <row r="1596" spans="1:16" s="3" customFormat="1" ht="12.75" customHeight="1">
      <c r="A1596" s="36" t="s">
        <v>46</v>
      </c>
      <c r="B1596" s="33" t="s">
        <v>41</v>
      </c>
      <c r="C1596" s="211" t="s">
        <v>1752</v>
      </c>
      <c r="D1596" s="38">
        <v>321600</v>
      </c>
      <c r="E1596" s="77"/>
      <c r="F1596" s="63">
        <f>SUM(D1596,E1596)</f>
        <v>321600</v>
      </c>
      <c r="G1596" s="38">
        <v>321600</v>
      </c>
      <c r="H1596" s="109"/>
      <c r="I1596" s="38">
        <f>SUM(G1596,H1596)</f>
        <v>321600</v>
      </c>
      <c r="J1596" s="63">
        <v>270000</v>
      </c>
      <c r="K1596" s="77"/>
      <c r="L1596" s="63">
        <f>SUM(J1596,K1596)</f>
        <v>270000</v>
      </c>
      <c r="M1596" s="218">
        <f t="shared" si="729"/>
        <v>83.955223880597018</v>
      </c>
      <c r="N1596" s="218">
        <f t="shared" si="730"/>
        <v>83.955223880597018</v>
      </c>
      <c r="O1596" s="218">
        <f t="shared" si="731"/>
        <v>83.955223880597018</v>
      </c>
      <c r="P1596" s="218">
        <f t="shared" si="750"/>
        <v>83.955223880597018</v>
      </c>
    </row>
    <row r="1597" spans="1:16" s="3" customFormat="1" ht="12.75" customHeight="1">
      <c r="A1597" s="36" t="s">
        <v>2347</v>
      </c>
      <c r="B1597" s="33" t="s">
        <v>2346</v>
      </c>
      <c r="C1597" s="211" t="s">
        <v>2315</v>
      </c>
      <c r="D1597" s="38"/>
      <c r="E1597" s="77"/>
      <c r="F1597" s="63"/>
      <c r="G1597" s="38">
        <v>790940</v>
      </c>
      <c r="H1597" s="109"/>
      <c r="I1597" s="38">
        <f>SUM(G1597,H1597)</f>
        <v>790940</v>
      </c>
      <c r="J1597" s="63">
        <v>400000</v>
      </c>
      <c r="K1597" s="77"/>
      <c r="L1597" s="63">
        <f>SUM(J1597,K1597)</f>
        <v>400000</v>
      </c>
      <c r="M1597" s="218" t="str">
        <f t="shared" si="729"/>
        <v/>
      </c>
      <c r="N1597" s="218" t="str">
        <f t="shared" si="730"/>
        <v/>
      </c>
      <c r="O1597" s="218">
        <f t="shared" si="731"/>
        <v>50.572736237894155</v>
      </c>
      <c r="P1597" s="218">
        <f t="shared" ref="P1597" si="751">IF(I1597&gt;0,IF(L1597&gt;=0,L1597/I1597*100,""),"")</f>
        <v>50.572736237894155</v>
      </c>
    </row>
    <row r="1598" spans="1:16" s="3" customFormat="1" ht="6" customHeight="1">
      <c r="A1598" s="46"/>
      <c r="B1598" s="33"/>
      <c r="C1598" s="211" t="s">
        <v>268</v>
      </c>
      <c r="D1598" s="63"/>
      <c r="E1598" s="63"/>
      <c r="F1598" s="63">
        <f>SUM(D1598:E1598)</f>
        <v>0</v>
      </c>
      <c r="G1598" s="38"/>
      <c r="H1598" s="38"/>
      <c r="I1598" s="38">
        <f>SUM(G1598:H1598)</f>
        <v>0</v>
      </c>
      <c r="J1598" s="63"/>
      <c r="K1598" s="63"/>
      <c r="L1598" s="63">
        <f>SUM(J1598:K1598)</f>
        <v>0</v>
      </c>
      <c r="M1598" s="218" t="str">
        <f t="shared" si="729"/>
        <v/>
      </c>
      <c r="N1598" s="218" t="str">
        <f t="shared" si="730"/>
        <v/>
      </c>
      <c r="O1598" s="218" t="str">
        <f t="shared" si="731"/>
        <v/>
      </c>
      <c r="P1598" s="218" t="str">
        <f t="shared" ref="P1598:P1602" si="752">IF(I1598&gt;0,IF(L1598&gt;=0,L1598/I1598*100,""),"")</f>
        <v/>
      </c>
    </row>
    <row r="1599" spans="1:16" s="3" customFormat="1" ht="12.75">
      <c r="A1599" s="58" t="s">
        <v>423</v>
      </c>
      <c r="B1599" s="65" t="s">
        <v>265</v>
      </c>
      <c r="C1599" s="308" t="s">
        <v>940</v>
      </c>
      <c r="D1599" s="86">
        <f>SUM(D1601:D1605)</f>
        <v>3163930</v>
      </c>
      <c r="E1599" s="86">
        <f>SUM(E1601:E1605)</f>
        <v>0</v>
      </c>
      <c r="F1599" s="86">
        <f>SUM(D1599:E1599)</f>
        <v>3163930</v>
      </c>
      <c r="G1599" s="262">
        <f>SUM(G1601:G1605)</f>
        <v>4062870</v>
      </c>
      <c r="H1599" s="262">
        <f>SUM(H1601:H1605)</f>
        <v>0</v>
      </c>
      <c r="I1599" s="262">
        <f>SUM(G1599:H1599)</f>
        <v>4062870</v>
      </c>
      <c r="J1599" s="86">
        <f>SUM(J1601:J1605)</f>
        <v>3806510</v>
      </c>
      <c r="K1599" s="86">
        <f>SUM(K1601:K1605)</f>
        <v>0</v>
      </c>
      <c r="L1599" s="86">
        <f>SUM(J1599:K1599)</f>
        <v>3806510</v>
      </c>
      <c r="M1599" s="236">
        <f t="shared" si="729"/>
        <v>120.30955172838841</v>
      </c>
      <c r="N1599" s="236">
        <f t="shared" si="730"/>
        <v>120.30955172838841</v>
      </c>
      <c r="O1599" s="236">
        <f t="shared" si="731"/>
        <v>93.690174679475348</v>
      </c>
      <c r="P1599" s="236">
        <f t="shared" si="752"/>
        <v>93.690174679475348</v>
      </c>
    </row>
    <row r="1600" spans="1:16" s="3" customFormat="1" hidden="1">
      <c r="A1600" s="46" t="s">
        <v>267</v>
      </c>
      <c r="B1600" s="184"/>
      <c r="C1600" s="320" t="s">
        <v>268</v>
      </c>
      <c r="D1600" s="87">
        <f>SUM(D1601:D1605)</f>
        <v>3163930</v>
      </c>
      <c r="E1600" s="95"/>
      <c r="F1600" s="63">
        <f>SUM(D1600:E1600)</f>
        <v>3163930</v>
      </c>
      <c r="G1600" s="87">
        <f>SUM(G1601:G1605)</f>
        <v>4062870</v>
      </c>
      <c r="H1600" s="261"/>
      <c r="I1600" s="38">
        <f>SUM(G1600:H1600)</f>
        <v>4062870</v>
      </c>
      <c r="J1600" s="63">
        <f>SUM(J1601:J1605)</f>
        <v>3806510</v>
      </c>
      <c r="K1600" s="95"/>
      <c r="L1600" s="63">
        <f>SUM(J1600:K1600)</f>
        <v>3806510</v>
      </c>
      <c r="M1600" s="218">
        <f t="shared" si="729"/>
        <v>120.30955172838841</v>
      </c>
      <c r="N1600" s="218">
        <f t="shared" si="730"/>
        <v>120.30955172838841</v>
      </c>
      <c r="O1600" s="218">
        <f t="shared" si="731"/>
        <v>93.690174679475348</v>
      </c>
      <c r="P1600" s="218">
        <f t="shared" si="752"/>
        <v>93.690174679475348</v>
      </c>
    </row>
    <row r="1601" spans="1:16" s="3" customFormat="1" ht="12.75" customHeight="1">
      <c r="A1601" s="36" t="s">
        <v>180</v>
      </c>
      <c r="B1601" s="33" t="s">
        <v>419</v>
      </c>
      <c r="C1601" s="211" t="s">
        <v>1753</v>
      </c>
      <c r="D1601" s="87">
        <v>2837330</v>
      </c>
      <c r="E1601" s="87"/>
      <c r="F1601" s="63">
        <f>SUM(D1601:E1601)</f>
        <v>2837330</v>
      </c>
      <c r="G1601" s="87">
        <v>2945330</v>
      </c>
      <c r="H1601" s="87"/>
      <c r="I1601" s="38">
        <f>SUM(G1601:H1601)</f>
        <v>2945330</v>
      </c>
      <c r="J1601" s="63">
        <v>3055510</v>
      </c>
      <c r="K1601" s="87"/>
      <c r="L1601" s="63">
        <f>SUM(J1601:K1601)</f>
        <v>3055510</v>
      </c>
      <c r="M1601" s="218">
        <f t="shared" si="729"/>
        <v>107.68962369551656</v>
      </c>
      <c r="N1601" s="218">
        <f t="shared" si="730"/>
        <v>107.68962369551656</v>
      </c>
      <c r="O1601" s="218">
        <f t="shared" si="731"/>
        <v>103.74083718972066</v>
      </c>
      <c r="P1601" s="218">
        <f t="shared" si="752"/>
        <v>103.74083718972066</v>
      </c>
    </row>
    <row r="1602" spans="1:16" s="3" customFormat="1" ht="12.75" customHeight="1">
      <c r="A1602" s="36" t="s">
        <v>46</v>
      </c>
      <c r="B1602" s="33" t="s">
        <v>41</v>
      </c>
      <c r="C1602" s="211" t="s">
        <v>1754</v>
      </c>
      <c r="D1602" s="38">
        <v>321600</v>
      </c>
      <c r="E1602" s="77"/>
      <c r="F1602" s="63">
        <f>SUM(D1602,E1602)</f>
        <v>321600</v>
      </c>
      <c r="G1602" s="38">
        <v>321600</v>
      </c>
      <c r="H1602" s="109"/>
      <c r="I1602" s="38">
        <f>SUM(G1602,H1602)</f>
        <v>321600</v>
      </c>
      <c r="J1602" s="63">
        <v>345000</v>
      </c>
      <c r="K1602" s="77"/>
      <c r="L1602" s="63">
        <f>SUM(J1602,K1602)</f>
        <v>345000</v>
      </c>
      <c r="M1602" s="218">
        <f t="shared" si="729"/>
        <v>107.27611940298507</v>
      </c>
      <c r="N1602" s="218">
        <f t="shared" si="730"/>
        <v>107.27611940298507</v>
      </c>
      <c r="O1602" s="218">
        <f t="shared" si="731"/>
        <v>107.27611940298507</v>
      </c>
      <c r="P1602" s="218">
        <f t="shared" si="752"/>
        <v>107.27611940298507</v>
      </c>
    </row>
    <row r="1603" spans="1:16" s="3" customFormat="1" ht="12.75" customHeight="1">
      <c r="A1603" s="46" t="s">
        <v>375</v>
      </c>
      <c r="B1603" s="33" t="s">
        <v>150</v>
      </c>
      <c r="C1603" s="211" t="s">
        <v>1755</v>
      </c>
      <c r="D1603" s="63">
        <v>5000</v>
      </c>
      <c r="E1603" s="63"/>
      <c r="F1603" s="63">
        <f>SUM(D1603:E1603)</f>
        <v>5000</v>
      </c>
      <c r="G1603" s="38">
        <v>5000</v>
      </c>
      <c r="H1603" s="38"/>
      <c r="I1603" s="38">
        <f>SUM(G1603:H1603)</f>
        <v>5000</v>
      </c>
      <c r="J1603" s="63">
        <v>6000</v>
      </c>
      <c r="K1603" s="63"/>
      <c r="L1603" s="63">
        <f>SUM(J1603:K1603)</f>
        <v>6000</v>
      </c>
      <c r="M1603" s="218">
        <f t="shared" si="729"/>
        <v>120</v>
      </c>
      <c r="N1603" s="218">
        <f t="shared" si="730"/>
        <v>120</v>
      </c>
      <c r="O1603" s="218">
        <f t="shared" si="731"/>
        <v>120</v>
      </c>
      <c r="P1603" s="218">
        <f>IF(I1603&gt;0,IF(L1603&gt;=0,L1603/I1603*100,""),"")</f>
        <v>120</v>
      </c>
    </row>
    <row r="1604" spans="1:16" s="3" customFormat="1" ht="12.75" customHeight="1">
      <c r="A1604" s="36" t="s">
        <v>2347</v>
      </c>
      <c r="B1604" s="33" t="s">
        <v>2346</v>
      </c>
      <c r="C1604" s="211" t="s">
        <v>2314</v>
      </c>
      <c r="D1604" s="38"/>
      <c r="E1604" s="77"/>
      <c r="F1604" s="63"/>
      <c r="G1604" s="38">
        <v>790940</v>
      </c>
      <c r="H1604" s="109"/>
      <c r="I1604" s="38">
        <f>SUM(G1604,H1604)</f>
        <v>790940</v>
      </c>
      <c r="J1604" s="63">
        <v>400000</v>
      </c>
      <c r="K1604" s="77"/>
      <c r="L1604" s="63">
        <f>SUM(J1604:K1604)</f>
        <v>400000</v>
      </c>
      <c r="M1604" s="218" t="str">
        <f t="shared" si="729"/>
        <v/>
      </c>
      <c r="N1604" s="218" t="str">
        <f t="shared" si="730"/>
        <v/>
      </c>
      <c r="O1604" s="218">
        <f t="shared" si="731"/>
        <v>50.572736237894155</v>
      </c>
      <c r="P1604" s="218">
        <f>IF(I1604&gt;0,IF(L1604&gt;=0,L1604/I1604*100,""),"")</f>
        <v>50.572736237894155</v>
      </c>
    </row>
    <row r="1605" spans="1:16" s="3" customFormat="1" hidden="1">
      <c r="A1605" s="36" t="s">
        <v>368</v>
      </c>
      <c r="B1605" s="33" t="s">
        <v>418</v>
      </c>
      <c r="C1605" s="211" t="s">
        <v>1756</v>
      </c>
      <c r="D1605" s="38"/>
      <c r="E1605" s="77"/>
      <c r="F1605" s="63">
        <f>SUM(D1605,E1605)</f>
        <v>0</v>
      </c>
      <c r="G1605" s="38"/>
      <c r="H1605" s="109"/>
      <c r="I1605" s="38">
        <f>SUM(G1605,H1605)</f>
        <v>0</v>
      </c>
      <c r="J1605" s="38"/>
      <c r="K1605" s="77"/>
      <c r="L1605" s="63">
        <f>SUM(J1605,K1605)</f>
        <v>0</v>
      </c>
      <c r="M1605" s="218" t="str">
        <f t="shared" si="729"/>
        <v/>
      </c>
      <c r="N1605" s="218" t="str">
        <f t="shared" si="730"/>
        <v/>
      </c>
      <c r="O1605" s="218" t="str">
        <f t="shared" si="731"/>
        <v/>
      </c>
      <c r="P1605" s="218" t="str">
        <f t="shared" ref="P1605:P1612" si="753">IF(I1605&gt;0,IF(L1605&gt;=0,L1605/I1605*100,""),"")</f>
        <v/>
      </c>
    </row>
    <row r="1606" spans="1:16" s="3" customFormat="1" ht="6" customHeight="1">
      <c r="A1606" s="46"/>
      <c r="B1606" s="33"/>
      <c r="C1606" s="211" t="s">
        <v>268</v>
      </c>
      <c r="D1606" s="63"/>
      <c r="E1606" s="63"/>
      <c r="F1606" s="63">
        <f t="shared" ref="F1606:F1609" si="754">SUM(D1606:E1606)</f>
        <v>0</v>
      </c>
      <c r="G1606" s="38"/>
      <c r="H1606" s="38"/>
      <c r="I1606" s="38">
        <f>SUM(G1606:H1606)</f>
        <v>0</v>
      </c>
      <c r="J1606" s="63"/>
      <c r="K1606" s="63"/>
      <c r="L1606" s="63">
        <f t="shared" ref="L1606:L1609" si="755">SUM(J1606:K1606)</f>
        <v>0</v>
      </c>
      <c r="M1606" s="218" t="str">
        <f t="shared" si="729"/>
        <v/>
      </c>
      <c r="N1606" s="218" t="str">
        <f t="shared" si="730"/>
        <v/>
      </c>
      <c r="O1606" s="218" t="str">
        <f t="shared" si="731"/>
        <v/>
      </c>
      <c r="P1606" s="218" t="str">
        <f t="shared" si="753"/>
        <v/>
      </c>
    </row>
    <row r="1607" spans="1:16" s="3" customFormat="1" ht="12.75">
      <c r="A1607" s="58" t="s">
        <v>424</v>
      </c>
      <c r="B1607" s="65" t="s">
        <v>265</v>
      </c>
      <c r="C1607" s="308" t="s">
        <v>940</v>
      </c>
      <c r="D1607" s="42">
        <f>SUM(D1609:D1616)</f>
        <v>4693060</v>
      </c>
      <c r="E1607" s="42">
        <f>SUM(E1609:E1616)</f>
        <v>0</v>
      </c>
      <c r="F1607" s="42">
        <f t="shared" si="754"/>
        <v>4693060</v>
      </c>
      <c r="G1607" s="55">
        <f>SUM(G1609:G1616)</f>
        <v>6088280</v>
      </c>
      <c r="H1607" s="55">
        <f>SUM(H1609:H1616)</f>
        <v>0</v>
      </c>
      <c r="I1607" s="55">
        <f>SUM(G1607:H1607)</f>
        <v>6088280</v>
      </c>
      <c r="J1607" s="42">
        <f>SUM(J1609:J1616)</f>
        <v>5400910</v>
      </c>
      <c r="K1607" s="42">
        <f>SUM(K1609:K1616)</f>
        <v>0</v>
      </c>
      <c r="L1607" s="42">
        <f t="shared" si="755"/>
        <v>5400910</v>
      </c>
      <c r="M1607" s="225">
        <f t="shared" si="729"/>
        <v>115.0829096580909</v>
      </c>
      <c r="N1607" s="225">
        <f t="shared" si="730"/>
        <v>115.0829096580909</v>
      </c>
      <c r="O1607" s="225">
        <f t="shared" si="731"/>
        <v>88.709947637099475</v>
      </c>
      <c r="P1607" s="225">
        <f t="shared" si="753"/>
        <v>88.709947637099475</v>
      </c>
    </row>
    <row r="1608" spans="1:16" s="3" customFormat="1" hidden="1">
      <c r="A1608" s="46" t="s">
        <v>267</v>
      </c>
      <c r="B1608" s="184"/>
      <c r="C1608" s="320" t="s">
        <v>268</v>
      </c>
      <c r="D1608" s="38">
        <f>SUM(D1609:D1616)</f>
        <v>4693060</v>
      </c>
      <c r="E1608" s="77"/>
      <c r="F1608" s="63">
        <f t="shared" si="754"/>
        <v>4693060</v>
      </c>
      <c r="G1608" s="38">
        <f>SUM(G1609:G1616)</f>
        <v>6088280</v>
      </c>
      <c r="H1608" s="109"/>
      <c r="I1608" s="38">
        <f>SUM(G1608:H1608)</f>
        <v>6088280</v>
      </c>
      <c r="J1608" s="63">
        <f>SUM(J1609:J1616)</f>
        <v>5400910</v>
      </c>
      <c r="K1608" s="77"/>
      <c r="L1608" s="63">
        <f t="shared" si="755"/>
        <v>5400910</v>
      </c>
      <c r="M1608" s="218">
        <f t="shared" si="729"/>
        <v>115.0829096580909</v>
      </c>
      <c r="N1608" s="218">
        <f t="shared" si="730"/>
        <v>115.0829096580909</v>
      </c>
      <c r="O1608" s="218">
        <f t="shared" si="731"/>
        <v>88.709947637099475</v>
      </c>
      <c r="P1608" s="218">
        <f t="shared" si="753"/>
        <v>88.709947637099475</v>
      </c>
    </row>
    <row r="1609" spans="1:16" s="3" customFormat="1" ht="12.75" customHeight="1">
      <c r="A1609" s="36" t="s">
        <v>180</v>
      </c>
      <c r="B1609" s="33" t="s">
        <v>419</v>
      </c>
      <c r="C1609" s="211" t="s">
        <v>1757</v>
      </c>
      <c r="D1609" s="38">
        <v>3377860</v>
      </c>
      <c r="E1609" s="38"/>
      <c r="F1609" s="63">
        <f t="shared" si="754"/>
        <v>3377860</v>
      </c>
      <c r="G1609" s="38">
        <v>3490240</v>
      </c>
      <c r="H1609" s="38"/>
      <c r="I1609" s="38">
        <f>SUM(G1609:H1609)</f>
        <v>3490240</v>
      </c>
      <c r="J1609" s="63">
        <v>3643570</v>
      </c>
      <c r="K1609" s="38"/>
      <c r="L1609" s="63">
        <f t="shared" si="755"/>
        <v>3643570</v>
      </c>
      <c r="M1609" s="218">
        <f t="shared" si="729"/>
        <v>107.86622299325607</v>
      </c>
      <c r="N1609" s="218">
        <f t="shared" si="730"/>
        <v>107.86622299325607</v>
      </c>
      <c r="O1609" s="218">
        <f t="shared" si="731"/>
        <v>104.39310763729715</v>
      </c>
      <c r="P1609" s="218">
        <f t="shared" si="753"/>
        <v>104.39310763729715</v>
      </c>
    </row>
    <row r="1610" spans="1:16" s="3" customFormat="1" ht="12.75" customHeight="1">
      <c r="A1610" s="46" t="s">
        <v>651</v>
      </c>
      <c r="B1610" s="33" t="s">
        <v>650</v>
      </c>
      <c r="C1610" s="211" t="s">
        <v>1758</v>
      </c>
      <c r="D1610" s="63">
        <v>14000</v>
      </c>
      <c r="E1610" s="38"/>
      <c r="F1610" s="63">
        <f>SUM(D1610:E1610)</f>
        <v>14000</v>
      </c>
      <c r="G1610" s="38">
        <v>16000</v>
      </c>
      <c r="H1610" s="38"/>
      <c r="I1610" s="38">
        <f>SUM(G1610:H1610)</f>
        <v>16000</v>
      </c>
      <c r="J1610" s="63">
        <v>25500</v>
      </c>
      <c r="K1610" s="38"/>
      <c r="L1610" s="63">
        <f>SUM(J1610:K1610)</f>
        <v>25500</v>
      </c>
      <c r="M1610" s="218">
        <f t="shared" si="729"/>
        <v>182.14285714285714</v>
      </c>
      <c r="N1610" s="218">
        <f t="shared" si="730"/>
        <v>182.14285714285714</v>
      </c>
      <c r="O1610" s="218">
        <f t="shared" si="731"/>
        <v>159.375</v>
      </c>
      <c r="P1610" s="218">
        <f t="shared" si="753"/>
        <v>159.375</v>
      </c>
    </row>
    <row r="1611" spans="1:16" s="3" customFormat="1" ht="12.75" customHeight="1">
      <c r="A1611" s="36" t="s">
        <v>46</v>
      </c>
      <c r="B1611" s="33" t="s">
        <v>41</v>
      </c>
      <c r="C1611" s="211" t="s">
        <v>1759</v>
      </c>
      <c r="D1611" s="38">
        <v>321600</v>
      </c>
      <c r="E1611" s="77"/>
      <c r="F1611" s="63">
        <f>SUM(D1611,E1611)</f>
        <v>321600</v>
      </c>
      <c r="G1611" s="38">
        <v>321600</v>
      </c>
      <c r="H1611" s="109"/>
      <c r="I1611" s="38">
        <f>SUM(G1611,H1611)</f>
        <v>321600</v>
      </c>
      <c r="J1611" s="63">
        <v>345000</v>
      </c>
      <c r="K1611" s="77"/>
      <c r="L1611" s="63">
        <f>SUM(J1611,K1611)</f>
        <v>345000</v>
      </c>
      <c r="M1611" s="218">
        <f t="shared" si="729"/>
        <v>107.27611940298507</v>
      </c>
      <c r="N1611" s="218">
        <f t="shared" si="730"/>
        <v>107.27611940298507</v>
      </c>
      <c r="O1611" s="218">
        <f t="shared" si="731"/>
        <v>107.27611940298507</v>
      </c>
      <c r="P1611" s="218">
        <f t="shared" si="753"/>
        <v>107.27611940298507</v>
      </c>
    </row>
    <row r="1612" spans="1:16" s="3" customFormat="1" ht="24">
      <c r="A1612" s="36" t="s">
        <v>889</v>
      </c>
      <c r="B1612" s="33" t="s">
        <v>888</v>
      </c>
      <c r="C1612" s="211" t="s">
        <v>1760</v>
      </c>
      <c r="D1612" s="38">
        <v>723600</v>
      </c>
      <c r="E1612" s="77"/>
      <c r="F1612" s="63">
        <f>SUM(D1612,E1612)</f>
        <v>723600</v>
      </c>
      <c r="G1612" s="38">
        <v>1098100</v>
      </c>
      <c r="H1612" s="109"/>
      <c r="I1612" s="38">
        <f>SUM(G1612,H1612)</f>
        <v>1098100</v>
      </c>
      <c r="J1612" s="63">
        <v>630000</v>
      </c>
      <c r="K1612" s="77"/>
      <c r="L1612" s="63">
        <f>SUM(J1612,K1612)</f>
        <v>630000</v>
      </c>
      <c r="M1612" s="218">
        <f t="shared" si="729"/>
        <v>87.06467661691542</v>
      </c>
      <c r="N1612" s="218">
        <f t="shared" si="730"/>
        <v>87.06467661691542</v>
      </c>
      <c r="O1612" s="218">
        <f t="shared" si="731"/>
        <v>57.371824059739552</v>
      </c>
      <c r="P1612" s="218">
        <f t="shared" si="753"/>
        <v>57.371824059739552</v>
      </c>
    </row>
    <row r="1613" spans="1:16" s="3" customFormat="1" ht="12.75" customHeight="1">
      <c r="A1613" s="36" t="s">
        <v>2347</v>
      </c>
      <c r="B1613" s="33" t="s">
        <v>2346</v>
      </c>
      <c r="C1613" s="211" t="s">
        <v>2313</v>
      </c>
      <c r="D1613" s="38"/>
      <c r="E1613" s="77"/>
      <c r="F1613" s="63"/>
      <c r="G1613" s="38">
        <v>790940</v>
      </c>
      <c r="H1613" s="109"/>
      <c r="I1613" s="38">
        <f>SUM(G1613,H1613)</f>
        <v>790940</v>
      </c>
      <c r="J1613" s="63">
        <v>400000</v>
      </c>
      <c r="K1613" s="77"/>
      <c r="L1613" s="63">
        <f>SUM(J1613:K1613)</f>
        <v>400000</v>
      </c>
      <c r="M1613" s="218" t="str">
        <f t="shared" si="729"/>
        <v/>
      </c>
      <c r="N1613" s="218" t="str">
        <f t="shared" si="730"/>
        <v/>
      </c>
      <c r="O1613" s="218">
        <f t="shared" si="731"/>
        <v>50.572736237894155</v>
      </c>
      <c r="P1613" s="218">
        <f t="shared" ref="P1613:P1615" si="756">IF(I1613&gt;0,IF(L1613&gt;=0,L1613/I1613*100,""),"")</f>
        <v>50.572736237894155</v>
      </c>
    </row>
    <row r="1614" spans="1:16" s="3" customFormat="1" ht="12.75" customHeight="1">
      <c r="A1614" s="36" t="s">
        <v>2472</v>
      </c>
      <c r="B1614" s="33" t="s">
        <v>2452</v>
      </c>
      <c r="C1614" s="211"/>
      <c r="D1614" s="38"/>
      <c r="E1614" s="77"/>
      <c r="F1614" s="63"/>
      <c r="G1614" s="38"/>
      <c r="H1614" s="109"/>
      <c r="I1614" s="38"/>
      <c r="J1614" s="63">
        <v>349840</v>
      </c>
      <c r="K1614" s="77"/>
      <c r="L1614" s="63">
        <f>SUM(J1614:K1614)</f>
        <v>349840</v>
      </c>
      <c r="M1614" s="218" t="str">
        <f t="shared" si="729"/>
        <v/>
      </c>
      <c r="N1614" s="218" t="str">
        <f t="shared" si="730"/>
        <v/>
      </c>
      <c r="O1614" s="218" t="str">
        <f t="shared" si="731"/>
        <v/>
      </c>
      <c r="P1614" s="218" t="str">
        <f t="shared" si="756"/>
        <v/>
      </c>
    </row>
    <row r="1615" spans="1:16" s="3" customFormat="1" ht="12.75" customHeight="1">
      <c r="A1615" s="46" t="s">
        <v>375</v>
      </c>
      <c r="B1615" s="33" t="s">
        <v>150</v>
      </c>
      <c r="C1615" s="211" t="s">
        <v>1761</v>
      </c>
      <c r="D1615" s="63">
        <v>256000</v>
      </c>
      <c r="E1615" s="63"/>
      <c r="F1615" s="63">
        <f>SUM(D1615:E1615)</f>
        <v>256000</v>
      </c>
      <c r="G1615" s="38">
        <v>371400</v>
      </c>
      <c r="H1615" s="38"/>
      <c r="I1615" s="38">
        <f>SUM(G1615:H1615)</f>
        <v>371400</v>
      </c>
      <c r="J1615" s="63">
        <v>7000</v>
      </c>
      <c r="K1615" s="63"/>
      <c r="L1615" s="63">
        <f>SUM(J1615:K1615)</f>
        <v>7000</v>
      </c>
      <c r="M1615" s="218">
        <f t="shared" ref="M1615:M1678" si="757">IF(D1615&gt;0,IF(J1615&gt;=0,J1615/D1615*100,""),"")</f>
        <v>2.734375</v>
      </c>
      <c r="N1615" s="218">
        <f t="shared" ref="N1615:N1678" si="758">IF(F1615&gt;0,IF(L1615&gt;=0,L1615/F1615*100,""),"")</f>
        <v>2.734375</v>
      </c>
      <c r="O1615" s="218">
        <f t="shared" ref="O1615:O1678" si="759">IF(G1615&gt;0,IF(J1615&gt;=0,J1615/G1615*100,""),"")</f>
        <v>1.884760366182014</v>
      </c>
      <c r="P1615" s="218">
        <f t="shared" si="756"/>
        <v>1.884760366182014</v>
      </c>
    </row>
    <row r="1616" spans="1:16" s="3" customFormat="1" hidden="1">
      <c r="A1616" s="36" t="s">
        <v>368</v>
      </c>
      <c r="B1616" s="33" t="s">
        <v>418</v>
      </c>
      <c r="C1616" s="211" t="s">
        <v>1762</v>
      </c>
      <c r="D1616" s="38"/>
      <c r="E1616" s="77"/>
      <c r="F1616" s="63">
        <f>SUM(D1616,E1616)</f>
        <v>0</v>
      </c>
      <c r="G1616" s="38"/>
      <c r="H1616" s="109"/>
      <c r="I1616" s="38">
        <f>SUM(G1616,H1616)</f>
        <v>0</v>
      </c>
      <c r="J1616" s="38"/>
      <c r="K1616" s="77"/>
      <c r="L1616" s="63">
        <f>SUM(J1616,K1616)</f>
        <v>0</v>
      </c>
      <c r="M1616" s="218" t="str">
        <f t="shared" si="757"/>
        <v/>
      </c>
      <c r="N1616" s="218" t="str">
        <f t="shared" si="758"/>
        <v/>
      </c>
      <c r="O1616" s="218" t="str">
        <f t="shared" si="759"/>
        <v/>
      </c>
      <c r="P1616" s="218" t="str">
        <f t="shared" ref="P1616:P1622" si="760">IF(I1616&gt;0,IF(L1616&gt;=0,L1616/I1616*100,""),"")</f>
        <v/>
      </c>
    </row>
    <row r="1617" spans="1:16" s="3" customFormat="1" ht="6" customHeight="1">
      <c r="A1617" s="46"/>
      <c r="B1617" s="33"/>
      <c r="C1617" s="211" t="s">
        <v>268</v>
      </c>
      <c r="D1617" s="48"/>
      <c r="E1617" s="48"/>
      <c r="F1617" s="48">
        <f t="shared" ref="F1617:F1621" si="761">SUM(D1617:E1617)</f>
        <v>0</v>
      </c>
      <c r="G1617" s="85"/>
      <c r="H1617" s="85"/>
      <c r="I1617" s="85">
        <f>SUM(G1617:H1617)</f>
        <v>0</v>
      </c>
      <c r="J1617" s="48"/>
      <c r="K1617" s="48"/>
      <c r="L1617" s="48">
        <f t="shared" ref="L1617:L1621" si="762">SUM(J1617:K1617)</f>
        <v>0</v>
      </c>
      <c r="M1617" s="219" t="str">
        <f t="shared" si="757"/>
        <v/>
      </c>
      <c r="N1617" s="219" t="str">
        <f t="shared" si="758"/>
        <v/>
      </c>
      <c r="O1617" s="219" t="str">
        <f t="shared" si="759"/>
        <v/>
      </c>
      <c r="P1617" s="219" t="str">
        <f t="shared" si="760"/>
        <v/>
      </c>
    </row>
    <row r="1618" spans="1:16" s="3" customFormat="1" ht="12.75">
      <c r="A1618" s="58" t="s">
        <v>425</v>
      </c>
      <c r="B1618" s="65" t="s">
        <v>265</v>
      </c>
      <c r="C1618" s="308" t="s">
        <v>940</v>
      </c>
      <c r="D1618" s="90">
        <f>SUM(D1620:D1625)</f>
        <v>4410040</v>
      </c>
      <c r="E1618" s="90">
        <f>SUM(E1620:E1625)</f>
        <v>0</v>
      </c>
      <c r="F1618" s="90">
        <f t="shared" si="761"/>
        <v>4410040</v>
      </c>
      <c r="G1618" s="60">
        <f>SUM(G1620:G1625)</f>
        <v>5358040</v>
      </c>
      <c r="H1618" s="60">
        <f>SUM(H1620:H1625)</f>
        <v>0</v>
      </c>
      <c r="I1618" s="60">
        <f>SUM(G1618:H1618)</f>
        <v>5358040</v>
      </c>
      <c r="J1618" s="90">
        <f>SUM(J1620:J1625)</f>
        <v>5064420</v>
      </c>
      <c r="K1618" s="90">
        <f>SUM(K1620:K1625)</f>
        <v>0</v>
      </c>
      <c r="L1618" s="90">
        <f t="shared" si="762"/>
        <v>5064420</v>
      </c>
      <c r="M1618" s="227">
        <f t="shared" si="757"/>
        <v>114.83841416404385</v>
      </c>
      <c r="N1618" s="227">
        <f t="shared" si="758"/>
        <v>114.83841416404385</v>
      </c>
      <c r="O1618" s="227">
        <f t="shared" si="759"/>
        <v>94.520011048816357</v>
      </c>
      <c r="P1618" s="227">
        <f t="shared" si="760"/>
        <v>94.520011048816357</v>
      </c>
    </row>
    <row r="1619" spans="1:16" s="3" customFormat="1" hidden="1">
      <c r="A1619" s="46" t="s">
        <v>267</v>
      </c>
      <c r="B1619" s="184"/>
      <c r="C1619" s="320" t="s">
        <v>268</v>
      </c>
      <c r="D1619" s="38">
        <f>SUM(D1620:D1625)</f>
        <v>4410040</v>
      </c>
      <c r="E1619" s="77"/>
      <c r="F1619" s="63">
        <f t="shared" si="761"/>
        <v>4410040</v>
      </c>
      <c r="G1619" s="38">
        <f>SUM(G1620:G1625)</f>
        <v>5358040</v>
      </c>
      <c r="H1619" s="109"/>
      <c r="I1619" s="38">
        <f>SUM(G1619:H1619)</f>
        <v>5358040</v>
      </c>
      <c r="J1619" s="63">
        <f>SUM(J1620:J1625)</f>
        <v>5064420</v>
      </c>
      <c r="K1619" s="77"/>
      <c r="L1619" s="63">
        <f t="shared" si="762"/>
        <v>5064420</v>
      </c>
      <c r="M1619" s="218">
        <f t="shared" si="757"/>
        <v>114.83841416404385</v>
      </c>
      <c r="N1619" s="218">
        <f t="shared" si="758"/>
        <v>114.83841416404385</v>
      </c>
      <c r="O1619" s="218">
        <f t="shared" si="759"/>
        <v>94.520011048816357</v>
      </c>
      <c r="P1619" s="218">
        <f t="shared" si="760"/>
        <v>94.520011048816357</v>
      </c>
    </row>
    <row r="1620" spans="1:16" s="3" customFormat="1" ht="12.75" customHeight="1">
      <c r="A1620" s="36" t="s">
        <v>180</v>
      </c>
      <c r="B1620" s="33" t="s">
        <v>419</v>
      </c>
      <c r="C1620" s="211" t="s">
        <v>1763</v>
      </c>
      <c r="D1620" s="38">
        <v>4063440</v>
      </c>
      <c r="E1620" s="38"/>
      <c r="F1620" s="63">
        <f t="shared" si="761"/>
        <v>4063440</v>
      </c>
      <c r="G1620" s="38">
        <v>4220500</v>
      </c>
      <c r="H1620" s="38"/>
      <c r="I1620" s="38">
        <f>SUM(G1620:H1620)</f>
        <v>4220500</v>
      </c>
      <c r="J1620" s="63">
        <v>4291420</v>
      </c>
      <c r="K1620" s="38"/>
      <c r="L1620" s="63">
        <f t="shared" si="762"/>
        <v>4291420</v>
      </c>
      <c r="M1620" s="218">
        <f t="shared" si="757"/>
        <v>105.61051719725158</v>
      </c>
      <c r="N1620" s="218">
        <f t="shared" si="758"/>
        <v>105.61051719725158</v>
      </c>
      <c r="O1620" s="218">
        <f t="shared" si="759"/>
        <v>101.68036962445208</v>
      </c>
      <c r="P1620" s="218">
        <f t="shared" si="760"/>
        <v>101.68036962445208</v>
      </c>
    </row>
    <row r="1621" spans="1:16" s="3" customFormat="1" ht="12.75" customHeight="1">
      <c r="A1621" s="46" t="s">
        <v>651</v>
      </c>
      <c r="B1621" s="33" t="s">
        <v>650</v>
      </c>
      <c r="C1621" s="211" t="s">
        <v>1764</v>
      </c>
      <c r="D1621" s="63">
        <v>19000</v>
      </c>
      <c r="E1621" s="63"/>
      <c r="F1621" s="63">
        <f t="shared" si="761"/>
        <v>19000</v>
      </c>
      <c r="G1621" s="38">
        <v>19000</v>
      </c>
      <c r="H1621" s="38"/>
      <c r="I1621" s="38">
        <f>SUM(G1621:H1621)</f>
        <v>19000</v>
      </c>
      <c r="J1621" s="63">
        <v>21000</v>
      </c>
      <c r="K1621" s="63"/>
      <c r="L1621" s="63">
        <f t="shared" si="762"/>
        <v>21000</v>
      </c>
      <c r="M1621" s="218">
        <f t="shared" si="757"/>
        <v>110.5263157894737</v>
      </c>
      <c r="N1621" s="218">
        <f t="shared" si="758"/>
        <v>110.5263157894737</v>
      </c>
      <c r="O1621" s="218">
        <f t="shared" si="759"/>
        <v>110.5263157894737</v>
      </c>
      <c r="P1621" s="218">
        <f t="shared" si="760"/>
        <v>110.5263157894737</v>
      </c>
    </row>
    <row r="1622" spans="1:16" s="3" customFormat="1" ht="12.75" customHeight="1">
      <c r="A1622" s="36" t="s">
        <v>46</v>
      </c>
      <c r="B1622" s="33" t="s">
        <v>41</v>
      </c>
      <c r="C1622" s="211" t="s">
        <v>1765</v>
      </c>
      <c r="D1622" s="38">
        <v>321600</v>
      </c>
      <c r="E1622" s="77"/>
      <c r="F1622" s="63">
        <f>SUM(D1622,E1622)</f>
        <v>321600</v>
      </c>
      <c r="G1622" s="38">
        <v>321600</v>
      </c>
      <c r="H1622" s="109"/>
      <c r="I1622" s="38">
        <f>SUM(G1622,H1622)</f>
        <v>321600</v>
      </c>
      <c r="J1622" s="63">
        <v>345000</v>
      </c>
      <c r="K1622" s="77"/>
      <c r="L1622" s="63">
        <f>SUM(J1622,K1622)</f>
        <v>345000</v>
      </c>
      <c r="M1622" s="218">
        <f t="shared" si="757"/>
        <v>107.27611940298507</v>
      </c>
      <c r="N1622" s="218">
        <f t="shared" si="758"/>
        <v>107.27611940298507</v>
      </c>
      <c r="O1622" s="218">
        <f t="shared" si="759"/>
        <v>107.27611940298507</v>
      </c>
      <c r="P1622" s="218">
        <f t="shared" si="760"/>
        <v>107.27611940298507</v>
      </c>
    </row>
    <row r="1623" spans="1:16" s="3" customFormat="1" ht="12.75" customHeight="1">
      <c r="A1623" s="36" t="s">
        <v>375</v>
      </c>
      <c r="B1623" s="33" t="s">
        <v>150</v>
      </c>
      <c r="C1623" s="211" t="s">
        <v>1766</v>
      </c>
      <c r="D1623" s="38">
        <v>6000</v>
      </c>
      <c r="E1623" s="38"/>
      <c r="F1623" s="63">
        <f>SUM(D1623:E1623)</f>
        <v>6000</v>
      </c>
      <c r="G1623" s="38">
        <v>6000</v>
      </c>
      <c r="H1623" s="38"/>
      <c r="I1623" s="38">
        <f>SUM(G1623:H1623)</f>
        <v>6000</v>
      </c>
      <c r="J1623" s="63">
        <v>7000</v>
      </c>
      <c r="K1623" s="38"/>
      <c r="L1623" s="63">
        <f>SUM(J1623:K1623)</f>
        <v>7000</v>
      </c>
      <c r="M1623" s="218">
        <f t="shared" si="757"/>
        <v>116.66666666666667</v>
      </c>
      <c r="N1623" s="218">
        <f t="shared" si="758"/>
        <v>116.66666666666667</v>
      </c>
      <c r="O1623" s="218">
        <f t="shared" si="759"/>
        <v>116.66666666666667</v>
      </c>
      <c r="P1623" s="218">
        <f>IF(I1623&gt;0,IF(L1623&gt;=0,L1623/I1623*100,""),"")</f>
        <v>116.66666666666667</v>
      </c>
    </row>
    <row r="1624" spans="1:16" s="3" customFormat="1" ht="12.75" customHeight="1">
      <c r="A1624" s="36" t="s">
        <v>2347</v>
      </c>
      <c r="B1624" s="33" t="s">
        <v>2346</v>
      </c>
      <c r="C1624" s="211" t="s">
        <v>2312</v>
      </c>
      <c r="D1624" s="38"/>
      <c r="E1624" s="77"/>
      <c r="F1624" s="63"/>
      <c r="G1624" s="38">
        <v>790940</v>
      </c>
      <c r="H1624" s="109"/>
      <c r="I1624" s="38">
        <f>SUM(G1624,H1624)</f>
        <v>790940</v>
      </c>
      <c r="J1624" s="63">
        <v>400000</v>
      </c>
      <c r="K1624" s="77"/>
      <c r="L1624" s="63">
        <f>SUM(J1624:K1624)</f>
        <v>400000</v>
      </c>
      <c r="M1624" s="218" t="str">
        <f t="shared" si="757"/>
        <v/>
      </c>
      <c r="N1624" s="218" t="str">
        <f t="shared" si="758"/>
        <v/>
      </c>
      <c r="O1624" s="218">
        <f t="shared" si="759"/>
        <v>50.572736237894155</v>
      </c>
      <c r="P1624" s="218">
        <f>IF(I1624&gt;0,IF(L1624&gt;=0,L1624/I1624*100,""),"")</f>
        <v>50.572736237894155</v>
      </c>
    </row>
    <row r="1625" spans="1:16" s="3" customFormat="1" hidden="1">
      <c r="A1625" s="36" t="s">
        <v>368</v>
      </c>
      <c r="B1625" s="33" t="s">
        <v>418</v>
      </c>
      <c r="C1625" s="211" t="s">
        <v>1767</v>
      </c>
      <c r="D1625" s="38"/>
      <c r="E1625" s="77"/>
      <c r="F1625" s="63">
        <f>SUM(D1625,E1625)</f>
        <v>0</v>
      </c>
      <c r="G1625" s="38"/>
      <c r="H1625" s="109"/>
      <c r="I1625" s="38">
        <f>SUM(G1625,H1625)</f>
        <v>0</v>
      </c>
      <c r="J1625" s="63"/>
      <c r="K1625" s="77"/>
      <c r="L1625" s="63">
        <f>SUM(J1625,K1625)</f>
        <v>0</v>
      </c>
      <c r="M1625" s="218" t="str">
        <f t="shared" si="757"/>
        <v/>
      </c>
      <c r="N1625" s="218" t="str">
        <f t="shared" si="758"/>
        <v/>
      </c>
      <c r="O1625" s="218" t="str">
        <f t="shared" si="759"/>
        <v/>
      </c>
      <c r="P1625" s="218" t="str">
        <f t="shared" ref="P1625:P1633" si="763">IF(I1625&gt;0,IF(L1625&gt;=0,L1625/I1625*100,""),"")</f>
        <v/>
      </c>
    </row>
    <row r="1626" spans="1:16" s="3" customFormat="1" ht="6" customHeight="1">
      <c r="A1626" s="46"/>
      <c r="B1626" s="33"/>
      <c r="C1626" s="211" t="s">
        <v>268</v>
      </c>
      <c r="D1626" s="63"/>
      <c r="E1626" s="63"/>
      <c r="F1626" s="63">
        <f t="shared" ref="F1626:F1629" si="764">SUM(D1626:E1626)</f>
        <v>0</v>
      </c>
      <c r="G1626" s="38"/>
      <c r="H1626" s="38"/>
      <c r="I1626" s="38">
        <f t="shared" ref="I1626:I1651" si="765">SUM(G1626:H1626)</f>
        <v>0</v>
      </c>
      <c r="J1626" s="63"/>
      <c r="K1626" s="63"/>
      <c r="L1626" s="63">
        <f t="shared" ref="L1626" si="766">SUM(J1626:K1626)</f>
        <v>0</v>
      </c>
      <c r="M1626" s="218" t="str">
        <f t="shared" si="757"/>
        <v/>
      </c>
      <c r="N1626" s="218" t="str">
        <f t="shared" si="758"/>
        <v/>
      </c>
      <c r="O1626" s="218" t="str">
        <f t="shared" si="759"/>
        <v/>
      </c>
      <c r="P1626" s="218" t="str">
        <f t="shared" si="763"/>
        <v/>
      </c>
    </row>
    <row r="1627" spans="1:16" s="3" customFormat="1" ht="12.75">
      <c r="A1627" s="58" t="s">
        <v>637</v>
      </c>
      <c r="B1627" s="65" t="s">
        <v>265</v>
      </c>
      <c r="C1627" s="308" t="s">
        <v>940</v>
      </c>
      <c r="D1627" s="86">
        <f>SUM(D1629:D1634)</f>
        <v>3915400</v>
      </c>
      <c r="E1627" s="86">
        <f>SUM(E1629:E1633)</f>
        <v>0</v>
      </c>
      <c r="F1627" s="86">
        <f t="shared" si="764"/>
        <v>3915400</v>
      </c>
      <c r="G1627" s="262">
        <f>SUM(G1629:G1634)</f>
        <v>4479227</v>
      </c>
      <c r="H1627" s="262">
        <f>SUM(H1629:H1633)</f>
        <v>0</v>
      </c>
      <c r="I1627" s="262">
        <f t="shared" si="765"/>
        <v>4479227</v>
      </c>
      <c r="J1627" s="86">
        <f>SUM(J1629:J1634)</f>
        <v>4448800</v>
      </c>
      <c r="K1627" s="86">
        <f>SUM(K1629:K1633)</f>
        <v>0</v>
      </c>
      <c r="L1627" s="86">
        <f t="shared" ref="L1627:L1629" si="767">SUM(J1627:K1627)</f>
        <v>4448800</v>
      </c>
      <c r="M1627" s="236">
        <f t="shared" si="757"/>
        <v>113.62312918220361</v>
      </c>
      <c r="N1627" s="236">
        <f t="shared" si="758"/>
        <v>113.62312918220361</v>
      </c>
      <c r="O1627" s="236">
        <f t="shared" si="759"/>
        <v>99.32070868477976</v>
      </c>
      <c r="P1627" s="236">
        <f t="shared" si="763"/>
        <v>99.32070868477976</v>
      </c>
    </row>
    <row r="1628" spans="1:16" s="3" customFormat="1" hidden="1">
      <c r="A1628" s="36" t="s">
        <v>267</v>
      </c>
      <c r="B1628" s="184"/>
      <c r="C1628" s="320" t="s">
        <v>268</v>
      </c>
      <c r="D1628" s="63">
        <f>SUM(D1629:D1633)</f>
        <v>3915400</v>
      </c>
      <c r="E1628" s="95"/>
      <c r="F1628" s="63">
        <f t="shared" si="764"/>
        <v>3915400</v>
      </c>
      <c r="G1628" s="87">
        <f>SUM(G1629:G1633)</f>
        <v>4479227</v>
      </c>
      <c r="H1628" s="261"/>
      <c r="I1628" s="38">
        <f t="shared" si="765"/>
        <v>4479227</v>
      </c>
      <c r="J1628" s="63">
        <f>SUM(J1629:J1633)</f>
        <v>4448800</v>
      </c>
      <c r="K1628" s="95"/>
      <c r="L1628" s="63">
        <f t="shared" si="767"/>
        <v>4448800</v>
      </c>
      <c r="M1628" s="218">
        <f t="shared" si="757"/>
        <v>113.62312918220361</v>
      </c>
      <c r="N1628" s="218">
        <f t="shared" si="758"/>
        <v>113.62312918220361</v>
      </c>
      <c r="O1628" s="218">
        <f t="shared" si="759"/>
        <v>99.32070868477976</v>
      </c>
      <c r="P1628" s="218">
        <f t="shared" si="763"/>
        <v>99.32070868477976</v>
      </c>
    </row>
    <row r="1629" spans="1:16" s="3" customFormat="1" ht="12.75" customHeight="1">
      <c r="A1629" s="36" t="s">
        <v>180</v>
      </c>
      <c r="B1629" s="33" t="s">
        <v>419</v>
      </c>
      <c r="C1629" s="211" t="s">
        <v>1768</v>
      </c>
      <c r="D1629" s="87">
        <v>3864400</v>
      </c>
      <c r="E1629" s="87"/>
      <c r="F1629" s="63">
        <f t="shared" si="764"/>
        <v>3864400</v>
      </c>
      <c r="G1629" s="87">
        <v>4223227</v>
      </c>
      <c r="H1629" s="87"/>
      <c r="I1629" s="38">
        <f t="shared" si="765"/>
        <v>4223227</v>
      </c>
      <c r="J1629" s="63">
        <v>4380400</v>
      </c>
      <c r="K1629" s="87"/>
      <c r="L1629" s="63">
        <f t="shared" si="767"/>
        <v>4380400</v>
      </c>
      <c r="M1629" s="218">
        <f t="shared" si="757"/>
        <v>113.3526550046579</v>
      </c>
      <c r="N1629" s="218">
        <f t="shared" si="758"/>
        <v>113.3526550046579</v>
      </c>
      <c r="O1629" s="218">
        <f t="shared" si="759"/>
        <v>103.721632770391</v>
      </c>
      <c r="P1629" s="218">
        <f t="shared" si="763"/>
        <v>103.721632770391</v>
      </c>
    </row>
    <row r="1630" spans="1:16" s="3" customFormat="1" ht="12.75" customHeight="1">
      <c r="A1630" s="36" t="s">
        <v>651</v>
      </c>
      <c r="B1630" s="33" t="s">
        <v>650</v>
      </c>
      <c r="C1630" s="211" t="s">
        <v>1769</v>
      </c>
      <c r="D1630" s="87">
        <v>35000</v>
      </c>
      <c r="E1630" s="87"/>
      <c r="F1630" s="63">
        <f>SUM(D1630:E1630)</f>
        <v>35000</v>
      </c>
      <c r="G1630" s="87">
        <v>35000</v>
      </c>
      <c r="H1630" s="87"/>
      <c r="I1630" s="38">
        <f t="shared" si="765"/>
        <v>35000</v>
      </c>
      <c r="J1630" s="63">
        <v>45000</v>
      </c>
      <c r="K1630" s="87"/>
      <c r="L1630" s="63">
        <f>SUM(J1630:K1630)</f>
        <v>45000</v>
      </c>
      <c r="M1630" s="218">
        <f t="shared" si="757"/>
        <v>128.57142857142858</v>
      </c>
      <c r="N1630" s="218">
        <f t="shared" si="758"/>
        <v>128.57142857142858</v>
      </c>
      <c r="O1630" s="218">
        <f t="shared" si="759"/>
        <v>128.57142857142858</v>
      </c>
      <c r="P1630" s="218">
        <f t="shared" si="763"/>
        <v>128.57142857142858</v>
      </c>
    </row>
    <row r="1631" spans="1:16" s="3" customFormat="1" ht="12.75" customHeight="1">
      <c r="A1631" s="46" t="s">
        <v>2073</v>
      </c>
      <c r="B1631" s="33" t="s">
        <v>624</v>
      </c>
      <c r="C1631" s="211" t="s">
        <v>2204</v>
      </c>
      <c r="D1631" s="38"/>
      <c r="E1631" s="38"/>
      <c r="F1631" s="63"/>
      <c r="G1631" s="38">
        <v>5000</v>
      </c>
      <c r="H1631" s="38"/>
      <c r="I1631" s="38">
        <f>SUM(G1631:H1631)</f>
        <v>5000</v>
      </c>
      <c r="J1631" s="63">
        <v>6000</v>
      </c>
      <c r="K1631" s="38"/>
      <c r="L1631" s="63">
        <f>SUM(J1631:K1631)</f>
        <v>6000</v>
      </c>
      <c r="M1631" s="218" t="str">
        <f t="shared" si="757"/>
        <v/>
      </c>
      <c r="N1631" s="218" t="str">
        <f t="shared" si="758"/>
        <v/>
      </c>
      <c r="O1631" s="218">
        <f t="shared" si="759"/>
        <v>120</v>
      </c>
      <c r="P1631" s="218"/>
    </row>
    <row r="1632" spans="1:16" s="3" customFormat="1" ht="12.75" customHeight="1">
      <c r="A1632" s="36" t="s">
        <v>358</v>
      </c>
      <c r="B1632" s="33" t="s">
        <v>417</v>
      </c>
      <c r="C1632" s="211" t="s">
        <v>1771</v>
      </c>
      <c r="D1632" s="38"/>
      <c r="E1632" s="38"/>
      <c r="F1632" s="63">
        <f>SUM(D1632:E1632)</f>
        <v>0</v>
      </c>
      <c r="G1632" s="38">
        <v>5000</v>
      </c>
      <c r="H1632" s="38"/>
      <c r="I1632" s="38">
        <f>SUM(G1632:H1632)</f>
        <v>5000</v>
      </c>
      <c r="J1632" s="63">
        <v>400</v>
      </c>
      <c r="K1632" s="38"/>
      <c r="L1632" s="63">
        <f>SUM(J1632:K1632)</f>
        <v>400</v>
      </c>
      <c r="M1632" s="218" t="str">
        <f t="shared" si="757"/>
        <v/>
      </c>
      <c r="N1632" s="218" t="str">
        <f t="shared" si="758"/>
        <v/>
      </c>
      <c r="O1632" s="218">
        <f t="shared" si="759"/>
        <v>8</v>
      </c>
      <c r="P1632" s="218">
        <f>IF(I1632&gt;0,IF(L1632&gt;=0,L1632/I1632*100,""),"")</f>
        <v>8</v>
      </c>
    </row>
    <row r="1633" spans="1:16" s="3" customFormat="1" ht="12.75" customHeight="1">
      <c r="A1633" s="46" t="s">
        <v>375</v>
      </c>
      <c r="B1633" s="33" t="s">
        <v>150</v>
      </c>
      <c r="C1633" s="211" t="s">
        <v>1770</v>
      </c>
      <c r="D1633" s="38">
        <v>16000</v>
      </c>
      <c r="E1633" s="38"/>
      <c r="F1633" s="63">
        <f>SUM(D1633:E1633)</f>
        <v>16000</v>
      </c>
      <c r="G1633" s="38">
        <v>211000</v>
      </c>
      <c r="H1633" s="38"/>
      <c r="I1633" s="38">
        <f t="shared" si="765"/>
        <v>211000</v>
      </c>
      <c r="J1633" s="63">
        <v>17000</v>
      </c>
      <c r="K1633" s="38"/>
      <c r="L1633" s="63">
        <f>SUM(J1633:K1633)</f>
        <v>17000</v>
      </c>
      <c r="M1633" s="218">
        <f t="shared" si="757"/>
        <v>106.25</v>
      </c>
      <c r="N1633" s="218">
        <f t="shared" si="758"/>
        <v>106.25</v>
      </c>
      <c r="O1633" s="218">
        <f t="shared" si="759"/>
        <v>8.0568720379146921</v>
      </c>
      <c r="P1633" s="218">
        <f t="shared" si="763"/>
        <v>8.0568720379146921</v>
      </c>
    </row>
    <row r="1634" spans="1:16" s="3" customFormat="1" ht="12.75" hidden="1" customHeight="1">
      <c r="A1634" s="46" t="s">
        <v>791</v>
      </c>
      <c r="B1634" s="33" t="s">
        <v>151</v>
      </c>
      <c r="C1634" s="211" t="s">
        <v>1772</v>
      </c>
      <c r="D1634" s="38"/>
      <c r="E1634" s="38"/>
      <c r="F1634" s="63"/>
      <c r="G1634" s="38"/>
      <c r="H1634" s="38"/>
      <c r="I1634" s="38">
        <f t="shared" si="765"/>
        <v>0</v>
      </c>
      <c r="J1634" s="38"/>
      <c r="K1634" s="38"/>
      <c r="L1634" s="63">
        <f>SUM(J1634:K1634)</f>
        <v>0</v>
      </c>
      <c r="M1634" s="218" t="str">
        <f t="shared" si="757"/>
        <v/>
      </c>
      <c r="N1634" s="218" t="str">
        <f t="shared" si="758"/>
        <v/>
      </c>
      <c r="O1634" s="218" t="str">
        <f t="shared" si="759"/>
        <v/>
      </c>
      <c r="P1634" s="218" t="str">
        <f t="shared" ref="P1634:P1650" si="768">IF(I1634&gt;0,IF(L1634&gt;=0,L1634/I1634*100,""),"")</f>
        <v/>
      </c>
    </row>
    <row r="1635" spans="1:16" s="3" customFormat="1" ht="6" customHeight="1">
      <c r="A1635" s="36"/>
      <c r="B1635" s="33"/>
      <c r="C1635" s="211" t="s">
        <v>268</v>
      </c>
      <c r="D1635" s="38"/>
      <c r="E1635" s="38"/>
      <c r="F1635" s="63">
        <f t="shared" ref="F1635:F1638" si="769">SUM(D1635:E1635)</f>
        <v>0</v>
      </c>
      <c r="G1635" s="38"/>
      <c r="H1635" s="38"/>
      <c r="I1635" s="38">
        <f t="shared" si="765"/>
        <v>0</v>
      </c>
      <c r="J1635" s="63"/>
      <c r="K1635" s="38"/>
      <c r="L1635" s="63">
        <f t="shared" ref="L1635:L1646" si="770">SUM(J1635:K1635)</f>
        <v>0</v>
      </c>
      <c r="M1635" s="218" t="str">
        <f t="shared" si="757"/>
        <v/>
      </c>
      <c r="N1635" s="218" t="str">
        <f t="shared" si="758"/>
        <v/>
      </c>
      <c r="O1635" s="218" t="str">
        <f t="shared" si="759"/>
        <v/>
      </c>
      <c r="P1635" s="218" t="str">
        <f t="shared" si="768"/>
        <v/>
      </c>
    </row>
    <row r="1636" spans="1:16" s="3" customFormat="1" ht="12.75">
      <c r="A1636" s="58" t="s">
        <v>638</v>
      </c>
      <c r="B1636" s="65" t="s">
        <v>265</v>
      </c>
      <c r="C1636" s="308" t="s">
        <v>940</v>
      </c>
      <c r="D1636" s="42">
        <f>SUM(D1638:D1641)</f>
        <v>4299400</v>
      </c>
      <c r="E1636" s="42">
        <f>SUM(E1638:E1640)</f>
        <v>0</v>
      </c>
      <c r="F1636" s="42">
        <f t="shared" si="769"/>
        <v>4299400</v>
      </c>
      <c r="G1636" s="55">
        <f>SUM(G1638:G1641)</f>
        <v>5007200</v>
      </c>
      <c r="H1636" s="55">
        <f>SUM(H1638:H1640)</f>
        <v>0</v>
      </c>
      <c r="I1636" s="55">
        <f t="shared" si="765"/>
        <v>5007200</v>
      </c>
      <c r="J1636" s="42">
        <f>SUM(J1638:J1641)</f>
        <v>4504500</v>
      </c>
      <c r="K1636" s="42">
        <f>SUM(K1638:K1640)</f>
        <v>0</v>
      </c>
      <c r="L1636" s="42">
        <f t="shared" si="770"/>
        <v>4504500</v>
      </c>
      <c r="M1636" s="225">
        <f t="shared" si="757"/>
        <v>104.7704330836861</v>
      </c>
      <c r="N1636" s="225">
        <f t="shared" si="758"/>
        <v>104.7704330836861</v>
      </c>
      <c r="O1636" s="225">
        <f t="shared" si="759"/>
        <v>89.960456942003518</v>
      </c>
      <c r="P1636" s="225">
        <f t="shared" si="768"/>
        <v>89.960456942003518</v>
      </c>
    </row>
    <row r="1637" spans="1:16" s="3" customFormat="1" ht="12.75" customHeight="1">
      <c r="A1637" s="36" t="s">
        <v>267</v>
      </c>
      <c r="B1637" s="184"/>
      <c r="C1637" s="320" t="s">
        <v>268</v>
      </c>
      <c r="D1637" s="63">
        <f>SUM(D1638:D1640)</f>
        <v>4299400</v>
      </c>
      <c r="E1637" s="77"/>
      <c r="F1637" s="63">
        <f t="shared" si="769"/>
        <v>4299400</v>
      </c>
      <c r="G1637" s="38">
        <f>SUM(G1638:G1640)</f>
        <v>4857200</v>
      </c>
      <c r="H1637" s="109"/>
      <c r="I1637" s="38">
        <f t="shared" si="765"/>
        <v>4857200</v>
      </c>
      <c r="J1637" s="63">
        <f>SUM(J1638:J1640)</f>
        <v>4504500</v>
      </c>
      <c r="K1637" s="77"/>
      <c r="L1637" s="63">
        <f t="shared" si="770"/>
        <v>4504500</v>
      </c>
      <c r="M1637" s="218">
        <f t="shared" si="757"/>
        <v>104.7704330836861</v>
      </c>
      <c r="N1637" s="218">
        <f t="shared" si="758"/>
        <v>104.7704330836861</v>
      </c>
      <c r="O1637" s="218">
        <f t="shared" si="759"/>
        <v>92.738614839825416</v>
      </c>
      <c r="P1637" s="218">
        <f t="shared" si="768"/>
        <v>92.738614839825416</v>
      </c>
    </row>
    <row r="1638" spans="1:16" s="3" customFormat="1" ht="12.75" customHeight="1">
      <c r="A1638" s="36" t="s">
        <v>180</v>
      </c>
      <c r="B1638" s="33" t="s">
        <v>419</v>
      </c>
      <c r="C1638" s="211" t="s">
        <v>1773</v>
      </c>
      <c r="D1638" s="38">
        <v>4287400</v>
      </c>
      <c r="E1638" s="77"/>
      <c r="F1638" s="63">
        <f t="shared" si="769"/>
        <v>4287400</v>
      </c>
      <c r="G1638" s="38">
        <v>4722200</v>
      </c>
      <c r="H1638" s="109"/>
      <c r="I1638" s="38">
        <f t="shared" si="765"/>
        <v>4722200</v>
      </c>
      <c r="J1638" s="63">
        <v>4477700</v>
      </c>
      <c r="K1638" s="77"/>
      <c r="L1638" s="63">
        <f t="shared" si="770"/>
        <v>4477700</v>
      </c>
      <c r="M1638" s="218">
        <f t="shared" si="757"/>
        <v>104.43858748892103</v>
      </c>
      <c r="N1638" s="218">
        <f t="shared" si="758"/>
        <v>104.43858748892103</v>
      </c>
      <c r="O1638" s="218">
        <f t="shared" si="759"/>
        <v>94.822328575663889</v>
      </c>
      <c r="P1638" s="218">
        <f t="shared" si="768"/>
        <v>94.822328575663889</v>
      </c>
    </row>
    <row r="1639" spans="1:16" s="3" customFormat="1" ht="12.75" customHeight="1">
      <c r="A1639" s="46" t="s">
        <v>358</v>
      </c>
      <c r="B1639" s="33" t="s">
        <v>417</v>
      </c>
      <c r="C1639" s="211" t="s">
        <v>1775</v>
      </c>
      <c r="D1639" s="63"/>
      <c r="E1639" s="63"/>
      <c r="F1639" s="63">
        <f t="shared" ref="F1639" si="771">SUM(D1639:E1639)</f>
        <v>0</v>
      </c>
      <c r="G1639" s="38">
        <v>10000</v>
      </c>
      <c r="H1639" s="38"/>
      <c r="I1639" s="38">
        <f>SUM(G1639:H1639)</f>
        <v>10000</v>
      </c>
      <c r="J1639" s="63">
        <v>800</v>
      </c>
      <c r="K1639" s="63"/>
      <c r="L1639" s="63">
        <f>SUM(J1639:K1639)</f>
        <v>800</v>
      </c>
      <c r="M1639" s="218" t="str">
        <f t="shared" si="757"/>
        <v/>
      </c>
      <c r="N1639" s="218" t="str">
        <f t="shared" si="758"/>
        <v/>
      </c>
      <c r="O1639" s="218">
        <f t="shared" si="759"/>
        <v>8</v>
      </c>
      <c r="P1639" s="218">
        <f>IF(I1639&gt;0,IF(L1639&gt;=0,L1639/I1639*100,""),"")</f>
        <v>8</v>
      </c>
    </row>
    <row r="1640" spans="1:16" s="3" customFormat="1" ht="12.75" customHeight="1">
      <c r="A1640" s="46" t="s">
        <v>375</v>
      </c>
      <c r="B1640" s="33" t="s">
        <v>150</v>
      </c>
      <c r="C1640" s="211" t="s">
        <v>1774</v>
      </c>
      <c r="D1640" s="63">
        <v>12000</v>
      </c>
      <c r="E1640" s="63"/>
      <c r="F1640" s="63">
        <f>SUM(D1640:E1640)</f>
        <v>12000</v>
      </c>
      <c r="G1640" s="38">
        <v>125000</v>
      </c>
      <c r="H1640" s="38"/>
      <c r="I1640" s="38">
        <f t="shared" si="765"/>
        <v>125000</v>
      </c>
      <c r="J1640" s="63">
        <v>26000</v>
      </c>
      <c r="K1640" s="63"/>
      <c r="L1640" s="63">
        <f>SUM(J1640:K1640)</f>
        <v>26000</v>
      </c>
      <c r="M1640" s="218">
        <f t="shared" si="757"/>
        <v>216.66666666666666</v>
      </c>
      <c r="N1640" s="218">
        <f t="shared" si="758"/>
        <v>216.66666666666666</v>
      </c>
      <c r="O1640" s="218">
        <f t="shared" si="759"/>
        <v>20.8</v>
      </c>
      <c r="P1640" s="218">
        <f t="shared" si="768"/>
        <v>20.8</v>
      </c>
    </row>
    <row r="1641" spans="1:16" s="3" customFormat="1" ht="12.75" customHeight="1">
      <c r="A1641" s="359" t="s">
        <v>791</v>
      </c>
      <c r="B1641" s="311" t="s">
        <v>151</v>
      </c>
      <c r="C1641" s="311" t="s">
        <v>1776</v>
      </c>
      <c r="D1641" s="67"/>
      <c r="E1641" s="67"/>
      <c r="F1641" s="67"/>
      <c r="G1641" s="61">
        <v>150000</v>
      </c>
      <c r="H1641" s="61"/>
      <c r="I1641" s="61">
        <f t="shared" si="765"/>
        <v>150000</v>
      </c>
      <c r="J1641" s="67"/>
      <c r="K1641" s="67"/>
      <c r="L1641" s="67">
        <f t="shared" si="770"/>
        <v>0</v>
      </c>
      <c r="M1641" s="273" t="str">
        <f t="shared" si="757"/>
        <v/>
      </c>
      <c r="N1641" s="273" t="str">
        <f t="shared" si="758"/>
        <v/>
      </c>
      <c r="O1641" s="273">
        <f t="shared" si="759"/>
        <v>0</v>
      </c>
      <c r="P1641" s="273">
        <f t="shared" si="768"/>
        <v>0</v>
      </c>
    </row>
    <row r="1642" spans="1:16" s="3" customFormat="1" ht="6" customHeight="1">
      <c r="A1642" s="43"/>
      <c r="B1642" s="79"/>
      <c r="C1642" s="302" t="s">
        <v>268</v>
      </c>
      <c r="D1642" s="76"/>
      <c r="E1642" s="76"/>
      <c r="F1642" s="76">
        <f t="shared" ref="F1642:F1646" si="772">SUM(D1642:E1642)</f>
        <v>0</v>
      </c>
      <c r="G1642" s="116"/>
      <c r="H1642" s="116"/>
      <c r="I1642" s="116">
        <f t="shared" si="765"/>
        <v>0</v>
      </c>
      <c r="J1642" s="76"/>
      <c r="K1642" s="76"/>
      <c r="L1642" s="76">
        <f t="shared" si="770"/>
        <v>0</v>
      </c>
      <c r="M1642" s="226" t="str">
        <f t="shared" si="757"/>
        <v/>
      </c>
      <c r="N1642" s="226" t="str">
        <f t="shared" si="758"/>
        <v/>
      </c>
      <c r="O1642" s="226" t="str">
        <f t="shared" si="759"/>
        <v/>
      </c>
      <c r="P1642" s="226" t="str">
        <f t="shared" si="768"/>
        <v/>
      </c>
    </row>
    <row r="1643" spans="1:16" s="3" customFormat="1" ht="12.75">
      <c r="A1643" s="58" t="s">
        <v>639</v>
      </c>
      <c r="B1643" s="65" t="s">
        <v>265</v>
      </c>
      <c r="C1643" s="308" t="s">
        <v>940</v>
      </c>
      <c r="D1643" s="42">
        <f>SUM(D1645:D1646)</f>
        <v>1782800</v>
      </c>
      <c r="E1643" s="42">
        <f>SUM(E1645:E1646)</f>
        <v>0</v>
      </c>
      <c r="F1643" s="42">
        <f t="shared" si="772"/>
        <v>1782800</v>
      </c>
      <c r="G1643" s="55">
        <f>SUM(G1645:G1646)</f>
        <v>1896200</v>
      </c>
      <c r="H1643" s="55">
        <f>SUM(H1645:H1646)</f>
        <v>0</v>
      </c>
      <c r="I1643" s="55">
        <f t="shared" si="765"/>
        <v>1896200</v>
      </c>
      <c r="J1643" s="42">
        <f>SUM(J1645:J1646)</f>
        <v>1944300</v>
      </c>
      <c r="K1643" s="42">
        <f>SUM(K1645:K1646)</f>
        <v>0</v>
      </c>
      <c r="L1643" s="42">
        <f t="shared" si="770"/>
        <v>1944300</v>
      </c>
      <c r="M1643" s="225">
        <f t="shared" si="757"/>
        <v>109.05878393538255</v>
      </c>
      <c r="N1643" s="225">
        <f t="shared" si="758"/>
        <v>109.05878393538255</v>
      </c>
      <c r="O1643" s="225">
        <f t="shared" si="759"/>
        <v>102.53665225187217</v>
      </c>
      <c r="P1643" s="225">
        <f t="shared" si="768"/>
        <v>102.53665225187217</v>
      </c>
    </row>
    <row r="1644" spans="1:16" s="3" customFormat="1" hidden="1">
      <c r="A1644" s="36" t="s">
        <v>267</v>
      </c>
      <c r="B1644" s="184"/>
      <c r="C1644" s="320" t="s">
        <v>268</v>
      </c>
      <c r="D1644" s="38">
        <f>SUM(D1645:D1646)</f>
        <v>1782800</v>
      </c>
      <c r="E1644" s="77"/>
      <c r="F1644" s="63">
        <f t="shared" si="772"/>
        <v>1782800</v>
      </c>
      <c r="G1644" s="38">
        <f>SUM(G1645:G1646)</f>
        <v>1896200</v>
      </c>
      <c r="H1644" s="109"/>
      <c r="I1644" s="38">
        <f t="shared" si="765"/>
        <v>1896200</v>
      </c>
      <c r="J1644" s="63">
        <f>SUM(J1645:J1646)</f>
        <v>1944300</v>
      </c>
      <c r="K1644" s="77"/>
      <c r="L1644" s="63">
        <f t="shared" si="770"/>
        <v>1944300</v>
      </c>
      <c r="M1644" s="218">
        <f t="shared" si="757"/>
        <v>109.05878393538255</v>
      </c>
      <c r="N1644" s="218">
        <f t="shared" si="758"/>
        <v>109.05878393538255</v>
      </c>
      <c r="O1644" s="218">
        <f t="shared" si="759"/>
        <v>102.53665225187217</v>
      </c>
      <c r="P1644" s="218">
        <f t="shared" si="768"/>
        <v>102.53665225187217</v>
      </c>
    </row>
    <row r="1645" spans="1:16" s="3" customFormat="1" ht="12.75" customHeight="1">
      <c r="A1645" s="36" t="s">
        <v>180</v>
      </c>
      <c r="B1645" s="33" t="s">
        <v>419</v>
      </c>
      <c r="C1645" s="211" t="s">
        <v>1777</v>
      </c>
      <c r="D1645" s="38">
        <v>1775300</v>
      </c>
      <c r="E1645" s="38"/>
      <c r="F1645" s="63">
        <f t="shared" si="772"/>
        <v>1775300</v>
      </c>
      <c r="G1645" s="38">
        <v>1853700</v>
      </c>
      <c r="H1645" s="38"/>
      <c r="I1645" s="38">
        <f t="shared" si="765"/>
        <v>1853700</v>
      </c>
      <c r="J1645" s="63">
        <v>1935800</v>
      </c>
      <c r="K1645" s="38"/>
      <c r="L1645" s="63">
        <f t="shared" si="770"/>
        <v>1935800</v>
      </c>
      <c r="M1645" s="218">
        <f t="shared" si="757"/>
        <v>109.04072551118121</v>
      </c>
      <c r="N1645" s="218">
        <f t="shared" si="758"/>
        <v>109.04072551118121</v>
      </c>
      <c r="O1645" s="218">
        <f t="shared" si="759"/>
        <v>104.42897987808169</v>
      </c>
      <c r="P1645" s="218">
        <f t="shared" si="768"/>
        <v>104.42897987808169</v>
      </c>
    </row>
    <row r="1646" spans="1:16" s="3" customFormat="1" ht="12.75" customHeight="1">
      <c r="A1646" s="36" t="s">
        <v>375</v>
      </c>
      <c r="B1646" s="33" t="s">
        <v>150</v>
      </c>
      <c r="C1646" s="211" t="s">
        <v>1778</v>
      </c>
      <c r="D1646" s="87">
        <v>7500</v>
      </c>
      <c r="E1646" s="87"/>
      <c r="F1646" s="63">
        <f t="shared" si="772"/>
        <v>7500</v>
      </c>
      <c r="G1646" s="87">
        <v>42500</v>
      </c>
      <c r="H1646" s="87"/>
      <c r="I1646" s="38">
        <f t="shared" si="765"/>
        <v>42500</v>
      </c>
      <c r="J1646" s="63">
        <v>8500</v>
      </c>
      <c r="K1646" s="87"/>
      <c r="L1646" s="63">
        <f t="shared" si="770"/>
        <v>8500</v>
      </c>
      <c r="M1646" s="218">
        <f t="shared" si="757"/>
        <v>113.33333333333333</v>
      </c>
      <c r="N1646" s="218">
        <f t="shared" si="758"/>
        <v>113.33333333333333</v>
      </c>
      <c r="O1646" s="218">
        <f t="shared" si="759"/>
        <v>20</v>
      </c>
      <c r="P1646" s="218">
        <f t="shared" si="768"/>
        <v>20</v>
      </c>
    </row>
    <row r="1647" spans="1:16" s="3" customFormat="1" ht="6" customHeight="1">
      <c r="A1647" s="46"/>
      <c r="B1647" s="33"/>
      <c r="C1647" s="211" t="s">
        <v>268</v>
      </c>
      <c r="D1647" s="63"/>
      <c r="E1647" s="63"/>
      <c r="F1647" s="63">
        <f>SUM(D1647:E1647)</f>
        <v>0</v>
      </c>
      <c r="G1647" s="38"/>
      <c r="H1647" s="38"/>
      <c r="I1647" s="38">
        <f t="shared" si="765"/>
        <v>0</v>
      </c>
      <c r="J1647" s="63"/>
      <c r="K1647" s="63"/>
      <c r="L1647" s="63">
        <f>SUM(J1647:K1647)</f>
        <v>0</v>
      </c>
      <c r="M1647" s="218" t="str">
        <f t="shared" si="757"/>
        <v/>
      </c>
      <c r="N1647" s="218" t="str">
        <f t="shared" si="758"/>
        <v/>
      </c>
      <c r="O1647" s="218" t="str">
        <f t="shared" si="759"/>
        <v/>
      </c>
      <c r="P1647" s="218" t="str">
        <f t="shared" si="768"/>
        <v/>
      </c>
    </row>
    <row r="1648" spans="1:16" s="11" customFormat="1" ht="12.75">
      <c r="A1648" s="58" t="s">
        <v>405</v>
      </c>
      <c r="B1648" s="65" t="s">
        <v>265</v>
      </c>
      <c r="C1648" s="308" t="s">
        <v>940</v>
      </c>
      <c r="D1648" s="42">
        <f>SUM(D1650:D1652)</f>
        <v>1516700</v>
      </c>
      <c r="E1648" s="42">
        <f>SUM(E1650:E1650)</f>
        <v>0</v>
      </c>
      <c r="F1648" s="42">
        <f>SUM(D1648:E1648)</f>
        <v>1516700</v>
      </c>
      <c r="G1648" s="55">
        <f>SUM(G1650:G1651)</f>
        <v>1567350</v>
      </c>
      <c r="H1648" s="55">
        <f>SUM(H1650:H1650)</f>
        <v>0</v>
      </c>
      <c r="I1648" s="55">
        <f t="shared" si="765"/>
        <v>1567350</v>
      </c>
      <c r="J1648" s="42">
        <f>SUM(J1650:J1653)</f>
        <v>1727020</v>
      </c>
      <c r="K1648" s="42">
        <f>SUM(K1650:K1650)</f>
        <v>0</v>
      </c>
      <c r="L1648" s="42">
        <f>SUM(J1648:K1648)</f>
        <v>1727020</v>
      </c>
      <c r="M1648" s="225">
        <f t="shared" si="757"/>
        <v>113.8669479791653</v>
      </c>
      <c r="N1648" s="225">
        <f t="shared" si="758"/>
        <v>113.8669479791653</v>
      </c>
      <c r="O1648" s="225">
        <f t="shared" si="759"/>
        <v>110.18725874884359</v>
      </c>
      <c r="P1648" s="225">
        <f t="shared" si="768"/>
        <v>110.18725874884359</v>
      </c>
    </row>
    <row r="1649" spans="1:16" s="11" customFormat="1" hidden="1">
      <c r="A1649" s="36" t="s">
        <v>267</v>
      </c>
      <c r="B1649" s="92"/>
      <c r="C1649" s="312" t="s">
        <v>268</v>
      </c>
      <c r="D1649" s="63">
        <f>SUM(D1650:D1652)</f>
        <v>1516700</v>
      </c>
      <c r="E1649" s="77"/>
      <c r="F1649" s="63">
        <f t="shared" ref="F1649" si="773">SUM(D1649:E1649)</f>
        <v>1516700</v>
      </c>
      <c r="G1649" s="38">
        <f>SUM(G1650:G1652)</f>
        <v>1567350</v>
      </c>
      <c r="H1649" s="109"/>
      <c r="I1649" s="38">
        <f t="shared" si="765"/>
        <v>1567350</v>
      </c>
      <c r="J1649" s="38">
        <f>SUM(J1650:J1652)</f>
        <v>1727020</v>
      </c>
      <c r="K1649" s="77"/>
      <c r="L1649" s="63">
        <f t="shared" ref="L1649" si="774">SUM(J1649:K1649)</f>
        <v>1727020</v>
      </c>
      <c r="M1649" s="218">
        <f t="shared" si="757"/>
        <v>113.8669479791653</v>
      </c>
      <c r="N1649" s="218">
        <f t="shared" si="758"/>
        <v>113.8669479791653</v>
      </c>
      <c r="O1649" s="218">
        <f t="shared" si="759"/>
        <v>110.18725874884359</v>
      </c>
      <c r="P1649" s="218">
        <f t="shared" si="768"/>
        <v>110.18725874884359</v>
      </c>
    </row>
    <row r="1650" spans="1:16" s="11" customFormat="1" ht="12.75" customHeight="1">
      <c r="A1650" s="36" t="s">
        <v>180</v>
      </c>
      <c r="B1650" s="33" t="s">
        <v>419</v>
      </c>
      <c r="C1650" s="211" t="s">
        <v>1779</v>
      </c>
      <c r="D1650" s="38">
        <v>1511700</v>
      </c>
      <c r="E1650" s="38"/>
      <c r="F1650" s="63">
        <f>SUM(D1650:E1650)</f>
        <v>1511700</v>
      </c>
      <c r="G1650" s="38">
        <v>1527350</v>
      </c>
      <c r="H1650" s="38"/>
      <c r="I1650" s="38">
        <f t="shared" si="765"/>
        <v>1527350</v>
      </c>
      <c r="J1650" s="63">
        <v>1727020</v>
      </c>
      <c r="K1650" s="38"/>
      <c r="L1650" s="63">
        <f>SUM(J1650:K1650)</f>
        <v>1727020</v>
      </c>
      <c r="M1650" s="218">
        <f t="shared" si="757"/>
        <v>114.24356684527352</v>
      </c>
      <c r="N1650" s="218">
        <f t="shared" si="758"/>
        <v>114.24356684527352</v>
      </c>
      <c r="O1650" s="218">
        <f t="shared" si="759"/>
        <v>113.07296952237536</v>
      </c>
      <c r="P1650" s="218">
        <f t="shared" si="768"/>
        <v>113.07296952237536</v>
      </c>
    </row>
    <row r="1651" spans="1:16" s="11" customFormat="1" ht="12.75" customHeight="1">
      <c r="A1651" s="36" t="s">
        <v>2069</v>
      </c>
      <c r="B1651" s="211" t="s">
        <v>2070</v>
      </c>
      <c r="C1651" s="211" t="s">
        <v>2205</v>
      </c>
      <c r="D1651" s="38"/>
      <c r="E1651" s="38"/>
      <c r="F1651" s="63"/>
      <c r="G1651" s="38">
        <v>40000</v>
      </c>
      <c r="H1651" s="38"/>
      <c r="I1651" s="38">
        <f t="shared" si="765"/>
        <v>40000</v>
      </c>
      <c r="J1651" s="38"/>
      <c r="K1651" s="38"/>
      <c r="L1651" s="63"/>
      <c r="M1651" s="218" t="str">
        <f t="shared" si="757"/>
        <v/>
      </c>
      <c r="N1651" s="218" t="str">
        <f t="shared" si="758"/>
        <v/>
      </c>
      <c r="O1651" s="218">
        <f t="shared" si="759"/>
        <v>0</v>
      </c>
      <c r="P1651" s="218"/>
    </row>
    <row r="1652" spans="1:16" s="11" customFormat="1" ht="12.75" customHeight="1">
      <c r="A1652" s="36" t="s">
        <v>375</v>
      </c>
      <c r="B1652" s="211" t="s">
        <v>150</v>
      </c>
      <c r="C1652" s="211" t="s">
        <v>1780</v>
      </c>
      <c r="D1652" s="38">
        <v>5000</v>
      </c>
      <c r="E1652" s="38"/>
      <c r="F1652" s="63">
        <f>SUM(D1652:E1652)</f>
        <v>5000</v>
      </c>
      <c r="G1652" s="38"/>
      <c r="H1652" s="38"/>
      <c r="I1652" s="38"/>
      <c r="J1652" s="38"/>
      <c r="K1652" s="38"/>
      <c r="L1652" s="63">
        <f>SUM(J1652:K1652)</f>
        <v>0</v>
      </c>
      <c r="M1652" s="218">
        <f t="shared" si="757"/>
        <v>0</v>
      </c>
      <c r="N1652" s="218">
        <f t="shared" si="758"/>
        <v>0</v>
      </c>
      <c r="O1652" s="218" t="str">
        <f t="shared" si="759"/>
        <v/>
      </c>
      <c r="P1652" s="218" t="str">
        <f t="shared" ref="P1652:P1658" si="775">IF(I1652&gt;0,IF(L1652&gt;=0,L1652/I1652*100,""),"")</f>
        <v/>
      </c>
    </row>
    <row r="1653" spans="1:16" s="3" customFormat="1" ht="6" customHeight="1">
      <c r="A1653" s="36"/>
      <c r="B1653" s="33"/>
      <c r="C1653" s="211" t="s">
        <v>268</v>
      </c>
      <c r="D1653" s="63"/>
      <c r="E1653" s="63"/>
      <c r="F1653" s="63">
        <f>SUM(D1653:E1653)</f>
        <v>0</v>
      </c>
      <c r="G1653" s="38"/>
      <c r="H1653" s="38"/>
      <c r="I1653" s="38">
        <f t="shared" ref="I1653:I1660" si="776">SUM(G1653:H1653)</f>
        <v>0</v>
      </c>
      <c r="J1653" s="63"/>
      <c r="K1653" s="63"/>
      <c r="L1653" s="63">
        <f>SUM(J1653:K1653)</f>
        <v>0</v>
      </c>
      <c r="M1653" s="218" t="str">
        <f t="shared" si="757"/>
        <v/>
      </c>
      <c r="N1653" s="218" t="str">
        <f t="shared" si="758"/>
        <v/>
      </c>
      <c r="O1653" s="218" t="str">
        <f t="shared" si="759"/>
        <v/>
      </c>
      <c r="P1653" s="218" t="str">
        <f t="shared" si="775"/>
        <v/>
      </c>
    </row>
    <row r="1654" spans="1:16" s="11" customFormat="1" ht="12.75">
      <c r="A1654" s="58" t="s">
        <v>404</v>
      </c>
      <c r="B1654" s="65" t="s">
        <v>265</v>
      </c>
      <c r="C1654" s="308" t="s">
        <v>940</v>
      </c>
      <c r="D1654" s="42">
        <f>SUM(D1656:D1660)</f>
        <v>13542500</v>
      </c>
      <c r="E1654" s="42">
        <f>SUM(E1656:E1660)</f>
        <v>0</v>
      </c>
      <c r="F1654" s="42">
        <f t="shared" ref="F1654:F1658" si="777">SUM(D1654:E1654)</f>
        <v>13542500</v>
      </c>
      <c r="G1654" s="55">
        <f>SUM(G1656:G1660)</f>
        <v>14209400</v>
      </c>
      <c r="H1654" s="55">
        <f>SUM(H1656:H1660)</f>
        <v>0</v>
      </c>
      <c r="I1654" s="55">
        <f t="shared" si="776"/>
        <v>14209400</v>
      </c>
      <c r="J1654" s="42">
        <f>SUM(J1656:J1660)</f>
        <v>14135740</v>
      </c>
      <c r="K1654" s="42">
        <f>SUM(K1656:K1660)</f>
        <v>0</v>
      </c>
      <c r="L1654" s="42">
        <f t="shared" ref="L1654:L1655" si="778">SUM(J1654:K1654)</f>
        <v>14135740</v>
      </c>
      <c r="M1654" s="225">
        <f t="shared" si="757"/>
        <v>104.38057965663651</v>
      </c>
      <c r="N1654" s="225">
        <f t="shared" si="758"/>
        <v>104.38057965663651</v>
      </c>
      <c r="O1654" s="225">
        <f t="shared" si="759"/>
        <v>99.481610764705053</v>
      </c>
      <c r="P1654" s="225">
        <f t="shared" si="775"/>
        <v>99.481610764705053</v>
      </c>
    </row>
    <row r="1655" spans="1:16" s="3" customFormat="1" hidden="1">
      <c r="A1655" s="36" t="s">
        <v>267</v>
      </c>
      <c r="B1655" s="44"/>
      <c r="C1655" s="304" t="s">
        <v>268</v>
      </c>
      <c r="D1655" s="63">
        <f>SUM(D1656:D1659)</f>
        <v>13542500</v>
      </c>
      <c r="E1655" s="63">
        <f>SUM(E1656:E1658)</f>
        <v>0</v>
      </c>
      <c r="F1655" s="63">
        <f t="shared" si="777"/>
        <v>13542500</v>
      </c>
      <c r="G1655" s="38">
        <f>SUM(G1656:G1659)</f>
        <v>14209400</v>
      </c>
      <c r="H1655" s="38">
        <f>SUM(H1656:H1658)</f>
        <v>0</v>
      </c>
      <c r="I1655" s="38">
        <f t="shared" si="776"/>
        <v>14209400</v>
      </c>
      <c r="J1655" s="63">
        <f>SUM(J1656:J1659)</f>
        <v>14135740</v>
      </c>
      <c r="K1655" s="63">
        <f>SUM(K1656:K1658)</f>
        <v>0</v>
      </c>
      <c r="L1655" s="63">
        <f t="shared" si="778"/>
        <v>14135740</v>
      </c>
      <c r="M1655" s="218">
        <f t="shared" si="757"/>
        <v>104.38057965663651</v>
      </c>
      <c r="N1655" s="218">
        <f t="shared" si="758"/>
        <v>104.38057965663651</v>
      </c>
      <c r="O1655" s="218">
        <f t="shared" si="759"/>
        <v>99.481610764705053</v>
      </c>
      <c r="P1655" s="218">
        <f t="shared" si="775"/>
        <v>99.481610764705053</v>
      </c>
    </row>
    <row r="1656" spans="1:16" s="11" customFormat="1" ht="12.75" customHeight="1">
      <c r="A1656" s="36" t="s">
        <v>180</v>
      </c>
      <c r="B1656" s="33" t="s">
        <v>419</v>
      </c>
      <c r="C1656" s="211" t="s">
        <v>1781</v>
      </c>
      <c r="D1656" s="38">
        <v>13360000</v>
      </c>
      <c r="E1656" s="38"/>
      <c r="F1656" s="63">
        <f t="shared" si="777"/>
        <v>13360000</v>
      </c>
      <c r="G1656" s="38">
        <v>14004900</v>
      </c>
      <c r="H1656" s="38"/>
      <c r="I1656" s="38">
        <f t="shared" si="776"/>
        <v>14004900</v>
      </c>
      <c r="J1656" s="63">
        <v>14091240</v>
      </c>
      <c r="K1656" s="38"/>
      <c r="L1656" s="63">
        <f t="shared" ref="L1656:L1660" si="779">SUM(J1656:K1656)</f>
        <v>14091240</v>
      </c>
      <c r="M1656" s="218">
        <f t="shared" si="757"/>
        <v>105.47335329341317</v>
      </c>
      <c r="N1656" s="218">
        <f t="shared" si="758"/>
        <v>105.47335329341317</v>
      </c>
      <c r="O1656" s="218">
        <f t="shared" si="759"/>
        <v>100.61649851123535</v>
      </c>
      <c r="P1656" s="218">
        <f t="shared" si="775"/>
        <v>100.61649851123535</v>
      </c>
    </row>
    <row r="1657" spans="1:16" s="3" customFormat="1" ht="12.75" customHeight="1">
      <c r="A1657" s="46" t="s">
        <v>651</v>
      </c>
      <c r="B1657" s="33" t="s">
        <v>650</v>
      </c>
      <c r="C1657" s="211" t="s">
        <v>1783</v>
      </c>
      <c r="D1657" s="38">
        <v>42500</v>
      </c>
      <c r="E1657" s="38"/>
      <c r="F1657" s="63">
        <f>SUM(D1657:E1657)</f>
        <v>42500</v>
      </c>
      <c r="G1657" s="38">
        <v>44500</v>
      </c>
      <c r="H1657" s="38"/>
      <c r="I1657" s="38">
        <f>SUM(G1657:H1657)</f>
        <v>44500</v>
      </c>
      <c r="J1657" s="63">
        <v>44500</v>
      </c>
      <c r="K1657" s="38"/>
      <c r="L1657" s="63">
        <f>SUM(J1657:K1657)</f>
        <v>44500</v>
      </c>
      <c r="M1657" s="218">
        <f t="shared" si="757"/>
        <v>104.70588235294119</v>
      </c>
      <c r="N1657" s="218">
        <f t="shared" si="758"/>
        <v>104.70588235294119</v>
      </c>
      <c r="O1657" s="218">
        <f t="shared" si="759"/>
        <v>100</v>
      </c>
      <c r="P1657" s="218">
        <f>IF(I1657&gt;0,IF(L1657&gt;=0,L1657/I1657*100,""),"")</f>
        <v>100</v>
      </c>
    </row>
    <row r="1658" spans="1:16" s="11" customFormat="1" ht="12.75" customHeight="1">
      <c r="A1658" s="46" t="s">
        <v>851</v>
      </c>
      <c r="B1658" s="211" t="s">
        <v>445</v>
      </c>
      <c r="C1658" s="211" t="s">
        <v>1782</v>
      </c>
      <c r="D1658" s="38">
        <v>140000</v>
      </c>
      <c r="E1658" s="38"/>
      <c r="F1658" s="63">
        <f t="shared" si="777"/>
        <v>140000</v>
      </c>
      <c r="G1658" s="38">
        <v>140000</v>
      </c>
      <c r="H1658" s="38"/>
      <c r="I1658" s="38">
        <f t="shared" si="776"/>
        <v>140000</v>
      </c>
      <c r="J1658" s="63"/>
      <c r="K1658" s="38"/>
      <c r="L1658" s="63">
        <f t="shared" si="779"/>
        <v>0</v>
      </c>
      <c r="M1658" s="218">
        <f t="shared" si="757"/>
        <v>0</v>
      </c>
      <c r="N1658" s="218">
        <f t="shared" si="758"/>
        <v>0</v>
      </c>
      <c r="O1658" s="218">
        <f t="shared" si="759"/>
        <v>0</v>
      </c>
      <c r="P1658" s="218">
        <f t="shared" si="775"/>
        <v>0</v>
      </c>
    </row>
    <row r="1659" spans="1:16" s="3" customFormat="1" ht="12.75" customHeight="1">
      <c r="A1659" s="46" t="s">
        <v>2069</v>
      </c>
      <c r="B1659" s="211" t="s">
        <v>2070</v>
      </c>
      <c r="C1659" s="211" t="s">
        <v>2206</v>
      </c>
      <c r="D1659" s="38"/>
      <c r="E1659" s="38"/>
      <c r="F1659" s="63"/>
      <c r="G1659" s="38">
        <v>20000</v>
      </c>
      <c r="H1659" s="38"/>
      <c r="I1659" s="38">
        <f t="shared" si="776"/>
        <v>20000</v>
      </c>
      <c r="J1659" s="38"/>
      <c r="K1659" s="38"/>
      <c r="L1659" s="63"/>
      <c r="M1659" s="218" t="str">
        <f t="shared" si="757"/>
        <v/>
      </c>
      <c r="N1659" s="218" t="str">
        <f t="shared" si="758"/>
        <v/>
      </c>
      <c r="O1659" s="218">
        <f t="shared" si="759"/>
        <v>0</v>
      </c>
      <c r="P1659" s="218"/>
    </row>
    <row r="1660" spans="1:16" s="3" customFormat="1" hidden="1">
      <c r="A1660" s="46" t="s">
        <v>791</v>
      </c>
      <c r="B1660" s="33" t="s">
        <v>151</v>
      </c>
      <c r="C1660" s="211" t="s">
        <v>1784</v>
      </c>
      <c r="D1660" s="38"/>
      <c r="E1660" s="38"/>
      <c r="F1660" s="63">
        <f t="shared" ref="F1660" si="780">SUM(D1660:E1660)</f>
        <v>0</v>
      </c>
      <c r="G1660" s="38"/>
      <c r="H1660" s="38"/>
      <c r="I1660" s="38">
        <f t="shared" si="776"/>
        <v>0</v>
      </c>
      <c r="J1660" s="38"/>
      <c r="K1660" s="38"/>
      <c r="L1660" s="63">
        <f t="shared" si="779"/>
        <v>0</v>
      </c>
      <c r="M1660" s="218" t="str">
        <f t="shared" si="757"/>
        <v/>
      </c>
      <c r="N1660" s="218" t="str">
        <f t="shared" si="758"/>
        <v/>
      </c>
      <c r="O1660" s="218" t="str">
        <f t="shared" si="759"/>
        <v/>
      </c>
      <c r="P1660" s="218" t="str">
        <f t="shared" ref="P1660:P1665" si="781">IF(I1660&gt;0,IF(L1660&gt;=0,L1660/I1660*100,""),"")</f>
        <v/>
      </c>
    </row>
    <row r="1661" spans="1:16" s="3" customFormat="1" ht="6" customHeight="1">
      <c r="A1661" s="103"/>
      <c r="B1661" s="47"/>
      <c r="C1661" s="212" t="s">
        <v>268</v>
      </c>
      <c r="D1661" s="63"/>
      <c r="E1661" s="63"/>
      <c r="F1661" s="63"/>
      <c r="G1661" s="38"/>
      <c r="H1661" s="38"/>
      <c r="I1661" s="38"/>
      <c r="J1661" s="63"/>
      <c r="K1661" s="63"/>
      <c r="L1661" s="63"/>
      <c r="M1661" s="218" t="str">
        <f t="shared" si="757"/>
        <v/>
      </c>
      <c r="N1661" s="218" t="str">
        <f t="shared" si="758"/>
        <v/>
      </c>
      <c r="O1661" s="218" t="str">
        <f t="shared" si="759"/>
        <v/>
      </c>
      <c r="P1661" s="218" t="str">
        <f t="shared" si="781"/>
        <v/>
      </c>
    </row>
    <row r="1662" spans="1:16" s="3" customFormat="1" ht="12.75">
      <c r="A1662" s="58" t="s">
        <v>243</v>
      </c>
      <c r="B1662" s="65" t="s">
        <v>265</v>
      </c>
      <c r="C1662" s="308" t="s">
        <v>940</v>
      </c>
      <c r="D1662" s="42">
        <f>SUM(D1664:D1668)</f>
        <v>3000000</v>
      </c>
      <c r="E1662" s="42">
        <f>SUM(E1664:E1668)</f>
        <v>0</v>
      </c>
      <c r="F1662" s="42">
        <f>SUM(D1662:E1662)</f>
        <v>3000000</v>
      </c>
      <c r="G1662" s="55">
        <f>SUM(G1664:G1668)</f>
        <v>4031000</v>
      </c>
      <c r="H1662" s="55">
        <f>SUM(H1664:H1668)</f>
        <v>0</v>
      </c>
      <c r="I1662" s="55">
        <f t="shared" ref="I1662:I1674" si="782">SUM(G1662:H1662)</f>
        <v>4031000</v>
      </c>
      <c r="J1662" s="42">
        <f>SUM(J1664:J1668)</f>
        <v>3219420</v>
      </c>
      <c r="K1662" s="42">
        <f>SUM(K1664:K1668)</f>
        <v>0</v>
      </c>
      <c r="L1662" s="42">
        <f>SUM(J1662:K1662)</f>
        <v>3219420</v>
      </c>
      <c r="M1662" s="225">
        <f t="shared" si="757"/>
        <v>107.31399999999999</v>
      </c>
      <c r="N1662" s="225">
        <f t="shared" si="758"/>
        <v>107.31399999999999</v>
      </c>
      <c r="O1662" s="225">
        <f t="shared" si="759"/>
        <v>79.866534358719917</v>
      </c>
      <c r="P1662" s="225">
        <f t="shared" si="781"/>
        <v>79.866534358719917</v>
      </c>
    </row>
    <row r="1663" spans="1:16" s="3" customFormat="1" ht="12.75" customHeight="1">
      <c r="A1663" s="80" t="s">
        <v>267</v>
      </c>
      <c r="B1663" s="44"/>
      <c r="C1663" s="304" t="s">
        <v>268</v>
      </c>
      <c r="D1663" s="76">
        <f>SUM(D1664:D1667)</f>
        <v>3000000</v>
      </c>
      <c r="E1663" s="76">
        <f>SUM(E1664:E1665)</f>
        <v>0</v>
      </c>
      <c r="F1663" s="76">
        <f>SUM(D1663:E1663)</f>
        <v>3000000</v>
      </c>
      <c r="G1663" s="116">
        <f>SUM(G1664:G1667)</f>
        <v>3591000</v>
      </c>
      <c r="H1663" s="116">
        <f>SUM(H1664:H1665)</f>
        <v>0</v>
      </c>
      <c r="I1663" s="116">
        <f t="shared" si="782"/>
        <v>3591000</v>
      </c>
      <c r="J1663" s="76">
        <f>SUM(J1664:J1667)</f>
        <v>3219420</v>
      </c>
      <c r="K1663" s="76">
        <f>SUM(K1664:K1665)</f>
        <v>0</v>
      </c>
      <c r="L1663" s="76">
        <f>SUM(J1663:K1663)</f>
        <v>3219420</v>
      </c>
      <c r="M1663" s="226">
        <f t="shared" si="757"/>
        <v>107.31399999999999</v>
      </c>
      <c r="N1663" s="226">
        <f t="shared" si="758"/>
        <v>107.31399999999999</v>
      </c>
      <c r="O1663" s="226">
        <f t="shared" si="759"/>
        <v>89.652464494569756</v>
      </c>
      <c r="P1663" s="226">
        <f t="shared" si="781"/>
        <v>89.652464494569756</v>
      </c>
    </row>
    <row r="1664" spans="1:16" s="3" customFormat="1" ht="12.75" customHeight="1">
      <c r="A1664" s="36" t="s">
        <v>180</v>
      </c>
      <c r="B1664" s="33" t="s">
        <v>419</v>
      </c>
      <c r="C1664" s="211" t="s">
        <v>1785</v>
      </c>
      <c r="D1664" s="38">
        <v>2222688</v>
      </c>
      <c r="E1664" s="38"/>
      <c r="F1664" s="63">
        <f>SUM(D1664:E1664)</f>
        <v>2222688</v>
      </c>
      <c r="G1664" s="38">
        <v>2487688</v>
      </c>
      <c r="H1664" s="38"/>
      <c r="I1664" s="38">
        <f t="shared" si="782"/>
        <v>2487688</v>
      </c>
      <c r="J1664" s="63">
        <v>2596920</v>
      </c>
      <c r="K1664" s="38"/>
      <c r="L1664" s="63">
        <f>SUM(J1664:K1664)</f>
        <v>2596920</v>
      </c>
      <c r="M1664" s="218">
        <f t="shared" si="757"/>
        <v>116.83691098345787</v>
      </c>
      <c r="N1664" s="218">
        <f t="shared" si="758"/>
        <v>116.83691098345787</v>
      </c>
      <c r="O1664" s="218">
        <f t="shared" si="759"/>
        <v>104.39090432562284</v>
      </c>
      <c r="P1664" s="218">
        <f t="shared" si="781"/>
        <v>104.39090432562284</v>
      </c>
    </row>
    <row r="1665" spans="1:16" s="3" customFormat="1" ht="12.75" customHeight="1">
      <c r="A1665" s="46" t="s">
        <v>169</v>
      </c>
      <c r="B1665" s="33" t="s">
        <v>445</v>
      </c>
      <c r="C1665" s="211" t="s">
        <v>1786</v>
      </c>
      <c r="D1665" s="38">
        <v>777312</v>
      </c>
      <c r="E1665" s="38"/>
      <c r="F1665" s="63">
        <f>SUM(D1665:E1665)</f>
        <v>777312</v>
      </c>
      <c r="G1665" s="38">
        <v>1022312</v>
      </c>
      <c r="H1665" s="38"/>
      <c r="I1665" s="38">
        <f t="shared" si="782"/>
        <v>1022312</v>
      </c>
      <c r="J1665" s="63">
        <v>620000</v>
      </c>
      <c r="K1665" s="38"/>
      <c r="L1665" s="63">
        <f>SUM(J1665:K1665)</f>
        <v>620000</v>
      </c>
      <c r="M1665" s="218">
        <f t="shared" si="757"/>
        <v>79.762051788728343</v>
      </c>
      <c r="N1665" s="218">
        <f t="shared" si="758"/>
        <v>79.762051788728343</v>
      </c>
      <c r="O1665" s="218">
        <f t="shared" si="759"/>
        <v>60.64684753773799</v>
      </c>
      <c r="P1665" s="218">
        <f t="shared" si="781"/>
        <v>60.64684753773799</v>
      </c>
    </row>
    <row r="1666" spans="1:16" s="3" customFormat="1" ht="12.75" customHeight="1">
      <c r="A1666" s="46" t="s">
        <v>651</v>
      </c>
      <c r="B1666" s="33" t="s">
        <v>650</v>
      </c>
      <c r="C1666" s="211" t="s">
        <v>2317</v>
      </c>
      <c r="D1666" s="38"/>
      <c r="E1666" s="38"/>
      <c r="F1666" s="63"/>
      <c r="G1666" s="38">
        <v>26000</v>
      </c>
      <c r="H1666" s="38"/>
      <c r="I1666" s="38">
        <f>SUM(G1666:H1666)</f>
        <v>26000</v>
      </c>
      <c r="J1666" s="63">
        <v>2500</v>
      </c>
      <c r="K1666" s="38"/>
      <c r="L1666" s="63">
        <f>SUM(J1666:K1666)</f>
        <v>2500</v>
      </c>
      <c r="M1666" s="218" t="str">
        <f t="shared" si="757"/>
        <v/>
      </c>
      <c r="N1666" s="218" t="str">
        <f t="shared" si="758"/>
        <v/>
      </c>
      <c r="O1666" s="218">
        <f t="shared" si="759"/>
        <v>9.6153846153846168</v>
      </c>
      <c r="P1666" s="218"/>
    </row>
    <row r="1667" spans="1:16" s="3" customFormat="1" ht="12.75" customHeight="1">
      <c r="A1667" s="46" t="s">
        <v>2069</v>
      </c>
      <c r="B1667" s="211" t="s">
        <v>2070</v>
      </c>
      <c r="C1667" s="211" t="s">
        <v>2207</v>
      </c>
      <c r="D1667" s="38"/>
      <c r="E1667" s="38"/>
      <c r="F1667" s="63"/>
      <c r="G1667" s="38">
        <v>55000</v>
      </c>
      <c r="H1667" s="38"/>
      <c r="I1667" s="38">
        <f t="shared" si="782"/>
        <v>55000</v>
      </c>
      <c r="J1667" s="63"/>
      <c r="K1667" s="38"/>
      <c r="L1667" s="63">
        <f t="shared" ref="L1667" si="783">SUM(J1667:K1667)</f>
        <v>0</v>
      </c>
      <c r="M1667" s="218" t="str">
        <f t="shared" si="757"/>
        <v/>
      </c>
      <c r="N1667" s="218" t="str">
        <f t="shared" si="758"/>
        <v/>
      </c>
      <c r="O1667" s="218">
        <f t="shared" si="759"/>
        <v>0</v>
      </c>
      <c r="P1667" s="218"/>
    </row>
    <row r="1668" spans="1:16" s="3" customFormat="1" ht="12.75" customHeight="1">
      <c r="A1668" s="46" t="s">
        <v>791</v>
      </c>
      <c r="B1668" s="211" t="s">
        <v>151</v>
      </c>
      <c r="C1668" s="211" t="s">
        <v>1787</v>
      </c>
      <c r="D1668" s="38"/>
      <c r="E1668" s="38"/>
      <c r="F1668" s="63">
        <f t="shared" ref="F1668:F1672" si="784">SUM(D1668:E1668)</f>
        <v>0</v>
      </c>
      <c r="G1668" s="38">
        <v>440000</v>
      </c>
      <c r="H1668" s="38"/>
      <c r="I1668" s="38">
        <f t="shared" si="782"/>
        <v>440000</v>
      </c>
      <c r="J1668" s="63"/>
      <c r="K1668" s="38"/>
      <c r="L1668" s="63">
        <f t="shared" ref="L1668:L1670" si="785">SUM(J1668:K1668)</f>
        <v>0</v>
      </c>
      <c r="M1668" s="218" t="str">
        <f t="shared" si="757"/>
        <v/>
      </c>
      <c r="N1668" s="218" t="str">
        <f t="shared" si="758"/>
        <v/>
      </c>
      <c r="O1668" s="218">
        <f t="shared" si="759"/>
        <v>0</v>
      </c>
      <c r="P1668" s="218">
        <f t="shared" ref="P1668:P1678" si="786">IF(I1668&gt;0,IF(L1668&gt;=0,L1668/I1668*100,""),"")</f>
        <v>0</v>
      </c>
    </row>
    <row r="1669" spans="1:16" s="3" customFormat="1" ht="6" customHeight="1">
      <c r="A1669" s="36"/>
      <c r="B1669" s="33"/>
      <c r="C1669" s="211" t="s">
        <v>268</v>
      </c>
      <c r="D1669" s="63"/>
      <c r="E1669" s="63"/>
      <c r="F1669" s="63">
        <f t="shared" si="784"/>
        <v>0</v>
      </c>
      <c r="G1669" s="38"/>
      <c r="H1669" s="38"/>
      <c r="I1669" s="38">
        <f t="shared" si="782"/>
        <v>0</v>
      </c>
      <c r="J1669" s="63"/>
      <c r="K1669" s="63"/>
      <c r="L1669" s="63">
        <f t="shared" si="785"/>
        <v>0</v>
      </c>
      <c r="M1669" s="218" t="str">
        <f t="shared" si="757"/>
        <v/>
      </c>
      <c r="N1669" s="218" t="str">
        <f t="shared" si="758"/>
        <v/>
      </c>
      <c r="O1669" s="218" t="str">
        <f t="shared" si="759"/>
        <v/>
      </c>
      <c r="P1669" s="218" t="str">
        <f t="shared" si="786"/>
        <v/>
      </c>
    </row>
    <row r="1670" spans="1:16" s="3" customFormat="1" ht="12.75">
      <c r="A1670" s="58" t="s">
        <v>244</v>
      </c>
      <c r="B1670" s="65" t="s">
        <v>265</v>
      </c>
      <c r="C1670" s="308" t="s">
        <v>940</v>
      </c>
      <c r="D1670" s="42">
        <f>SUM(D1672:D1674)</f>
        <v>1800000</v>
      </c>
      <c r="E1670" s="42">
        <f>SUM(E1672:E1674)</f>
        <v>0</v>
      </c>
      <c r="F1670" s="42">
        <f t="shared" si="784"/>
        <v>1800000</v>
      </c>
      <c r="G1670" s="55">
        <f>SUM(G1672:G1674)</f>
        <v>1800000</v>
      </c>
      <c r="H1670" s="55">
        <f>SUM(H1672:H1674)</f>
        <v>0</v>
      </c>
      <c r="I1670" s="55">
        <f t="shared" si="782"/>
        <v>1800000</v>
      </c>
      <c r="J1670" s="42">
        <f>SUM(J1672:J1674)</f>
        <v>1964870</v>
      </c>
      <c r="K1670" s="42">
        <f>SUM(K1672:K1674)</f>
        <v>0</v>
      </c>
      <c r="L1670" s="42">
        <f t="shared" si="785"/>
        <v>1964870</v>
      </c>
      <c r="M1670" s="225">
        <f t="shared" si="757"/>
        <v>109.15944444444446</v>
      </c>
      <c r="N1670" s="225">
        <f t="shared" si="758"/>
        <v>109.15944444444446</v>
      </c>
      <c r="O1670" s="225">
        <f t="shared" si="759"/>
        <v>109.15944444444446</v>
      </c>
      <c r="P1670" s="225">
        <f t="shared" si="786"/>
        <v>109.15944444444446</v>
      </c>
    </row>
    <row r="1671" spans="1:16" s="3" customFormat="1" hidden="1">
      <c r="A1671" s="36" t="s">
        <v>267</v>
      </c>
      <c r="B1671" s="184"/>
      <c r="C1671" s="320" t="s">
        <v>268</v>
      </c>
      <c r="D1671" s="38">
        <f>SUM(D1672:D1674)</f>
        <v>1800000</v>
      </c>
      <c r="E1671" s="77"/>
      <c r="F1671" s="63">
        <f t="shared" si="784"/>
        <v>1800000</v>
      </c>
      <c r="G1671" s="38">
        <f>SUM(G1672:G1674)</f>
        <v>1800000</v>
      </c>
      <c r="H1671" s="109"/>
      <c r="I1671" s="38">
        <f t="shared" si="782"/>
        <v>1800000</v>
      </c>
      <c r="J1671" s="63">
        <f>SUM(J1672:J1674)</f>
        <v>1964870</v>
      </c>
      <c r="K1671" s="77"/>
      <c r="L1671" s="63">
        <f t="shared" ref="L1671" si="787">SUM(J1671:K1671)</f>
        <v>1964870</v>
      </c>
      <c r="M1671" s="218">
        <f t="shared" si="757"/>
        <v>109.15944444444446</v>
      </c>
      <c r="N1671" s="218">
        <f t="shared" si="758"/>
        <v>109.15944444444446</v>
      </c>
      <c r="O1671" s="218">
        <f t="shared" si="759"/>
        <v>109.15944444444446</v>
      </c>
      <c r="P1671" s="218">
        <f t="shared" si="786"/>
        <v>109.15944444444446</v>
      </c>
    </row>
    <row r="1672" spans="1:16" s="3" customFormat="1" ht="12.75" customHeight="1">
      <c r="A1672" s="36" t="s">
        <v>180</v>
      </c>
      <c r="B1672" s="33" t="s">
        <v>419</v>
      </c>
      <c r="C1672" s="211" t="s">
        <v>1788</v>
      </c>
      <c r="D1672" s="38">
        <v>1683500</v>
      </c>
      <c r="E1672" s="38"/>
      <c r="F1672" s="63">
        <f t="shared" si="784"/>
        <v>1683500</v>
      </c>
      <c r="G1672" s="38">
        <v>1683500</v>
      </c>
      <c r="H1672" s="38"/>
      <c r="I1672" s="38">
        <f t="shared" si="782"/>
        <v>1683500</v>
      </c>
      <c r="J1672" s="63">
        <v>1957870</v>
      </c>
      <c r="K1672" s="38"/>
      <c r="L1672" s="63">
        <f t="shared" ref="L1672:L1674" si="788">SUM(J1672:K1672)</f>
        <v>1957870</v>
      </c>
      <c r="M1672" s="218">
        <f t="shared" si="757"/>
        <v>116.2975942975943</v>
      </c>
      <c r="N1672" s="218">
        <f t="shared" si="758"/>
        <v>116.2975942975943</v>
      </c>
      <c r="O1672" s="218">
        <f t="shared" si="759"/>
        <v>116.2975942975943</v>
      </c>
      <c r="P1672" s="218">
        <f t="shared" si="786"/>
        <v>116.2975942975943</v>
      </c>
    </row>
    <row r="1673" spans="1:16" s="3" customFormat="1" ht="12.75" customHeight="1">
      <c r="A1673" s="36" t="s">
        <v>651</v>
      </c>
      <c r="B1673" s="33" t="s">
        <v>650</v>
      </c>
      <c r="C1673" s="211" t="s">
        <v>2443</v>
      </c>
      <c r="D1673" s="38"/>
      <c r="E1673" s="38"/>
      <c r="F1673" s="63"/>
      <c r="G1673" s="38"/>
      <c r="H1673" s="38"/>
      <c r="I1673" s="38"/>
      <c r="J1673" s="63">
        <v>7000</v>
      </c>
      <c r="K1673" s="38"/>
      <c r="L1673" s="63">
        <f t="shared" si="788"/>
        <v>7000</v>
      </c>
      <c r="M1673" s="218" t="str">
        <f t="shared" si="757"/>
        <v/>
      </c>
      <c r="N1673" s="218" t="str">
        <f t="shared" si="758"/>
        <v/>
      </c>
      <c r="O1673" s="218" t="str">
        <f t="shared" si="759"/>
        <v/>
      </c>
      <c r="P1673" s="218"/>
    </row>
    <row r="1674" spans="1:16" s="3" customFormat="1" ht="12.75" customHeight="1">
      <c r="A1674" s="46" t="s">
        <v>851</v>
      </c>
      <c r="B1674" s="211" t="s">
        <v>445</v>
      </c>
      <c r="C1674" s="211" t="s">
        <v>1789</v>
      </c>
      <c r="D1674" s="38">
        <v>116500</v>
      </c>
      <c r="E1674" s="38"/>
      <c r="F1674" s="63">
        <f>SUM(D1674:E1674)</f>
        <v>116500</v>
      </c>
      <c r="G1674" s="38">
        <v>116500</v>
      </c>
      <c r="H1674" s="38"/>
      <c r="I1674" s="38">
        <f t="shared" si="782"/>
        <v>116500</v>
      </c>
      <c r="J1674" s="38"/>
      <c r="K1674" s="38"/>
      <c r="L1674" s="63">
        <f t="shared" si="788"/>
        <v>0</v>
      </c>
      <c r="M1674" s="218">
        <f t="shared" si="757"/>
        <v>0</v>
      </c>
      <c r="N1674" s="218">
        <f t="shared" si="758"/>
        <v>0</v>
      </c>
      <c r="O1674" s="218">
        <f t="shared" si="759"/>
        <v>0</v>
      </c>
      <c r="P1674" s="218">
        <f t="shared" si="786"/>
        <v>0</v>
      </c>
    </row>
    <row r="1675" spans="1:16" s="3" customFormat="1" ht="6" customHeight="1">
      <c r="A1675" s="36"/>
      <c r="B1675" s="47"/>
      <c r="C1675" s="212" t="s">
        <v>268</v>
      </c>
      <c r="D1675" s="63"/>
      <c r="E1675" s="63"/>
      <c r="F1675" s="63"/>
      <c r="G1675" s="38"/>
      <c r="H1675" s="38"/>
      <c r="I1675" s="38"/>
      <c r="J1675" s="63"/>
      <c r="K1675" s="63"/>
      <c r="L1675" s="63"/>
      <c r="M1675" s="218" t="str">
        <f t="shared" si="757"/>
        <v/>
      </c>
      <c r="N1675" s="218" t="str">
        <f t="shared" si="758"/>
        <v/>
      </c>
      <c r="O1675" s="218" t="str">
        <f t="shared" si="759"/>
        <v/>
      </c>
      <c r="P1675" s="218" t="str">
        <f t="shared" si="786"/>
        <v/>
      </c>
    </row>
    <row r="1676" spans="1:16" s="3" customFormat="1" ht="12.75">
      <c r="A1676" s="58" t="s">
        <v>436</v>
      </c>
      <c r="B1676" s="65" t="s">
        <v>265</v>
      </c>
      <c r="C1676" s="308" t="s">
        <v>940</v>
      </c>
      <c r="D1676" s="86">
        <f>SUM(D1678:D1682)</f>
        <v>1726300</v>
      </c>
      <c r="E1676" s="86">
        <f>SUM(E1678:E1682)</f>
        <v>0</v>
      </c>
      <c r="F1676" s="86">
        <f>SUM(D1676:E1676)</f>
        <v>1726300</v>
      </c>
      <c r="G1676" s="262">
        <f>SUM(G1678:G1682)</f>
        <v>1853310</v>
      </c>
      <c r="H1676" s="262">
        <f>SUM(H1678:H1682)</f>
        <v>0</v>
      </c>
      <c r="I1676" s="262">
        <f>SUM(G1676:H1676)</f>
        <v>1853310</v>
      </c>
      <c r="J1676" s="86">
        <f>SUM(J1678:J1682)</f>
        <v>1988900</v>
      </c>
      <c r="K1676" s="86">
        <f>SUM(K1678:K1682)</f>
        <v>0</v>
      </c>
      <c r="L1676" s="86">
        <f>SUM(J1676:K1676)</f>
        <v>1988900</v>
      </c>
      <c r="M1676" s="236">
        <f t="shared" si="757"/>
        <v>115.21172449748016</v>
      </c>
      <c r="N1676" s="236">
        <f t="shared" si="758"/>
        <v>115.21172449748016</v>
      </c>
      <c r="O1676" s="236">
        <f t="shared" si="759"/>
        <v>107.31609930340849</v>
      </c>
      <c r="P1676" s="236">
        <f t="shared" si="786"/>
        <v>107.31609930340849</v>
      </c>
    </row>
    <row r="1677" spans="1:16" s="3" customFormat="1" hidden="1">
      <c r="A1677" s="80" t="s">
        <v>267</v>
      </c>
      <c r="B1677" s="184"/>
      <c r="C1677" s="320" t="s">
        <v>268</v>
      </c>
      <c r="D1677" s="95">
        <f>SUM(D1678:D1682)</f>
        <v>1726300</v>
      </c>
      <c r="E1677" s="95"/>
      <c r="F1677" s="63">
        <f>SUM(D1677:E1677)</f>
        <v>1726300</v>
      </c>
      <c r="G1677" s="261">
        <f>SUM(G1678:G1682)</f>
        <v>1853310</v>
      </c>
      <c r="H1677" s="261"/>
      <c r="I1677" s="38">
        <f>SUM(G1677:H1677)</f>
        <v>1853310</v>
      </c>
      <c r="J1677" s="63">
        <f>SUM(J1678:J1682)</f>
        <v>1988900</v>
      </c>
      <c r="K1677" s="95"/>
      <c r="L1677" s="63">
        <f>SUM(J1677:K1677)</f>
        <v>1988900</v>
      </c>
      <c r="M1677" s="218">
        <f t="shared" si="757"/>
        <v>115.21172449748016</v>
      </c>
      <c r="N1677" s="218">
        <f t="shared" si="758"/>
        <v>115.21172449748016</v>
      </c>
      <c r="O1677" s="218">
        <f t="shared" si="759"/>
        <v>107.31609930340849</v>
      </c>
      <c r="P1677" s="218">
        <f t="shared" si="786"/>
        <v>107.31609930340849</v>
      </c>
    </row>
    <row r="1678" spans="1:16" s="3" customFormat="1" ht="12.75" customHeight="1">
      <c r="A1678" s="36" t="s">
        <v>180</v>
      </c>
      <c r="B1678" s="33" t="s">
        <v>419</v>
      </c>
      <c r="C1678" s="211" t="s">
        <v>1790</v>
      </c>
      <c r="D1678" s="87">
        <v>1652800</v>
      </c>
      <c r="E1678" s="87"/>
      <c r="F1678" s="63">
        <f>SUM(D1678:E1678)</f>
        <v>1652800</v>
      </c>
      <c r="G1678" s="87">
        <v>1693310</v>
      </c>
      <c r="H1678" s="87"/>
      <c r="I1678" s="38">
        <f>SUM(G1678:H1678)</f>
        <v>1693310</v>
      </c>
      <c r="J1678" s="87">
        <v>1659000</v>
      </c>
      <c r="K1678" s="87"/>
      <c r="L1678" s="63">
        <f>SUM(J1678:K1678)</f>
        <v>1659000</v>
      </c>
      <c r="M1678" s="218">
        <f t="shared" si="757"/>
        <v>100.37512100677637</v>
      </c>
      <c r="N1678" s="218">
        <f t="shared" si="758"/>
        <v>100.37512100677637</v>
      </c>
      <c r="O1678" s="218">
        <f t="shared" si="759"/>
        <v>97.973790977434732</v>
      </c>
      <c r="P1678" s="218">
        <f t="shared" si="786"/>
        <v>97.973790977434732</v>
      </c>
    </row>
    <row r="1679" spans="1:16" s="3" customFormat="1" ht="12.75" customHeight="1">
      <c r="A1679" s="36" t="s">
        <v>368</v>
      </c>
      <c r="B1679" s="33" t="s">
        <v>418</v>
      </c>
      <c r="C1679" s="211" t="s">
        <v>2319</v>
      </c>
      <c r="D1679" s="87"/>
      <c r="E1679" s="87"/>
      <c r="F1679" s="63"/>
      <c r="G1679" s="87">
        <v>70000</v>
      </c>
      <c r="H1679" s="87"/>
      <c r="I1679" s="38">
        <f>SUM(G1679:H1679)</f>
        <v>70000</v>
      </c>
      <c r="J1679" s="87">
        <v>165000</v>
      </c>
      <c r="K1679" s="87"/>
      <c r="L1679" s="63">
        <f t="shared" ref="L1679" si="789">SUM(J1679:K1679)</f>
        <v>165000</v>
      </c>
      <c r="M1679" s="218" t="str">
        <f t="shared" ref="M1679:M1742" si="790">IF(D1679&gt;0,IF(J1679&gt;=0,J1679/D1679*100,""),"")</f>
        <v/>
      </c>
      <c r="N1679" s="218" t="str">
        <f t="shared" ref="N1679:N1742" si="791">IF(F1679&gt;0,IF(L1679&gt;=0,L1679/F1679*100,""),"")</f>
        <v/>
      </c>
      <c r="O1679" s="218">
        <f t="shared" ref="O1679:O1742" si="792">IF(G1679&gt;0,IF(J1679&gt;=0,J1679/G1679*100,""),"")</f>
        <v>235.71428571428572</v>
      </c>
      <c r="P1679" s="218">
        <f t="shared" ref="P1679:P1681" si="793">IF(I1679&gt;0,IF(L1679&gt;=0,L1679/I1679*100,""),"")</f>
        <v>235.71428571428572</v>
      </c>
    </row>
    <row r="1680" spans="1:16" s="3" customFormat="1" ht="12.75" customHeight="1">
      <c r="A1680" s="341" t="s">
        <v>2457</v>
      </c>
      <c r="B1680" s="33"/>
      <c r="C1680" s="211"/>
      <c r="D1680" s="87"/>
      <c r="E1680" s="87"/>
      <c r="F1680" s="63"/>
      <c r="G1680" s="87"/>
      <c r="H1680" s="87"/>
      <c r="I1680" s="38"/>
      <c r="J1680" s="87"/>
      <c r="K1680" s="87"/>
      <c r="L1680" s="63"/>
      <c r="M1680" s="218" t="str">
        <f t="shared" si="790"/>
        <v/>
      </c>
      <c r="N1680" s="218" t="str">
        <f t="shared" si="791"/>
        <v/>
      </c>
      <c r="O1680" s="218" t="str">
        <f t="shared" si="792"/>
        <v/>
      </c>
      <c r="P1680" s="218" t="str">
        <f t="shared" si="793"/>
        <v/>
      </c>
    </row>
    <row r="1681" spans="1:16" s="3" customFormat="1" ht="12.75" customHeight="1">
      <c r="A1681" s="36" t="s">
        <v>358</v>
      </c>
      <c r="B1681" s="33" t="s">
        <v>417</v>
      </c>
      <c r="C1681" s="211" t="s">
        <v>2444</v>
      </c>
      <c r="D1681" s="87"/>
      <c r="E1681" s="87"/>
      <c r="F1681" s="63"/>
      <c r="G1681" s="87"/>
      <c r="H1681" s="87"/>
      <c r="I1681" s="38"/>
      <c r="J1681" s="87">
        <v>89900</v>
      </c>
      <c r="K1681" s="87"/>
      <c r="L1681" s="63">
        <f>SUM(J1681:K1681)</f>
        <v>89900</v>
      </c>
      <c r="M1681" s="218" t="str">
        <f t="shared" si="790"/>
        <v/>
      </c>
      <c r="N1681" s="218" t="str">
        <f t="shared" si="791"/>
        <v/>
      </c>
      <c r="O1681" s="218" t="str">
        <f t="shared" si="792"/>
        <v/>
      </c>
      <c r="P1681" s="218" t="str">
        <f t="shared" si="793"/>
        <v/>
      </c>
    </row>
    <row r="1682" spans="1:16" s="3" customFormat="1" ht="12.75" customHeight="1">
      <c r="A1682" s="36" t="s">
        <v>651</v>
      </c>
      <c r="B1682" s="33" t="s">
        <v>650</v>
      </c>
      <c r="C1682" s="211" t="s">
        <v>1791</v>
      </c>
      <c r="D1682" s="63">
        <v>73500</v>
      </c>
      <c r="E1682" s="63"/>
      <c r="F1682" s="63">
        <f>SUM(D1682:E1682)</f>
        <v>73500</v>
      </c>
      <c r="G1682" s="38">
        <v>90000</v>
      </c>
      <c r="H1682" s="38"/>
      <c r="I1682" s="38">
        <f>SUM(G1682:H1682)</f>
        <v>90000</v>
      </c>
      <c r="J1682" s="63">
        <v>75000</v>
      </c>
      <c r="K1682" s="63"/>
      <c r="L1682" s="63">
        <f>SUM(J1682:K1682)</f>
        <v>75000</v>
      </c>
      <c r="M1682" s="218">
        <f t="shared" si="790"/>
        <v>102.04081632653062</v>
      </c>
      <c r="N1682" s="218">
        <f t="shared" si="791"/>
        <v>102.04081632653062</v>
      </c>
      <c r="O1682" s="218">
        <f t="shared" si="792"/>
        <v>83.333333333333343</v>
      </c>
      <c r="P1682" s="218">
        <f>IF(I1682&gt;0,IF(L1682&gt;=0,L1682/I1682*100,""),"")</f>
        <v>83.333333333333343</v>
      </c>
    </row>
    <row r="1683" spans="1:16" s="3" customFormat="1" ht="6" customHeight="1">
      <c r="A1683" s="36"/>
      <c r="B1683" s="33"/>
      <c r="C1683" s="211" t="s">
        <v>268</v>
      </c>
      <c r="D1683" s="63"/>
      <c r="E1683" s="63"/>
      <c r="F1683" s="63"/>
      <c r="G1683" s="38"/>
      <c r="H1683" s="38"/>
      <c r="I1683" s="38"/>
      <c r="J1683" s="63"/>
      <c r="K1683" s="63"/>
      <c r="L1683" s="63"/>
      <c r="M1683" s="218" t="str">
        <f t="shared" si="790"/>
        <v/>
      </c>
      <c r="N1683" s="218" t="str">
        <f t="shared" si="791"/>
        <v/>
      </c>
      <c r="O1683" s="218" t="str">
        <f t="shared" si="792"/>
        <v/>
      </c>
      <c r="P1683" s="218" t="str">
        <f t="shared" ref="P1683:P1728" si="794">IF(I1683&gt;0,IF(L1683&gt;=0,L1683/I1683*100,""),"")</f>
        <v/>
      </c>
    </row>
    <row r="1684" spans="1:16" s="3" customFormat="1" ht="12.75">
      <c r="A1684" s="58" t="s">
        <v>441</v>
      </c>
      <c r="B1684" s="65" t="s">
        <v>265</v>
      </c>
      <c r="C1684" s="308" t="s">
        <v>940</v>
      </c>
      <c r="D1684" s="42">
        <f>SUM(D1686:D1688)</f>
        <v>1927470</v>
      </c>
      <c r="E1684" s="42">
        <f>SUM(E1686:E1688)</f>
        <v>0</v>
      </c>
      <c r="F1684" s="42">
        <f t="shared" ref="F1684:F1687" si="795">SUM(D1684:E1684)</f>
        <v>1927470</v>
      </c>
      <c r="G1684" s="55">
        <f>SUM(G1686:G1688)</f>
        <v>2070670</v>
      </c>
      <c r="H1684" s="55">
        <f>SUM(H1686:H1688)</f>
        <v>0</v>
      </c>
      <c r="I1684" s="55">
        <f t="shared" ref="I1684:I1704" si="796">SUM(G1684:H1684)</f>
        <v>2070670</v>
      </c>
      <c r="J1684" s="42">
        <f>SUM(J1686:J1688)</f>
        <v>2056300</v>
      </c>
      <c r="K1684" s="42">
        <f>SUM(K1686:K1688)</f>
        <v>0</v>
      </c>
      <c r="L1684" s="42">
        <f t="shared" ref="L1684:L1696" si="797">SUM(J1684:K1684)</f>
        <v>2056300</v>
      </c>
      <c r="M1684" s="225">
        <f t="shared" si="790"/>
        <v>106.68389131867161</v>
      </c>
      <c r="N1684" s="225">
        <f t="shared" si="791"/>
        <v>106.68389131867161</v>
      </c>
      <c r="O1684" s="225">
        <f t="shared" si="792"/>
        <v>99.306021722437663</v>
      </c>
      <c r="P1684" s="225">
        <f t="shared" si="794"/>
        <v>99.306021722437663</v>
      </c>
    </row>
    <row r="1685" spans="1:16" s="3" customFormat="1" hidden="1">
      <c r="A1685" s="80" t="s">
        <v>267</v>
      </c>
      <c r="B1685" s="184"/>
      <c r="C1685" s="320" t="s">
        <v>268</v>
      </c>
      <c r="D1685" s="38">
        <f>SUM(D1686:D1688)</f>
        <v>1927470</v>
      </c>
      <c r="E1685" s="190"/>
      <c r="F1685" s="87">
        <f t="shared" si="795"/>
        <v>1927470</v>
      </c>
      <c r="G1685" s="38">
        <f>SUM(G1686:G1688)</f>
        <v>2070670</v>
      </c>
      <c r="H1685" s="265"/>
      <c r="I1685" s="87">
        <f t="shared" si="796"/>
        <v>2070670</v>
      </c>
      <c r="J1685" s="87">
        <f>SUM(J1686:J1688)</f>
        <v>2056300</v>
      </c>
      <c r="K1685" s="190"/>
      <c r="L1685" s="87">
        <f t="shared" si="797"/>
        <v>2056300</v>
      </c>
      <c r="M1685" s="242">
        <f t="shared" si="790"/>
        <v>106.68389131867161</v>
      </c>
      <c r="N1685" s="242">
        <f t="shared" si="791"/>
        <v>106.68389131867161</v>
      </c>
      <c r="O1685" s="242">
        <f t="shared" si="792"/>
        <v>99.306021722437663</v>
      </c>
      <c r="P1685" s="242">
        <f t="shared" si="794"/>
        <v>99.306021722437663</v>
      </c>
    </row>
    <row r="1686" spans="1:16" s="3" customFormat="1" ht="12.75" customHeight="1">
      <c r="A1686" s="36" t="s">
        <v>180</v>
      </c>
      <c r="B1686" s="33" t="s">
        <v>419</v>
      </c>
      <c r="C1686" s="211" t="s">
        <v>1792</v>
      </c>
      <c r="D1686" s="38">
        <v>1822670</v>
      </c>
      <c r="E1686" s="38"/>
      <c r="F1686" s="87">
        <f t="shared" si="795"/>
        <v>1822670</v>
      </c>
      <c r="G1686" s="38">
        <v>1873870</v>
      </c>
      <c r="H1686" s="38"/>
      <c r="I1686" s="87">
        <f t="shared" si="796"/>
        <v>1873870</v>
      </c>
      <c r="J1686" s="63">
        <v>1917500</v>
      </c>
      <c r="K1686" s="38"/>
      <c r="L1686" s="87">
        <f t="shared" si="797"/>
        <v>1917500</v>
      </c>
      <c r="M1686" s="242">
        <f t="shared" si="790"/>
        <v>105.20280687123835</v>
      </c>
      <c r="N1686" s="242">
        <f t="shared" si="791"/>
        <v>105.20280687123835</v>
      </c>
      <c r="O1686" s="242">
        <f t="shared" si="792"/>
        <v>102.32833654415727</v>
      </c>
      <c r="P1686" s="242">
        <f t="shared" si="794"/>
        <v>102.32833654415727</v>
      </c>
    </row>
    <row r="1687" spans="1:16" s="3" customFormat="1" ht="12.75" customHeight="1">
      <c r="A1687" s="36" t="s">
        <v>651</v>
      </c>
      <c r="B1687" s="33" t="s">
        <v>650</v>
      </c>
      <c r="C1687" s="211" t="s">
        <v>1793</v>
      </c>
      <c r="D1687" s="38">
        <v>94800</v>
      </c>
      <c r="E1687" s="38"/>
      <c r="F1687" s="63">
        <f t="shared" si="795"/>
        <v>94800</v>
      </c>
      <c r="G1687" s="38">
        <v>117700</v>
      </c>
      <c r="H1687" s="38"/>
      <c r="I1687" s="38">
        <f t="shared" si="796"/>
        <v>117700</v>
      </c>
      <c r="J1687" s="63">
        <v>127800</v>
      </c>
      <c r="K1687" s="38"/>
      <c r="L1687" s="63">
        <f t="shared" si="797"/>
        <v>127800</v>
      </c>
      <c r="M1687" s="218">
        <f t="shared" si="790"/>
        <v>134.81012658227849</v>
      </c>
      <c r="N1687" s="218">
        <f t="shared" si="791"/>
        <v>134.81012658227849</v>
      </c>
      <c r="O1687" s="218">
        <f t="shared" si="792"/>
        <v>108.58113848768053</v>
      </c>
      <c r="P1687" s="218">
        <f t="shared" si="794"/>
        <v>108.58113848768053</v>
      </c>
    </row>
    <row r="1688" spans="1:16" s="3" customFormat="1" ht="12.75" customHeight="1">
      <c r="A1688" s="36" t="s">
        <v>375</v>
      </c>
      <c r="B1688" s="33" t="s">
        <v>150</v>
      </c>
      <c r="C1688" s="211" t="s">
        <v>1794</v>
      </c>
      <c r="D1688" s="38">
        <v>10000</v>
      </c>
      <c r="E1688" s="38"/>
      <c r="F1688" s="63">
        <f>SUM(D1688:E1688)</f>
        <v>10000</v>
      </c>
      <c r="G1688" s="38">
        <v>79100</v>
      </c>
      <c r="H1688" s="38"/>
      <c r="I1688" s="38">
        <f t="shared" si="796"/>
        <v>79100</v>
      </c>
      <c r="J1688" s="63">
        <v>11000</v>
      </c>
      <c r="K1688" s="38"/>
      <c r="L1688" s="63">
        <f>SUM(J1688:K1688)</f>
        <v>11000</v>
      </c>
      <c r="M1688" s="218">
        <f t="shared" si="790"/>
        <v>110.00000000000001</v>
      </c>
      <c r="N1688" s="218">
        <f t="shared" si="791"/>
        <v>110.00000000000001</v>
      </c>
      <c r="O1688" s="218">
        <f t="shared" si="792"/>
        <v>13.906447534766119</v>
      </c>
      <c r="P1688" s="218">
        <f t="shared" si="794"/>
        <v>13.906447534766119</v>
      </c>
    </row>
    <row r="1689" spans="1:16" s="3" customFormat="1" ht="6" customHeight="1">
      <c r="A1689" s="36"/>
      <c r="B1689" s="33"/>
      <c r="C1689" s="211" t="s">
        <v>268</v>
      </c>
      <c r="D1689" s="63"/>
      <c r="E1689" s="63"/>
      <c r="F1689" s="95">
        <f t="shared" ref="F1689:F1702" si="798">SUM(D1689:E1689)</f>
        <v>0</v>
      </c>
      <c r="G1689" s="38"/>
      <c r="H1689" s="38"/>
      <c r="I1689" s="261">
        <f t="shared" si="796"/>
        <v>0</v>
      </c>
      <c r="J1689" s="95"/>
      <c r="K1689" s="63"/>
      <c r="L1689" s="95">
        <f t="shared" si="797"/>
        <v>0</v>
      </c>
      <c r="M1689" s="243" t="str">
        <f t="shared" si="790"/>
        <v/>
      </c>
      <c r="N1689" s="243" t="str">
        <f t="shared" si="791"/>
        <v/>
      </c>
      <c r="O1689" s="243" t="str">
        <f t="shared" si="792"/>
        <v/>
      </c>
      <c r="P1689" s="243" t="str">
        <f t="shared" si="794"/>
        <v/>
      </c>
    </row>
    <row r="1690" spans="1:16" s="3" customFormat="1" ht="12.75">
      <c r="A1690" s="58" t="s">
        <v>438</v>
      </c>
      <c r="B1690" s="65" t="s">
        <v>265</v>
      </c>
      <c r="C1690" s="308" t="s">
        <v>940</v>
      </c>
      <c r="D1690" s="42">
        <f>SUM(D1692:D1698)</f>
        <v>2252230</v>
      </c>
      <c r="E1690" s="42">
        <f>SUM(E1692:E1698)</f>
        <v>0</v>
      </c>
      <c r="F1690" s="42">
        <f t="shared" si="798"/>
        <v>2252230</v>
      </c>
      <c r="G1690" s="55">
        <f>SUM(G1692:G1698)</f>
        <v>4461730</v>
      </c>
      <c r="H1690" s="55">
        <f>SUM(H1692:H1698)</f>
        <v>0</v>
      </c>
      <c r="I1690" s="55">
        <f t="shared" si="796"/>
        <v>4461730</v>
      </c>
      <c r="J1690" s="42">
        <f>SUM(J1692:J1698)</f>
        <v>2332100</v>
      </c>
      <c r="K1690" s="42">
        <f>SUM(K1692:K1698)</f>
        <v>0</v>
      </c>
      <c r="L1690" s="42">
        <f t="shared" si="797"/>
        <v>2332100</v>
      </c>
      <c r="M1690" s="225">
        <f t="shared" si="790"/>
        <v>103.54626303707882</v>
      </c>
      <c r="N1690" s="225">
        <f t="shared" si="791"/>
        <v>103.54626303707882</v>
      </c>
      <c r="O1690" s="225">
        <f t="shared" si="792"/>
        <v>52.268962935901541</v>
      </c>
      <c r="P1690" s="225">
        <f t="shared" si="794"/>
        <v>52.268962935901541</v>
      </c>
    </row>
    <row r="1691" spans="1:16" s="3" customFormat="1" ht="12.75" customHeight="1">
      <c r="A1691" s="80" t="s">
        <v>267</v>
      </c>
      <c r="B1691" s="79"/>
      <c r="C1691" s="302" t="s">
        <v>268</v>
      </c>
      <c r="D1691" s="113">
        <f>SUM(D1692:D1697)</f>
        <v>2252230</v>
      </c>
      <c r="E1691" s="113">
        <f>SUM(E1692:E1697)</f>
        <v>0</v>
      </c>
      <c r="F1691" s="63">
        <f t="shared" si="798"/>
        <v>2252230</v>
      </c>
      <c r="G1691" s="187">
        <f>SUM(G1692:G1697)</f>
        <v>2361730</v>
      </c>
      <c r="H1691" s="187">
        <f>SUM(H1692:H1697)</f>
        <v>0</v>
      </c>
      <c r="I1691" s="38">
        <f t="shared" si="796"/>
        <v>2361730</v>
      </c>
      <c r="J1691" s="63">
        <f>SUM(J1692:J1697)</f>
        <v>2332100</v>
      </c>
      <c r="K1691" s="113">
        <f>SUM(K1692:K1697)</f>
        <v>0</v>
      </c>
      <c r="L1691" s="63">
        <f t="shared" si="797"/>
        <v>2332100</v>
      </c>
      <c r="M1691" s="218">
        <f t="shared" si="790"/>
        <v>103.54626303707882</v>
      </c>
      <c r="N1691" s="218">
        <f t="shared" si="791"/>
        <v>103.54626303707882</v>
      </c>
      <c r="O1691" s="218">
        <f t="shared" si="792"/>
        <v>98.745411202804718</v>
      </c>
      <c r="P1691" s="218">
        <f t="shared" si="794"/>
        <v>98.745411202804718</v>
      </c>
    </row>
    <row r="1692" spans="1:16" s="3" customFormat="1" ht="12.75" customHeight="1">
      <c r="A1692" s="36" t="s">
        <v>180</v>
      </c>
      <c r="B1692" s="33" t="s">
        <v>419</v>
      </c>
      <c r="C1692" s="211" t="s">
        <v>1795</v>
      </c>
      <c r="D1692" s="38">
        <v>2105530</v>
      </c>
      <c r="E1692" s="38"/>
      <c r="F1692" s="63">
        <f t="shared" si="798"/>
        <v>2105530</v>
      </c>
      <c r="G1692" s="38">
        <v>2198230</v>
      </c>
      <c r="H1692" s="38"/>
      <c r="I1692" s="38">
        <f t="shared" si="796"/>
        <v>2198230</v>
      </c>
      <c r="J1692" s="63">
        <v>2153400</v>
      </c>
      <c r="K1692" s="38"/>
      <c r="L1692" s="63">
        <f t="shared" si="797"/>
        <v>2153400</v>
      </c>
      <c r="M1692" s="218">
        <f t="shared" si="790"/>
        <v>102.2735368292069</v>
      </c>
      <c r="N1692" s="218">
        <f t="shared" si="791"/>
        <v>102.2735368292069</v>
      </c>
      <c r="O1692" s="218">
        <f t="shared" si="792"/>
        <v>97.960631962988415</v>
      </c>
      <c r="P1692" s="218">
        <f t="shared" si="794"/>
        <v>97.960631962988415</v>
      </c>
    </row>
    <row r="1693" spans="1:16" s="3" customFormat="1" ht="12.75" customHeight="1">
      <c r="A1693" s="36" t="s">
        <v>358</v>
      </c>
      <c r="B1693" s="33" t="s">
        <v>417</v>
      </c>
      <c r="C1693" s="211" t="s">
        <v>2445</v>
      </c>
      <c r="D1693" s="38"/>
      <c r="E1693" s="38"/>
      <c r="F1693" s="63"/>
      <c r="G1693" s="38"/>
      <c r="H1693" s="38"/>
      <c r="I1693" s="38"/>
      <c r="J1693" s="63">
        <v>76700</v>
      </c>
      <c r="K1693" s="38"/>
      <c r="L1693" s="63">
        <f t="shared" si="797"/>
        <v>76700</v>
      </c>
      <c r="M1693" s="218" t="str">
        <f t="shared" si="790"/>
        <v/>
      </c>
      <c r="N1693" s="218" t="str">
        <f t="shared" si="791"/>
        <v/>
      </c>
      <c r="O1693" s="218" t="str">
        <f t="shared" si="792"/>
        <v/>
      </c>
      <c r="P1693" s="218"/>
    </row>
    <row r="1694" spans="1:16" s="3" customFormat="1" ht="12.75" customHeight="1">
      <c r="A1694" s="36" t="s">
        <v>651</v>
      </c>
      <c r="B1694" s="33" t="s">
        <v>650</v>
      </c>
      <c r="C1694" s="211" t="s">
        <v>1796</v>
      </c>
      <c r="D1694" s="63">
        <v>99500</v>
      </c>
      <c r="E1694" s="63"/>
      <c r="F1694" s="63">
        <f t="shared" si="798"/>
        <v>99500</v>
      </c>
      <c r="G1694" s="38">
        <v>141300</v>
      </c>
      <c r="H1694" s="38"/>
      <c r="I1694" s="38">
        <f t="shared" si="796"/>
        <v>141300</v>
      </c>
      <c r="J1694" s="63">
        <v>93000</v>
      </c>
      <c r="K1694" s="63"/>
      <c r="L1694" s="63">
        <f t="shared" si="797"/>
        <v>93000</v>
      </c>
      <c r="M1694" s="218">
        <f t="shared" si="790"/>
        <v>93.467336683417088</v>
      </c>
      <c r="N1694" s="218">
        <f t="shared" si="791"/>
        <v>93.467336683417088</v>
      </c>
      <c r="O1694" s="218">
        <f t="shared" si="792"/>
        <v>65.817409766454347</v>
      </c>
      <c r="P1694" s="218">
        <f t="shared" si="794"/>
        <v>65.817409766454347</v>
      </c>
    </row>
    <row r="1695" spans="1:16" s="3" customFormat="1" ht="12.75" customHeight="1">
      <c r="A1695" s="36" t="s">
        <v>375</v>
      </c>
      <c r="B1695" s="33" t="s">
        <v>150</v>
      </c>
      <c r="C1695" s="211" t="s">
        <v>1799</v>
      </c>
      <c r="D1695" s="63">
        <v>8000</v>
      </c>
      <c r="E1695" s="63"/>
      <c r="F1695" s="63">
        <f>SUM(D1695:E1695)</f>
        <v>8000</v>
      </c>
      <c r="G1695" s="38">
        <v>8000</v>
      </c>
      <c r="H1695" s="38"/>
      <c r="I1695" s="38">
        <f>SUM(G1695:H1695)</f>
        <v>8000</v>
      </c>
      <c r="J1695" s="63">
        <v>9000</v>
      </c>
      <c r="K1695" s="63"/>
      <c r="L1695" s="63">
        <f>SUM(J1695:K1695)</f>
        <v>9000</v>
      </c>
      <c r="M1695" s="218">
        <f t="shared" si="790"/>
        <v>112.5</v>
      </c>
      <c r="N1695" s="218">
        <f t="shared" si="791"/>
        <v>112.5</v>
      </c>
      <c r="O1695" s="218">
        <f t="shared" si="792"/>
        <v>112.5</v>
      </c>
      <c r="P1695" s="218">
        <f>IF(I1695&gt;0,IF(L1695&gt;=0,L1695/I1695*100,""),"")</f>
        <v>112.5</v>
      </c>
    </row>
    <row r="1696" spans="1:16" s="3" customFormat="1" ht="12.75" customHeight="1">
      <c r="A1696" s="36" t="s">
        <v>783</v>
      </c>
      <c r="B1696" s="211" t="s">
        <v>836</v>
      </c>
      <c r="C1696" s="211" t="s">
        <v>1797</v>
      </c>
      <c r="D1696" s="63">
        <v>25000</v>
      </c>
      <c r="E1696" s="63"/>
      <c r="F1696" s="63">
        <f t="shared" si="798"/>
        <v>25000</v>
      </c>
      <c r="G1696" s="38"/>
      <c r="H1696" s="38"/>
      <c r="I1696" s="38">
        <f t="shared" si="796"/>
        <v>0</v>
      </c>
      <c r="J1696" s="63"/>
      <c r="K1696" s="63"/>
      <c r="L1696" s="63">
        <f t="shared" si="797"/>
        <v>0</v>
      </c>
      <c r="M1696" s="218">
        <f t="shared" si="790"/>
        <v>0</v>
      </c>
      <c r="N1696" s="218">
        <f t="shared" si="791"/>
        <v>0</v>
      </c>
      <c r="O1696" s="218" t="str">
        <f t="shared" si="792"/>
        <v/>
      </c>
      <c r="P1696" s="218" t="str">
        <f t="shared" si="794"/>
        <v/>
      </c>
    </row>
    <row r="1697" spans="1:16" s="3" customFormat="1" ht="12.75" customHeight="1">
      <c r="A1697" s="36" t="s">
        <v>14</v>
      </c>
      <c r="B1697" s="211" t="s">
        <v>9</v>
      </c>
      <c r="C1697" s="211" t="s">
        <v>1798</v>
      </c>
      <c r="D1697" s="63">
        <v>14200</v>
      </c>
      <c r="E1697" s="63"/>
      <c r="F1697" s="63">
        <f t="shared" si="798"/>
        <v>14200</v>
      </c>
      <c r="G1697" s="38">
        <v>14200</v>
      </c>
      <c r="H1697" s="38"/>
      <c r="I1697" s="38">
        <f t="shared" si="796"/>
        <v>14200</v>
      </c>
      <c r="J1697" s="63"/>
      <c r="K1697" s="63"/>
      <c r="L1697" s="63">
        <f t="shared" ref="L1697:L1700" si="799">SUM(J1697:K1697)</f>
        <v>0</v>
      </c>
      <c r="M1697" s="218">
        <f t="shared" si="790"/>
        <v>0</v>
      </c>
      <c r="N1697" s="218">
        <f t="shared" si="791"/>
        <v>0</v>
      </c>
      <c r="O1697" s="218">
        <f t="shared" si="792"/>
        <v>0</v>
      </c>
      <c r="P1697" s="218">
        <f t="shared" si="794"/>
        <v>0</v>
      </c>
    </row>
    <row r="1698" spans="1:16" s="3" customFormat="1" ht="12.75" customHeight="1">
      <c r="A1698" s="36" t="s">
        <v>791</v>
      </c>
      <c r="B1698" s="211" t="s">
        <v>151</v>
      </c>
      <c r="C1698" s="211" t="s">
        <v>1800</v>
      </c>
      <c r="D1698" s="63"/>
      <c r="E1698" s="63"/>
      <c r="F1698" s="63">
        <f t="shared" si="798"/>
        <v>0</v>
      </c>
      <c r="G1698" s="38">
        <v>2100000</v>
      </c>
      <c r="H1698" s="38"/>
      <c r="I1698" s="38">
        <f t="shared" si="796"/>
        <v>2100000</v>
      </c>
      <c r="J1698" s="63"/>
      <c r="K1698" s="63"/>
      <c r="L1698" s="63">
        <f t="shared" si="799"/>
        <v>0</v>
      </c>
      <c r="M1698" s="218" t="str">
        <f t="shared" si="790"/>
        <v/>
      </c>
      <c r="N1698" s="218" t="str">
        <f t="shared" si="791"/>
        <v/>
      </c>
      <c r="O1698" s="218">
        <f t="shared" si="792"/>
        <v>0</v>
      </c>
      <c r="P1698" s="218">
        <f t="shared" si="794"/>
        <v>0</v>
      </c>
    </row>
    <row r="1699" spans="1:16" s="3" customFormat="1" ht="6" customHeight="1">
      <c r="A1699" s="36"/>
      <c r="B1699" s="47"/>
      <c r="C1699" s="212" t="s">
        <v>268</v>
      </c>
      <c r="D1699" s="63"/>
      <c r="E1699" s="63"/>
      <c r="F1699" s="63">
        <f t="shared" si="798"/>
        <v>0</v>
      </c>
      <c r="G1699" s="38"/>
      <c r="H1699" s="38"/>
      <c r="I1699" s="38">
        <f t="shared" si="796"/>
        <v>0</v>
      </c>
      <c r="J1699" s="63"/>
      <c r="K1699" s="63"/>
      <c r="L1699" s="63">
        <f t="shared" si="799"/>
        <v>0</v>
      </c>
      <c r="M1699" s="218" t="str">
        <f t="shared" si="790"/>
        <v/>
      </c>
      <c r="N1699" s="218" t="str">
        <f t="shared" si="791"/>
        <v/>
      </c>
      <c r="O1699" s="218" t="str">
        <f t="shared" si="792"/>
        <v/>
      </c>
      <c r="P1699" s="218" t="str">
        <f t="shared" si="794"/>
        <v/>
      </c>
    </row>
    <row r="1700" spans="1:16" s="3" customFormat="1" ht="12.75">
      <c r="A1700" s="58" t="s">
        <v>439</v>
      </c>
      <c r="B1700" s="65" t="s">
        <v>265</v>
      </c>
      <c r="C1700" s="308" t="s">
        <v>940</v>
      </c>
      <c r="D1700" s="42">
        <f>SUM(D1702:D1705)</f>
        <v>1458110</v>
      </c>
      <c r="E1700" s="42">
        <f>SUM(E1702:E1705)</f>
        <v>0</v>
      </c>
      <c r="F1700" s="42">
        <f t="shared" si="798"/>
        <v>1458110</v>
      </c>
      <c r="G1700" s="55">
        <f>SUM(G1702:G1705)</f>
        <v>1510510</v>
      </c>
      <c r="H1700" s="55">
        <f>SUM(H1702:H1705)</f>
        <v>0</v>
      </c>
      <c r="I1700" s="55">
        <f t="shared" si="796"/>
        <v>1510510</v>
      </c>
      <c r="J1700" s="42">
        <f>SUM(J1702:J1705)</f>
        <v>1634400</v>
      </c>
      <c r="K1700" s="42">
        <f>SUM(K1702:K1705)</f>
        <v>0</v>
      </c>
      <c r="L1700" s="42">
        <f t="shared" si="799"/>
        <v>1634400</v>
      </c>
      <c r="M1700" s="225">
        <f t="shared" si="790"/>
        <v>112.09030868727325</v>
      </c>
      <c r="N1700" s="225">
        <f t="shared" si="791"/>
        <v>112.09030868727325</v>
      </c>
      <c r="O1700" s="225">
        <f t="shared" si="792"/>
        <v>108.20186559506394</v>
      </c>
      <c r="P1700" s="225">
        <f t="shared" si="794"/>
        <v>108.20186559506394</v>
      </c>
    </row>
    <row r="1701" spans="1:16" s="3" customFormat="1" hidden="1">
      <c r="A1701" s="80" t="s">
        <v>267</v>
      </c>
      <c r="B1701" s="184"/>
      <c r="C1701" s="320" t="s">
        <v>268</v>
      </c>
      <c r="D1701" s="38">
        <f>SUM(D1702:D1705)</f>
        <v>1458110</v>
      </c>
      <c r="E1701" s="77"/>
      <c r="F1701" s="63">
        <f t="shared" si="798"/>
        <v>1458110</v>
      </c>
      <c r="G1701" s="38">
        <f>SUM(G1702:G1705)</f>
        <v>1510510</v>
      </c>
      <c r="H1701" s="109"/>
      <c r="I1701" s="38">
        <f t="shared" si="796"/>
        <v>1510510</v>
      </c>
      <c r="J1701" s="63">
        <f>SUM(J1702:J1705)</f>
        <v>1634400</v>
      </c>
      <c r="K1701" s="77"/>
      <c r="L1701" s="63">
        <f t="shared" ref="L1701" si="800">SUM(J1701:K1701)</f>
        <v>1634400</v>
      </c>
      <c r="M1701" s="218">
        <f t="shared" si="790"/>
        <v>112.09030868727325</v>
      </c>
      <c r="N1701" s="218">
        <f t="shared" si="791"/>
        <v>112.09030868727325</v>
      </c>
      <c r="O1701" s="218">
        <f t="shared" si="792"/>
        <v>108.20186559506394</v>
      </c>
      <c r="P1701" s="218">
        <f t="shared" si="794"/>
        <v>108.20186559506394</v>
      </c>
    </row>
    <row r="1702" spans="1:16" s="3" customFormat="1" ht="12.75" customHeight="1">
      <c r="A1702" s="36" t="s">
        <v>180</v>
      </c>
      <c r="B1702" s="33" t="s">
        <v>419</v>
      </c>
      <c r="C1702" s="211" t="s">
        <v>1801</v>
      </c>
      <c r="D1702" s="38">
        <v>1429110</v>
      </c>
      <c r="E1702" s="38"/>
      <c r="F1702" s="63">
        <f t="shared" si="798"/>
        <v>1429110</v>
      </c>
      <c r="G1702" s="38">
        <v>1461510</v>
      </c>
      <c r="H1702" s="38"/>
      <c r="I1702" s="38">
        <f t="shared" si="796"/>
        <v>1461510</v>
      </c>
      <c r="J1702" s="63">
        <v>1572400</v>
      </c>
      <c r="K1702" s="38"/>
      <c r="L1702" s="63">
        <f t="shared" ref="L1702:L1705" si="801">SUM(J1702:K1702)</f>
        <v>1572400</v>
      </c>
      <c r="M1702" s="218">
        <f t="shared" si="790"/>
        <v>110.02652000195927</v>
      </c>
      <c r="N1702" s="218">
        <f t="shared" si="791"/>
        <v>110.02652000195927</v>
      </c>
      <c r="O1702" s="218">
        <f t="shared" si="792"/>
        <v>107.58735828013492</v>
      </c>
      <c r="P1702" s="218">
        <f t="shared" si="794"/>
        <v>107.58735828013492</v>
      </c>
    </row>
    <row r="1703" spans="1:16" s="3" customFormat="1" ht="12.75" customHeight="1">
      <c r="A1703" s="36" t="s">
        <v>651</v>
      </c>
      <c r="B1703" s="33" t="s">
        <v>650</v>
      </c>
      <c r="C1703" s="211" t="s">
        <v>1802</v>
      </c>
      <c r="D1703" s="63">
        <v>24000</v>
      </c>
      <c r="E1703" s="63"/>
      <c r="F1703" s="63">
        <f>SUM(D1703:E1703)</f>
        <v>24000</v>
      </c>
      <c r="G1703" s="38">
        <v>44000</v>
      </c>
      <c r="H1703" s="38"/>
      <c r="I1703" s="38">
        <f t="shared" si="796"/>
        <v>44000</v>
      </c>
      <c r="J1703" s="63">
        <v>56000</v>
      </c>
      <c r="K1703" s="63"/>
      <c r="L1703" s="63">
        <f>SUM(J1703:K1703)</f>
        <v>56000</v>
      </c>
      <c r="M1703" s="218">
        <f t="shared" si="790"/>
        <v>233.33333333333334</v>
      </c>
      <c r="N1703" s="218">
        <f t="shared" si="791"/>
        <v>233.33333333333334</v>
      </c>
      <c r="O1703" s="218">
        <f t="shared" si="792"/>
        <v>127.27272727272727</v>
      </c>
      <c r="P1703" s="218">
        <f t="shared" si="794"/>
        <v>127.27272727272727</v>
      </c>
    </row>
    <row r="1704" spans="1:16" s="3" customFormat="1" ht="12.75" customHeight="1">
      <c r="A1704" s="36" t="s">
        <v>375</v>
      </c>
      <c r="B1704" s="33" t="s">
        <v>150</v>
      </c>
      <c r="C1704" s="211" t="s">
        <v>1803</v>
      </c>
      <c r="D1704" s="63">
        <v>5000</v>
      </c>
      <c r="E1704" s="63"/>
      <c r="F1704" s="63">
        <f>SUM(D1704:E1704)</f>
        <v>5000</v>
      </c>
      <c r="G1704" s="38">
        <v>5000</v>
      </c>
      <c r="H1704" s="38"/>
      <c r="I1704" s="38">
        <f t="shared" si="796"/>
        <v>5000</v>
      </c>
      <c r="J1704" s="63">
        <v>6000</v>
      </c>
      <c r="K1704" s="63"/>
      <c r="L1704" s="63">
        <f>SUM(J1704:K1704)</f>
        <v>6000</v>
      </c>
      <c r="M1704" s="218">
        <f t="shared" si="790"/>
        <v>120</v>
      </c>
      <c r="N1704" s="218">
        <f t="shared" si="791"/>
        <v>120</v>
      </c>
      <c r="O1704" s="218">
        <f t="shared" si="792"/>
        <v>120</v>
      </c>
      <c r="P1704" s="218">
        <f t="shared" si="794"/>
        <v>120</v>
      </c>
    </row>
    <row r="1705" spans="1:16" s="3" customFormat="1" hidden="1">
      <c r="A1705" s="36" t="s">
        <v>368</v>
      </c>
      <c r="B1705" s="33" t="s">
        <v>418</v>
      </c>
      <c r="C1705" s="211" t="s">
        <v>1804</v>
      </c>
      <c r="D1705" s="38"/>
      <c r="E1705" s="38"/>
      <c r="F1705" s="63"/>
      <c r="G1705" s="38"/>
      <c r="H1705" s="38"/>
      <c r="I1705" s="38"/>
      <c r="J1705" s="63"/>
      <c r="K1705" s="38"/>
      <c r="L1705" s="63">
        <f t="shared" si="801"/>
        <v>0</v>
      </c>
      <c r="M1705" s="218" t="str">
        <f t="shared" si="790"/>
        <v/>
      </c>
      <c r="N1705" s="218" t="str">
        <f t="shared" si="791"/>
        <v/>
      </c>
      <c r="O1705" s="218" t="str">
        <f t="shared" si="792"/>
        <v/>
      </c>
      <c r="P1705" s="218" t="str">
        <f t="shared" si="794"/>
        <v/>
      </c>
    </row>
    <row r="1706" spans="1:16" s="3" customFormat="1" ht="6" customHeight="1">
      <c r="A1706" s="36"/>
      <c r="B1706" s="33"/>
      <c r="C1706" s="211" t="s">
        <v>268</v>
      </c>
      <c r="D1706" s="63"/>
      <c r="E1706" s="63"/>
      <c r="F1706" s="63">
        <f t="shared" ref="F1706:F1709" si="802">SUM(D1706:E1706)</f>
        <v>0</v>
      </c>
      <c r="G1706" s="38"/>
      <c r="H1706" s="38"/>
      <c r="I1706" s="38">
        <f t="shared" ref="I1706:I1713" si="803">SUM(G1706:H1706)</f>
        <v>0</v>
      </c>
      <c r="J1706" s="63"/>
      <c r="K1706" s="63"/>
      <c r="L1706" s="63">
        <f t="shared" ref="L1706:L1707" si="804">SUM(J1706:K1706)</f>
        <v>0</v>
      </c>
      <c r="M1706" s="218" t="str">
        <f t="shared" si="790"/>
        <v/>
      </c>
      <c r="N1706" s="218" t="str">
        <f t="shared" si="791"/>
        <v/>
      </c>
      <c r="O1706" s="218" t="str">
        <f t="shared" si="792"/>
        <v/>
      </c>
      <c r="P1706" s="218" t="str">
        <f t="shared" si="794"/>
        <v/>
      </c>
    </row>
    <row r="1707" spans="1:16" s="3" customFormat="1" ht="12.75">
      <c r="A1707" s="58" t="s">
        <v>437</v>
      </c>
      <c r="B1707" s="65" t="s">
        <v>265</v>
      </c>
      <c r="C1707" s="308" t="s">
        <v>940</v>
      </c>
      <c r="D1707" s="42">
        <f>SUM(D1709:D1714)</f>
        <v>2755810</v>
      </c>
      <c r="E1707" s="42">
        <f>SUM(E1709:E1715)</f>
        <v>0</v>
      </c>
      <c r="F1707" s="42">
        <f t="shared" si="802"/>
        <v>2755810</v>
      </c>
      <c r="G1707" s="55">
        <f>SUM(G1709:G1713)</f>
        <v>3300161</v>
      </c>
      <c r="H1707" s="55">
        <f>SUM(H1709:H1715)</f>
        <v>0</v>
      </c>
      <c r="I1707" s="55">
        <f t="shared" si="803"/>
        <v>3300161</v>
      </c>
      <c r="J1707" s="42">
        <f>SUM(J1709:J1714)</f>
        <v>3175300</v>
      </c>
      <c r="K1707" s="42">
        <f>SUM(K1709:K1715)</f>
        <v>0</v>
      </c>
      <c r="L1707" s="42">
        <f t="shared" si="804"/>
        <v>3175300</v>
      </c>
      <c r="M1707" s="225">
        <f t="shared" si="790"/>
        <v>115.22202183749968</v>
      </c>
      <c r="N1707" s="225">
        <f t="shared" si="791"/>
        <v>115.22202183749968</v>
      </c>
      <c r="O1707" s="225">
        <f t="shared" si="792"/>
        <v>96.216517921398378</v>
      </c>
      <c r="P1707" s="225">
        <f t="shared" si="794"/>
        <v>96.216517921398378</v>
      </c>
    </row>
    <row r="1708" spans="1:16" s="3" customFormat="1" hidden="1">
      <c r="A1708" s="80" t="s">
        <v>267</v>
      </c>
      <c r="B1708" s="184"/>
      <c r="C1708" s="320" t="s">
        <v>268</v>
      </c>
      <c r="D1708" s="63">
        <f>SUM(D1709:D1713)</f>
        <v>2755810</v>
      </c>
      <c r="E1708" s="77"/>
      <c r="F1708" s="63">
        <f t="shared" si="802"/>
        <v>2755810</v>
      </c>
      <c r="G1708" s="38">
        <f>SUM(G1709:G1713)</f>
        <v>3300161</v>
      </c>
      <c r="H1708" s="109"/>
      <c r="I1708" s="38">
        <f t="shared" si="803"/>
        <v>3300161</v>
      </c>
      <c r="J1708" s="63">
        <f>SUM(J1709:J1713)</f>
        <v>3175300</v>
      </c>
      <c r="K1708" s="77"/>
      <c r="L1708" s="63">
        <f t="shared" ref="L1708" si="805">SUM(J1708:K1708)</f>
        <v>3175300</v>
      </c>
      <c r="M1708" s="218">
        <f t="shared" si="790"/>
        <v>115.22202183749968</v>
      </c>
      <c r="N1708" s="218">
        <f t="shared" si="791"/>
        <v>115.22202183749968</v>
      </c>
      <c r="O1708" s="218">
        <f t="shared" si="792"/>
        <v>96.216517921398378</v>
      </c>
      <c r="P1708" s="218">
        <f t="shared" si="794"/>
        <v>96.216517921398378</v>
      </c>
    </row>
    <row r="1709" spans="1:16" s="3" customFormat="1" ht="12.75" customHeight="1">
      <c r="A1709" s="36" t="s">
        <v>180</v>
      </c>
      <c r="B1709" s="33" t="s">
        <v>419</v>
      </c>
      <c r="C1709" s="211" t="s">
        <v>1805</v>
      </c>
      <c r="D1709" s="38">
        <v>2617810</v>
      </c>
      <c r="E1709" s="38"/>
      <c r="F1709" s="63">
        <f t="shared" si="802"/>
        <v>2617810</v>
      </c>
      <c r="G1709" s="38">
        <v>2730010</v>
      </c>
      <c r="H1709" s="38"/>
      <c r="I1709" s="38">
        <f t="shared" si="803"/>
        <v>2730010</v>
      </c>
      <c r="J1709" s="63">
        <v>2848300</v>
      </c>
      <c r="K1709" s="38"/>
      <c r="L1709" s="63">
        <f t="shared" ref="L1709:L1716" si="806">SUM(J1709:K1709)</f>
        <v>2848300</v>
      </c>
      <c r="M1709" s="218">
        <f t="shared" si="790"/>
        <v>108.80468788796742</v>
      </c>
      <c r="N1709" s="218">
        <f t="shared" si="791"/>
        <v>108.80468788796742</v>
      </c>
      <c r="O1709" s="218">
        <f t="shared" si="792"/>
        <v>104.33295116135106</v>
      </c>
      <c r="P1709" s="218">
        <f t="shared" si="794"/>
        <v>104.33295116135106</v>
      </c>
    </row>
    <row r="1710" spans="1:16" s="3" customFormat="1" ht="12.75" customHeight="1">
      <c r="A1710" s="36" t="s">
        <v>368</v>
      </c>
      <c r="B1710" s="33" t="s">
        <v>418</v>
      </c>
      <c r="C1710" s="211" t="s">
        <v>1808</v>
      </c>
      <c r="D1710" s="38"/>
      <c r="E1710" s="38"/>
      <c r="F1710" s="63"/>
      <c r="G1710" s="38">
        <v>35000</v>
      </c>
      <c r="H1710" s="38"/>
      <c r="I1710" s="38">
        <f>SUM(G1710:H1710)</f>
        <v>35000</v>
      </c>
      <c r="J1710" s="38">
        <v>160000</v>
      </c>
      <c r="K1710" s="38"/>
      <c r="L1710" s="63">
        <f>SUM(J1710:K1710)</f>
        <v>160000</v>
      </c>
      <c r="M1710" s="218" t="str">
        <f t="shared" si="790"/>
        <v/>
      </c>
      <c r="N1710" s="218" t="str">
        <f t="shared" si="791"/>
        <v/>
      </c>
      <c r="O1710" s="218">
        <f t="shared" si="792"/>
        <v>457.14285714285711</v>
      </c>
      <c r="P1710" s="218">
        <f t="shared" ref="P1710:P1712" si="807">IF(I1710&gt;0,IF(L1710&gt;=0,L1710/I1710*100,""),"")</f>
        <v>457.14285714285711</v>
      </c>
    </row>
    <row r="1711" spans="1:16" s="3" customFormat="1" ht="12.75" customHeight="1">
      <c r="A1711" s="341" t="s">
        <v>2468</v>
      </c>
      <c r="B1711" s="33"/>
      <c r="C1711" s="211"/>
      <c r="D1711" s="38"/>
      <c r="E1711" s="38"/>
      <c r="F1711" s="63"/>
      <c r="G1711" s="38"/>
      <c r="H1711" s="38"/>
      <c r="I1711" s="38"/>
      <c r="J1711" s="38"/>
      <c r="K1711" s="38"/>
      <c r="L1711" s="63"/>
      <c r="M1711" s="218" t="str">
        <f t="shared" si="790"/>
        <v/>
      </c>
      <c r="N1711" s="218" t="str">
        <f t="shared" si="791"/>
        <v/>
      </c>
      <c r="O1711" s="218" t="str">
        <f t="shared" si="792"/>
        <v/>
      </c>
      <c r="P1711" s="218" t="str">
        <f t="shared" si="807"/>
        <v/>
      </c>
    </row>
    <row r="1712" spans="1:16" s="3" customFormat="1" ht="12.75" customHeight="1">
      <c r="A1712" s="36" t="s">
        <v>651</v>
      </c>
      <c r="B1712" s="33" t="s">
        <v>650</v>
      </c>
      <c r="C1712" s="211" t="s">
        <v>1806</v>
      </c>
      <c r="D1712" s="63">
        <v>133000</v>
      </c>
      <c r="E1712" s="63"/>
      <c r="F1712" s="63">
        <f>SUM(D1712:E1712)</f>
        <v>133000</v>
      </c>
      <c r="G1712" s="38">
        <v>361151</v>
      </c>
      <c r="H1712" s="38"/>
      <c r="I1712" s="38">
        <f t="shared" si="803"/>
        <v>361151</v>
      </c>
      <c r="J1712" s="63">
        <v>161000</v>
      </c>
      <c r="K1712" s="63"/>
      <c r="L1712" s="63">
        <f>SUM(J1712:K1712)</f>
        <v>161000</v>
      </c>
      <c r="M1712" s="218">
        <f t="shared" si="790"/>
        <v>121.05263157894737</v>
      </c>
      <c r="N1712" s="218">
        <f t="shared" si="791"/>
        <v>121.05263157894737</v>
      </c>
      <c r="O1712" s="218">
        <f t="shared" si="792"/>
        <v>44.579691043358594</v>
      </c>
      <c r="P1712" s="218">
        <f t="shared" si="807"/>
        <v>44.579691043358594</v>
      </c>
    </row>
    <row r="1713" spans="1:16" s="3" customFormat="1" ht="12.75" customHeight="1">
      <c r="A1713" s="354" t="s">
        <v>375</v>
      </c>
      <c r="B1713" s="66" t="s">
        <v>150</v>
      </c>
      <c r="C1713" s="311" t="s">
        <v>1807</v>
      </c>
      <c r="D1713" s="67">
        <v>5000</v>
      </c>
      <c r="E1713" s="67"/>
      <c r="F1713" s="67">
        <f>SUM(D1713:E1713)</f>
        <v>5000</v>
      </c>
      <c r="G1713" s="61">
        <v>174000</v>
      </c>
      <c r="H1713" s="61"/>
      <c r="I1713" s="61">
        <f t="shared" si="803"/>
        <v>174000</v>
      </c>
      <c r="J1713" s="67">
        <v>6000</v>
      </c>
      <c r="K1713" s="67"/>
      <c r="L1713" s="67">
        <f>SUM(J1713:K1713)</f>
        <v>6000</v>
      </c>
      <c r="M1713" s="273">
        <f t="shared" si="790"/>
        <v>120</v>
      </c>
      <c r="N1713" s="273">
        <f t="shared" si="791"/>
        <v>120</v>
      </c>
      <c r="O1713" s="273">
        <f t="shared" si="792"/>
        <v>3.4482758620689653</v>
      </c>
      <c r="P1713" s="273">
        <f t="shared" si="794"/>
        <v>3.4482758620689653</v>
      </c>
    </row>
    <row r="1714" spans="1:16" s="3" customFormat="1" hidden="1">
      <c r="A1714" s="367" t="s">
        <v>792</v>
      </c>
      <c r="B1714" s="68" t="s">
        <v>152</v>
      </c>
      <c r="C1714" s="330" t="s">
        <v>1809</v>
      </c>
      <c r="D1714" s="368"/>
      <c r="E1714" s="368"/>
      <c r="F1714" s="368"/>
      <c r="G1714" s="370"/>
      <c r="H1714" s="370"/>
      <c r="I1714" s="370"/>
      <c r="J1714" s="368"/>
      <c r="K1714" s="368"/>
      <c r="L1714" s="368">
        <f t="shared" si="806"/>
        <v>0</v>
      </c>
      <c r="M1714" s="377" t="str">
        <f t="shared" si="790"/>
        <v/>
      </c>
      <c r="N1714" s="377" t="str">
        <f t="shared" si="791"/>
        <v/>
      </c>
      <c r="O1714" s="377" t="str">
        <f t="shared" si="792"/>
        <v/>
      </c>
      <c r="P1714" s="377" t="str">
        <f t="shared" si="794"/>
        <v/>
      </c>
    </row>
    <row r="1715" spans="1:16" s="3" customFormat="1" ht="6" customHeight="1">
      <c r="A1715" s="80"/>
      <c r="B1715" s="44"/>
      <c r="C1715" s="304" t="s">
        <v>268</v>
      </c>
      <c r="D1715" s="76"/>
      <c r="E1715" s="76"/>
      <c r="F1715" s="76">
        <f t="shared" ref="F1715:F1718" si="808">SUM(D1715:E1715)</f>
        <v>0</v>
      </c>
      <c r="G1715" s="116"/>
      <c r="H1715" s="116"/>
      <c r="I1715" s="116">
        <f t="shared" ref="I1715:I1721" si="809">SUM(G1715:H1715)</f>
        <v>0</v>
      </c>
      <c r="J1715" s="76"/>
      <c r="K1715" s="76"/>
      <c r="L1715" s="76">
        <f t="shared" si="806"/>
        <v>0</v>
      </c>
      <c r="M1715" s="226" t="str">
        <f t="shared" si="790"/>
        <v/>
      </c>
      <c r="N1715" s="226" t="str">
        <f t="shared" si="791"/>
        <v/>
      </c>
      <c r="O1715" s="226" t="str">
        <f t="shared" si="792"/>
        <v/>
      </c>
      <c r="P1715" s="226" t="str">
        <f t="shared" si="794"/>
        <v/>
      </c>
    </row>
    <row r="1716" spans="1:16" s="3" customFormat="1" ht="12.75">
      <c r="A1716" s="58" t="s">
        <v>440</v>
      </c>
      <c r="B1716" s="65" t="s">
        <v>265</v>
      </c>
      <c r="C1716" s="308" t="s">
        <v>940</v>
      </c>
      <c r="D1716" s="86">
        <f>SUM(D1718:D1722)</f>
        <v>1926460</v>
      </c>
      <c r="E1716" s="86">
        <f>SUM(E1718:E1720)</f>
        <v>0</v>
      </c>
      <c r="F1716" s="86">
        <f t="shared" si="808"/>
        <v>1926460</v>
      </c>
      <c r="G1716" s="262">
        <f>SUM(G1718:G1722)</f>
        <v>2070060</v>
      </c>
      <c r="H1716" s="262">
        <f>SUM(H1718:H1720)</f>
        <v>0</v>
      </c>
      <c r="I1716" s="262">
        <f t="shared" si="809"/>
        <v>2070060</v>
      </c>
      <c r="J1716" s="86">
        <f>SUM(J1718:J1722)</f>
        <v>1978500</v>
      </c>
      <c r="K1716" s="86">
        <f>SUM(K1718:K1720)</f>
        <v>0</v>
      </c>
      <c r="L1716" s="86">
        <f t="shared" si="806"/>
        <v>1978500</v>
      </c>
      <c r="M1716" s="236">
        <f t="shared" si="790"/>
        <v>102.70132782409185</v>
      </c>
      <c r="N1716" s="236">
        <f t="shared" si="791"/>
        <v>102.70132782409185</v>
      </c>
      <c r="O1716" s="236">
        <f t="shared" si="792"/>
        <v>95.576939798846411</v>
      </c>
      <c r="P1716" s="236">
        <f t="shared" si="794"/>
        <v>95.576939798846411</v>
      </c>
    </row>
    <row r="1717" spans="1:16" s="3" customFormat="1" hidden="1">
      <c r="A1717" s="80" t="s">
        <v>267</v>
      </c>
      <c r="B1717" s="184"/>
      <c r="C1717" s="320" t="s">
        <v>268</v>
      </c>
      <c r="D1717" s="87">
        <f>SUM(D1718:D1722)</f>
        <v>1926460</v>
      </c>
      <c r="E1717" s="95"/>
      <c r="F1717" s="63">
        <f t="shared" si="808"/>
        <v>1926460</v>
      </c>
      <c r="G1717" s="87">
        <f>SUM(G1718:G1722)</f>
        <v>2070060</v>
      </c>
      <c r="H1717" s="261"/>
      <c r="I1717" s="38">
        <f t="shared" si="809"/>
        <v>2070060</v>
      </c>
      <c r="J1717" s="63">
        <f>SUM(J1718:J1722)</f>
        <v>1978500</v>
      </c>
      <c r="K1717" s="95"/>
      <c r="L1717" s="63">
        <f t="shared" ref="L1717" si="810">SUM(J1717:K1717)</f>
        <v>1978500</v>
      </c>
      <c r="M1717" s="218">
        <f t="shared" si="790"/>
        <v>102.70132782409185</v>
      </c>
      <c r="N1717" s="218">
        <f t="shared" si="791"/>
        <v>102.70132782409185</v>
      </c>
      <c r="O1717" s="218">
        <f t="shared" si="792"/>
        <v>95.576939798846411</v>
      </c>
      <c r="P1717" s="218">
        <f t="shared" si="794"/>
        <v>95.576939798846411</v>
      </c>
    </row>
    <row r="1718" spans="1:16" s="3" customFormat="1" ht="12.75" customHeight="1">
      <c r="A1718" s="36" t="s">
        <v>180</v>
      </c>
      <c r="B1718" s="33" t="s">
        <v>419</v>
      </c>
      <c r="C1718" s="211" t="s">
        <v>1810</v>
      </c>
      <c r="D1718" s="87">
        <v>1795760</v>
      </c>
      <c r="E1718" s="87"/>
      <c r="F1718" s="63">
        <f t="shared" si="808"/>
        <v>1795760</v>
      </c>
      <c r="G1718" s="87">
        <v>1913360</v>
      </c>
      <c r="H1718" s="87"/>
      <c r="I1718" s="38">
        <f t="shared" si="809"/>
        <v>1913360</v>
      </c>
      <c r="J1718" s="63">
        <v>1504000</v>
      </c>
      <c r="K1718" s="87"/>
      <c r="L1718" s="63">
        <f t="shared" ref="L1718:L1722" si="811">SUM(J1718:K1718)</f>
        <v>1504000</v>
      </c>
      <c r="M1718" s="218">
        <f t="shared" si="790"/>
        <v>83.752840023165675</v>
      </c>
      <c r="N1718" s="218">
        <f t="shared" si="791"/>
        <v>83.752840023165675</v>
      </c>
      <c r="O1718" s="218">
        <f t="shared" si="792"/>
        <v>78.605176234477568</v>
      </c>
      <c r="P1718" s="218">
        <f t="shared" si="794"/>
        <v>78.605176234477568</v>
      </c>
    </row>
    <row r="1719" spans="1:16" s="3" customFormat="1" ht="12.75" customHeight="1">
      <c r="A1719" s="36" t="s">
        <v>358</v>
      </c>
      <c r="B1719" s="33" t="s">
        <v>417</v>
      </c>
      <c r="C1719" s="211" t="s">
        <v>2450</v>
      </c>
      <c r="D1719" s="87"/>
      <c r="E1719" s="87"/>
      <c r="F1719" s="63"/>
      <c r="G1719" s="87"/>
      <c r="H1719" s="87"/>
      <c r="I1719" s="38"/>
      <c r="J1719" s="63">
        <v>364300</v>
      </c>
      <c r="K1719" s="87"/>
      <c r="L1719" s="63">
        <f t="shared" si="811"/>
        <v>364300</v>
      </c>
      <c r="M1719" s="218" t="str">
        <f t="shared" si="790"/>
        <v/>
      </c>
      <c r="N1719" s="218" t="str">
        <f t="shared" si="791"/>
        <v/>
      </c>
      <c r="O1719" s="218" t="str">
        <f t="shared" si="792"/>
        <v/>
      </c>
      <c r="P1719" s="218"/>
    </row>
    <row r="1720" spans="1:16" s="3" customFormat="1" ht="12.75" customHeight="1">
      <c r="A1720" s="36" t="s">
        <v>651</v>
      </c>
      <c r="B1720" s="33" t="s">
        <v>650</v>
      </c>
      <c r="C1720" s="211" t="s">
        <v>1811</v>
      </c>
      <c r="D1720" s="63">
        <v>84200</v>
      </c>
      <c r="E1720" s="63"/>
      <c r="F1720" s="63">
        <f>SUM(D1720:E1720)</f>
        <v>84200</v>
      </c>
      <c r="G1720" s="38">
        <v>110200</v>
      </c>
      <c r="H1720" s="38"/>
      <c r="I1720" s="38">
        <f t="shared" si="809"/>
        <v>110200</v>
      </c>
      <c r="J1720" s="63">
        <v>110200</v>
      </c>
      <c r="K1720" s="63"/>
      <c r="L1720" s="63">
        <f>SUM(J1720:K1720)</f>
        <v>110200</v>
      </c>
      <c r="M1720" s="218">
        <f t="shared" si="790"/>
        <v>130.87885985748218</v>
      </c>
      <c r="N1720" s="218">
        <f t="shared" si="791"/>
        <v>130.87885985748218</v>
      </c>
      <c r="O1720" s="218">
        <f t="shared" si="792"/>
        <v>100</v>
      </c>
      <c r="P1720" s="218">
        <f t="shared" si="794"/>
        <v>100</v>
      </c>
    </row>
    <row r="1721" spans="1:16" s="3" customFormat="1" ht="12.75" customHeight="1">
      <c r="A1721" s="36" t="s">
        <v>14</v>
      </c>
      <c r="B1721" s="211" t="s">
        <v>9</v>
      </c>
      <c r="C1721" s="211" t="s">
        <v>1812</v>
      </c>
      <c r="D1721" s="63">
        <v>46500</v>
      </c>
      <c r="E1721" s="63"/>
      <c r="F1721" s="63">
        <f>SUM(D1721:E1721)</f>
        <v>46500</v>
      </c>
      <c r="G1721" s="38">
        <v>46500</v>
      </c>
      <c r="H1721" s="38"/>
      <c r="I1721" s="38">
        <f t="shared" si="809"/>
        <v>46500</v>
      </c>
      <c r="J1721" s="63"/>
      <c r="K1721" s="63"/>
      <c r="L1721" s="63">
        <f>SUM(J1721:K1721)</f>
        <v>0</v>
      </c>
      <c r="M1721" s="218">
        <f t="shared" si="790"/>
        <v>0</v>
      </c>
      <c r="N1721" s="218">
        <f t="shared" si="791"/>
        <v>0</v>
      </c>
      <c r="O1721" s="218">
        <f t="shared" si="792"/>
        <v>0</v>
      </c>
      <c r="P1721" s="218">
        <f t="shared" si="794"/>
        <v>0</v>
      </c>
    </row>
    <row r="1722" spans="1:16" s="3" customFormat="1" hidden="1">
      <c r="A1722" s="36" t="s">
        <v>368</v>
      </c>
      <c r="B1722" s="33" t="s">
        <v>418</v>
      </c>
      <c r="C1722" s="211" t="s">
        <v>1813</v>
      </c>
      <c r="D1722" s="87"/>
      <c r="E1722" s="87"/>
      <c r="F1722" s="63"/>
      <c r="G1722" s="87"/>
      <c r="H1722" s="87"/>
      <c r="I1722" s="38"/>
      <c r="J1722" s="87"/>
      <c r="K1722" s="87"/>
      <c r="L1722" s="63">
        <f t="shared" si="811"/>
        <v>0</v>
      </c>
      <c r="M1722" s="218" t="str">
        <f t="shared" si="790"/>
        <v/>
      </c>
      <c r="N1722" s="218" t="str">
        <f t="shared" si="791"/>
        <v/>
      </c>
      <c r="O1722" s="218" t="str">
        <f t="shared" si="792"/>
        <v/>
      </c>
      <c r="P1722" s="218" t="str">
        <f t="shared" si="794"/>
        <v/>
      </c>
    </row>
    <row r="1723" spans="1:16" s="3" customFormat="1" ht="6" customHeight="1">
      <c r="A1723" s="36"/>
      <c r="B1723" s="33"/>
      <c r="C1723" s="211" t="s">
        <v>268</v>
      </c>
      <c r="D1723" s="63"/>
      <c r="E1723" s="63"/>
      <c r="F1723" s="63"/>
      <c r="G1723" s="38"/>
      <c r="H1723" s="38"/>
      <c r="I1723" s="38"/>
      <c r="J1723" s="63"/>
      <c r="K1723" s="63"/>
      <c r="L1723" s="63"/>
      <c r="M1723" s="218" t="str">
        <f t="shared" si="790"/>
        <v/>
      </c>
      <c r="N1723" s="218" t="str">
        <f t="shared" si="791"/>
        <v/>
      </c>
      <c r="O1723" s="218" t="str">
        <f t="shared" si="792"/>
        <v/>
      </c>
      <c r="P1723" s="218" t="str">
        <f t="shared" si="794"/>
        <v/>
      </c>
    </row>
    <row r="1724" spans="1:16" s="3" customFormat="1" ht="12.75">
      <c r="A1724" s="58" t="s">
        <v>435</v>
      </c>
      <c r="B1724" s="65" t="s">
        <v>265</v>
      </c>
      <c r="C1724" s="308" t="s">
        <v>940</v>
      </c>
      <c r="D1724" s="42">
        <f>SUM(D1726:D1730)</f>
        <v>1793200</v>
      </c>
      <c r="E1724" s="42">
        <f>SUM(E1726:E1731)</f>
        <v>0</v>
      </c>
      <c r="F1724" s="42">
        <f t="shared" ref="F1724:F1736" si="812">SUM(D1724:E1724)</f>
        <v>1793200</v>
      </c>
      <c r="G1724" s="55">
        <f>SUM(G1726:G1730)</f>
        <v>2460800</v>
      </c>
      <c r="H1724" s="55">
        <f>SUM(H1726:H1731)</f>
        <v>0</v>
      </c>
      <c r="I1724" s="55">
        <f t="shared" ref="I1724:I1735" si="813">SUM(G1724:H1724)</f>
        <v>2460800</v>
      </c>
      <c r="J1724" s="42">
        <f>SUM(J1726:J1730)</f>
        <v>1926900</v>
      </c>
      <c r="K1724" s="42">
        <f>SUM(K1726:K1731)</f>
        <v>0</v>
      </c>
      <c r="L1724" s="42">
        <f t="shared" ref="L1724:L1728" si="814">SUM(J1724:K1724)</f>
        <v>1926900</v>
      </c>
      <c r="M1724" s="225">
        <f t="shared" si="790"/>
        <v>107.45594467990185</v>
      </c>
      <c r="N1724" s="225">
        <f t="shared" si="791"/>
        <v>107.45594467990185</v>
      </c>
      <c r="O1724" s="225">
        <f t="shared" si="792"/>
        <v>78.30380364109233</v>
      </c>
      <c r="P1724" s="225">
        <f t="shared" si="794"/>
        <v>78.30380364109233</v>
      </c>
    </row>
    <row r="1725" spans="1:16" s="3" customFormat="1" hidden="1">
      <c r="A1725" s="80" t="s">
        <v>267</v>
      </c>
      <c r="B1725" s="184"/>
      <c r="C1725" s="320" t="s">
        <v>268</v>
      </c>
      <c r="D1725" s="38">
        <f>SUM(D1726:D1730)</f>
        <v>1793200</v>
      </c>
      <c r="E1725" s="77"/>
      <c r="F1725" s="63">
        <f t="shared" si="812"/>
        <v>1793200</v>
      </c>
      <c r="G1725" s="38">
        <f>SUM(G1726:G1730)</f>
        <v>2460800</v>
      </c>
      <c r="H1725" s="109"/>
      <c r="I1725" s="38">
        <f t="shared" si="813"/>
        <v>2460800</v>
      </c>
      <c r="J1725" s="63">
        <f>SUM(J1726:J1730)</f>
        <v>1926900</v>
      </c>
      <c r="K1725" s="77"/>
      <c r="L1725" s="63">
        <f t="shared" si="814"/>
        <v>1926900</v>
      </c>
      <c r="M1725" s="218">
        <f t="shared" si="790"/>
        <v>107.45594467990185</v>
      </c>
      <c r="N1725" s="218">
        <f t="shared" si="791"/>
        <v>107.45594467990185</v>
      </c>
      <c r="O1725" s="218">
        <f t="shared" si="792"/>
        <v>78.30380364109233</v>
      </c>
      <c r="P1725" s="218">
        <f t="shared" si="794"/>
        <v>78.30380364109233</v>
      </c>
    </row>
    <row r="1726" spans="1:16" s="3" customFormat="1" ht="12.75" customHeight="1">
      <c r="A1726" s="36" t="s">
        <v>180</v>
      </c>
      <c r="B1726" s="33" t="s">
        <v>419</v>
      </c>
      <c r="C1726" s="211" t="s">
        <v>1814</v>
      </c>
      <c r="D1726" s="38">
        <v>1731200</v>
      </c>
      <c r="E1726" s="38"/>
      <c r="F1726" s="63">
        <f t="shared" si="812"/>
        <v>1731200</v>
      </c>
      <c r="G1726" s="38">
        <v>1831800</v>
      </c>
      <c r="H1726" s="38"/>
      <c r="I1726" s="38">
        <f t="shared" si="813"/>
        <v>1831800</v>
      </c>
      <c r="J1726" s="63">
        <v>1845900</v>
      </c>
      <c r="K1726" s="38"/>
      <c r="L1726" s="63">
        <f t="shared" si="814"/>
        <v>1845900</v>
      </c>
      <c r="M1726" s="218">
        <f t="shared" si="790"/>
        <v>106.62546210720888</v>
      </c>
      <c r="N1726" s="218">
        <f t="shared" si="791"/>
        <v>106.62546210720888</v>
      </c>
      <c r="O1726" s="218">
        <f t="shared" si="792"/>
        <v>100.76973468719292</v>
      </c>
      <c r="P1726" s="218">
        <f t="shared" si="794"/>
        <v>100.76973468719292</v>
      </c>
    </row>
    <row r="1727" spans="1:16" s="3" customFormat="1" ht="12.75" customHeight="1">
      <c r="A1727" s="36" t="s">
        <v>368</v>
      </c>
      <c r="B1727" s="33" t="s">
        <v>418</v>
      </c>
      <c r="C1727" s="211" t="s">
        <v>1816</v>
      </c>
      <c r="D1727" s="38">
        <v>25000</v>
      </c>
      <c r="E1727" s="38"/>
      <c r="F1727" s="63">
        <f>SUM(D1727:E1727)</f>
        <v>25000</v>
      </c>
      <c r="G1727" s="38">
        <v>25000</v>
      </c>
      <c r="H1727" s="38"/>
      <c r="I1727" s="38">
        <f t="shared" si="813"/>
        <v>25000</v>
      </c>
      <c r="J1727" s="63">
        <v>25000</v>
      </c>
      <c r="K1727" s="38"/>
      <c r="L1727" s="63">
        <f>SUM(J1727:K1727)</f>
        <v>25000</v>
      </c>
      <c r="M1727" s="218">
        <f t="shared" si="790"/>
        <v>100</v>
      </c>
      <c r="N1727" s="218">
        <f t="shared" si="791"/>
        <v>100</v>
      </c>
      <c r="O1727" s="218">
        <f t="shared" si="792"/>
        <v>100</v>
      </c>
      <c r="P1727" s="218">
        <f t="shared" si="794"/>
        <v>100</v>
      </c>
    </row>
    <row r="1728" spans="1:16" s="3" customFormat="1" ht="12.75" customHeight="1">
      <c r="A1728" s="36" t="s">
        <v>651</v>
      </c>
      <c r="B1728" s="33" t="s">
        <v>650</v>
      </c>
      <c r="C1728" s="211" t="s">
        <v>1815</v>
      </c>
      <c r="D1728" s="38">
        <v>33000</v>
      </c>
      <c r="E1728" s="38"/>
      <c r="F1728" s="63">
        <f t="shared" si="812"/>
        <v>33000</v>
      </c>
      <c r="G1728" s="38">
        <v>35500</v>
      </c>
      <c r="H1728" s="38"/>
      <c r="I1728" s="38">
        <f t="shared" si="813"/>
        <v>35500</v>
      </c>
      <c r="J1728" s="63">
        <v>51000</v>
      </c>
      <c r="K1728" s="38"/>
      <c r="L1728" s="63">
        <f t="shared" si="814"/>
        <v>51000</v>
      </c>
      <c r="M1728" s="218">
        <f t="shared" si="790"/>
        <v>154.54545454545453</v>
      </c>
      <c r="N1728" s="218">
        <f t="shared" si="791"/>
        <v>154.54545454545453</v>
      </c>
      <c r="O1728" s="218">
        <f t="shared" si="792"/>
        <v>143.66197183098592</v>
      </c>
      <c r="P1728" s="218">
        <f t="shared" si="794"/>
        <v>143.66197183098592</v>
      </c>
    </row>
    <row r="1729" spans="1:16" s="3" customFormat="1" ht="12.75" customHeight="1">
      <c r="A1729" s="36" t="s">
        <v>375</v>
      </c>
      <c r="B1729" s="33" t="s">
        <v>150</v>
      </c>
      <c r="C1729" s="211" t="s">
        <v>1817</v>
      </c>
      <c r="D1729" s="63">
        <v>4000</v>
      </c>
      <c r="E1729" s="63"/>
      <c r="F1729" s="63">
        <f>SUM(D1729:E1729)</f>
        <v>4000</v>
      </c>
      <c r="G1729" s="38">
        <v>63500</v>
      </c>
      <c r="H1729" s="38"/>
      <c r="I1729" s="38">
        <f>SUM(G1729:H1729)</f>
        <v>63500</v>
      </c>
      <c r="J1729" s="63">
        <v>5000</v>
      </c>
      <c r="K1729" s="63"/>
      <c r="L1729" s="63">
        <f>SUM(J1729:K1729)</f>
        <v>5000</v>
      </c>
      <c r="M1729" s="218">
        <f t="shared" si="790"/>
        <v>125</v>
      </c>
      <c r="N1729" s="218">
        <f t="shared" si="791"/>
        <v>125</v>
      </c>
      <c r="O1729" s="218">
        <f t="shared" si="792"/>
        <v>7.8740157480314963</v>
      </c>
      <c r="P1729" s="218">
        <f>IF(I1729&gt;0,IF(L1729&gt;=0,L1729/I1729*100,""),"")</f>
        <v>7.8740157480314963</v>
      </c>
    </row>
    <row r="1730" spans="1:16" s="3" customFormat="1" ht="12.75" customHeight="1">
      <c r="A1730" s="36" t="s">
        <v>358</v>
      </c>
      <c r="B1730" s="211" t="s">
        <v>417</v>
      </c>
      <c r="C1730" s="211" t="s">
        <v>2208</v>
      </c>
      <c r="D1730" s="38"/>
      <c r="E1730" s="38"/>
      <c r="F1730" s="63"/>
      <c r="G1730" s="38">
        <v>505000</v>
      </c>
      <c r="H1730" s="38"/>
      <c r="I1730" s="38">
        <f t="shared" si="813"/>
        <v>505000</v>
      </c>
      <c r="J1730" s="63"/>
      <c r="K1730" s="38"/>
      <c r="L1730" s="63"/>
      <c r="M1730" s="218" t="str">
        <f t="shared" si="790"/>
        <v/>
      </c>
      <c r="N1730" s="218" t="str">
        <f t="shared" si="791"/>
        <v/>
      </c>
      <c r="O1730" s="218">
        <f t="shared" si="792"/>
        <v>0</v>
      </c>
      <c r="P1730" s="218"/>
    </row>
    <row r="1731" spans="1:16" s="3" customFormat="1" ht="6" customHeight="1">
      <c r="A1731" s="36"/>
      <c r="B1731" s="33"/>
      <c r="C1731" s="211" t="s">
        <v>268</v>
      </c>
      <c r="D1731" s="48"/>
      <c r="E1731" s="48"/>
      <c r="F1731" s="48">
        <f t="shared" si="812"/>
        <v>0</v>
      </c>
      <c r="G1731" s="85"/>
      <c r="H1731" s="85"/>
      <c r="I1731" s="85">
        <f t="shared" si="813"/>
        <v>0</v>
      </c>
      <c r="J1731" s="48"/>
      <c r="K1731" s="48"/>
      <c r="L1731" s="48">
        <f t="shared" ref="L1731:L1741" si="815">SUM(J1731:K1731)</f>
        <v>0</v>
      </c>
      <c r="M1731" s="219" t="str">
        <f t="shared" si="790"/>
        <v/>
      </c>
      <c r="N1731" s="219" t="str">
        <f t="shared" si="791"/>
        <v/>
      </c>
      <c r="O1731" s="219" t="str">
        <f t="shared" si="792"/>
        <v/>
      </c>
      <c r="P1731" s="219" t="str">
        <f t="shared" ref="P1731:P1744" si="816">IF(I1731&gt;0,IF(L1731&gt;=0,L1731/I1731*100,""),"")</f>
        <v/>
      </c>
    </row>
    <row r="1732" spans="1:16" s="3" customFormat="1" ht="12.75">
      <c r="A1732" s="58" t="s">
        <v>434</v>
      </c>
      <c r="B1732" s="65" t="s">
        <v>265</v>
      </c>
      <c r="C1732" s="308" t="s">
        <v>940</v>
      </c>
      <c r="D1732" s="90">
        <f>SUM(D1734:D1740)</f>
        <v>4232940</v>
      </c>
      <c r="E1732" s="90">
        <f>SUM(E1734:E1740)</f>
        <v>0</v>
      </c>
      <c r="F1732" s="90">
        <f t="shared" si="812"/>
        <v>4232940</v>
      </c>
      <c r="G1732" s="60">
        <f>SUM(G1734:G1740)</f>
        <v>5401380</v>
      </c>
      <c r="H1732" s="60">
        <f>SUM(H1734:H1740)</f>
        <v>0</v>
      </c>
      <c r="I1732" s="60">
        <f t="shared" si="813"/>
        <v>5401380</v>
      </c>
      <c r="J1732" s="90">
        <f>SUM(J1734:J1740)</f>
        <v>4639880</v>
      </c>
      <c r="K1732" s="90">
        <f>SUM(K1734:K1740)</f>
        <v>0</v>
      </c>
      <c r="L1732" s="90">
        <f t="shared" si="815"/>
        <v>4639880</v>
      </c>
      <c r="M1732" s="227">
        <f t="shared" si="790"/>
        <v>109.61364914220377</v>
      </c>
      <c r="N1732" s="227">
        <f t="shared" si="791"/>
        <v>109.61364914220377</v>
      </c>
      <c r="O1732" s="227">
        <f t="shared" si="792"/>
        <v>85.901751033995012</v>
      </c>
      <c r="P1732" s="227">
        <f t="shared" si="816"/>
        <v>85.901751033995012</v>
      </c>
    </row>
    <row r="1733" spans="1:16" s="3" customFormat="1" ht="12.75" customHeight="1">
      <c r="A1733" s="80" t="s">
        <v>267</v>
      </c>
      <c r="B1733" s="79"/>
      <c r="C1733" s="302" t="s">
        <v>268</v>
      </c>
      <c r="D1733" s="113">
        <f>SUM(D1734:D1739)</f>
        <v>4232940</v>
      </c>
      <c r="E1733" s="113">
        <f>SUM(E1734:E1739)</f>
        <v>0</v>
      </c>
      <c r="F1733" s="63">
        <f t="shared" si="812"/>
        <v>4232940</v>
      </c>
      <c r="G1733" s="187">
        <f>SUM(G1734:G1739)</f>
        <v>5373880</v>
      </c>
      <c r="H1733" s="187">
        <f>SUM(H1734:H1739)</f>
        <v>0</v>
      </c>
      <c r="I1733" s="38">
        <f t="shared" si="813"/>
        <v>5373880</v>
      </c>
      <c r="J1733" s="63">
        <f>SUM(J1734:J1739)</f>
        <v>4639880</v>
      </c>
      <c r="K1733" s="113">
        <f>SUM(K1734:K1739)</f>
        <v>0</v>
      </c>
      <c r="L1733" s="63">
        <f t="shared" si="815"/>
        <v>4639880</v>
      </c>
      <c r="M1733" s="218">
        <f t="shared" si="790"/>
        <v>109.61364914220377</v>
      </c>
      <c r="N1733" s="218">
        <f t="shared" si="791"/>
        <v>109.61364914220377</v>
      </c>
      <c r="O1733" s="218">
        <f t="shared" si="792"/>
        <v>86.341339962931812</v>
      </c>
      <c r="P1733" s="218">
        <f t="shared" si="816"/>
        <v>86.341339962931812</v>
      </c>
    </row>
    <row r="1734" spans="1:16" s="3" customFormat="1" ht="12.75" customHeight="1">
      <c r="A1734" s="36" t="s">
        <v>180</v>
      </c>
      <c r="B1734" s="33" t="s">
        <v>419</v>
      </c>
      <c r="C1734" s="211" t="s">
        <v>1818</v>
      </c>
      <c r="D1734" s="38">
        <v>4008940</v>
      </c>
      <c r="E1734" s="38"/>
      <c r="F1734" s="63">
        <f t="shared" si="812"/>
        <v>4008940</v>
      </c>
      <c r="G1734" s="38">
        <v>4167990</v>
      </c>
      <c r="H1734" s="38"/>
      <c r="I1734" s="38">
        <f t="shared" si="813"/>
        <v>4167990</v>
      </c>
      <c r="J1734" s="63">
        <v>4179100</v>
      </c>
      <c r="K1734" s="38"/>
      <c r="L1734" s="63">
        <f t="shared" si="815"/>
        <v>4179100</v>
      </c>
      <c r="M1734" s="218">
        <f t="shared" si="790"/>
        <v>104.24451351230002</v>
      </c>
      <c r="N1734" s="218">
        <f t="shared" si="791"/>
        <v>104.24451351230002</v>
      </c>
      <c r="O1734" s="218">
        <f t="shared" si="792"/>
        <v>100.26655534202338</v>
      </c>
      <c r="P1734" s="218">
        <f t="shared" si="816"/>
        <v>100.26655534202338</v>
      </c>
    </row>
    <row r="1735" spans="1:16" s="3" customFormat="1" ht="12.75" customHeight="1">
      <c r="A1735" s="36" t="s">
        <v>651</v>
      </c>
      <c r="B1735" s="33" t="s">
        <v>650</v>
      </c>
      <c r="C1735" s="211" t="s">
        <v>1819</v>
      </c>
      <c r="D1735" s="63">
        <v>180000</v>
      </c>
      <c r="E1735" s="63"/>
      <c r="F1735" s="63">
        <f t="shared" si="812"/>
        <v>180000</v>
      </c>
      <c r="G1735" s="38">
        <v>203900</v>
      </c>
      <c r="H1735" s="38"/>
      <c r="I1735" s="38">
        <f t="shared" si="813"/>
        <v>203900</v>
      </c>
      <c r="J1735" s="63">
        <v>204000</v>
      </c>
      <c r="K1735" s="63"/>
      <c r="L1735" s="63">
        <f t="shared" si="815"/>
        <v>204000</v>
      </c>
      <c r="M1735" s="218">
        <f t="shared" si="790"/>
        <v>113.33333333333333</v>
      </c>
      <c r="N1735" s="218">
        <f t="shared" si="791"/>
        <v>113.33333333333333</v>
      </c>
      <c r="O1735" s="218">
        <f t="shared" si="792"/>
        <v>100.04904364884749</v>
      </c>
      <c r="P1735" s="218">
        <f t="shared" si="816"/>
        <v>100.04904364884749</v>
      </c>
    </row>
    <row r="1736" spans="1:16" s="3" customFormat="1" ht="12.75" customHeight="1">
      <c r="A1736" s="36" t="s">
        <v>13</v>
      </c>
      <c r="B1736" s="33" t="s">
        <v>10</v>
      </c>
      <c r="C1736" s="211" t="s">
        <v>1820</v>
      </c>
      <c r="D1736" s="63">
        <v>33000</v>
      </c>
      <c r="E1736" s="63"/>
      <c r="F1736" s="63">
        <f t="shared" si="812"/>
        <v>33000</v>
      </c>
      <c r="G1736" s="38"/>
      <c r="H1736" s="38"/>
      <c r="I1736" s="38"/>
      <c r="J1736" s="63">
        <v>244780</v>
      </c>
      <c r="K1736" s="63"/>
      <c r="L1736" s="63">
        <f t="shared" si="815"/>
        <v>244780</v>
      </c>
      <c r="M1736" s="218">
        <f t="shared" si="790"/>
        <v>741.75757575757575</v>
      </c>
      <c r="N1736" s="218">
        <f t="shared" si="791"/>
        <v>741.75757575757575</v>
      </c>
      <c r="O1736" s="218" t="str">
        <f t="shared" si="792"/>
        <v/>
      </c>
      <c r="P1736" s="218" t="str">
        <f t="shared" si="816"/>
        <v/>
      </c>
    </row>
    <row r="1737" spans="1:16" s="3" customFormat="1" ht="12.75" customHeight="1">
      <c r="A1737" s="36" t="s">
        <v>375</v>
      </c>
      <c r="B1737" s="33" t="s">
        <v>150</v>
      </c>
      <c r="C1737" s="211" t="s">
        <v>1821</v>
      </c>
      <c r="D1737" s="63">
        <v>11000</v>
      </c>
      <c r="E1737" s="63"/>
      <c r="F1737" s="63">
        <f>SUM(D1737:E1737)</f>
        <v>11000</v>
      </c>
      <c r="G1737" s="38">
        <v>11000</v>
      </c>
      <c r="H1737" s="38"/>
      <c r="I1737" s="38">
        <f>SUM(G1737:H1737)</f>
        <v>11000</v>
      </c>
      <c r="J1737" s="63">
        <v>12000</v>
      </c>
      <c r="K1737" s="63"/>
      <c r="L1737" s="63">
        <f>SUM(J1737:K1737)</f>
        <v>12000</v>
      </c>
      <c r="M1737" s="218">
        <f t="shared" si="790"/>
        <v>109.09090909090908</v>
      </c>
      <c r="N1737" s="218">
        <f t="shared" si="791"/>
        <v>109.09090909090908</v>
      </c>
      <c r="O1737" s="218">
        <f t="shared" si="792"/>
        <v>109.09090909090908</v>
      </c>
      <c r="P1737" s="218">
        <f t="shared" si="816"/>
        <v>109.09090909090908</v>
      </c>
    </row>
    <row r="1738" spans="1:16" s="3" customFormat="1" ht="12.75" customHeight="1">
      <c r="A1738" s="36" t="s">
        <v>368</v>
      </c>
      <c r="B1738" s="211" t="s">
        <v>418</v>
      </c>
      <c r="C1738" s="211" t="s">
        <v>1822</v>
      </c>
      <c r="D1738" s="38"/>
      <c r="E1738" s="38"/>
      <c r="F1738" s="63">
        <f t="shared" ref="F1738:F1741" si="817">SUM(D1738:E1738)</f>
        <v>0</v>
      </c>
      <c r="G1738" s="38">
        <v>352290</v>
      </c>
      <c r="H1738" s="38"/>
      <c r="I1738" s="38">
        <f>SUM(G1738:H1738)</f>
        <v>352290</v>
      </c>
      <c r="J1738" s="63"/>
      <c r="K1738" s="38"/>
      <c r="L1738" s="63">
        <f t="shared" si="815"/>
        <v>0</v>
      </c>
      <c r="M1738" s="218" t="str">
        <f t="shared" si="790"/>
        <v/>
      </c>
      <c r="N1738" s="218" t="str">
        <f t="shared" si="791"/>
        <v/>
      </c>
      <c r="O1738" s="218">
        <f t="shared" si="792"/>
        <v>0</v>
      </c>
      <c r="P1738" s="218">
        <f t="shared" si="816"/>
        <v>0</v>
      </c>
    </row>
    <row r="1739" spans="1:16" s="3" customFormat="1" ht="12.75" customHeight="1">
      <c r="A1739" s="36" t="s">
        <v>358</v>
      </c>
      <c r="B1739" s="211" t="s">
        <v>417</v>
      </c>
      <c r="C1739" s="211" t="s">
        <v>1823</v>
      </c>
      <c r="D1739" s="38"/>
      <c r="E1739" s="38"/>
      <c r="F1739" s="63">
        <f t="shared" si="817"/>
        <v>0</v>
      </c>
      <c r="G1739" s="38">
        <v>638700</v>
      </c>
      <c r="H1739" s="38"/>
      <c r="I1739" s="38">
        <f>SUM(G1739:H1739)</f>
        <v>638700</v>
      </c>
      <c r="J1739" s="38"/>
      <c r="K1739" s="38"/>
      <c r="L1739" s="63">
        <f t="shared" si="815"/>
        <v>0</v>
      </c>
      <c r="M1739" s="218" t="str">
        <f t="shared" si="790"/>
        <v/>
      </c>
      <c r="N1739" s="218" t="str">
        <f t="shared" si="791"/>
        <v/>
      </c>
      <c r="O1739" s="218">
        <f t="shared" si="792"/>
        <v>0</v>
      </c>
      <c r="P1739" s="218">
        <f t="shared" si="816"/>
        <v>0</v>
      </c>
    </row>
    <row r="1740" spans="1:16" s="3" customFormat="1" ht="12.75" customHeight="1">
      <c r="A1740" s="36" t="s">
        <v>791</v>
      </c>
      <c r="B1740" s="211" t="s">
        <v>151</v>
      </c>
      <c r="C1740" s="211" t="s">
        <v>1824</v>
      </c>
      <c r="D1740" s="63"/>
      <c r="E1740" s="63"/>
      <c r="F1740" s="63">
        <f t="shared" si="817"/>
        <v>0</v>
      </c>
      <c r="G1740" s="38">
        <v>27500</v>
      </c>
      <c r="H1740" s="38"/>
      <c r="I1740" s="38">
        <f>SUM(G1740:H1740)</f>
        <v>27500</v>
      </c>
      <c r="J1740" s="63"/>
      <c r="K1740" s="63"/>
      <c r="L1740" s="63">
        <f t="shared" si="815"/>
        <v>0</v>
      </c>
      <c r="M1740" s="218" t="str">
        <f t="shared" si="790"/>
        <v/>
      </c>
      <c r="N1740" s="218" t="str">
        <f t="shared" si="791"/>
        <v/>
      </c>
      <c r="O1740" s="218">
        <f t="shared" si="792"/>
        <v>0</v>
      </c>
      <c r="P1740" s="218">
        <f t="shared" si="816"/>
        <v>0</v>
      </c>
    </row>
    <row r="1741" spans="1:16" s="3" customFormat="1" ht="6" customHeight="1">
      <c r="A1741" s="36"/>
      <c r="B1741" s="47"/>
      <c r="C1741" s="212" t="s">
        <v>268</v>
      </c>
      <c r="D1741" s="63"/>
      <c r="E1741" s="63"/>
      <c r="F1741" s="63">
        <f t="shared" si="817"/>
        <v>0</v>
      </c>
      <c r="G1741" s="38"/>
      <c r="H1741" s="38"/>
      <c r="I1741" s="38">
        <f>SUM(G1741:H1741)</f>
        <v>0</v>
      </c>
      <c r="J1741" s="63"/>
      <c r="K1741" s="63"/>
      <c r="L1741" s="63">
        <f t="shared" si="815"/>
        <v>0</v>
      </c>
      <c r="M1741" s="218" t="str">
        <f t="shared" si="790"/>
        <v/>
      </c>
      <c r="N1741" s="218" t="str">
        <f t="shared" si="791"/>
        <v/>
      </c>
      <c r="O1741" s="218" t="str">
        <f t="shared" si="792"/>
        <v/>
      </c>
      <c r="P1741" s="218" t="str">
        <f t="shared" si="816"/>
        <v/>
      </c>
    </row>
    <row r="1742" spans="1:16" s="3" customFormat="1" ht="12.75">
      <c r="A1742" s="72" t="s">
        <v>838</v>
      </c>
      <c r="B1742" s="65" t="s">
        <v>265</v>
      </c>
      <c r="C1742" s="308" t="s">
        <v>940</v>
      </c>
      <c r="D1742" s="60">
        <f>SUM(D1744:D1754)</f>
        <v>8340138</v>
      </c>
      <c r="E1742" s="60">
        <f>SUM(E1744:E1754)</f>
        <v>0</v>
      </c>
      <c r="F1742" s="60">
        <f t="shared" ref="F1742:F1744" si="818">D1742+E1742</f>
        <v>8340138</v>
      </c>
      <c r="G1742" s="60">
        <f>SUM(G1744:G1754)</f>
        <v>12451823</v>
      </c>
      <c r="H1742" s="60">
        <f>SUM(H1744:H1754)</f>
        <v>0</v>
      </c>
      <c r="I1742" s="60">
        <f t="shared" ref="I1742:I1754" si="819">G1742+H1742</f>
        <v>12451823</v>
      </c>
      <c r="J1742" s="60">
        <f>SUM(J1744:J1754)</f>
        <v>12269440</v>
      </c>
      <c r="K1742" s="60">
        <f>SUM(K1744:K1754)</f>
        <v>0</v>
      </c>
      <c r="L1742" s="60">
        <f t="shared" ref="L1742:L1744" si="820">J1742+K1742</f>
        <v>12269440</v>
      </c>
      <c r="M1742" s="231">
        <f t="shared" si="790"/>
        <v>147.11315328355479</v>
      </c>
      <c r="N1742" s="231">
        <f t="shared" si="791"/>
        <v>147.11315328355479</v>
      </c>
      <c r="O1742" s="231">
        <f t="shared" si="792"/>
        <v>98.535290776298382</v>
      </c>
      <c r="P1742" s="231">
        <f t="shared" si="816"/>
        <v>98.535290776298382</v>
      </c>
    </row>
    <row r="1743" spans="1:16" s="3" customFormat="1" ht="12.75" customHeight="1">
      <c r="A1743" s="36" t="s">
        <v>267</v>
      </c>
      <c r="B1743" s="168"/>
      <c r="C1743" s="324" t="s">
        <v>268</v>
      </c>
      <c r="D1743" s="85">
        <f>SUM(D1744:D1752)</f>
        <v>8340138</v>
      </c>
      <c r="E1743" s="85"/>
      <c r="F1743" s="48">
        <f t="shared" si="818"/>
        <v>8340138</v>
      </c>
      <c r="G1743" s="85">
        <f>SUM(G1744:G1752)</f>
        <v>11247323</v>
      </c>
      <c r="H1743" s="85"/>
      <c r="I1743" s="85">
        <f t="shared" si="819"/>
        <v>11247323</v>
      </c>
      <c r="J1743" s="48">
        <f>SUM(J1744:J1752)</f>
        <v>12269440</v>
      </c>
      <c r="K1743" s="85"/>
      <c r="L1743" s="48">
        <f t="shared" si="820"/>
        <v>12269440</v>
      </c>
      <c r="M1743" s="219">
        <f t="shared" ref="M1743:M1806" si="821">IF(D1743&gt;0,IF(J1743&gt;=0,J1743/D1743*100,""),"")</f>
        <v>147.11315328355479</v>
      </c>
      <c r="N1743" s="219">
        <f t="shared" ref="N1743:N1806" si="822">IF(F1743&gt;0,IF(L1743&gt;=0,L1743/F1743*100,""),"")</f>
        <v>147.11315328355479</v>
      </c>
      <c r="O1743" s="219">
        <f t="shared" ref="O1743:O1806" si="823">IF(G1743&gt;0,IF(J1743&gt;=0,J1743/G1743*100,""),"")</f>
        <v>109.08764690051136</v>
      </c>
      <c r="P1743" s="219">
        <f t="shared" si="816"/>
        <v>109.08764690051136</v>
      </c>
    </row>
    <row r="1744" spans="1:16" s="3" customFormat="1" ht="12.75" customHeight="1">
      <c r="A1744" s="36" t="s">
        <v>180</v>
      </c>
      <c r="B1744" s="33" t="s">
        <v>419</v>
      </c>
      <c r="C1744" s="211" t="s">
        <v>1825</v>
      </c>
      <c r="D1744" s="48">
        <v>6384000</v>
      </c>
      <c r="E1744" s="48"/>
      <c r="F1744" s="48">
        <f t="shared" si="818"/>
        <v>6384000</v>
      </c>
      <c r="G1744" s="85">
        <v>6726737</v>
      </c>
      <c r="H1744" s="85"/>
      <c r="I1744" s="85">
        <f t="shared" si="819"/>
        <v>6726737</v>
      </c>
      <c r="J1744" s="63">
        <v>6878300</v>
      </c>
      <c r="K1744" s="48"/>
      <c r="L1744" s="48">
        <f t="shared" si="820"/>
        <v>6878300</v>
      </c>
      <c r="M1744" s="219">
        <f t="shared" si="821"/>
        <v>107.74279448621553</v>
      </c>
      <c r="N1744" s="219">
        <f t="shared" si="822"/>
        <v>107.74279448621553</v>
      </c>
      <c r="O1744" s="219">
        <f t="shared" si="823"/>
        <v>102.25314294285626</v>
      </c>
      <c r="P1744" s="219">
        <f t="shared" si="816"/>
        <v>102.25314294285626</v>
      </c>
    </row>
    <row r="1745" spans="1:17" s="3" customFormat="1" ht="12.75" customHeight="1">
      <c r="A1745" s="36" t="s">
        <v>368</v>
      </c>
      <c r="B1745" s="33" t="s">
        <v>418</v>
      </c>
      <c r="C1745" s="211" t="s">
        <v>1827</v>
      </c>
      <c r="D1745" s="48">
        <f>50000+790000</f>
        <v>840000</v>
      </c>
      <c r="E1745" s="48"/>
      <c r="F1745" s="48">
        <f>D1745+E1745</f>
        <v>840000</v>
      </c>
      <c r="G1745" s="85">
        <v>3465857</v>
      </c>
      <c r="H1745" s="85"/>
      <c r="I1745" s="85">
        <f t="shared" si="819"/>
        <v>3465857</v>
      </c>
      <c r="J1745" s="63">
        <f>60000+4235000</f>
        <v>4295000</v>
      </c>
      <c r="K1745" s="48"/>
      <c r="L1745" s="48">
        <f t="shared" ref="L1745:L1751" si="824">J1745+K1745</f>
        <v>4295000</v>
      </c>
      <c r="M1745" s="219">
        <f t="shared" si="821"/>
        <v>511.3095238095238</v>
      </c>
      <c r="N1745" s="219">
        <f t="shared" si="822"/>
        <v>511.3095238095238</v>
      </c>
      <c r="O1745" s="219">
        <f t="shared" si="823"/>
        <v>123.92317397976893</v>
      </c>
      <c r="P1745" s="219">
        <f t="shared" ref="P1745" si="825">IF(I1745&gt;0,IF(L1745&gt;=0,L1745/I1745*100,""),"")</f>
        <v>123.92317397976893</v>
      </c>
      <c r="Q1745" s="14"/>
    </row>
    <row r="1746" spans="1:17" s="3" customFormat="1" ht="108">
      <c r="A1746" s="341" t="s">
        <v>2477</v>
      </c>
      <c r="B1746" s="33"/>
      <c r="C1746" s="211"/>
      <c r="D1746" s="48"/>
      <c r="E1746" s="48"/>
      <c r="F1746" s="48"/>
      <c r="G1746" s="85"/>
      <c r="H1746" s="85"/>
      <c r="I1746" s="85"/>
      <c r="J1746" s="63"/>
      <c r="K1746" s="48"/>
      <c r="L1746" s="48"/>
      <c r="M1746" s="219" t="str">
        <f t="shared" si="821"/>
        <v/>
      </c>
      <c r="N1746" s="219" t="str">
        <f t="shared" si="822"/>
        <v/>
      </c>
      <c r="O1746" s="219" t="str">
        <f t="shared" si="823"/>
        <v/>
      </c>
      <c r="P1746" s="219"/>
      <c r="Q1746" s="14"/>
    </row>
    <row r="1747" spans="1:17" s="3" customFormat="1" ht="12.75" customHeight="1">
      <c r="A1747" s="36" t="s">
        <v>13</v>
      </c>
      <c r="B1747" s="33" t="s">
        <v>10</v>
      </c>
      <c r="C1747" s="211" t="s">
        <v>1830</v>
      </c>
      <c r="D1747" s="48">
        <v>12460</v>
      </c>
      <c r="E1747" s="48"/>
      <c r="F1747" s="48">
        <f>D1747+E1747</f>
        <v>12460</v>
      </c>
      <c r="G1747" s="85">
        <v>12460</v>
      </c>
      <c r="H1747" s="85"/>
      <c r="I1747" s="85">
        <f>G1747+H1747</f>
        <v>12460</v>
      </c>
      <c r="J1747" s="63">
        <v>76640</v>
      </c>
      <c r="K1747" s="48"/>
      <c r="L1747" s="48">
        <f t="shared" si="824"/>
        <v>76640</v>
      </c>
      <c r="M1747" s="219">
        <f t="shared" si="821"/>
        <v>615.08828250401291</v>
      </c>
      <c r="N1747" s="219">
        <f t="shared" si="822"/>
        <v>615.08828250401291</v>
      </c>
      <c r="O1747" s="219">
        <f t="shared" si="823"/>
        <v>615.08828250401291</v>
      </c>
      <c r="P1747" s="219">
        <f>IF(I1747&gt;0,IF(L1747&gt;=0,L1747/I1747*100,""),"")</f>
        <v>615.08828250401291</v>
      </c>
    </row>
    <row r="1748" spans="1:17" s="3" customFormat="1" ht="12.75" customHeight="1">
      <c r="A1748" s="36" t="s">
        <v>783</v>
      </c>
      <c r="B1748" s="33" t="s">
        <v>836</v>
      </c>
      <c r="C1748" s="211" t="s">
        <v>2342</v>
      </c>
      <c r="D1748" s="48"/>
      <c r="E1748" s="48"/>
      <c r="F1748" s="48"/>
      <c r="G1748" s="85">
        <v>15000</v>
      </c>
      <c r="H1748" s="85"/>
      <c r="I1748" s="85">
        <f>G1748+H1748</f>
        <v>15000</v>
      </c>
      <c r="J1748" s="63">
        <v>25000</v>
      </c>
      <c r="K1748" s="48"/>
      <c r="L1748" s="48">
        <f t="shared" si="824"/>
        <v>25000</v>
      </c>
      <c r="M1748" s="219" t="str">
        <f t="shared" si="821"/>
        <v/>
      </c>
      <c r="N1748" s="219" t="str">
        <f t="shared" si="822"/>
        <v/>
      </c>
      <c r="O1748" s="219">
        <f t="shared" si="823"/>
        <v>166.66666666666669</v>
      </c>
      <c r="P1748" s="219">
        <f t="shared" ref="P1748:P1754" si="826">IF(I1748&gt;0,IF(L1748&gt;=0,L1748/I1748*100,""),"")</f>
        <v>166.66666666666669</v>
      </c>
    </row>
    <row r="1749" spans="1:17" s="3" customFormat="1" ht="12.75" customHeight="1">
      <c r="A1749" s="36" t="s">
        <v>651</v>
      </c>
      <c r="B1749" s="33" t="s">
        <v>650</v>
      </c>
      <c r="C1749" s="211" t="s">
        <v>1826</v>
      </c>
      <c r="D1749" s="48">
        <v>566848</v>
      </c>
      <c r="E1749" s="48"/>
      <c r="F1749" s="48">
        <f>D1749+E1749</f>
        <v>566848</v>
      </c>
      <c r="G1749" s="85">
        <v>790439</v>
      </c>
      <c r="H1749" s="85"/>
      <c r="I1749" s="85">
        <f>G1749+H1749</f>
        <v>790439</v>
      </c>
      <c r="J1749" s="63">
        <v>667200</v>
      </c>
      <c r="K1749" s="48"/>
      <c r="L1749" s="48">
        <f t="shared" si="824"/>
        <v>667200</v>
      </c>
      <c r="M1749" s="219">
        <f t="shared" si="821"/>
        <v>117.7035113469572</v>
      </c>
      <c r="N1749" s="219">
        <f t="shared" si="822"/>
        <v>117.7035113469572</v>
      </c>
      <c r="O1749" s="219">
        <f t="shared" si="823"/>
        <v>84.408790558158188</v>
      </c>
      <c r="P1749" s="219">
        <f t="shared" si="826"/>
        <v>84.408790558158188</v>
      </c>
    </row>
    <row r="1750" spans="1:17" s="3" customFormat="1" ht="12.75" customHeight="1">
      <c r="A1750" s="36" t="s">
        <v>375</v>
      </c>
      <c r="B1750" s="33" t="s">
        <v>150</v>
      </c>
      <c r="C1750" s="211" t="s">
        <v>1831</v>
      </c>
      <c r="D1750" s="48">
        <f>7000+300000</f>
        <v>307000</v>
      </c>
      <c r="E1750" s="48"/>
      <c r="F1750" s="48">
        <f>D1750+E1750</f>
        <v>307000</v>
      </c>
      <c r="G1750" s="85">
        <v>7000</v>
      </c>
      <c r="H1750" s="85"/>
      <c r="I1750" s="85">
        <f>G1750+H1750</f>
        <v>7000</v>
      </c>
      <c r="J1750" s="63">
        <v>8000</v>
      </c>
      <c r="K1750" s="48"/>
      <c r="L1750" s="48">
        <f t="shared" si="824"/>
        <v>8000</v>
      </c>
      <c r="M1750" s="219">
        <f t="shared" si="821"/>
        <v>2.6058631921824107</v>
      </c>
      <c r="N1750" s="219">
        <f t="shared" si="822"/>
        <v>2.6058631921824107</v>
      </c>
      <c r="O1750" s="219">
        <f t="shared" si="823"/>
        <v>114.28571428571428</v>
      </c>
      <c r="P1750" s="219">
        <f t="shared" si="826"/>
        <v>114.28571428571428</v>
      </c>
    </row>
    <row r="1751" spans="1:17" s="3" customFormat="1" ht="12.75" customHeight="1">
      <c r="A1751" s="36" t="s">
        <v>14</v>
      </c>
      <c r="B1751" s="33" t="s">
        <v>9</v>
      </c>
      <c r="C1751" s="211" t="s">
        <v>1829</v>
      </c>
      <c r="D1751" s="48">
        <v>160800</v>
      </c>
      <c r="E1751" s="48"/>
      <c r="F1751" s="48">
        <f>D1751+E1751</f>
        <v>160800</v>
      </c>
      <c r="G1751" s="85">
        <v>160800</v>
      </c>
      <c r="H1751" s="85"/>
      <c r="I1751" s="85">
        <f>G1751+H1751</f>
        <v>160800</v>
      </c>
      <c r="J1751" s="63">
        <v>319300</v>
      </c>
      <c r="K1751" s="48"/>
      <c r="L1751" s="48">
        <f t="shared" si="824"/>
        <v>319300</v>
      </c>
      <c r="M1751" s="219">
        <f t="shared" si="821"/>
        <v>198.56965174129354</v>
      </c>
      <c r="N1751" s="219">
        <f t="shared" si="822"/>
        <v>198.56965174129354</v>
      </c>
      <c r="O1751" s="219">
        <f t="shared" si="823"/>
        <v>198.56965174129354</v>
      </c>
      <c r="P1751" s="219">
        <f t="shared" si="826"/>
        <v>198.56965174129354</v>
      </c>
    </row>
    <row r="1752" spans="1:17" s="3" customFormat="1" ht="12.75" customHeight="1">
      <c r="A1752" s="36" t="s">
        <v>935</v>
      </c>
      <c r="B1752" s="211" t="s">
        <v>701</v>
      </c>
      <c r="C1752" s="211" t="s">
        <v>1828</v>
      </c>
      <c r="D1752" s="48">
        <v>69030</v>
      </c>
      <c r="E1752" s="48"/>
      <c r="F1752" s="48">
        <f>D1752+E1752</f>
        <v>69030</v>
      </c>
      <c r="G1752" s="85">
        <v>69030</v>
      </c>
      <c r="H1752" s="85"/>
      <c r="I1752" s="85">
        <f t="shared" si="819"/>
        <v>69030</v>
      </c>
      <c r="J1752" s="63"/>
      <c r="K1752" s="48"/>
      <c r="L1752" s="48">
        <f t="shared" ref="L1752" si="827">J1752+K1752</f>
        <v>0</v>
      </c>
      <c r="M1752" s="219">
        <f t="shared" si="821"/>
        <v>0</v>
      </c>
      <c r="N1752" s="219">
        <f t="shared" si="822"/>
        <v>0</v>
      </c>
      <c r="O1752" s="219">
        <f t="shared" si="823"/>
        <v>0</v>
      </c>
      <c r="P1752" s="219">
        <f t="shared" si="826"/>
        <v>0</v>
      </c>
    </row>
    <row r="1753" spans="1:17" s="3" customFormat="1" ht="12.75" customHeight="1">
      <c r="A1753" s="36" t="s">
        <v>792</v>
      </c>
      <c r="B1753" s="211" t="s">
        <v>152</v>
      </c>
      <c r="C1753" s="211" t="s">
        <v>2209</v>
      </c>
      <c r="D1753" s="48"/>
      <c r="E1753" s="48"/>
      <c r="F1753" s="48"/>
      <c r="G1753" s="85">
        <v>57000</v>
      </c>
      <c r="H1753" s="85"/>
      <c r="I1753" s="85">
        <f t="shared" si="819"/>
        <v>57000</v>
      </c>
      <c r="J1753" s="48"/>
      <c r="K1753" s="48"/>
      <c r="L1753" s="48"/>
      <c r="M1753" s="219" t="str">
        <f t="shared" si="821"/>
        <v/>
      </c>
      <c r="N1753" s="219" t="str">
        <f t="shared" si="822"/>
        <v/>
      </c>
      <c r="O1753" s="219">
        <f t="shared" si="823"/>
        <v>0</v>
      </c>
      <c r="P1753" s="219">
        <f t="shared" si="826"/>
        <v>0</v>
      </c>
    </row>
    <row r="1754" spans="1:17" s="3" customFormat="1" ht="12.75" customHeight="1">
      <c r="A1754" s="36" t="s">
        <v>791</v>
      </c>
      <c r="B1754" s="211" t="s">
        <v>151</v>
      </c>
      <c r="C1754" s="211" t="s">
        <v>1832</v>
      </c>
      <c r="D1754" s="48"/>
      <c r="E1754" s="48"/>
      <c r="F1754" s="48">
        <f t="shared" ref="F1754" si="828">D1754+E1754</f>
        <v>0</v>
      </c>
      <c r="G1754" s="85">
        <v>1147500</v>
      </c>
      <c r="H1754" s="85"/>
      <c r="I1754" s="85">
        <f t="shared" si="819"/>
        <v>1147500</v>
      </c>
      <c r="J1754" s="48"/>
      <c r="K1754" s="48"/>
      <c r="L1754" s="48">
        <f t="shared" ref="L1754" si="829">J1754+K1754</f>
        <v>0</v>
      </c>
      <c r="M1754" s="219" t="str">
        <f t="shared" si="821"/>
        <v/>
      </c>
      <c r="N1754" s="219" t="str">
        <f t="shared" si="822"/>
        <v/>
      </c>
      <c r="O1754" s="219">
        <f t="shared" si="823"/>
        <v>0</v>
      </c>
      <c r="P1754" s="219">
        <f t="shared" si="826"/>
        <v>0</v>
      </c>
    </row>
    <row r="1755" spans="1:17" s="3" customFormat="1" ht="6" customHeight="1">
      <c r="A1755" s="36"/>
      <c r="B1755" s="47"/>
      <c r="C1755" s="212" t="s">
        <v>268</v>
      </c>
      <c r="D1755" s="48"/>
      <c r="E1755" s="48"/>
      <c r="F1755" s="48"/>
      <c r="G1755" s="85"/>
      <c r="H1755" s="85"/>
      <c r="I1755" s="85"/>
      <c r="J1755" s="48"/>
      <c r="K1755" s="48"/>
      <c r="L1755" s="48"/>
      <c r="M1755" s="219" t="str">
        <f t="shared" si="821"/>
        <v/>
      </c>
      <c r="N1755" s="219" t="str">
        <f t="shared" si="822"/>
        <v/>
      </c>
      <c r="O1755" s="219" t="str">
        <f t="shared" si="823"/>
        <v/>
      </c>
      <c r="P1755" s="219" t="str">
        <f t="shared" ref="P1755:P1788" si="830">IF(I1755&gt;0,IF(L1755&gt;=0,L1755/I1755*100,""),"")</f>
        <v/>
      </c>
    </row>
    <row r="1756" spans="1:17" s="3" customFormat="1" ht="12.75">
      <c r="A1756" s="58" t="s">
        <v>153</v>
      </c>
      <c r="B1756" s="65" t="s">
        <v>265</v>
      </c>
      <c r="C1756" s="308" t="s">
        <v>940</v>
      </c>
      <c r="D1756" s="86">
        <f>SUM(D1758:D1762)</f>
        <v>4529880</v>
      </c>
      <c r="E1756" s="86">
        <f>SUM(E1758:E1762)</f>
        <v>0</v>
      </c>
      <c r="F1756" s="86">
        <f t="shared" ref="F1756:F1758" si="831">SUM(D1756:E1756)</f>
        <v>4529880</v>
      </c>
      <c r="G1756" s="262">
        <f>SUM(G1758:G1762)</f>
        <v>4697110</v>
      </c>
      <c r="H1756" s="262">
        <f>SUM(H1758:H1762)</f>
        <v>0</v>
      </c>
      <c r="I1756" s="262">
        <f>SUM(G1756:H1756)</f>
        <v>4697110</v>
      </c>
      <c r="J1756" s="86">
        <f>SUM(J1758:J1762)</f>
        <v>4790900</v>
      </c>
      <c r="K1756" s="86">
        <f>SUM(K1758:K1762)</f>
        <v>0</v>
      </c>
      <c r="L1756" s="86">
        <f t="shared" ref="L1756:L1761" si="832">SUM(J1756:K1756)</f>
        <v>4790900</v>
      </c>
      <c r="M1756" s="236">
        <f t="shared" si="821"/>
        <v>105.76218354570099</v>
      </c>
      <c r="N1756" s="236">
        <f t="shared" si="822"/>
        <v>105.76218354570099</v>
      </c>
      <c r="O1756" s="236">
        <f t="shared" si="823"/>
        <v>101.99675970969383</v>
      </c>
      <c r="P1756" s="236">
        <f t="shared" si="830"/>
        <v>101.99675970969383</v>
      </c>
    </row>
    <row r="1757" spans="1:17" s="3" customFormat="1" hidden="1">
      <c r="A1757" s="80" t="s">
        <v>267</v>
      </c>
      <c r="B1757" s="79"/>
      <c r="C1757" s="302" t="s">
        <v>268</v>
      </c>
      <c r="D1757" s="113">
        <f>SUM(D1758:D1761)</f>
        <v>4529880</v>
      </c>
      <c r="E1757" s="113">
        <f>SUM(E1758:E1761)</f>
        <v>0</v>
      </c>
      <c r="F1757" s="63">
        <f t="shared" si="831"/>
        <v>4529880</v>
      </c>
      <c r="G1757" s="187">
        <f>SUM(G1758:G1761)</f>
        <v>4697110</v>
      </c>
      <c r="H1757" s="187">
        <f>SUM(H1758:H1761)</f>
        <v>0</v>
      </c>
      <c r="I1757" s="38">
        <f>SUM(G1757:H1757)</f>
        <v>4697110</v>
      </c>
      <c r="J1757" s="63">
        <f>SUM(J1758:J1761)</f>
        <v>4790900</v>
      </c>
      <c r="K1757" s="113">
        <f>SUM(K1758:K1761)</f>
        <v>0</v>
      </c>
      <c r="L1757" s="63">
        <f t="shared" si="832"/>
        <v>4790900</v>
      </c>
      <c r="M1757" s="218">
        <f t="shared" si="821"/>
        <v>105.76218354570099</v>
      </c>
      <c r="N1757" s="218">
        <f t="shared" si="822"/>
        <v>105.76218354570099</v>
      </c>
      <c r="O1757" s="218">
        <f t="shared" si="823"/>
        <v>101.99675970969383</v>
      </c>
      <c r="P1757" s="218">
        <f t="shared" si="830"/>
        <v>101.99675970969383</v>
      </c>
    </row>
    <row r="1758" spans="1:17" s="3" customFormat="1" ht="12.75" customHeight="1">
      <c r="A1758" s="36" t="s">
        <v>180</v>
      </c>
      <c r="B1758" s="33" t="s">
        <v>419</v>
      </c>
      <c r="C1758" s="211" t="s">
        <v>1833</v>
      </c>
      <c r="D1758" s="87">
        <v>4472880</v>
      </c>
      <c r="E1758" s="87"/>
      <c r="F1758" s="63">
        <f t="shared" si="831"/>
        <v>4472880</v>
      </c>
      <c r="G1758" s="87">
        <v>4640110</v>
      </c>
      <c r="H1758" s="87"/>
      <c r="I1758" s="38">
        <f>SUM(G1758:H1758)</f>
        <v>4640110</v>
      </c>
      <c r="J1758" s="63">
        <v>4728900</v>
      </c>
      <c r="K1758" s="87"/>
      <c r="L1758" s="63">
        <f t="shared" si="832"/>
        <v>4728900</v>
      </c>
      <c r="M1758" s="218">
        <f t="shared" si="821"/>
        <v>105.72382894242635</v>
      </c>
      <c r="N1758" s="218">
        <f t="shared" si="822"/>
        <v>105.72382894242635</v>
      </c>
      <c r="O1758" s="218">
        <f t="shared" si="823"/>
        <v>101.91353222229644</v>
      </c>
      <c r="P1758" s="218">
        <f t="shared" si="830"/>
        <v>101.91353222229644</v>
      </c>
    </row>
    <row r="1759" spans="1:17" s="3" customFormat="1" ht="12.75" customHeight="1">
      <c r="A1759" s="36" t="s">
        <v>651</v>
      </c>
      <c r="B1759" s="33" t="s">
        <v>650</v>
      </c>
      <c r="C1759" s="211" t="s">
        <v>1834</v>
      </c>
      <c r="D1759" s="63">
        <v>34000</v>
      </c>
      <c r="E1759" s="63"/>
      <c r="F1759" s="63">
        <f>SUM(D1759:E1759)</f>
        <v>34000</v>
      </c>
      <c r="G1759" s="38">
        <v>34000</v>
      </c>
      <c r="H1759" s="38"/>
      <c r="I1759" s="38">
        <f>SUM(G1759:H1759)</f>
        <v>34000</v>
      </c>
      <c r="J1759" s="63">
        <v>38000</v>
      </c>
      <c r="K1759" s="63"/>
      <c r="L1759" s="63">
        <f>SUM(J1759:K1759)</f>
        <v>38000</v>
      </c>
      <c r="M1759" s="218">
        <f t="shared" si="821"/>
        <v>111.76470588235294</v>
      </c>
      <c r="N1759" s="218">
        <f t="shared" si="822"/>
        <v>111.76470588235294</v>
      </c>
      <c r="O1759" s="218">
        <f t="shared" si="823"/>
        <v>111.76470588235294</v>
      </c>
      <c r="P1759" s="218">
        <f t="shared" si="830"/>
        <v>111.76470588235294</v>
      </c>
    </row>
    <row r="1760" spans="1:17" s="3" customFormat="1" ht="12.75" customHeight="1">
      <c r="A1760" s="36" t="s">
        <v>375</v>
      </c>
      <c r="B1760" s="33" t="s">
        <v>150</v>
      </c>
      <c r="C1760" s="211" t="s">
        <v>1835</v>
      </c>
      <c r="D1760" s="63">
        <v>23000</v>
      </c>
      <c r="E1760" s="63"/>
      <c r="F1760" s="63">
        <f>SUM(D1760:E1760)</f>
        <v>23000</v>
      </c>
      <c r="G1760" s="38">
        <v>23000</v>
      </c>
      <c r="H1760" s="38"/>
      <c r="I1760" s="38">
        <f>SUM(G1760:H1760)</f>
        <v>23000</v>
      </c>
      <c r="J1760" s="63">
        <v>24000</v>
      </c>
      <c r="K1760" s="63"/>
      <c r="L1760" s="63">
        <f>SUM(J1760:K1760)</f>
        <v>24000</v>
      </c>
      <c r="M1760" s="218">
        <f t="shared" si="821"/>
        <v>104.34782608695652</v>
      </c>
      <c r="N1760" s="218">
        <f t="shared" si="822"/>
        <v>104.34782608695652</v>
      </c>
      <c r="O1760" s="218">
        <f t="shared" si="823"/>
        <v>104.34782608695652</v>
      </c>
      <c r="P1760" s="218">
        <f t="shared" si="830"/>
        <v>104.34782608695652</v>
      </c>
    </row>
    <row r="1761" spans="1:16" s="3" customFormat="1" hidden="1">
      <c r="A1761" s="36" t="s">
        <v>368</v>
      </c>
      <c r="B1761" s="33" t="s">
        <v>418</v>
      </c>
      <c r="C1761" s="211" t="s">
        <v>1836</v>
      </c>
      <c r="D1761" s="87"/>
      <c r="E1761" s="87"/>
      <c r="F1761" s="63"/>
      <c r="G1761" s="87"/>
      <c r="H1761" s="87"/>
      <c r="I1761" s="38"/>
      <c r="J1761" s="87"/>
      <c r="K1761" s="87"/>
      <c r="L1761" s="63">
        <f t="shared" si="832"/>
        <v>0</v>
      </c>
      <c r="M1761" s="218" t="str">
        <f t="shared" si="821"/>
        <v/>
      </c>
      <c r="N1761" s="218" t="str">
        <f t="shared" si="822"/>
        <v/>
      </c>
      <c r="O1761" s="218" t="str">
        <f t="shared" si="823"/>
        <v/>
      </c>
      <c r="P1761" s="218" t="str">
        <f t="shared" si="830"/>
        <v/>
      </c>
    </row>
    <row r="1762" spans="1:16" s="3" customFormat="1" hidden="1">
      <c r="A1762" s="36" t="s">
        <v>791</v>
      </c>
      <c r="B1762" s="33" t="s">
        <v>151</v>
      </c>
      <c r="C1762" s="211" t="s">
        <v>1837</v>
      </c>
      <c r="D1762" s="63"/>
      <c r="E1762" s="63"/>
      <c r="F1762" s="63">
        <f t="shared" ref="F1762:F1768" si="833">SUM(D1762:E1762)</f>
        <v>0</v>
      </c>
      <c r="G1762" s="38"/>
      <c r="H1762" s="38"/>
      <c r="I1762" s="38">
        <f t="shared" ref="I1762:I1768" si="834">SUM(G1762:H1762)</f>
        <v>0</v>
      </c>
      <c r="J1762" s="63"/>
      <c r="K1762" s="63"/>
      <c r="L1762" s="63">
        <f t="shared" ref="L1762:L1764" si="835">SUM(J1762:K1762)</f>
        <v>0</v>
      </c>
      <c r="M1762" s="218" t="str">
        <f t="shared" si="821"/>
        <v/>
      </c>
      <c r="N1762" s="218" t="str">
        <f t="shared" si="822"/>
        <v/>
      </c>
      <c r="O1762" s="218" t="str">
        <f t="shared" si="823"/>
        <v/>
      </c>
      <c r="P1762" s="218" t="str">
        <f t="shared" si="830"/>
        <v/>
      </c>
    </row>
    <row r="1763" spans="1:16" s="3" customFormat="1" ht="6" customHeight="1">
      <c r="A1763" s="36"/>
      <c r="B1763" s="47"/>
      <c r="C1763" s="212" t="s">
        <v>268</v>
      </c>
      <c r="D1763" s="63"/>
      <c r="E1763" s="63"/>
      <c r="F1763" s="63">
        <f t="shared" si="833"/>
        <v>0</v>
      </c>
      <c r="G1763" s="38"/>
      <c r="H1763" s="38"/>
      <c r="I1763" s="38">
        <f t="shared" si="834"/>
        <v>0</v>
      </c>
      <c r="J1763" s="63"/>
      <c r="K1763" s="63"/>
      <c r="L1763" s="63">
        <f t="shared" si="835"/>
        <v>0</v>
      </c>
      <c r="M1763" s="218" t="str">
        <f t="shared" si="821"/>
        <v/>
      </c>
      <c r="N1763" s="218" t="str">
        <f t="shared" si="822"/>
        <v/>
      </c>
      <c r="O1763" s="218" t="str">
        <f t="shared" si="823"/>
        <v/>
      </c>
      <c r="P1763" s="218" t="str">
        <f t="shared" si="830"/>
        <v/>
      </c>
    </row>
    <row r="1764" spans="1:16" s="3" customFormat="1" ht="25.5">
      <c r="A1764" s="58" t="s">
        <v>442</v>
      </c>
      <c r="B1764" s="65" t="s">
        <v>265</v>
      </c>
      <c r="C1764" s="308" t="s">
        <v>940</v>
      </c>
      <c r="D1764" s="86">
        <f>SUM(D1766:D1768)</f>
        <v>796610</v>
      </c>
      <c r="E1764" s="86">
        <f>SUM(E1766:E1766)</f>
        <v>0</v>
      </c>
      <c r="F1764" s="86">
        <f t="shared" si="833"/>
        <v>796610</v>
      </c>
      <c r="G1764" s="262">
        <f>SUM(G1766:G1768)</f>
        <v>880610</v>
      </c>
      <c r="H1764" s="262">
        <f>SUM(H1766:H1766)</f>
        <v>0</v>
      </c>
      <c r="I1764" s="262">
        <f t="shared" si="834"/>
        <v>880610</v>
      </c>
      <c r="J1764" s="86">
        <f>SUM(J1766:J1768)</f>
        <v>899600</v>
      </c>
      <c r="K1764" s="86">
        <f>SUM(K1766:K1766)</f>
        <v>0</v>
      </c>
      <c r="L1764" s="86">
        <f t="shared" si="835"/>
        <v>899600</v>
      </c>
      <c r="M1764" s="236">
        <f t="shared" si="821"/>
        <v>112.92853466564567</v>
      </c>
      <c r="N1764" s="236">
        <f t="shared" si="822"/>
        <v>112.92853466564567</v>
      </c>
      <c r="O1764" s="236">
        <f t="shared" si="823"/>
        <v>102.1564597267803</v>
      </c>
      <c r="P1764" s="236">
        <f t="shared" si="830"/>
        <v>102.1564597267803</v>
      </c>
    </row>
    <row r="1765" spans="1:16" s="3" customFormat="1" hidden="1">
      <c r="A1765" s="46" t="s">
        <v>267</v>
      </c>
      <c r="B1765" s="184"/>
      <c r="C1765" s="320" t="s">
        <v>268</v>
      </c>
      <c r="D1765" s="87">
        <f>SUM(D1766:D1768)</f>
        <v>796610</v>
      </c>
      <c r="E1765" s="95"/>
      <c r="F1765" s="63">
        <f t="shared" si="833"/>
        <v>796610</v>
      </c>
      <c r="G1765" s="87">
        <f>SUM(G1766:G1768)</f>
        <v>880610</v>
      </c>
      <c r="H1765" s="261"/>
      <c r="I1765" s="38">
        <f t="shared" si="834"/>
        <v>880610</v>
      </c>
      <c r="J1765" s="63">
        <f>SUM(J1766:J1768)</f>
        <v>899600</v>
      </c>
      <c r="K1765" s="95"/>
      <c r="L1765" s="63">
        <f t="shared" ref="L1765" si="836">SUM(J1765:K1765)</f>
        <v>899600</v>
      </c>
      <c r="M1765" s="218">
        <f t="shared" si="821"/>
        <v>112.92853466564567</v>
      </c>
      <c r="N1765" s="218">
        <f t="shared" si="822"/>
        <v>112.92853466564567</v>
      </c>
      <c r="O1765" s="218">
        <f t="shared" si="823"/>
        <v>102.1564597267803</v>
      </c>
      <c r="P1765" s="218">
        <f t="shared" si="830"/>
        <v>102.1564597267803</v>
      </c>
    </row>
    <row r="1766" spans="1:16" s="3" customFormat="1" ht="12.75" customHeight="1">
      <c r="A1766" s="36" t="s">
        <v>180</v>
      </c>
      <c r="B1766" s="33" t="s">
        <v>419</v>
      </c>
      <c r="C1766" s="211" t="s">
        <v>1838</v>
      </c>
      <c r="D1766" s="87">
        <v>760610</v>
      </c>
      <c r="E1766" s="87"/>
      <c r="F1766" s="63">
        <f t="shared" si="833"/>
        <v>760610</v>
      </c>
      <c r="G1766" s="87">
        <v>844610</v>
      </c>
      <c r="H1766" s="87"/>
      <c r="I1766" s="38">
        <f t="shared" si="834"/>
        <v>844610</v>
      </c>
      <c r="J1766" s="63">
        <v>832600</v>
      </c>
      <c r="K1766" s="87"/>
      <c r="L1766" s="63">
        <f t="shared" ref="L1766:L1768" si="837">SUM(J1766:K1766)</f>
        <v>832600</v>
      </c>
      <c r="M1766" s="218">
        <f t="shared" si="821"/>
        <v>109.46477169640157</v>
      </c>
      <c r="N1766" s="218">
        <f t="shared" si="822"/>
        <v>109.46477169640157</v>
      </c>
      <c r="O1766" s="218">
        <f t="shared" si="823"/>
        <v>98.578041936515078</v>
      </c>
      <c r="P1766" s="218">
        <f t="shared" si="830"/>
        <v>98.578041936515078</v>
      </c>
    </row>
    <row r="1767" spans="1:16" s="3" customFormat="1" ht="12.75" customHeight="1">
      <c r="A1767" s="36" t="s">
        <v>651</v>
      </c>
      <c r="B1767" s="33" t="s">
        <v>650</v>
      </c>
      <c r="C1767" s="211" t="s">
        <v>1839</v>
      </c>
      <c r="D1767" s="87">
        <v>15000</v>
      </c>
      <c r="E1767" s="87"/>
      <c r="F1767" s="63">
        <f t="shared" si="833"/>
        <v>15000</v>
      </c>
      <c r="G1767" s="87">
        <v>15000</v>
      </c>
      <c r="H1767" s="87"/>
      <c r="I1767" s="38">
        <f t="shared" si="834"/>
        <v>15000</v>
      </c>
      <c r="J1767" s="63">
        <v>32000</v>
      </c>
      <c r="K1767" s="87"/>
      <c r="L1767" s="63">
        <f t="shared" si="837"/>
        <v>32000</v>
      </c>
      <c r="M1767" s="218">
        <f t="shared" si="821"/>
        <v>213.33333333333334</v>
      </c>
      <c r="N1767" s="218">
        <f t="shared" si="822"/>
        <v>213.33333333333334</v>
      </c>
      <c r="O1767" s="218">
        <f t="shared" si="823"/>
        <v>213.33333333333334</v>
      </c>
      <c r="P1767" s="218">
        <f t="shared" si="830"/>
        <v>213.33333333333334</v>
      </c>
    </row>
    <row r="1768" spans="1:16" s="3" customFormat="1" ht="12.75" customHeight="1">
      <c r="A1768" s="36" t="s">
        <v>14</v>
      </c>
      <c r="B1768" s="33" t="s">
        <v>9</v>
      </c>
      <c r="C1768" s="211" t="s">
        <v>1840</v>
      </c>
      <c r="D1768" s="87">
        <v>21000</v>
      </c>
      <c r="E1768" s="87"/>
      <c r="F1768" s="63">
        <f t="shared" si="833"/>
        <v>21000</v>
      </c>
      <c r="G1768" s="87">
        <v>21000</v>
      </c>
      <c r="H1768" s="87"/>
      <c r="I1768" s="38">
        <f t="shared" si="834"/>
        <v>21000</v>
      </c>
      <c r="J1768" s="63">
        <v>35000</v>
      </c>
      <c r="K1768" s="87"/>
      <c r="L1768" s="63">
        <f t="shared" si="837"/>
        <v>35000</v>
      </c>
      <c r="M1768" s="218">
        <f t="shared" si="821"/>
        <v>166.66666666666669</v>
      </c>
      <c r="N1768" s="218">
        <f t="shared" si="822"/>
        <v>166.66666666666669</v>
      </c>
      <c r="O1768" s="218">
        <f t="shared" si="823"/>
        <v>166.66666666666669</v>
      </c>
      <c r="P1768" s="218">
        <f t="shared" si="830"/>
        <v>166.66666666666669</v>
      </c>
    </row>
    <row r="1769" spans="1:16" s="3" customFormat="1" ht="6" customHeight="1">
      <c r="A1769" s="36"/>
      <c r="B1769" s="33"/>
      <c r="C1769" s="211" t="s">
        <v>268</v>
      </c>
      <c r="D1769" s="87"/>
      <c r="E1769" s="87"/>
      <c r="F1769" s="63"/>
      <c r="G1769" s="87"/>
      <c r="H1769" s="87"/>
      <c r="I1769" s="38"/>
      <c r="J1769" s="63"/>
      <c r="K1769" s="87"/>
      <c r="L1769" s="63"/>
      <c r="M1769" s="218" t="str">
        <f t="shared" si="821"/>
        <v/>
      </c>
      <c r="N1769" s="218" t="str">
        <f t="shared" si="822"/>
        <v/>
      </c>
      <c r="O1769" s="218" t="str">
        <f t="shared" si="823"/>
        <v/>
      </c>
      <c r="P1769" s="218" t="str">
        <f t="shared" si="830"/>
        <v/>
      </c>
    </row>
    <row r="1770" spans="1:16" s="11" customFormat="1" ht="12.75">
      <c r="A1770" s="58" t="s">
        <v>167</v>
      </c>
      <c r="B1770" s="65" t="s">
        <v>265</v>
      </c>
      <c r="C1770" s="308" t="s">
        <v>940</v>
      </c>
      <c r="D1770" s="90">
        <f>SUM(D1772:D1774)</f>
        <v>4361000</v>
      </c>
      <c r="E1770" s="90">
        <f>SUM(E1772:E1774)</f>
        <v>0</v>
      </c>
      <c r="F1770" s="90">
        <f t="shared" ref="F1770:F1784" si="838">SUM(D1770:E1770)</f>
        <v>4361000</v>
      </c>
      <c r="G1770" s="60">
        <f>SUM(G1772:G1774)</f>
        <v>4912861</v>
      </c>
      <c r="H1770" s="60">
        <f>SUM(H1772:H1774)</f>
        <v>0</v>
      </c>
      <c r="I1770" s="60">
        <f t="shared" ref="I1770:I1790" si="839">SUM(G1770:H1770)</f>
        <v>4912861</v>
      </c>
      <c r="J1770" s="90">
        <f>SUM(J1772:J1774)</f>
        <v>5168000</v>
      </c>
      <c r="K1770" s="90">
        <f>SUM(K1772:K1774)</f>
        <v>0</v>
      </c>
      <c r="L1770" s="90">
        <f t="shared" ref="L1770:L1783" si="840">SUM(J1770:K1770)</f>
        <v>5168000</v>
      </c>
      <c r="M1770" s="227">
        <f t="shared" si="821"/>
        <v>118.5049300619124</v>
      </c>
      <c r="N1770" s="227">
        <f t="shared" si="822"/>
        <v>118.5049300619124</v>
      </c>
      <c r="O1770" s="227">
        <f t="shared" si="823"/>
        <v>105.19328757723861</v>
      </c>
      <c r="P1770" s="227">
        <f t="shared" si="830"/>
        <v>105.19328757723861</v>
      </c>
    </row>
    <row r="1771" spans="1:16" s="11" customFormat="1" hidden="1">
      <c r="A1771" s="80" t="s">
        <v>267</v>
      </c>
      <c r="B1771" s="92"/>
      <c r="C1771" s="312" t="s">
        <v>268</v>
      </c>
      <c r="D1771" s="85">
        <f>SUM(D1772:D1774)</f>
        <v>4361000</v>
      </c>
      <c r="E1771" s="89"/>
      <c r="F1771" s="48">
        <f t="shared" si="838"/>
        <v>4361000</v>
      </c>
      <c r="G1771" s="85">
        <f>SUM(G1772:G1774)</f>
        <v>4912861</v>
      </c>
      <c r="H1771" s="266"/>
      <c r="I1771" s="85">
        <f t="shared" si="839"/>
        <v>4912861</v>
      </c>
      <c r="J1771" s="48">
        <f>SUM(J1772:J1774)</f>
        <v>5168000</v>
      </c>
      <c r="K1771" s="89"/>
      <c r="L1771" s="48">
        <f t="shared" si="840"/>
        <v>5168000</v>
      </c>
      <c r="M1771" s="219">
        <f t="shared" si="821"/>
        <v>118.5049300619124</v>
      </c>
      <c r="N1771" s="219">
        <f t="shared" si="822"/>
        <v>118.5049300619124</v>
      </c>
      <c r="O1771" s="219">
        <f t="shared" si="823"/>
        <v>105.19328757723861</v>
      </c>
      <c r="P1771" s="219">
        <f t="shared" si="830"/>
        <v>105.19328757723861</v>
      </c>
    </row>
    <row r="1772" spans="1:16" s="7" customFormat="1" ht="12.75" customHeight="1">
      <c r="A1772" s="36" t="s">
        <v>178</v>
      </c>
      <c r="B1772" s="47" t="s">
        <v>415</v>
      </c>
      <c r="C1772" s="212" t="s">
        <v>1841</v>
      </c>
      <c r="D1772" s="48">
        <v>4354500</v>
      </c>
      <c r="E1772" s="48"/>
      <c r="F1772" s="48">
        <f t="shared" si="838"/>
        <v>4354500</v>
      </c>
      <c r="G1772" s="85">
        <v>4904361</v>
      </c>
      <c r="H1772" s="85"/>
      <c r="I1772" s="85">
        <f t="shared" si="839"/>
        <v>4904361</v>
      </c>
      <c r="J1772" s="48">
        <f>5148000+10000</f>
        <v>5158000</v>
      </c>
      <c r="K1772" s="48"/>
      <c r="L1772" s="48">
        <f t="shared" si="840"/>
        <v>5158000</v>
      </c>
      <c r="M1772" s="219">
        <f t="shared" si="821"/>
        <v>118.45217590997818</v>
      </c>
      <c r="N1772" s="219">
        <f t="shared" si="822"/>
        <v>118.45217590997818</v>
      </c>
      <c r="O1772" s="219">
        <f t="shared" si="823"/>
        <v>105.17170330650617</v>
      </c>
      <c r="P1772" s="219">
        <f t="shared" si="830"/>
        <v>105.17170330650617</v>
      </c>
    </row>
    <row r="1773" spans="1:16" s="7" customFormat="1" ht="12.75" customHeight="1">
      <c r="A1773" s="341" t="s">
        <v>2453</v>
      </c>
      <c r="B1773" s="47"/>
      <c r="C1773" s="212"/>
      <c r="D1773" s="48"/>
      <c r="E1773" s="48"/>
      <c r="F1773" s="48"/>
      <c r="G1773" s="85"/>
      <c r="H1773" s="85"/>
      <c r="I1773" s="85"/>
      <c r="J1773" s="48"/>
      <c r="K1773" s="48"/>
      <c r="L1773" s="48"/>
      <c r="M1773" s="219" t="str">
        <f t="shared" si="821"/>
        <v/>
      </c>
      <c r="N1773" s="219" t="str">
        <f t="shared" si="822"/>
        <v/>
      </c>
      <c r="O1773" s="219" t="str">
        <f t="shared" si="823"/>
        <v/>
      </c>
      <c r="P1773" s="219"/>
    </row>
    <row r="1774" spans="1:16" s="7" customFormat="1" ht="12.75" customHeight="1">
      <c r="A1774" s="359" t="s">
        <v>651</v>
      </c>
      <c r="B1774" s="66" t="s">
        <v>650</v>
      </c>
      <c r="C1774" s="311" t="s">
        <v>1842</v>
      </c>
      <c r="D1774" s="364">
        <v>6500</v>
      </c>
      <c r="E1774" s="364"/>
      <c r="F1774" s="364">
        <f t="shared" si="838"/>
        <v>6500</v>
      </c>
      <c r="G1774" s="365">
        <v>8500</v>
      </c>
      <c r="H1774" s="365"/>
      <c r="I1774" s="365">
        <f t="shared" si="839"/>
        <v>8500</v>
      </c>
      <c r="J1774" s="364">
        <v>10000</v>
      </c>
      <c r="K1774" s="364"/>
      <c r="L1774" s="364">
        <f t="shared" si="840"/>
        <v>10000</v>
      </c>
      <c r="M1774" s="366">
        <f t="shared" si="821"/>
        <v>153.84615384615387</v>
      </c>
      <c r="N1774" s="366">
        <f t="shared" si="822"/>
        <v>153.84615384615387</v>
      </c>
      <c r="O1774" s="366">
        <f t="shared" si="823"/>
        <v>117.64705882352942</v>
      </c>
      <c r="P1774" s="366">
        <f t="shared" si="830"/>
        <v>117.64705882352942</v>
      </c>
    </row>
    <row r="1775" spans="1:16" s="3" customFormat="1" ht="6" customHeight="1">
      <c r="A1775" s="80"/>
      <c r="B1775" s="79"/>
      <c r="C1775" s="302" t="s">
        <v>268</v>
      </c>
      <c r="D1775" s="190"/>
      <c r="E1775" s="190"/>
      <c r="F1775" s="190">
        <f t="shared" si="838"/>
        <v>0</v>
      </c>
      <c r="G1775" s="265"/>
      <c r="H1775" s="265"/>
      <c r="I1775" s="265">
        <f t="shared" si="839"/>
        <v>0</v>
      </c>
      <c r="J1775" s="190"/>
      <c r="K1775" s="190"/>
      <c r="L1775" s="190">
        <f t="shared" si="840"/>
        <v>0</v>
      </c>
      <c r="M1775" s="380" t="str">
        <f t="shared" si="821"/>
        <v/>
      </c>
      <c r="N1775" s="380" t="str">
        <f t="shared" si="822"/>
        <v/>
      </c>
      <c r="O1775" s="380" t="str">
        <f t="shared" si="823"/>
        <v/>
      </c>
      <c r="P1775" s="380" t="str">
        <f t="shared" si="830"/>
        <v/>
      </c>
    </row>
    <row r="1776" spans="1:16" s="11" customFormat="1" ht="12.75">
      <c r="A1776" s="58" t="s">
        <v>168</v>
      </c>
      <c r="B1776" s="65" t="s">
        <v>265</v>
      </c>
      <c r="C1776" s="308" t="s">
        <v>940</v>
      </c>
      <c r="D1776" s="83">
        <f>SUM(D1778:D1781)</f>
        <v>25992800</v>
      </c>
      <c r="E1776" s="69">
        <f>SUM(E1778:E1781)</f>
        <v>0</v>
      </c>
      <c r="F1776" s="69">
        <f t="shared" si="838"/>
        <v>25992800</v>
      </c>
      <c r="G1776" s="121">
        <f>SUM(G1778:G1781)</f>
        <v>28575430</v>
      </c>
      <c r="H1776" s="115">
        <f>SUM(H1778:H1781)</f>
        <v>0</v>
      </c>
      <c r="I1776" s="115">
        <f t="shared" si="839"/>
        <v>28575430</v>
      </c>
      <c r="J1776" s="69">
        <f>SUM(J1778:J1781)</f>
        <v>29113000</v>
      </c>
      <c r="K1776" s="69">
        <f>SUM(K1778:K1781)</f>
        <v>0</v>
      </c>
      <c r="L1776" s="69">
        <f t="shared" si="840"/>
        <v>29113000</v>
      </c>
      <c r="M1776" s="217">
        <f t="shared" si="821"/>
        <v>112.00409344126065</v>
      </c>
      <c r="N1776" s="217">
        <f t="shared" si="822"/>
        <v>112.00409344126065</v>
      </c>
      <c r="O1776" s="217">
        <f t="shared" si="823"/>
        <v>101.88123153352373</v>
      </c>
      <c r="P1776" s="217">
        <f t="shared" si="830"/>
        <v>101.88123153352373</v>
      </c>
    </row>
    <row r="1777" spans="1:16" s="11" customFormat="1" hidden="1">
      <c r="A1777" s="80" t="s">
        <v>267</v>
      </c>
      <c r="B1777" s="184"/>
      <c r="C1777" s="320" t="s">
        <v>268</v>
      </c>
      <c r="D1777" s="187">
        <f>SUM(D1778:D1781)</f>
        <v>25992800</v>
      </c>
      <c r="E1777" s="192"/>
      <c r="F1777" s="63">
        <f t="shared" si="838"/>
        <v>25992800</v>
      </c>
      <c r="G1777" s="187">
        <f>SUM(G1778:G1781)</f>
        <v>28575430</v>
      </c>
      <c r="H1777" s="186"/>
      <c r="I1777" s="38">
        <f t="shared" si="839"/>
        <v>28575430</v>
      </c>
      <c r="J1777" s="63">
        <f>SUM(J1778:J1781)</f>
        <v>29113000</v>
      </c>
      <c r="K1777" s="192"/>
      <c r="L1777" s="63">
        <f t="shared" si="840"/>
        <v>29113000</v>
      </c>
      <c r="M1777" s="218">
        <f t="shared" si="821"/>
        <v>112.00409344126065</v>
      </c>
      <c r="N1777" s="218">
        <f t="shared" si="822"/>
        <v>112.00409344126065</v>
      </c>
      <c r="O1777" s="218">
        <f t="shared" si="823"/>
        <v>101.88123153352373</v>
      </c>
      <c r="P1777" s="218">
        <f t="shared" si="830"/>
        <v>101.88123153352373</v>
      </c>
    </row>
    <row r="1778" spans="1:16" s="3" customFormat="1" ht="12.75" customHeight="1">
      <c r="A1778" s="36" t="s">
        <v>178</v>
      </c>
      <c r="B1778" s="47" t="s">
        <v>415</v>
      </c>
      <c r="C1778" s="212" t="s">
        <v>1843</v>
      </c>
      <c r="D1778" s="63">
        <v>25924300</v>
      </c>
      <c r="E1778" s="63"/>
      <c r="F1778" s="63">
        <f t="shared" si="838"/>
        <v>25924300</v>
      </c>
      <c r="G1778" s="38">
        <v>28407330</v>
      </c>
      <c r="H1778" s="38"/>
      <c r="I1778" s="38">
        <f t="shared" si="839"/>
        <v>28407330</v>
      </c>
      <c r="J1778" s="63">
        <f>28791000+70000</f>
        <v>28861000</v>
      </c>
      <c r="K1778" s="63"/>
      <c r="L1778" s="63">
        <f t="shared" si="840"/>
        <v>28861000</v>
      </c>
      <c r="M1778" s="218">
        <f t="shared" si="821"/>
        <v>111.32798185486203</v>
      </c>
      <c r="N1778" s="218">
        <f t="shared" si="822"/>
        <v>111.32798185486203</v>
      </c>
      <c r="O1778" s="218">
        <f t="shared" si="823"/>
        <v>101.59701738952587</v>
      </c>
      <c r="P1778" s="218">
        <f t="shared" si="830"/>
        <v>101.59701738952587</v>
      </c>
    </row>
    <row r="1779" spans="1:16" s="3" customFormat="1" ht="12.75" customHeight="1">
      <c r="A1779" s="341" t="s">
        <v>2455</v>
      </c>
      <c r="B1779" s="47"/>
      <c r="C1779" s="212"/>
      <c r="D1779" s="63"/>
      <c r="E1779" s="63"/>
      <c r="F1779" s="63"/>
      <c r="G1779" s="38"/>
      <c r="H1779" s="38"/>
      <c r="I1779" s="38"/>
      <c r="J1779" s="63"/>
      <c r="K1779" s="63"/>
      <c r="L1779" s="63"/>
      <c r="M1779" s="218" t="str">
        <f t="shared" si="821"/>
        <v/>
      </c>
      <c r="N1779" s="218" t="str">
        <f t="shared" si="822"/>
        <v/>
      </c>
      <c r="O1779" s="218" t="str">
        <f t="shared" si="823"/>
        <v/>
      </c>
      <c r="P1779" s="218"/>
    </row>
    <row r="1780" spans="1:16" s="3" customFormat="1" ht="12.75" customHeight="1">
      <c r="A1780" s="36" t="s">
        <v>14</v>
      </c>
      <c r="B1780" s="47" t="s">
        <v>9</v>
      </c>
      <c r="C1780" s="212" t="s">
        <v>2449</v>
      </c>
      <c r="D1780" s="63"/>
      <c r="E1780" s="63"/>
      <c r="F1780" s="63"/>
      <c r="G1780" s="38"/>
      <c r="H1780" s="38"/>
      <c r="I1780" s="38"/>
      <c r="J1780" s="63">
        <v>10500</v>
      </c>
      <c r="K1780" s="63"/>
      <c r="L1780" s="63">
        <f t="shared" si="840"/>
        <v>10500</v>
      </c>
      <c r="M1780" s="218" t="str">
        <f t="shared" si="821"/>
        <v/>
      </c>
      <c r="N1780" s="218" t="str">
        <f t="shared" si="822"/>
        <v/>
      </c>
      <c r="O1780" s="218" t="str">
        <f t="shared" si="823"/>
        <v/>
      </c>
      <c r="P1780" s="218"/>
    </row>
    <row r="1781" spans="1:16" s="3" customFormat="1" ht="12.75" customHeight="1">
      <c r="A1781" s="46" t="s">
        <v>651</v>
      </c>
      <c r="B1781" s="33" t="s">
        <v>650</v>
      </c>
      <c r="C1781" s="211" t="s">
        <v>1844</v>
      </c>
      <c r="D1781" s="63">
        <v>68500</v>
      </c>
      <c r="E1781" s="63"/>
      <c r="F1781" s="63">
        <f t="shared" si="838"/>
        <v>68500</v>
      </c>
      <c r="G1781" s="38">
        <v>168100</v>
      </c>
      <c r="H1781" s="38"/>
      <c r="I1781" s="38">
        <f t="shared" si="839"/>
        <v>168100</v>
      </c>
      <c r="J1781" s="63">
        <v>241500</v>
      </c>
      <c r="K1781" s="63"/>
      <c r="L1781" s="63">
        <f t="shared" si="840"/>
        <v>241500</v>
      </c>
      <c r="M1781" s="218">
        <f t="shared" si="821"/>
        <v>352.55474452554745</v>
      </c>
      <c r="N1781" s="218">
        <f t="shared" si="822"/>
        <v>352.55474452554745</v>
      </c>
      <c r="O1781" s="218">
        <f t="shared" si="823"/>
        <v>143.66448542534204</v>
      </c>
      <c r="P1781" s="218">
        <f t="shared" si="830"/>
        <v>143.66448542534204</v>
      </c>
    </row>
    <row r="1782" spans="1:16" s="3" customFormat="1" ht="6" customHeight="1">
      <c r="A1782" s="39"/>
      <c r="B1782" s="40"/>
      <c r="C1782" s="306" t="s">
        <v>268</v>
      </c>
      <c r="D1782" s="63"/>
      <c r="E1782" s="63"/>
      <c r="F1782" s="63">
        <f t="shared" si="838"/>
        <v>0</v>
      </c>
      <c r="G1782" s="38"/>
      <c r="H1782" s="38"/>
      <c r="I1782" s="38">
        <f t="shared" si="839"/>
        <v>0</v>
      </c>
      <c r="J1782" s="63"/>
      <c r="K1782" s="63"/>
      <c r="L1782" s="63">
        <f t="shared" si="840"/>
        <v>0</v>
      </c>
      <c r="M1782" s="218" t="str">
        <f t="shared" si="821"/>
        <v/>
      </c>
      <c r="N1782" s="218" t="str">
        <f t="shared" si="822"/>
        <v/>
      </c>
      <c r="O1782" s="218" t="str">
        <f t="shared" si="823"/>
        <v/>
      </c>
      <c r="P1782" s="218" t="str">
        <f t="shared" si="830"/>
        <v/>
      </c>
    </row>
    <row r="1783" spans="1:16" s="11" customFormat="1" ht="24.75">
      <c r="A1783" s="72" t="s">
        <v>2401</v>
      </c>
      <c r="B1783" s="65" t="s">
        <v>265</v>
      </c>
      <c r="C1783" s="308" t="s">
        <v>940</v>
      </c>
      <c r="D1783" s="42">
        <f>SUM(D1785:D1785)</f>
        <v>5611000</v>
      </c>
      <c r="E1783" s="42">
        <f>SUM(E1785:E1785)</f>
        <v>0</v>
      </c>
      <c r="F1783" s="42">
        <f t="shared" si="838"/>
        <v>5611000</v>
      </c>
      <c r="G1783" s="55">
        <f>SUM(G1785:G1785)</f>
        <v>5934900</v>
      </c>
      <c r="H1783" s="55">
        <f>SUM(H1785:H1785)</f>
        <v>0</v>
      </c>
      <c r="I1783" s="55">
        <f t="shared" si="839"/>
        <v>5934900</v>
      </c>
      <c r="J1783" s="42">
        <f>SUM(J1785:J1785)</f>
        <v>6160950</v>
      </c>
      <c r="K1783" s="42">
        <f>SUM(K1785:K1785)</f>
        <v>0</v>
      </c>
      <c r="L1783" s="42">
        <f t="shared" si="840"/>
        <v>6160950</v>
      </c>
      <c r="M1783" s="225">
        <f t="shared" si="821"/>
        <v>109.80128319372662</v>
      </c>
      <c r="N1783" s="225">
        <f t="shared" si="822"/>
        <v>109.80128319372662</v>
      </c>
      <c r="O1783" s="225">
        <f t="shared" si="823"/>
        <v>103.80882575949046</v>
      </c>
      <c r="P1783" s="225">
        <f t="shared" si="830"/>
        <v>103.80882575949046</v>
      </c>
    </row>
    <row r="1784" spans="1:16" s="11" customFormat="1" hidden="1">
      <c r="A1784" s="80" t="s">
        <v>267</v>
      </c>
      <c r="B1784" s="92"/>
      <c r="C1784" s="312" t="s">
        <v>268</v>
      </c>
      <c r="D1784" s="38">
        <f>SUM(D1785)</f>
        <v>5611000</v>
      </c>
      <c r="E1784" s="77"/>
      <c r="F1784" s="63">
        <f t="shared" si="838"/>
        <v>5611000</v>
      </c>
      <c r="G1784" s="38">
        <f>SUM(G1785)</f>
        <v>5934900</v>
      </c>
      <c r="H1784" s="109"/>
      <c r="I1784" s="38">
        <f t="shared" si="839"/>
        <v>5934900</v>
      </c>
      <c r="J1784" s="63">
        <f>SUM(J1785)</f>
        <v>6160950</v>
      </c>
      <c r="K1784" s="77"/>
      <c r="L1784" s="63">
        <f t="shared" ref="L1784" si="841">SUM(J1784:K1784)</f>
        <v>6160950</v>
      </c>
      <c r="M1784" s="218">
        <f t="shared" si="821"/>
        <v>109.80128319372662</v>
      </c>
      <c r="N1784" s="218">
        <f t="shared" si="822"/>
        <v>109.80128319372662</v>
      </c>
      <c r="O1784" s="218">
        <f t="shared" si="823"/>
        <v>103.80882575949046</v>
      </c>
      <c r="P1784" s="218">
        <f t="shared" si="830"/>
        <v>103.80882575949046</v>
      </c>
    </row>
    <row r="1785" spans="1:16" s="3" customFormat="1" ht="12.75" customHeight="1">
      <c r="A1785" s="36" t="s">
        <v>178</v>
      </c>
      <c r="B1785" s="47" t="s">
        <v>415</v>
      </c>
      <c r="C1785" s="212" t="s">
        <v>1845</v>
      </c>
      <c r="D1785" s="63">
        <v>5611000</v>
      </c>
      <c r="E1785" s="63"/>
      <c r="F1785" s="63">
        <f t="shared" ref="F1785:F1790" si="842">SUM(D1785:E1785)</f>
        <v>5611000</v>
      </c>
      <c r="G1785" s="38">
        <v>5934900</v>
      </c>
      <c r="H1785" s="38"/>
      <c r="I1785" s="38">
        <f t="shared" si="839"/>
        <v>5934900</v>
      </c>
      <c r="J1785" s="63">
        <v>6160950</v>
      </c>
      <c r="K1785" s="63"/>
      <c r="L1785" s="63">
        <f t="shared" ref="L1785:L1790" si="843">SUM(J1785:K1785)</f>
        <v>6160950</v>
      </c>
      <c r="M1785" s="218">
        <f t="shared" si="821"/>
        <v>109.80128319372662</v>
      </c>
      <c r="N1785" s="218">
        <f t="shared" si="822"/>
        <v>109.80128319372662</v>
      </c>
      <c r="O1785" s="218">
        <f t="shared" si="823"/>
        <v>103.80882575949046</v>
      </c>
      <c r="P1785" s="218">
        <f t="shared" si="830"/>
        <v>103.80882575949046</v>
      </c>
    </row>
    <row r="1786" spans="1:16" s="3" customFormat="1" ht="6" customHeight="1">
      <c r="A1786" s="39"/>
      <c r="B1786" s="40"/>
      <c r="C1786" s="306" t="s">
        <v>268</v>
      </c>
      <c r="D1786" s="63"/>
      <c r="E1786" s="63"/>
      <c r="F1786" s="63">
        <f t="shared" si="842"/>
        <v>0</v>
      </c>
      <c r="G1786" s="38"/>
      <c r="H1786" s="38"/>
      <c r="I1786" s="38">
        <f t="shared" si="839"/>
        <v>0</v>
      </c>
      <c r="J1786" s="63"/>
      <c r="K1786" s="63"/>
      <c r="L1786" s="63">
        <f t="shared" si="843"/>
        <v>0</v>
      </c>
      <c r="M1786" s="218" t="str">
        <f t="shared" si="821"/>
        <v/>
      </c>
      <c r="N1786" s="218" t="str">
        <f t="shared" si="822"/>
        <v/>
      </c>
      <c r="O1786" s="218" t="str">
        <f t="shared" si="823"/>
        <v/>
      </c>
      <c r="P1786" s="218" t="str">
        <f t="shared" si="830"/>
        <v/>
      </c>
    </row>
    <row r="1787" spans="1:16" s="11" customFormat="1" ht="12.75">
      <c r="A1787" s="58" t="s">
        <v>170</v>
      </c>
      <c r="B1787" s="65" t="s">
        <v>265</v>
      </c>
      <c r="C1787" s="308" t="s">
        <v>940</v>
      </c>
      <c r="D1787" s="42">
        <f>SUM(D1789:D1790)</f>
        <v>6063500</v>
      </c>
      <c r="E1787" s="42">
        <f>SUM(E1789:E1790)</f>
        <v>0</v>
      </c>
      <c r="F1787" s="42">
        <f t="shared" si="842"/>
        <v>6063500</v>
      </c>
      <c r="G1787" s="55">
        <f>SUM(G1789:G1790)</f>
        <v>6353300</v>
      </c>
      <c r="H1787" s="55">
        <f>SUM(H1789:H1790)</f>
        <v>0</v>
      </c>
      <c r="I1787" s="55">
        <f t="shared" si="839"/>
        <v>6353300</v>
      </c>
      <c r="J1787" s="42">
        <f>SUM(J1789:J1790)</f>
        <v>6362850</v>
      </c>
      <c r="K1787" s="42">
        <f>SUM(K1789:K1790)</f>
        <v>0</v>
      </c>
      <c r="L1787" s="42">
        <f t="shared" si="843"/>
        <v>6362850</v>
      </c>
      <c r="M1787" s="225">
        <f t="shared" si="821"/>
        <v>104.93691762183556</v>
      </c>
      <c r="N1787" s="225">
        <f t="shared" si="822"/>
        <v>104.93691762183556</v>
      </c>
      <c r="O1787" s="225">
        <f t="shared" si="823"/>
        <v>100.15031558402721</v>
      </c>
      <c r="P1787" s="225">
        <f t="shared" si="830"/>
        <v>100.15031558402721</v>
      </c>
    </row>
    <row r="1788" spans="1:16" s="11" customFormat="1" hidden="1">
      <c r="A1788" s="80" t="s">
        <v>267</v>
      </c>
      <c r="B1788" s="92"/>
      <c r="C1788" s="312" t="s">
        <v>268</v>
      </c>
      <c r="D1788" s="38">
        <f>SUM(D1789:D1790)</f>
        <v>6063500</v>
      </c>
      <c r="E1788" s="77"/>
      <c r="F1788" s="63">
        <f t="shared" si="842"/>
        <v>6063500</v>
      </c>
      <c r="G1788" s="38">
        <f>SUM(G1789:G1790)</f>
        <v>6353300</v>
      </c>
      <c r="H1788" s="109"/>
      <c r="I1788" s="38">
        <f t="shared" si="839"/>
        <v>6353300</v>
      </c>
      <c r="J1788" s="63">
        <f>SUM(J1789:J1790)</f>
        <v>6362850</v>
      </c>
      <c r="K1788" s="77"/>
      <c r="L1788" s="63">
        <f t="shared" si="843"/>
        <v>6362850</v>
      </c>
      <c r="M1788" s="218">
        <f t="shared" si="821"/>
        <v>104.93691762183556</v>
      </c>
      <c r="N1788" s="218">
        <f t="shared" si="822"/>
        <v>104.93691762183556</v>
      </c>
      <c r="O1788" s="218">
        <f t="shared" si="823"/>
        <v>100.15031558402721</v>
      </c>
      <c r="P1788" s="218">
        <f t="shared" si="830"/>
        <v>100.15031558402721</v>
      </c>
    </row>
    <row r="1789" spans="1:16" s="3" customFormat="1" ht="12.75" customHeight="1">
      <c r="A1789" s="36" t="s">
        <v>178</v>
      </c>
      <c r="B1789" s="47" t="s">
        <v>415</v>
      </c>
      <c r="C1789" s="212" t="s">
        <v>1846</v>
      </c>
      <c r="D1789" s="63">
        <v>6035500</v>
      </c>
      <c r="E1789" s="63"/>
      <c r="F1789" s="63">
        <f t="shared" si="842"/>
        <v>6035500</v>
      </c>
      <c r="G1789" s="38">
        <v>6325300</v>
      </c>
      <c r="H1789" s="38"/>
      <c r="I1789" s="38">
        <f t="shared" si="839"/>
        <v>6325300</v>
      </c>
      <c r="J1789" s="63">
        <v>6332850</v>
      </c>
      <c r="K1789" s="63"/>
      <c r="L1789" s="63">
        <f t="shared" si="843"/>
        <v>6332850</v>
      </c>
      <c r="M1789" s="218">
        <f t="shared" si="821"/>
        <v>104.92668378759009</v>
      </c>
      <c r="N1789" s="218">
        <f t="shared" si="822"/>
        <v>104.92668378759009</v>
      </c>
      <c r="O1789" s="218">
        <f t="shared" si="823"/>
        <v>100.11936192749751</v>
      </c>
      <c r="P1789" s="218">
        <f t="shared" ref="P1789:P1822" si="844">IF(I1789&gt;0,IF(L1789&gt;=0,L1789/I1789*100,""),"")</f>
        <v>100.11936192749751</v>
      </c>
    </row>
    <row r="1790" spans="1:16" s="3" customFormat="1" ht="12.75" customHeight="1">
      <c r="A1790" s="46" t="s">
        <v>651</v>
      </c>
      <c r="B1790" s="33" t="s">
        <v>650</v>
      </c>
      <c r="C1790" s="211" t="s">
        <v>1847</v>
      </c>
      <c r="D1790" s="63">
        <v>28000</v>
      </c>
      <c r="E1790" s="63"/>
      <c r="F1790" s="63">
        <f t="shared" si="842"/>
        <v>28000</v>
      </c>
      <c r="G1790" s="38">
        <v>28000</v>
      </c>
      <c r="H1790" s="38"/>
      <c r="I1790" s="38">
        <f t="shared" si="839"/>
        <v>28000</v>
      </c>
      <c r="J1790" s="63">
        <v>30000</v>
      </c>
      <c r="K1790" s="63"/>
      <c r="L1790" s="63">
        <f t="shared" si="843"/>
        <v>30000</v>
      </c>
      <c r="M1790" s="218">
        <f t="shared" si="821"/>
        <v>107.14285714285714</v>
      </c>
      <c r="N1790" s="218">
        <f t="shared" si="822"/>
        <v>107.14285714285714</v>
      </c>
      <c r="O1790" s="218">
        <f t="shared" si="823"/>
        <v>107.14285714285714</v>
      </c>
      <c r="P1790" s="218">
        <f t="shared" si="844"/>
        <v>107.14285714285714</v>
      </c>
    </row>
    <row r="1791" spans="1:16" s="3" customFormat="1" ht="6" customHeight="1">
      <c r="A1791" s="46"/>
      <c r="B1791" s="33"/>
      <c r="C1791" s="211" t="s">
        <v>268</v>
      </c>
      <c r="D1791" s="63"/>
      <c r="E1791" s="63"/>
      <c r="F1791" s="63"/>
      <c r="G1791" s="38"/>
      <c r="H1791" s="38"/>
      <c r="I1791" s="38"/>
      <c r="J1791" s="63"/>
      <c r="K1791" s="63"/>
      <c r="L1791" s="63"/>
      <c r="M1791" s="218" t="str">
        <f t="shared" si="821"/>
        <v/>
      </c>
      <c r="N1791" s="218" t="str">
        <f t="shared" si="822"/>
        <v/>
      </c>
      <c r="O1791" s="218" t="str">
        <f t="shared" si="823"/>
        <v/>
      </c>
      <c r="P1791" s="218" t="str">
        <f t="shared" si="844"/>
        <v/>
      </c>
    </row>
    <row r="1792" spans="1:16" s="3" customFormat="1" ht="12.75">
      <c r="A1792" s="58" t="s">
        <v>872</v>
      </c>
      <c r="B1792" s="65" t="s">
        <v>265</v>
      </c>
      <c r="C1792" s="308" t="s">
        <v>940</v>
      </c>
      <c r="D1792" s="60">
        <f>D1794</f>
        <v>1000000</v>
      </c>
      <c r="E1792" s="60">
        <f>E1794</f>
        <v>0</v>
      </c>
      <c r="F1792" s="60">
        <f t="shared" ref="F1792:F1794" si="845">SUM(D1792:E1792)</f>
        <v>1000000</v>
      </c>
      <c r="G1792" s="60">
        <f>G1794</f>
        <v>1037800</v>
      </c>
      <c r="H1792" s="60">
        <f>H1794</f>
        <v>0</v>
      </c>
      <c r="I1792" s="60">
        <f>SUM(G1792:H1792)</f>
        <v>1037800</v>
      </c>
      <c r="J1792" s="60">
        <f>J1794</f>
        <v>1000000</v>
      </c>
      <c r="K1792" s="60">
        <f>K1794</f>
        <v>0</v>
      </c>
      <c r="L1792" s="60">
        <f t="shared" ref="L1792" si="846">SUM(J1792:K1792)</f>
        <v>1000000</v>
      </c>
      <c r="M1792" s="231">
        <f t="shared" si="821"/>
        <v>100</v>
      </c>
      <c r="N1792" s="231">
        <f t="shared" si="822"/>
        <v>100</v>
      </c>
      <c r="O1792" s="231">
        <f t="shared" si="823"/>
        <v>96.357679707072649</v>
      </c>
      <c r="P1792" s="231">
        <f t="shared" si="844"/>
        <v>96.357679707072649</v>
      </c>
    </row>
    <row r="1793" spans="1:16" s="3" customFormat="1" hidden="1">
      <c r="A1793" s="80" t="s">
        <v>267</v>
      </c>
      <c r="B1793" s="184"/>
      <c r="C1793" s="320" t="s">
        <v>268</v>
      </c>
      <c r="D1793" s="116">
        <f>SUM(D1794)</f>
        <v>1000000</v>
      </c>
      <c r="E1793" s="193"/>
      <c r="F1793" s="63">
        <f t="shared" si="845"/>
        <v>1000000</v>
      </c>
      <c r="G1793" s="116">
        <f>SUM(G1794)</f>
        <v>1037800</v>
      </c>
      <c r="H1793" s="193"/>
      <c r="I1793" s="38">
        <f>SUM(G1793:H1793)</f>
        <v>1037800</v>
      </c>
      <c r="J1793" s="63">
        <f>SUM(J1794)</f>
        <v>1000000</v>
      </c>
      <c r="K1793" s="193"/>
      <c r="L1793" s="63">
        <f t="shared" ref="L1793" si="847">SUM(J1793:K1793)</f>
        <v>1000000</v>
      </c>
      <c r="M1793" s="218">
        <f t="shared" si="821"/>
        <v>100</v>
      </c>
      <c r="N1793" s="218">
        <f t="shared" si="822"/>
        <v>100</v>
      </c>
      <c r="O1793" s="218">
        <f t="shared" si="823"/>
        <v>96.357679707072649</v>
      </c>
      <c r="P1793" s="218">
        <f t="shared" si="844"/>
        <v>96.357679707072649</v>
      </c>
    </row>
    <row r="1794" spans="1:16" s="3" customFormat="1" ht="12.75" customHeight="1">
      <c r="A1794" s="36" t="s">
        <v>178</v>
      </c>
      <c r="B1794" s="47" t="s">
        <v>415</v>
      </c>
      <c r="C1794" s="212" t="s">
        <v>1848</v>
      </c>
      <c r="D1794" s="63">
        <v>1000000</v>
      </c>
      <c r="E1794" s="63"/>
      <c r="F1794" s="63">
        <f t="shared" si="845"/>
        <v>1000000</v>
      </c>
      <c r="G1794" s="38">
        <v>1037800</v>
      </c>
      <c r="H1794" s="38"/>
      <c r="I1794" s="38">
        <f>SUM(G1794:H1794)</f>
        <v>1037800</v>
      </c>
      <c r="J1794" s="63">
        <v>1000000</v>
      </c>
      <c r="K1794" s="63"/>
      <c r="L1794" s="63">
        <f t="shared" ref="L1794" si="848">SUM(J1794:K1794)</f>
        <v>1000000</v>
      </c>
      <c r="M1794" s="218">
        <f t="shared" si="821"/>
        <v>100</v>
      </c>
      <c r="N1794" s="218">
        <f t="shared" si="822"/>
        <v>100</v>
      </c>
      <c r="O1794" s="218">
        <f t="shared" si="823"/>
        <v>96.357679707072649</v>
      </c>
      <c r="P1794" s="218">
        <f t="shared" si="844"/>
        <v>96.357679707072649</v>
      </c>
    </row>
    <row r="1795" spans="1:16" s="3" customFormat="1" ht="6" customHeight="1">
      <c r="A1795" s="36"/>
      <c r="B1795" s="47"/>
      <c r="C1795" s="212" t="s">
        <v>268</v>
      </c>
      <c r="D1795" s="63"/>
      <c r="E1795" s="63"/>
      <c r="F1795" s="63"/>
      <c r="G1795" s="38"/>
      <c r="H1795" s="38"/>
      <c r="I1795" s="38"/>
      <c r="J1795" s="63"/>
      <c r="K1795" s="63"/>
      <c r="L1795" s="63"/>
      <c r="M1795" s="218" t="str">
        <f t="shared" si="821"/>
        <v/>
      </c>
      <c r="N1795" s="218" t="str">
        <f t="shared" si="822"/>
        <v/>
      </c>
      <c r="O1795" s="218" t="str">
        <f t="shared" si="823"/>
        <v/>
      </c>
      <c r="P1795" s="218" t="str">
        <f t="shared" si="844"/>
        <v/>
      </c>
    </row>
    <row r="1796" spans="1:16" s="3" customFormat="1" ht="12.75">
      <c r="A1796" s="58" t="s">
        <v>39</v>
      </c>
      <c r="B1796" s="65" t="s">
        <v>265</v>
      </c>
      <c r="C1796" s="308" t="s">
        <v>940</v>
      </c>
      <c r="D1796" s="60">
        <f>D1798</f>
        <v>7692700</v>
      </c>
      <c r="E1796" s="60">
        <f>E1798</f>
        <v>0</v>
      </c>
      <c r="F1796" s="60">
        <f t="shared" ref="F1796:F1803" si="849">SUM(D1796:E1796)</f>
        <v>7692700</v>
      </c>
      <c r="G1796" s="60">
        <f>G1798</f>
        <v>8062000</v>
      </c>
      <c r="H1796" s="60">
        <f>H1798</f>
        <v>0</v>
      </c>
      <c r="I1796" s="60">
        <f t="shared" ref="I1796:I1831" si="850">SUM(G1796:H1796)</f>
        <v>8062000</v>
      </c>
      <c r="J1796" s="60">
        <f>J1798</f>
        <v>7741350</v>
      </c>
      <c r="K1796" s="60">
        <f>K1798</f>
        <v>0</v>
      </c>
      <c r="L1796" s="60">
        <f t="shared" ref="L1796" si="851">SUM(J1796:K1796)</f>
        <v>7741350</v>
      </c>
      <c r="M1796" s="231">
        <f t="shared" si="821"/>
        <v>100.63241774669491</v>
      </c>
      <c r="N1796" s="231">
        <f t="shared" si="822"/>
        <v>100.63241774669491</v>
      </c>
      <c r="O1796" s="231">
        <f t="shared" si="823"/>
        <v>96.022699082113618</v>
      </c>
      <c r="P1796" s="231">
        <f t="shared" si="844"/>
        <v>96.022699082113618</v>
      </c>
    </row>
    <row r="1797" spans="1:16" s="3" customFormat="1" hidden="1">
      <c r="A1797" s="80" t="s">
        <v>267</v>
      </c>
      <c r="B1797" s="184"/>
      <c r="C1797" s="320" t="s">
        <v>268</v>
      </c>
      <c r="D1797" s="116">
        <f>SUM(D1798)</f>
        <v>7692700</v>
      </c>
      <c r="E1797" s="193"/>
      <c r="F1797" s="63">
        <f t="shared" si="849"/>
        <v>7692700</v>
      </c>
      <c r="G1797" s="116">
        <f>SUM(G1798)</f>
        <v>8062000</v>
      </c>
      <c r="H1797" s="193"/>
      <c r="I1797" s="38">
        <f t="shared" si="850"/>
        <v>8062000</v>
      </c>
      <c r="J1797" s="63">
        <f>SUM(J1798)</f>
        <v>7741350</v>
      </c>
      <c r="K1797" s="193"/>
      <c r="L1797" s="63">
        <f t="shared" ref="L1797" si="852">SUM(J1797:K1797)</f>
        <v>7741350</v>
      </c>
      <c r="M1797" s="218">
        <f t="shared" si="821"/>
        <v>100.63241774669491</v>
      </c>
      <c r="N1797" s="218">
        <f t="shared" si="822"/>
        <v>100.63241774669491</v>
      </c>
      <c r="O1797" s="218">
        <f t="shared" si="823"/>
        <v>96.022699082113618</v>
      </c>
      <c r="P1797" s="218">
        <f t="shared" si="844"/>
        <v>96.022699082113618</v>
      </c>
    </row>
    <row r="1798" spans="1:16" s="3" customFormat="1" ht="12.75" customHeight="1">
      <c r="A1798" s="36" t="s">
        <v>178</v>
      </c>
      <c r="B1798" s="47" t="s">
        <v>415</v>
      </c>
      <c r="C1798" s="212" t="s">
        <v>1849</v>
      </c>
      <c r="D1798" s="63">
        <v>7692700</v>
      </c>
      <c r="E1798" s="63"/>
      <c r="F1798" s="63">
        <f t="shared" si="849"/>
        <v>7692700</v>
      </c>
      <c r="G1798" s="38">
        <v>8062000</v>
      </c>
      <c r="H1798" s="38"/>
      <c r="I1798" s="38">
        <f t="shared" si="850"/>
        <v>8062000</v>
      </c>
      <c r="J1798" s="63">
        <v>7741350</v>
      </c>
      <c r="K1798" s="63"/>
      <c r="L1798" s="63">
        <f t="shared" ref="L1798:L1800" si="853">SUM(J1798:K1798)</f>
        <v>7741350</v>
      </c>
      <c r="M1798" s="218">
        <f t="shared" si="821"/>
        <v>100.63241774669491</v>
      </c>
      <c r="N1798" s="218">
        <f t="shared" si="822"/>
        <v>100.63241774669491</v>
      </c>
      <c r="O1798" s="218">
        <f t="shared" si="823"/>
        <v>96.022699082113618</v>
      </c>
      <c r="P1798" s="218">
        <f t="shared" si="844"/>
        <v>96.022699082113618</v>
      </c>
    </row>
    <row r="1799" spans="1:16" s="3" customFormat="1" ht="6" customHeight="1">
      <c r="A1799" s="46"/>
      <c r="B1799" s="47"/>
      <c r="C1799" s="212" t="s">
        <v>268</v>
      </c>
      <c r="D1799" s="63"/>
      <c r="E1799" s="63"/>
      <c r="F1799" s="63">
        <f t="shared" si="849"/>
        <v>0</v>
      </c>
      <c r="G1799" s="38"/>
      <c r="H1799" s="38"/>
      <c r="I1799" s="38">
        <f t="shared" si="850"/>
        <v>0</v>
      </c>
      <c r="J1799" s="63"/>
      <c r="K1799" s="63"/>
      <c r="L1799" s="63">
        <f t="shared" si="853"/>
        <v>0</v>
      </c>
      <c r="M1799" s="218" t="str">
        <f t="shared" si="821"/>
        <v/>
      </c>
      <c r="N1799" s="218" t="str">
        <f t="shared" si="822"/>
        <v/>
      </c>
      <c r="O1799" s="218" t="str">
        <f t="shared" si="823"/>
        <v/>
      </c>
      <c r="P1799" s="218" t="str">
        <f t="shared" si="844"/>
        <v/>
      </c>
    </row>
    <row r="1800" spans="1:16" s="11" customFormat="1" ht="12.75">
      <c r="A1800" s="58" t="s">
        <v>834</v>
      </c>
      <c r="B1800" s="65" t="s">
        <v>265</v>
      </c>
      <c r="C1800" s="308" t="s">
        <v>940</v>
      </c>
      <c r="D1800" s="42">
        <f>SUM(D1802:D1802)</f>
        <v>3295400</v>
      </c>
      <c r="E1800" s="42">
        <f>SUM(E1802:E1802)</f>
        <v>0</v>
      </c>
      <c r="F1800" s="42">
        <f t="shared" si="849"/>
        <v>3295400</v>
      </c>
      <c r="G1800" s="55">
        <f>SUM(G1802:G1802)</f>
        <v>3404300</v>
      </c>
      <c r="H1800" s="55">
        <f>SUM(H1802:H1802)</f>
        <v>0</v>
      </c>
      <c r="I1800" s="55">
        <f t="shared" si="850"/>
        <v>3404300</v>
      </c>
      <c r="J1800" s="42">
        <f>SUM(J1802:J1802)</f>
        <v>3333690</v>
      </c>
      <c r="K1800" s="42">
        <f>SUM(K1802:K1802)</f>
        <v>0</v>
      </c>
      <c r="L1800" s="42">
        <f t="shared" si="853"/>
        <v>3333690</v>
      </c>
      <c r="M1800" s="225">
        <f t="shared" si="821"/>
        <v>101.16192268009954</v>
      </c>
      <c r="N1800" s="225">
        <f t="shared" si="822"/>
        <v>101.16192268009954</v>
      </c>
      <c r="O1800" s="225">
        <f t="shared" si="823"/>
        <v>97.925858473107539</v>
      </c>
      <c r="P1800" s="225">
        <f t="shared" si="844"/>
        <v>97.925858473107539</v>
      </c>
    </row>
    <row r="1801" spans="1:16" s="11" customFormat="1" hidden="1">
      <c r="A1801" s="80" t="s">
        <v>267</v>
      </c>
      <c r="B1801" s="92"/>
      <c r="C1801" s="312" t="s">
        <v>268</v>
      </c>
      <c r="D1801" s="38">
        <f>SUM(D1802)</f>
        <v>3295400</v>
      </c>
      <c r="E1801" s="77"/>
      <c r="F1801" s="63">
        <f t="shared" si="849"/>
        <v>3295400</v>
      </c>
      <c r="G1801" s="38">
        <f>SUM(G1802)</f>
        <v>3404300</v>
      </c>
      <c r="H1801" s="109"/>
      <c r="I1801" s="38">
        <f t="shared" si="850"/>
        <v>3404300</v>
      </c>
      <c r="J1801" s="63">
        <f>SUM(J1802)</f>
        <v>3333690</v>
      </c>
      <c r="K1801" s="77"/>
      <c r="L1801" s="63">
        <f t="shared" ref="L1801" si="854">SUM(J1801:K1801)</f>
        <v>3333690</v>
      </c>
      <c r="M1801" s="218">
        <f t="shared" si="821"/>
        <v>101.16192268009954</v>
      </c>
      <c r="N1801" s="218">
        <f t="shared" si="822"/>
        <v>101.16192268009954</v>
      </c>
      <c r="O1801" s="218">
        <f t="shared" si="823"/>
        <v>97.925858473107539</v>
      </c>
      <c r="P1801" s="218">
        <f t="shared" si="844"/>
        <v>97.925858473107539</v>
      </c>
    </row>
    <row r="1802" spans="1:16" s="3" customFormat="1" ht="12.75" customHeight="1">
      <c r="A1802" s="36" t="s">
        <v>178</v>
      </c>
      <c r="B1802" s="47" t="s">
        <v>415</v>
      </c>
      <c r="C1802" s="212" t="s">
        <v>1850</v>
      </c>
      <c r="D1802" s="63">
        <v>3295400</v>
      </c>
      <c r="E1802" s="63"/>
      <c r="F1802" s="63">
        <f t="shared" si="849"/>
        <v>3295400</v>
      </c>
      <c r="G1802" s="38">
        <v>3404300</v>
      </c>
      <c r="H1802" s="38"/>
      <c r="I1802" s="38">
        <f t="shared" si="850"/>
        <v>3404300</v>
      </c>
      <c r="J1802" s="63">
        <v>3333690</v>
      </c>
      <c r="K1802" s="63"/>
      <c r="L1802" s="63">
        <f t="shared" ref="L1802:L1803" si="855">SUM(J1802:K1802)</f>
        <v>3333690</v>
      </c>
      <c r="M1802" s="218">
        <f t="shared" si="821"/>
        <v>101.16192268009954</v>
      </c>
      <c r="N1802" s="218">
        <f t="shared" si="822"/>
        <v>101.16192268009954</v>
      </c>
      <c r="O1802" s="218">
        <f t="shared" si="823"/>
        <v>97.925858473107539</v>
      </c>
      <c r="P1802" s="218">
        <f t="shared" si="844"/>
        <v>97.925858473107539</v>
      </c>
    </row>
    <row r="1803" spans="1:16" s="3" customFormat="1" ht="6" customHeight="1">
      <c r="A1803" s="39"/>
      <c r="B1803" s="40"/>
      <c r="C1803" s="306" t="s">
        <v>268</v>
      </c>
      <c r="D1803" s="63"/>
      <c r="E1803" s="63"/>
      <c r="F1803" s="63">
        <f t="shared" si="849"/>
        <v>0</v>
      </c>
      <c r="G1803" s="38"/>
      <c r="H1803" s="38"/>
      <c r="I1803" s="38">
        <f t="shared" si="850"/>
        <v>0</v>
      </c>
      <c r="J1803" s="63"/>
      <c r="K1803" s="63"/>
      <c r="L1803" s="63">
        <f t="shared" si="855"/>
        <v>0</v>
      </c>
      <c r="M1803" s="218" t="str">
        <f t="shared" si="821"/>
        <v/>
      </c>
      <c r="N1803" s="218" t="str">
        <f t="shared" si="822"/>
        <v/>
      </c>
      <c r="O1803" s="218" t="str">
        <f t="shared" si="823"/>
        <v/>
      </c>
      <c r="P1803" s="218" t="str">
        <f t="shared" si="844"/>
        <v/>
      </c>
    </row>
    <row r="1804" spans="1:16" s="11" customFormat="1" ht="12.75">
      <c r="A1804" s="58" t="s">
        <v>99</v>
      </c>
      <c r="B1804" s="65" t="s">
        <v>265</v>
      </c>
      <c r="C1804" s="308" t="s">
        <v>940</v>
      </c>
      <c r="D1804" s="42">
        <f>SUM(D1806:D1808)</f>
        <v>1832400</v>
      </c>
      <c r="E1804" s="42">
        <f>SUM(E1806:E1808)</f>
        <v>0</v>
      </c>
      <c r="F1804" s="42">
        <f>SUM(D1804:E1804)</f>
        <v>1832400</v>
      </c>
      <c r="G1804" s="55">
        <f>SUM(G1806:G1808)</f>
        <v>2042100</v>
      </c>
      <c r="H1804" s="55">
        <f>SUM(H1806:H1808)</f>
        <v>0</v>
      </c>
      <c r="I1804" s="55">
        <f t="shared" si="850"/>
        <v>2042100</v>
      </c>
      <c r="J1804" s="42">
        <f>SUM(J1806:J1808)</f>
        <v>2059730</v>
      </c>
      <c r="K1804" s="42">
        <f>SUM(K1806:K1808)</f>
        <v>0</v>
      </c>
      <c r="L1804" s="42">
        <f>SUM(J1804:K1804)</f>
        <v>2059730</v>
      </c>
      <c r="M1804" s="225">
        <f t="shared" si="821"/>
        <v>112.40613403187076</v>
      </c>
      <c r="N1804" s="225">
        <f t="shared" si="822"/>
        <v>112.40613403187076</v>
      </c>
      <c r="O1804" s="225">
        <f t="shared" si="823"/>
        <v>100.86332696733756</v>
      </c>
      <c r="P1804" s="225">
        <f t="shared" si="844"/>
        <v>100.86332696733756</v>
      </c>
    </row>
    <row r="1805" spans="1:16" s="11" customFormat="1" hidden="1">
      <c r="A1805" s="80" t="s">
        <v>267</v>
      </c>
      <c r="B1805" s="92"/>
      <c r="C1805" s="312" t="s">
        <v>268</v>
      </c>
      <c r="D1805" s="38">
        <f>SUM(D1806:D1808)</f>
        <v>1832400</v>
      </c>
      <c r="E1805" s="77"/>
      <c r="F1805" s="63">
        <f>SUM(D1805:E1805)</f>
        <v>1832400</v>
      </c>
      <c r="G1805" s="38">
        <f>SUM(G1806:G1808)</f>
        <v>2042100</v>
      </c>
      <c r="H1805" s="109"/>
      <c r="I1805" s="38">
        <f t="shared" si="850"/>
        <v>2042100</v>
      </c>
      <c r="J1805" s="63">
        <f>SUM(J1806:J1808)</f>
        <v>2059730</v>
      </c>
      <c r="K1805" s="77"/>
      <c r="L1805" s="63">
        <f>SUM(J1805:K1805)</f>
        <v>2059730</v>
      </c>
      <c r="M1805" s="218">
        <f t="shared" si="821"/>
        <v>112.40613403187076</v>
      </c>
      <c r="N1805" s="218">
        <f t="shared" si="822"/>
        <v>112.40613403187076</v>
      </c>
      <c r="O1805" s="218">
        <f t="shared" si="823"/>
        <v>100.86332696733756</v>
      </c>
      <c r="P1805" s="218">
        <f t="shared" si="844"/>
        <v>100.86332696733756</v>
      </c>
    </row>
    <row r="1806" spans="1:16" s="3" customFormat="1" ht="12.75" customHeight="1">
      <c r="A1806" s="36" t="s">
        <v>178</v>
      </c>
      <c r="B1806" s="47" t="s">
        <v>415</v>
      </c>
      <c r="C1806" s="212" t="s">
        <v>1851</v>
      </c>
      <c r="D1806" s="63">
        <v>1818400</v>
      </c>
      <c r="E1806" s="63"/>
      <c r="F1806" s="63">
        <f>SUM(D1806:E1806)</f>
        <v>1818400</v>
      </c>
      <c r="G1806" s="38">
        <v>2028100</v>
      </c>
      <c r="H1806" s="38"/>
      <c r="I1806" s="38">
        <f t="shared" si="850"/>
        <v>2028100</v>
      </c>
      <c r="J1806" s="63">
        <f>1979730+60000</f>
        <v>2039730</v>
      </c>
      <c r="K1806" s="63"/>
      <c r="L1806" s="63">
        <f>SUM(J1806:K1806)</f>
        <v>2039730</v>
      </c>
      <c r="M1806" s="218">
        <f t="shared" si="821"/>
        <v>112.17168939727233</v>
      </c>
      <c r="N1806" s="218">
        <f t="shared" si="822"/>
        <v>112.17168939727233</v>
      </c>
      <c r="O1806" s="218">
        <f t="shared" si="823"/>
        <v>100.5734431241063</v>
      </c>
      <c r="P1806" s="218">
        <f t="shared" si="844"/>
        <v>100.5734431241063</v>
      </c>
    </row>
    <row r="1807" spans="1:16" s="3" customFormat="1" ht="24">
      <c r="A1807" s="341" t="s">
        <v>2473</v>
      </c>
      <c r="B1807" s="47"/>
      <c r="C1807" s="212"/>
      <c r="D1807" s="63"/>
      <c r="E1807" s="63"/>
      <c r="F1807" s="63"/>
      <c r="G1807" s="38"/>
      <c r="H1807" s="38"/>
      <c r="I1807" s="38"/>
      <c r="J1807" s="63"/>
      <c r="K1807" s="63"/>
      <c r="L1807" s="63"/>
      <c r="M1807" s="218" t="str">
        <f t="shared" ref="M1807:M1870" si="856">IF(D1807&gt;0,IF(J1807&gt;=0,J1807/D1807*100,""),"")</f>
        <v/>
      </c>
      <c r="N1807" s="218" t="str">
        <f t="shared" ref="N1807:N1870" si="857">IF(F1807&gt;0,IF(L1807&gt;=0,L1807/F1807*100,""),"")</f>
        <v/>
      </c>
      <c r="O1807" s="218" t="str">
        <f t="shared" ref="O1807:O1870" si="858">IF(G1807&gt;0,IF(J1807&gt;=0,J1807/G1807*100,""),"")</f>
        <v/>
      </c>
      <c r="P1807" s="218"/>
    </row>
    <row r="1808" spans="1:16" s="11" customFormat="1" ht="12.75" customHeight="1">
      <c r="A1808" s="36" t="s">
        <v>651</v>
      </c>
      <c r="B1808" s="33" t="s">
        <v>650</v>
      </c>
      <c r="C1808" s="211" t="s">
        <v>1852</v>
      </c>
      <c r="D1808" s="38">
        <v>14000</v>
      </c>
      <c r="E1808" s="38"/>
      <c r="F1808" s="63">
        <f>SUM(D1808:E1808)</f>
        <v>14000</v>
      </c>
      <c r="G1808" s="38">
        <v>14000</v>
      </c>
      <c r="H1808" s="38"/>
      <c r="I1808" s="38">
        <f t="shared" si="850"/>
        <v>14000</v>
      </c>
      <c r="J1808" s="38">
        <v>20000</v>
      </c>
      <c r="K1808" s="38"/>
      <c r="L1808" s="63">
        <f>SUM(J1808:K1808)</f>
        <v>20000</v>
      </c>
      <c r="M1808" s="218">
        <f t="shared" si="856"/>
        <v>142.85714285714286</v>
      </c>
      <c r="N1808" s="218">
        <f t="shared" si="857"/>
        <v>142.85714285714286</v>
      </c>
      <c r="O1808" s="218">
        <f t="shared" si="858"/>
        <v>142.85714285714286</v>
      </c>
      <c r="P1808" s="218">
        <f t="shared" si="844"/>
        <v>142.85714285714286</v>
      </c>
    </row>
    <row r="1809" spans="1:16" s="3" customFormat="1" ht="6" customHeight="1">
      <c r="A1809" s="39"/>
      <c r="B1809" s="40"/>
      <c r="C1809" s="306" t="s">
        <v>268</v>
      </c>
      <c r="D1809" s="63"/>
      <c r="E1809" s="63"/>
      <c r="F1809" s="63">
        <f>SUM(D1809:E1809)</f>
        <v>0</v>
      </c>
      <c r="G1809" s="38"/>
      <c r="H1809" s="38"/>
      <c r="I1809" s="38">
        <f t="shared" si="850"/>
        <v>0</v>
      </c>
      <c r="J1809" s="63"/>
      <c r="K1809" s="63"/>
      <c r="L1809" s="63">
        <f>SUM(J1809:K1809)</f>
        <v>0</v>
      </c>
      <c r="M1809" s="218" t="str">
        <f t="shared" si="856"/>
        <v/>
      </c>
      <c r="N1809" s="218" t="str">
        <f t="shared" si="857"/>
        <v/>
      </c>
      <c r="O1809" s="218" t="str">
        <f t="shared" si="858"/>
        <v/>
      </c>
      <c r="P1809" s="218" t="str">
        <f t="shared" si="844"/>
        <v/>
      </c>
    </row>
    <row r="1810" spans="1:16" s="11" customFormat="1" ht="12.75">
      <c r="A1810" s="58" t="s">
        <v>684</v>
      </c>
      <c r="B1810" s="65" t="s">
        <v>265</v>
      </c>
      <c r="C1810" s="308" t="s">
        <v>940</v>
      </c>
      <c r="D1810" s="42">
        <f>SUM(D1812:D1814)</f>
        <v>7568300</v>
      </c>
      <c r="E1810" s="42">
        <f>SUM(E1812:E1812)</f>
        <v>0</v>
      </c>
      <c r="F1810" s="42">
        <f t="shared" ref="F1810:F1832" si="859">SUM(D1810:E1810)</f>
        <v>7568300</v>
      </c>
      <c r="G1810" s="55">
        <f>SUM(G1812:G1814)</f>
        <v>8864080</v>
      </c>
      <c r="H1810" s="55">
        <f>SUM(H1812:H1812)</f>
        <v>0</v>
      </c>
      <c r="I1810" s="55">
        <f t="shared" si="850"/>
        <v>8864080</v>
      </c>
      <c r="J1810" s="42">
        <f>SUM(J1812:J1814)</f>
        <v>8825460</v>
      </c>
      <c r="K1810" s="42">
        <f>SUM(K1812:K1812)</f>
        <v>0</v>
      </c>
      <c r="L1810" s="42">
        <f t="shared" ref="L1810:L1816" si="860">SUM(J1810:K1810)</f>
        <v>8825460</v>
      </c>
      <c r="M1810" s="225">
        <f t="shared" si="856"/>
        <v>116.61086373425999</v>
      </c>
      <c r="N1810" s="225">
        <f t="shared" si="857"/>
        <v>116.61086373425999</v>
      </c>
      <c r="O1810" s="225">
        <f t="shared" si="858"/>
        <v>99.564308986380993</v>
      </c>
      <c r="P1810" s="225">
        <f t="shared" si="844"/>
        <v>99.564308986380993</v>
      </c>
    </row>
    <row r="1811" spans="1:16" s="11" customFormat="1" hidden="1">
      <c r="A1811" s="80" t="s">
        <v>267</v>
      </c>
      <c r="B1811" s="92"/>
      <c r="C1811" s="312" t="s">
        <v>268</v>
      </c>
      <c r="D1811" s="38">
        <f>SUM(D1812:D1814)</f>
        <v>7568300</v>
      </c>
      <c r="E1811" s="77"/>
      <c r="F1811" s="63">
        <f t="shared" si="859"/>
        <v>7568300</v>
      </c>
      <c r="G1811" s="38">
        <f>SUM(G1812:G1814)</f>
        <v>8864080</v>
      </c>
      <c r="H1811" s="109"/>
      <c r="I1811" s="38">
        <f t="shared" si="850"/>
        <v>8864080</v>
      </c>
      <c r="J1811" s="63">
        <f>SUM(J1812:J1814)</f>
        <v>8825460</v>
      </c>
      <c r="K1811" s="77"/>
      <c r="L1811" s="63">
        <f t="shared" si="860"/>
        <v>8825460</v>
      </c>
      <c r="M1811" s="218">
        <f t="shared" si="856"/>
        <v>116.61086373425999</v>
      </c>
      <c r="N1811" s="218">
        <f t="shared" si="857"/>
        <v>116.61086373425999</v>
      </c>
      <c r="O1811" s="218">
        <f t="shared" si="858"/>
        <v>99.564308986380993</v>
      </c>
      <c r="P1811" s="218">
        <f t="shared" si="844"/>
        <v>99.564308986380993</v>
      </c>
    </row>
    <row r="1812" spans="1:16" s="3" customFormat="1" ht="12.75" customHeight="1">
      <c r="A1812" s="36" t="s">
        <v>178</v>
      </c>
      <c r="B1812" s="47" t="s">
        <v>415</v>
      </c>
      <c r="C1812" s="212" t="s">
        <v>1853</v>
      </c>
      <c r="D1812" s="63">
        <v>7568300</v>
      </c>
      <c r="E1812" s="63"/>
      <c r="F1812" s="63">
        <f t="shared" si="859"/>
        <v>7568300</v>
      </c>
      <c r="G1812" s="38">
        <v>8855580</v>
      </c>
      <c r="H1812" s="38"/>
      <c r="I1812" s="38">
        <f t="shared" si="850"/>
        <v>8855580</v>
      </c>
      <c r="J1812" s="63">
        <f>8810460+15000</f>
        <v>8825460</v>
      </c>
      <c r="K1812" s="63"/>
      <c r="L1812" s="63">
        <f t="shared" si="860"/>
        <v>8825460</v>
      </c>
      <c r="M1812" s="218">
        <f t="shared" si="856"/>
        <v>116.61086373425999</v>
      </c>
      <c r="N1812" s="218">
        <f t="shared" si="857"/>
        <v>116.61086373425999</v>
      </c>
      <c r="O1812" s="218">
        <f t="shared" si="858"/>
        <v>99.659875468348773</v>
      </c>
      <c r="P1812" s="218">
        <f t="shared" si="844"/>
        <v>99.659875468348773</v>
      </c>
    </row>
    <row r="1813" spans="1:16" s="3" customFormat="1" ht="12.75" customHeight="1">
      <c r="A1813" s="341" t="s">
        <v>2480</v>
      </c>
      <c r="B1813" s="47"/>
      <c r="C1813" s="212"/>
      <c r="D1813" s="63"/>
      <c r="E1813" s="63"/>
      <c r="F1813" s="63"/>
      <c r="G1813" s="38"/>
      <c r="H1813" s="38"/>
      <c r="I1813" s="38"/>
      <c r="J1813" s="63"/>
      <c r="K1813" s="63"/>
      <c r="L1813" s="63"/>
      <c r="M1813" s="218" t="str">
        <f t="shared" si="856"/>
        <v/>
      </c>
      <c r="N1813" s="218" t="str">
        <f t="shared" si="857"/>
        <v/>
      </c>
      <c r="O1813" s="218" t="str">
        <f t="shared" si="858"/>
        <v/>
      </c>
      <c r="P1813" s="218"/>
    </row>
    <row r="1814" spans="1:16" s="3" customFormat="1" ht="12.75" customHeight="1">
      <c r="A1814" s="46" t="s">
        <v>651</v>
      </c>
      <c r="B1814" s="211" t="s">
        <v>650</v>
      </c>
      <c r="C1814" s="211" t="s">
        <v>1854</v>
      </c>
      <c r="D1814" s="63"/>
      <c r="E1814" s="63"/>
      <c r="F1814" s="63">
        <f t="shared" si="859"/>
        <v>0</v>
      </c>
      <c r="G1814" s="38">
        <v>8500</v>
      </c>
      <c r="H1814" s="38"/>
      <c r="I1814" s="38">
        <f t="shared" si="850"/>
        <v>8500</v>
      </c>
      <c r="J1814" s="63"/>
      <c r="K1814" s="63"/>
      <c r="L1814" s="63">
        <f t="shared" si="860"/>
        <v>0</v>
      </c>
      <c r="M1814" s="218" t="str">
        <f t="shared" si="856"/>
        <v/>
      </c>
      <c r="N1814" s="218" t="str">
        <f t="shared" si="857"/>
        <v/>
      </c>
      <c r="O1814" s="218">
        <f t="shared" si="858"/>
        <v>0</v>
      </c>
      <c r="P1814" s="218">
        <f t="shared" si="844"/>
        <v>0</v>
      </c>
    </row>
    <row r="1815" spans="1:16" s="3" customFormat="1" ht="6" customHeight="1">
      <c r="A1815" s="39"/>
      <c r="B1815" s="40"/>
      <c r="C1815" s="306" t="s">
        <v>268</v>
      </c>
      <c r="D1815" s="63"/>
      <c r="E1815" s="63"/>
      <c r="F1815" s="63">
        <f t="shared" si="859"/>
        <v>0</v>
      </c>
      <c r="G1815" s="38"/>
      <c r="H1815" s="38"/>
      <c r="I1815" s="38">
        <f t="shared" si="850"/>
        <v>0</v>
      </c>
      <c r="J1815" s="63"/>
      <c r="K1815" s="63"/>
      <c r="L1815" s="63">
        <f t="shared" si="860"/>
        <v>0</v>
      </c>
      <c r="M1815" s="218" t="str">
        <f t="shared" si="856"/>
        <v/>
      </c>
      <c r="N1815" s="218" t="str">
        <f t="shared" si="857"/>
        <v/>
      </c>
      <c r="O1815" s="218" t="str">
        <f t="shared" si="858"/>
        <v/>
      </c>
      <c r="P1815" s="218" t="str">
        <f t="shared" si="844"/>
        <v/>
      </c>
    </row>
    <row r="1816" spans="1:16" s="11" customFormat="1" ht="12.75">
      <c r="A1816" s="58" t="s">
        <v>683</v>
      </c>
      <c r="B1816" s="65" t="s">
        <v>265</v>
      </c>
      <c r="C1816" s="308" t="s">
        <v>940</v>
      </c>
      <c r="D1816" s="42">
        <f>SUM(D1818:D1818)</f>
        <v>5844100</v>
      </c>
      <c r="E1816" s="42">
        <f>SUM(E1818:E1818)</f>
        <v>0</v>
      </c>
      <c r="F1816" s="42">
        <f t="shared" si="859"/>
        <v>5844100</v>
      </c>
      <c r="G1816" s="55">
        <f>SUM(G1818:G1818)</f>
        <v>6365185</v>
      </c>
      <c r="H1816" s="55">
        <f>SUM(H1818:H1818)</f>
        <v>0</v>
      </c>
      <c r="I1816" s="55">
        <f t="shared" si="850"/>
        <v>6365185</v>
      </c>
      <c r="J1816" s="42">
        <f>SUM(J1818:J1818)</f>
        <v>6131340</v>
      </c>
      <c r="K1816" s="42">
        <f>SUM(K1818:K1818)</f>
        <v>0</v>
      </c>
      <c r="L1816" s="42">
        <f t="shared" si="860"/>
        <v>6131340</v>
      </c>
      <c r="M1816" s="225">
        <f t="shared" si="856"/>
        <v>104.91504252151742</v>
      </c>
      <c r="N1816" s="225">
        <f t="shared" si="857"/>
        <v>104.91504252151742</v>
      </c>
      <c r="O1816" s="225">
        <f t="shared" si="858"/>
        <v>96.326186905800853</v>
      </c>
      <c r="P1816" s="225">
        <f t="shared" si="844"/>
        <v>96.326186905800853</v>
      </c>
    </row>
    <row r="1817" spans="1:16" s="11" customFormat="1" hidden="1">
      <c r="A1817" s="80" t="s">
        <v>267</v>
      </c>
      <c r="B1817" s="92"/>
      <c r="C1817" s="312" t="s">
        <v>268</v>
      </c>
      <c r="D1817" s="38">
        <f>SUM(D1818)</f>
        <v>5844100</v>
      </c>
      <c r="E1817" s="77"/>
      <c r="F1817" s="63">
        <f t="shared" si="859"/>
        <v>5844100</v>
      </c>
      <c r="G1817" s="38">
        <f>SUM(G1818)</f>
        <v>6365185</v>
      </c>
      <c r="H1817" s="109"/>
      <c r="I1817" s="38">
        <f t="shared" si="850"/>
        <v>6365185</v>
      </c>
      <c r="J1817" s="63">
        <f>SUM(J1818)</f>
        <v>6131340</v>
      </c>
      <c r="K1817" s="77"/>
      <c r="L1817" s="63">
        <f t="shared" ref="L1817" si="861">SUM(J1817:K1817)</f>
        <v>6131340</v>
      </c>
      <c r="M1817" s="218">
        <f t="shared" si="856"/>
        <v>104.91504252151742</v>
      </c>
      <c r="N1817" s="218">
        <f t="shared" si="857"/>
        <v>104.91504252151742</v>
      </c>
      <c r="O1817" s="218">
        <f t="shared" si="858"/>
        <v>96.326186905800853</v>
      </c>
      <c r="P1817" s="218">
        <f t="shared" si="844"/>
        <v>96.326186905800853</v>
      </c>
    </row>
    <row r="1818" spans="1:16" s="3" customFormat="1" ht="12.75" customHeight="1">
      <c r="A1818" s="36" t="s">
        <v>178</v>
      </c>
      <c r="B1818" s="47" t="s">
        <v>415</v>
      </c>
      <c r="C1818" s="212" t="s">
        <v>1855</v>
      </c>
      <c r="D1818" s="63">
        <v>5844100</v>
      </c>
      <c r="E1818" s="63"/>
      <c r="F1818" s="63">
        <f t="shared" si="859"/>
        <v>5844100</v>
      </c>
      <c r="G1818" s="38">
        <v>6365185</v>
      </c>
      <c r="H1818" s="38"/>
      <c r="I1818" s="38">
        <f t="shared" si="850"/>
        <v>6365185</v>
      </c>
      <c r="J1818" s="63">
        <v>6131340</v>
      </c>
      <c r="K1818" s="63"/>
      <c r="L1818" s="63">
        <f t="shared" ref="L1818:L1820" si="862">SUM(J1818:K1818)</f>
        <v>6131340</v>
      </c>
      <c r="M1818" s="218">
        <f t="shared" si="856"/>
        <v>104.91504252151742</v>
      </c>
      <c r="N1818" s="218">
        <f t="shared" si="857"/>
        <v>104.91504252151742</v>
      </c>
      <c r="O1818" s="218">
        <f t="shared" si="858"/>
        <v>96.326186905800853</v>
      </c>
      <c r="P1818" s="218">
        <f t="shared" si="844"/>
        <v>96.326186905800853</v>
      </c>
    </row>
    <row r="1819" spans="1:16" s="3" customFormat="1" ht="6" customHeight="1">
      <c r="A1819" s="46"/>
      <c r="B1819" s="47"/>
      <c r="C1819" s="212" t="s">
        <v>268</v>
      </c>
      <c r="D1819" s="48"/>
      <c r="E1819" s="48"/>
      <c r="F1819" s="48">
        <f t="shared" si="859"/>
        <v>0</v>
      </c>
      <c r="G1819" s="85"/>
      <c r="H1819" s="85"/>
      <c r="I1819" s="85">
        <f t="shared" si="850"/>
        <v>0</v>
      </c>
      <c r="J1819" s="48"/>
      <c r="K1819" s="48"/>
      <c r="L1819" s="48">
        <f t="shared" si="862"/>
        <v>0</v>
      </c>
      <c r="M1819" s="219" t="str">
        <f t="shared" si="856"/>
        <v/>
      </c>
      <c r="N1819" s="219" t="str">
        <f t="shared" si="857"/>
        <v/>
      </c>
      <c r="O1819" s="219" t="str">
        <f t="shared" si="858"/>
        <v/>
      </c>
      <c r="P1819" s="219" t="str">
        <f t="shared" si="844"/>
        <v/>
      </c>
    </row>
    <row r="1820" spans="1:16" s="11" customFormat="1" ht="12.75">
      <c r="A1820" s="58" t="s">
        <v>685</v>
      </c>
      <c r="B1820" s="65" t="s">
        <v>265</v>
      </c>
      <c r="C1820" s="308" t="s">
        <v>940</v>
      </c>
      <c r="D1820" s="90">
        <f>SUM(D1822:D1822)</f>
        <v>8311600</v>
      </c>
      <c r="E1820" s="90">
        <f>SUM(E1822:E1822)</f>
        <v>0</v>
      </c>
      <c r="F1820" s="90">
        <f t="shared" si="859"/>
        <v>8311600</v>
      </c>
      <c r="G1820" s="60">
        <f>SUM(G1822:G1822)</f>
        <v>8993400</v>
      </c>
      <c r="H1820" s="60">
        <f>SUM(H1822:H1822)</f>
        <v>0</v>
      </c>
      <c r="I1820" s="60">
        <f t="shared" si="850"/>
        <v>8993400</v>
      </c>
      <c r="J1820" s="90">
        <f>SUM(J1822:J1822)</f>
        <v>8501040</v>
      </c>
      <c r="K1820" s="90">
        <f>SUM(K1822:K1822)</f>
        <v>0</v>
      </c>
      <c r="L1820" s="90">
        <f t="shared" si="862"/>
        <v>8501040</v>
      </c>
      <c r="M1820" s="227">
        <f t="shared" si="856"/>
        <v>102.2792242167573</v>
      </c>
      <c r="N1820" s="227">
        <f t="shared" si="857"/>
        <v>102.2792242167573</v>
      </c>
      <c r="O1820" s="227">
        <f t="shared" si="858"/>
        <v>94.525318566949096</v>
      </c>
      <c r="P1820" s="227">
        <f t="shared" si="844"/>
        <v>94.525318566949096</v>
      </c>
    </row>
    <row r="1821" spans="1:16" s="11" customFormat="1" hidden="1">
      <c r="A1821" s="80" t="s">
        <v>267</v>
      </c>
      <c r="B1821" s="92"/>
      <c r="C1821" s="312" t="s">
        <v>268</v>
      </c>
      <c r="D1821" s="38">
        <f>SUM(D1822)</f>
        <v>8311600</v>
      </c>
      <c r="E1821" s="77"/>
      <c r="F1821" s="63">
        <f t="shared" si="859"/>
        <v>8311600</v>
      </c>
      <c r="G1821" s="38">
        <f>SUM(G1822)</f>
        <v>8993400</v>
      </c>
      <c r="H1821" s="109"/>
      <c r="I1821" s="38">
        <f t="shared" si="850"/>
        <v>8993400</v>
      </c>
      <c r="J1821" s="63">
        <f>SUM(J1822)</f>
        <v>8501040</v>
      </c>
      <c r="K1821" s="77"/>
      <c r="L1821" s="63">
        <f t="shared" ref="L1821" si="863">SUM(J1821:K1821)</f>
        <v>8501040</v>
      </c>
      <c r="M1821" s="218">
        <f t="shared" si="856"/>
        <v>102.2792242167573</v>
      </c>
      <c r="N1821" s="218">
        <f t="shared" si="857"/>
        <v>102.2792242167573</v>
      </c>
      <c r="O1821" s="218">
        <f t="shared" si="858"/>
        <v>94.525318566949096</v>
      </c>
      <c r="P1821" s="218">
        <f t="shared" si="844"/>
        <v>94.525318566949096</v>
      </c>
    </row>
    <row r="1822" spans="1:16" s="3" customFormat="1" ht="12.75" customHeight="1">
      <c r="A1822" s="36" t="s">
        <v>178</v>
      </c>
      <c r="B1822" s="47" t="s">
        <v>415</v>
      </c>
      <c r="C1822" s="212" t="s">
        <v>1856</v>
      </c>
      <c r="D1822" s="63">
        <v>8311600</v>
      </c>
      <c r="E1822" s="63"/>
      <c r="F1822" s="63">
        <f t="shared" si="859"/>
        <v>8311600</v>
      </c>
      <c r="G1822" s="38">
        <v>8993400</v>
      </c>
      <c r="H1822" s="38"/>
      <c r="I1822" s="38">
        <f t="shared" si="850"/>
        <v>8993400</v>
      </c>
      <c r="J1822" s="63">
        <v>8501040</v>
      </c>
      <c r="K1822" s="63"/>
      <c r="L1822" s="63">
        <f t="shared" ref="L1822:L1824" si="864">SUM(J1822:K1822)</f>
        <v>8501040</v>
      </c>
      <c r="M1822" s="218">
        <f t="shared" si="856"/>
        <v>102.2792242167573</v>
      </c>
      <c r="N1822" s="218">
        <f t="shared" si="857"/>
        <v>102.2792242167573</v>
      </c>
      <c r="O1822" s="218">
        <f t="shared" si="858"/>
        <v>94.525318566949096</v>
      </c>
      <c r="P1822" s="218">
        <f t="shared" si="844"/>
        <v>94.525318566949096</v>
      </c>
    </row>
    <row r="1823" spans="1:16" s="3" customFormat="1" ht="6" customHeight="1">
      <c r="A1823" s="36"/>
      <c r="B1823" s="33"/>
      <c r="C1823" s="211" t="s">
        <v>268</v>
      </c>
      <c r="D1823" s="63"/>
      <c r="E1823" s="63"/>
      <c r="F1823" s="63">
        <f t="shared" si="859"/>
        <v>0</v>
      </c>
      <c r="G1823" s="38"/>
      <c r="H1823" s="38"/>
      <c r="I1823" s="38">
        <f t="shared" si="850"/>
        <v>0</v>
      </c>
      <c r="J1823" s="63"/>
      <c r="K1823" s="63"/>
      <c r="L1823" s="63">
        <f t="shared" si="864"/>
        <v>0</v>
      </c>
      <c r="M1823" s="218" t="str">
        <f t="shared" si="856"/>
        <v/>
      </c>
      <c r="N1823" s="218" t="str">
        <f t="shared" si="857"/>
        <v/>
      </c>
      <c r="O1823" s="218" t="str">
        <f t="shared" si="858"/>
        <v/>
      </c>
      <c r="P1823" s="218" t="str">
        <f t="shared" ref="P1823:P1855" si="865">IF(I1823&gt;0,IF(L1823&gt;=0,L1823/I1823*100,""),"")</f>
        <v/>
      </c>
    </row>
    <row r="1824" spans="1:16" s="3" customFormat="1" ht="12.75">
      <c r="A1824" s="58" t="s">
        <v>686</v>
      </c>
      <c r="B1824" s="65" t="s">
        <v>265</v>
      </c>
      <c r="C1824" s="308" t="s">
        <v>940</v>
      </c>
      <c r="D1824" s="42">
        <f>SUM(D1826:D1826)</f>
        <v>4721800</v>
      </c>
      <c r="E1824" s="42"/>
      <c r="F1824" s="42">
        <f t="shared" si="859"/>
        <v>4721800</v>
      </c>
      <c r="G1824" s="55">
        <f>SUM(G1826:G1826)</f>
        <v>5502000</v>
      </c>
      <c r="H1824" s="55"/>
      <c r="I1824" s="55">
        <f t="shared" si="850"/>
        <v>5502000</v>
      </c>
      <c r="J1824" s="42">
        <f>SUM(J1826:J1826)</f>
        <v>5258520</v>
      </c>
      <c r="K1824" s="42"/>
      <c r="L1824" s="42">
        <f t="shared" si="864"/>
        <v>5258520</v>
      </c>
      <c r="M1824" s="225">
        <f t="shared" si="856"/>
        <v>111.36685162438053</v>
      </c>
      <c r="N1824" s="225">
        <f t="shared" si="857"/>
        <v>111.36685162438053</v>
      </c>
      <c r="O1824" s="225">
        <f t="shared" si="858"/>
        <v>95.574700109051264</v>
      </c>
      <c r="P1824" s="225">
        <f t="shared" si="865"/>
        <v>95.574700109051264</v>
      </c>
    </row>
    <row r="1825" spans="1:16" s="3" customFormat="1" hidden="1">
      <c r="A1825" s="80" t="s">
        <v>267</v>
      </c>
      <c r="B1825" s="33"/>
      <c r="C1825" s="211" t="s">
        <v>268</v>
      </c>
      <c r="D1825" s="38">
        <f>SUM(D1826)</f>
        <v>4721800</v>
      </c>
      <c r="E1825" s="77"/>
      <c r="F1825" s="63">
        <f t="shared" si="859"/>
        <v>4721800</v>
      </c>
      <c r="G1825" s="38">
        <f>SUM(G1826)</f>
        <v>5502000</v>
      </c>
      <c r="H1825" s="109"/>
      <c r="I1825" s="38">
        <f t="shared" si="850"/>
        <v>5502000</v>
      </c>
      <c r="J1825" s="63">
        <f>SUM(J1826)</f>
        <v>5258520</v>
      </c>
      <c r="K1825" s="77"/>
      <c r="L1825" s="63">
        <f t="shared" ref="L1825" si="866">SUM(J1825:K1825)</f>
        <v>5258520</v>
      </c>
      <c r="M1825" s="218">
        <f t="shared" si="856"/>
        <v>111.36685162438053</v>
      </c>
      <c r="N1825" s="218">
        <f t="shared" si="857"/>
        <v>111.36685162438053</v>
      </c>
      <c r="O1825" s="218">
        <f t="shared" si="858"/>
        <v>95.574700109051264</v>
      </c>
      <c r="P1825" s="218">
        <f t="shared" si="865"/>
        <v>95.574700109051264</v>
      </c>
    </row>
    <row r="1826" spans="1:16" s="3" customFormat="1" ht="12.75" customHeight="1">
      <c r="A1826" s="36" t="s">
        <v>178</v>
      </c>
      <c r="B1826" s="47" t="s">
        <v>415</v>
      </c>
      <c r="C1826" s="212" t="s">
        <v>1857</v>
      </c>
      <c r="D1826" s="63">
        <v>4721800</v>
      </c>
      <c r="E1826" s="63"/>
      <c r="F1826" s="63">
        <f t="shared" si="859"/>
        <v>4721800</v>
      </c>
      <c r="G1826" s="38">
        <v>5502000</v>
      </c>
      <c r="H1826" s="38"/>
      <c r="I1826" s="38">
        <f t="shared" si="850"/>
        <v>5502000</v>
      </c>
      <c r="J1826" s="63">
        <f>5058520+200000</f>
        <v>5258520</v>
      </c>
      <c r="K1826" s="63"/>
      <c r="L1826" s="63">
        <f t="shared" ref="L1826:L1830" si="867">SUM(J1826:K1826)</f>
        <v>5258520</v>
      </c>
      <c r="M1826" s="218">
        <f t="shared" si="856"/>
        <v>111.36685162438053</v>
      </c>
      <c r="N1826" s="218">
        <f t="shared" si="857"/>
        <v>111.36685162438053</v>
      </c>
      <c r="O1826" s="218">
        <f t="shared" si="858"/>
        <v>95.574700109051264</v>
      </c>
      <c r="P1826" s="218">
        <f t="shared" si="865"/>
        <v>95.574700109051264</v>
      </c>
    </row>
    <row r="1827" spans="1:16" s="3" customFormat="1" ht="12.75" customHeight="1">
      <c r="A1827" s="341" t="s">
        <v>2454</v>
      </c>
      <c r="B1827" s="47"/>
      <c r="C1827" s="212"/>
      <c r="D1827" s="63"/>
      <c r="E1827" s="63"/>
      <c r="F1827" s="63"/>
      <c r="G1827" s="38"/>
      <c r="H1827" s="38"/>
      <c r="I1827" s="38"/>
      <c r="J1827" s="63"/>
      <c r="K1827" s="63"/>
      <c r="L1827" s="63"/>
      <c r="M1827" s="218" t="str">
        <f t="shared" si="856"/>
        <v/>
      </c>
      <c r="N1827" s="218" t="str">
        <f t="shared" si="857"/>
        <v/>
      </c>
      <c r="O1827" s="218" t="str">
        <f t="shared" si="858"/>
        <v/>
      </c>
      <c r="P1827" s="218"/>
    </row>
    <row r="1828" spans="1:16" s="3" customFormat="1" ht="6" customHeight="1">
      <c r="A1828" s="36"/>
      <c r="B1828" s="33"/>
      <c r="C1828" s="211" t="s">
        <v>268</v>
      </c>
      <c r="D1828" s="63"/>
      <c r="E1828" s="63"/>
      <c r="F1828" s="63">
        <f t="shared" si="859"/>
        <v>0</v>
      </c>
      <c r="G1828" s="38"/>
      <c r="H1828" s="38"/>
      <c r="I1828" s="38">
        <f t="shared" si="850"/>
        <v>0</v>
      </c>
      <c r="J1828" s="63"/>
      <c r="K1828" s="63"/>
      <c r="L1828" s="63">
        <f t="shared" si="867"/>
        <v>0</v>
      </c>
      <c r="M1828" s="218" t="str">
        <f t="shared" si="856"/>
        <v/>
      </c>
      <c r="N1828" s="218" t="str">
        <f t="shared" si="857"/>
        <v/>
      </c>
      <c r="O1828" s="218" t="str">
        <f t="shared" si="858"/>
        <v/>
      </c>
      <c r="P1828" s="218" t="str">
        <f t="shared" si="865"/>
        <v/>
      </c>
    </row>
    <row r="1829" spans="1:16" s="3" customFormat="1" ht="12.75">
      <c r="A1829" s="58" t="s">
        <v>374</v>
      </c>
      <c r="B1829" s="65" t="s">
        <v>265</v>
      </c>
      <c r="C1829" s="308" t="s">
        <v>940</v>
      </c>
      <c r="D1829" s="42">
        <f>SUM(D1831:D1832)</f>
        <v>3031700</v>
      </c>
      <c r="E1829" s="42">
        <f>SUM(E1831:E1831)</f>
        <v>0</v>
      </c>
      <c r="F1829" s="42">
        <f t="shared" si="859"/>
        <v>3031700</v>
      </c>
      <c r="G1829" s="55">
        <f>SUM(G1831:G1831)</f>
        <v>3465200</v>
      </c>
      <c r="H1829" s="55">
        <f>SUM(H1831:H1831)</f>
        <v>0</v>
      </c>
      <c r="I1829" s="55">
        <f t="shared" si="850"/>
        <v>3465200</v>
      </c>
      <c r="J1829" s="42">
        <f>SUM(J1831:J1831)</f>
        <v>3156750</v>
      </c>
      <c r="K1829" s="42">
        <f>SUM(K1831:K1831)</f>
        <v>0</v>
      </c>
      <c r="L1829" s="42">
        <f t="shared" si="867"/>
        <v>3156750</v>
      </c>
      <c r="M1829" s="225">
        <f t="shared" si="856"/>
        <v>104.12474849094568</v>
      </c>
      <c r="N1829" s="225">
        <f t="shared" si="857"/>
        <v>104.12474849094568</v>
      </c>
      <c r="O1829" s="225">
        <f t="shared" si="858"/>
        <v>91.098637885259151</v>
      </c>
      <c r="P1829" s="225">
        <f t="shared" si="865"/>
        <v>91.098637885259151</v>
      </c>
    </row>
    <row r="1830" spans="1:16" s="3" customFormat="1" hidden="1">
      <c r="A1830" s="80" t="s">
        <v>267</v>
      </c>
      <c r="B1830" s="79"/>
      <c r="C1830" s="302" t="s">
        <v>268</v>
      </c>
      <c r="D1830" s="116">
        <f>SUM(D1831:D1832)</f>
        <v>3031700</v>
      </c>
      <c r="E1830" s="111"/>
      <c r="F1830" s="48">
        <f t="shared" si="859"/>
        <v>3031700</v>
      </c>
      <c r="G1830" s="116">
        <f>SUM(G1831:G1832)</f>
        <v>3465200</v>
      </c>
      <c r="H1830" s="193"/>
      <c r="I1830" s="85">
        <f t="shared" si="850"/>
        <v>3465200</v>
      </c>
      <c r="J1830" s="116">
        <f>SUM(J1831:J1832)</f>
        <v>3156750</v>
      </c>
      <c r="K1830" s="111"/>
      <c r="L1830" s="48">
        <f t="shared" si="867"/>
        <v>3156750</v>
      </c>
      <c r="M1830" s="219">
        <f t="shared" si="856"/>
        <v>104.12474849094568</v>
      </c>
      <c r="N1830" s="219">
        <f t="shared" si="857"/>
        <v>104.12474849094568</v>
      </c>
      <c r="O1830" s="219">
        <f t="shared" si="858"/>
        <v>91.098637885259151</v>
      </c>
      <c r="P1830" s="219">
        <f t="shared" si="865"/>
        <v>91.098637885259151</v>
      </c>
    </row>
    <row r="1831" spans="1:16" s="3" customFormat="1" ht="12.75" customHeight="1">
      <c r="A1831" s="36" t="s">
        <v>178</v>
      </c>
      <c r="B1831" s="47" t="s">
        <v>415</v>
      </c>
      <c r="C1831" s="212" t="s">
        <v>1858</v>
      </c>
      <c r="D1831" s="63">
        <v>3001700</v>
      </c>
      <c r="E1831" s="63"/>
      <c r="F1831" s="48">
        <f t="shared" si="859"/>
        <v>3001700</v>
      </c>
      <c r="G1831" s="38">
        <v>3465200</v>
      </c>
      <c r="H1831" s="38"/>
      <c r="I1831" s="85">
        <f t="shared" si="850"/>
        <v>3465200</v>
      </c>
      <c r="J1831" s="63">
        <v>3156750</v>
      </c>
      <c r="K1831" s="63"/>
      <c r="L1831" s="48">
        <f t="shared" ref="L1831" si="868">SUM(J1831:K1831)</f>
        <v>3156750</v>
      </c>
      <c r="M1831" s="219">
        <f t="shared" si="856"/>
        <v>105.16540626978046</v>
      </c>
      <c r="N1831" s="219">
        <f t="shared" si="857"/>
        <v>105.16540626978046</v>
      </c>
      <c r="O1831" s="219">
        <f t="shared" si="858"/>
        <v>91.098637885259151</v>
      </c>
      <c r="P1831" s="219">
        <f t="shared" si="865"/>
        <v>91.098637885259151</v>
      </c>
    </row>
    <row r="1832" spans="1:16" s="3" customFormat="1" ht="12.75" customHeight="1">
      <c r="A1832" s="36" t="s">
        <v>651</v>
      </c>
      <c r="B1832" s="212" t="s">
        <v>650</v>
      </c>
      <c r="C1832" s="212" t="s">
        <v>1859</v>
      </c>
      <c r="D1832" s="63">
        <v>30000</v>
      </c>
      <c r="E1832" s="63"/>
      <c r="F1832" s="48">
        <f t="shared" si="859"/>
        <v>30000</v>
      </c>
      <c r="G1832" s="38"/>
      <c r="H1832" s="38"/>
      <c r="I1832" s="38"/>
      <c r="J1832" s="63"/>
      <c r="K1832" s="63"/>
      <c r="L1832" s="63"/>
      <c r="M1832" s="219">
        <f t="shared" si="856"/>
        <v>0</v>
      </c>
      <c r="N1832" s="219">
        <f t="shared" si="857"/>
        <v>0</v>
      </c>
      <c r="O1832" s="219" t="str">
        <f t="shared" si="858"/>
        <v/>
      </c>
      <c r="P1832" s="219" t="str">
        <f t="shared" si="865"/>
        <v/>
      </c>
    </row>
    <row r="1833" spans="1:16" s="3" customFormat="1" ht="6" customHeight="1">
      <c r="A1833" s="36"/>
      <c r="B1833" s="47"/>
      <c r="C1833" s="212" t="s">
        <v>268</v>
      </c>
      <c r="D1833" s="63"/>
      <c r="E1833" s="63"/>
      <c r="F1833" s="63"/>
      <c r="G1833" s="38"/>
      <c r="H1833" s="38"/>
      <c r="I1833" s="38"/>
      <c r="J1833" s="63"/>
      <c r="K1833" s="63"/>
      <c r="L1833" s="63"/>
      <c r="M1833" s="218" t="str">
        <f t="shared" si="856"/>
        <v/>
      </c>
      <c r="N1833" s="218" t="str">
        <f t="shared" si="857"/>
        <v/>
      </c>
      <c r="O1833" s="218" t="str">
        <f t="shared" si="858"/>
        <v/>
      </c>
      <c r="P1833" s="218" t="str">
        <f t="shared" si="865"/>
        <v/>
      </c>
    </row>
    <row r="1834" spans="1:16" s="3" customFormat="1" ht="12.75">
      <c r="A1834" s="58" t="s">
        <v>634</v>
      </c>
      <c r="B1834" s="65" t="s">
        <v>265</v>
      </c>
      <c r="C1834" s="308" t="s">
        <v>940</v>
      </c>
      <c r="D1834" s="42">
        <f>SUM(D1836:D1836)</f>
        <v>5100000</v>
      </c>
      <c r="E1834" s="42">
        <f>SUM(E1836:E1836)</f>
        <v>0</v>
      </c>
      <c r="F1834" s="42">
        <f t="shared" ref="F1834:F1862" si="869">SUM(D1834:E1834)</f>
        <v>5100000</v>
      </c>
      <c r="G1834" s="55">
        <f>SUM(G1836:G1836)</f>
        <v>5364800</v>
      </c>
      <c r="H1834" s="55">
        <f>SUM(H1836:H1836)</f>
        <v>0</v>
      </c>
      <c r="I1834" s="55">
        <f t="shared" ref="I1834:I1878" si="870">SUM(G1834:H1834)</f>
        <v>5364800</v>
      </c>
      <c r="J1834" s="42">
        <f>SUM(J1836:J1836)</f>
        <v>5100000</v>
      </c>
      <c r="K1834" s="42">
        <f>SUM(K1836:K1836)</f>
        <v>0</v>
      </c>
      <c r="L1834" s="42">
        <f t="shared" ref="L1834" si="871">SUM(J1834:K1834)</f>
        <v>5100000</v>
      </c>
      <c r="M1834" s="225">
        <f t="shared" si="856"/>
        <v>100</v>
      </c>
      <c r="N1834" s="225">
        <f t="shared" si="857"/>
        <v>100</v>
      </c>
      <c r="O1834" s="225">
        <f t="shared" si="858"/>
        <v>95.064121682075751</v>
      </c>
      <c r="P1834" s="225">
        <f t="shared" si="865"/>
        <v>95.064121682075751</v>
      </c>
    </row>
    <row r="1835" spans="1:16" s="3" customFormat="1" hidden="1">
      <c r="A1835" s="80" t="s">
        <v>267</v>
      </c>
      <c r="B1835" s="79"/>
      <c r="C1835" s="302" t="s">
        <v>268</v>
      </c>
      <c r="D1835" s="116">
        <f>SUM(D1836)</f>
        <v>5100000</v>
      </c>
      <c r="E1835" s="111"/>
      <c r="F1835" s="48">
        <f t="shared" si="869"/>
        <v>5100000</v>
      </c>
      <c r="G1835" s="116">
        <f>SUM(G1836)</f>
        <v>5364800</v>
      </c>
      <c r="H1835" s="193"/>
      <c r="I1835" s="85">
        <f t="shared" si="870"/>
        <v>5364800</v>
      </c>
      <c r="J1835" s="48">
        <f>SUM(J1836)</f>
        <v>5100000</v>
      </c>
      <c r="K1835" s="111"/>
      <c r="L1835" s="48">
        <f t="shared" ref="L1835" si="872">SUM(J1835:K1835)</f>
        <v>5100000</v>
      </c>
      <c r="M1835" s="219">
        <f t="shared" si="856"/>
        <v>100</v>
      </c>
      <c r="N1835" s="219">
        <f t="shared" si="857"/>
        <v>100</v>
      </c>
      <c r="O1835" s="219">
        <f t="shared" si="858"/>
        <v>95.064121682075751</v>
      </c>
      <c r="P1835" s="219">
        <f t="shared" si="865"/>
        <v>95.064121682075751</v>
      </c>
    </row>
    <row r="1836" spans="1:16" s="3" customFormat="1" ht="12.75" customHeight="1">
      <c r="A1836" s="36" t="s">
        <v>178</v>
      </c>
      <c r="B1836" s="47" t="s">
        <v>415</v>
      </c>
      <c r="C1836" s="212" t="s">
        <v>1860</v>
      </c>
      <c r="D1836" s="63">
        <v>5100000</v>
      </c>
      <c r="E1836" s="63"/>
      <c r="F1836" s="48">
        <f t="shared" si="869"/>
        <v>5100000</v>
      </c>
      <c r="G1836" s="38">
        <v>5364800</v>
      </c>
      <c r="H1836" s="38"/>
      <c r="I1836" s="85">
        <f t="shared" si="870"/>
        <v>5364800</v>
      </c>
      <c r="J1836" s="63">
        <v>5100000</v>
      </c>
      <c r="K1836" s="63"/>
      <c r="L1836" s="48">
        <f t="shared" ref="L1836:L1838" si="873">SUM(J1836:K1836)</f>
        <v>5100000</v>
      </c>
      <c r="M1836" s="219">
        <f t="shared" si="856"/>
        <v>100</v>
      </c>
      <c r="N1836" s="219">
        <f t="shared" si="857"/>
        <v>100</v>
      </c>
      <c r="O1836" s="219">
        <f t="shared" si="858"/>
        <v>95.064121682075751</v>
      </c>
      <c r="P1836" s="219">
        <f t="shared" si="865"/>
        <v>95.064121682075751</v>
      </c>
    </row>
    <row r="1837" spans="1:16" s="3" customFormat="1" ht="6" customHeight="1">
      <c r="A1837" s="36"/>
      <c r="B1837" s="33"/>
      <c r="C1837" s="211" t="s">
        <v>268</v>
      </c>
      <c r="D1837" s="63"/>
      <c r="E1837" s="63"/>
      <c r="F1837" s="63">
        <f t="shared" si="869"/>
        <v>0</v>
      </c>
      <c r="G1837" s="38"/>
      <c r="H1837" s="38"/>
      <c r="I1837" s="38">
        <f t="shared" si="870"/>
        <v>0</v>
      </c>
      <c r="J1837" s="63"/>
      <c r="K1837" s="63"/>
      <c r="L1837" s="63">
        <f t="shared" si="873"/>
        <v>0</v>
      </c>
      <c r="M1837" s="218" t="str">
        <f t="shared" si="856"/>
        <v/>
      </c>
      <c r="N1837" s="218" t="str">
        <f t="shared" si="857"/>
        <v/>
      </c>
      <c r="O1837" s="218" t="str">
        <f t="shared" si="858"/>
        <v/>
      </c>
      <c r="P1837" s="218" t="str">
        <f t="shared" si="865"/>
        <v/>
      </c>
    </row>
    <row r="1838" spans="1:16" s="3" customFormat="1" ht="12.75">
      <c r="A1838" s="58" t="s">
        <v>37</v>
      </c>
      <c r="B1838" s="65" t="s">
        <v>265</v>
      </c>
      <c r="C1838" s="308" t="s">
        <v>940</v>
      </c>
      <c r="D1838" s="42">
        <f>SUM(D1840:D1840)</f>
        <v>3141200</v>
      </c>
      <c r="E1838" s="42">
        <f>SUM(E1840:E1840)</f>
        <v>0</v>
      </c>
      <c r="F1838" s="42">
        <f t="shared" si="869"/>
        <v>3141200</v>
      </c>
      <c r="G1838" s="55">
        <f>SUM(G1840:G1840)</f>
        <v>3382700</v>
      </c>
      <c r="H1838" s="55">
        <f>SUM(H1840:H1840)</f>
        <v>0</v>
      </c>
      <c r="I1838" s="55">
        <f t="shared" si="870"/>
        <v>3382700</v>
      </c>
      <c r="J1838" s="42">
        <f>SUM(J1840:J1840)</f>
        <v>3100000</v>
      </c>
      <c r="K1838" s="42">
        <f>SUM(K1840:K1840)</f>
        <v>0</v>
      </c>
      <c r="L1838" s="42">
        <f t="shared" si="873"/>
        <v>3100000</v>
      </c>
      <c r="M1838" s="225">
        <f t="shared" si="856"/>
        <v>98.688399337832678</v>
      </c>
      <c r="N1838" s="225">
        <f t="shared" si="857"/>
        <v>98.688399337832678</v>
      </c>
      <c r="O1838" s="225">
        <f t="shared" si="858"/>
        <v>91.642770567889556</v>
      </c>
      <c r="P1838" s="225">
        <f t="shared" si="865"/>
        <v>91.642770567889556</v>
      </c>
    </row>
    <row r="1839" spans="1:16" s="3" customFormat="1" hidden="1">
      <c r="A1839" s="80" t="s">
        <v>267</v>
      </c>
      <c r="B1839" s="79"/>
      <c r="C1839" s="302" t="s">
        <v>268</v>
      </c>
      <c r="D1839" s="116">
        <f>SUM(D1840)</f>
        <v>3141200</v>
      </c>
      <c r="E1839" s="111"/>
      <c r="F1839" s="48">
        <f t="shared" si="869"/>
        <v>3141200</v>
      </c>
      <c r="G1839" s="116">
        <f>SUM(G1840)</f>
        <v>3382700</v>
      </c>
      <c r="H1839" s="193"/>
      <c r="I1839" s="85">
        <f t="shared" si="870"/>
        <v>3382700</v>
      </c>
      <c r="J1839" s="48">
        <f>SUM(J1840)</f>
        <v>3100000</v>
      </c>
      <c r="K1839" s="111"/>
      <c r="L1839" s="48">
        <f t="shared" ref="L1839" si="874">SUM(J1839:K1839)</f>
        <v>3100000</v>
      </c>
      <c r="M1839" s="219">
        <f t="shared" si="856"/>
        <v>98.688399337832678</v>
      </c>
      <c r="N1839" s="219">
        <f t="shared" si="857"/>
        <v>98.688399337832678</v>
      </c>
      <c r="O1839" s="219">
        <f t="shared" si="858"/>
        <v>91.642770567889556</v>
      </c>
      <c r="P1839" s="219">
        <f t="shared" si="865"/>
        <v>91.642770567889556</v>
      </c>
    </row>
    <row r="1840" spans="1:16" s="3" customFormat="1" ht="12.75" customHeight="1">
      <c r="A1840" s="36" t="s">
        <v>178</v>
      </c>
      <c r="B1840" s="47" t="s">
        <v>415</v>
      </c>
      <c r="C1840" s="212" t="s">
        <v>1861</v>
      </c>
      <c r="D1840" s="63">
        <v>3141200</v>
      </c>
      <c r="E1840" s="63"/>
      <c r="F1840" s="48">
        <f t="shared" si="869"/>
        <v>3141200</v>
      </c>
      <c r="G1840" s="38">
        <v>3382700</v>
      </c>
      <c r="H1840" s="38"/>
      <c r="I1840" s="85">
        <f t="shared" si="870"/>
        <v>3382700</v>
      </c>
      <c r="J1840" s="63">
        <v>3100000</v>
      </c>
      <c r="K1840" s="63"/>
      <c r="L1840" s="48">
        <f t="shared" ref="L1840:L1842" si="875">SUM(J1840:K1840)</f>
        <v>3100000</v>
      </c>
      <c r="M1840" s="219">
        <f t="shared" si="856"/>
        <v>98.688399337832678</v>
      </c>
      <c r="N1840" s="219">
        <f t="shared" si="857"/>
        <v>98.688399337832678</v>
      </c>
      <c r="O1840" s="219">
        <f t="shared" si="858"/>
        <v>91.642770567889556</v>
      </c>
      <c r="P1840" s="219">
        <f t="shared" si="865"/>
        <v>91.642770567889556</v>
      </c>
    </row>
    <row r="1841" spans="1:16" s="3" customFormat="1" ht="6" customHeight="1">
      <c r="A1841" s="36"/>
      <c r="B1841" s="33"/>
      <c r="C1841" s="211" t="s">
        <v>268</v>
      </c>
      <c r="D1841" s="63"/>
      <c r="E1841" s="63"/>
      <c r="F1841" s="63">
        <f t="shared" si="869"/>
        <v>0</v>
      </c>
      <c r="G1841" s="38"/>
      <c r="H1841" s="38"/>
      <c r="I1841" s="38">
        <f t="shared" si="870"/>
        <v>0</v>
      </c>
      <c r="J1841" s="63"/>
      <c r="K1841" s="63"/>
      <c r="L1841" s="63">
        <f t="shared" si="875"/>
        <v>0</v>
      </c>
      <c r="M1841" s="218" t="str">
        <f t="shared" si="856"/>
        <v/>
      </c>
      <c r="N1841" s="218" t="str">
        <f t="shared" si="857"/>
        <v/>
      </c>
      <c r="O1841" s="218" t="str">
        <f t="shared" si="858"/>
        <v/>
      </c>
      <c r="P1841" s="218" t="str">
        <f t="shared" si="865"/>
        <v/>
      </c>
    </row>
    <row r="1842" spans="1:16" s="11" customFormat="1" ht="12.75">
      <c r="A1842" s="58" t="s">
        <v>147</v>
      </c>
      <c r="B1842" s="65" t="s">
        <v>265</v>
      </c>
      <c r="C1842" s="308" t="s">
        <v>940</v>
      </c>
      <c r="D1842" s="42">
        <f>SUM(D1844:D1844)</f>
        <v>1858400</v>
      </c>
      <c r="E1842" s="42">
        <f>SUM(E1844:E1844)</f>
        <v>0</v>
      </c>
      <c r="F1842" s="42">
        <f t="shared" si="869"/>
        <v>1858400</v>
      </c>
      <c r="G1842" s="55">
        <f>SUM(G1844:G1844)</f>
        <v>2003000</v>
      </c>
      <c r="H1842" s="55">
        <f>SUM(H1844:H1844)</f>
        <v>0</v>
      </c>
      <c r="I1842" s="55">
        <f t="shared" si="870"/>
        <v>2003000</v>
      </c>
      <c r="J1842" s="42">
        <f>SUM(J1844:J1844)</f>
        <v>1858400</v>
      </c>
      <c r="K1842" s="42">
        <f>SUM(K1844:K1844)</f>
        <v>0</v>
      </c>
      <c r="L1842" s="42">
        <f t="shared" si="875"/>
        <v>1858400</v>
      </c>
      <c r="M1842" s="225">
        <f t="shared" si="856"/>
        <v>100</v>
      </c>
      <c r="N1842" s="225">
        <f t="shared" si="857"/>
        <v>100</v>
      </c>
      <c r="O1842" s="225">
        <f t="shared" si="858"/>
        <v>92.780828756864707</v>
      </c>
      <c r="P1842" s="225">
        <f t="shared" si="865"/>
        <v>92.780828756864707</v>
      </c>
    </row>
    <row r="1843" spans="1:16" s="11" customFormat="1" hidden="1">
      <c r="A1843" s="36" t="s">
        <v>267</v>
      </c>
      <c r="B1843" s="92"/>
      <c r="C1843" s="312" t="s">
        <v>268</v>
      </c>
      <c r="D1843" s="38">
        <f>SUM(D1844)</f>
        <v>1858400</v>
      </c>
      <c r="E1843" s="77"/>
      <c r="F1843" s="63">
        <f t="shared" si="869"/>
        <v>1858400</v>
      </c>
      <c r="G1843" s="38">
        <f>SUM(G1844)</f>
        <v>2003000</v>
      </c>
      <c r="H1843" s="109"/>
      <c r="I1843" s="38">
        <f t="shared" si="870"/>
        <v>2003000</v>
      </c>
      <c r="J1843" s="63">
        <f>SUM(J1844)</f>
        <v>1858400</v>
      </c>
      <c r="K1843" s="77"/>
      <c r="L1843" s="63">
        <f t="shared" ref="L1843" si="876">SUM(J1843:K1843)</f>
        <v>1858400</v>
      </c>
      <c r="M1843" s="218">
        <f t="shared" si="856"/>
        <v>100</v>
      </c>
      <c r="N1843" s="218">
        <f t="shared" si="857"/>
        <v>100</v>
      </c>
      <c r="O1843" s="218">
        <f t="shared" si="858"/>
        <v>92.780828756864707</v>
      </c>
      <c r="P1843" s="218">
        <f t="shared" si="865"/>
        <v>92.780828756864707</v>
      </c>
    </row>
    <row r="1844" spans="1:16" s="3" customFormat="1" ht="12.75" customHeight="1">
      <c r="A1844" s="36" t="s">
        <v>178</v>
      </c>
      <c r="B1844" s="47" t="s">
        <v>415</v>
      </c>
      <c r="C1844" s="212" t="s">
        <v>1862</v>
      </c>
      <c r="D1844" s="63">
        <v>1858400</v>
      </c>
      <c r="E1844" s="63"/>
      <c r="F1844" s="63">
        <f t="shared" si="869"/>
        <v>1858400</v>
      </c>
      <c r="G1844" s="38">
        <v>2003000</v>
      </c>
      <c r="H1844" s="38"/>
      <c r="I1844" s="38">
        <f t="shared" si="870"/>
        <v>2003000</v>
      </c>
      <c r="J1844" s="63">
        <v>1858400</v>
      </c>
      <c r="K1844" s="63"/>
      <c r="L1844" s="63">
        <f t="shared" ref="L1844:L1846" si="877">SUM(J1844:K1844)</f>
        <v>1858400</v>
      </c>
      <c r="M1844" s="218">
        <f t="shared" si="856"/>
        <v>100</v>
      </c>
      <c r="N1844" s="218">
        <f t="shared" si="857"/>
        <v>100</v>
      </c>
      <c r="O1844" s="218">
        <f t="shared" si="858"/>
        <v>92.780828756864707</v>
      </c>
      <c r="P1844" s="218">
        <f t="shared" si="865"/>
        <v>92.780828756864707</v>
      </c>
    </row>
    <row r="1845" spans="1:16" s="3" customFormat="1" ht="6" customHeight="1">
      <c r="A1845" s="36"/>
      <c r="B1845" s="33"/>
      <c r="C1845" s="211" t="s">
        <v>268</v>
      </c>
      <c r="D1845" s="63"/>
      <c r="E1845" s="63"/>
      <c r="F1845" s="63">
        <f t="shared" si="869"/>
        <v>0</v>
      </c>
      <c r="G1845" s="38"/>
      <c r="H1845" s="38"/>
      <c r="I1845" s="38">
        <f t="shared" si="870"/>
        <v>0</v>
      </c>
      <c r="J1845" s="63"/>
      <c r="K1845" s="63"/>
      <c r="L1845" s="63">
        <f t="shared" si="877"/>
        <v>0</v>
      </c>
      <c r="M1845" s="218" t="str">
        <f t="shared" si="856"/>
        <v/>
      </c>
      <c r="N1845" s="218" t="str">
        <f t="shared" si="857"/>
        <v/>
      </c>
      <c r="O1845" s="218" t="str">
        <f t="shared" si="858"/>
        <v/>
      </c>
      <c r="P1845" s="218" t="str">
        <f t="shared" si="865"/>
        <v/>
      </c>
    </row>
    <row r="1846" spans="1:16" s="11" customFormat="1" ht="12.75">
      <c r="A1846" s="58" t="s">
        <v>812</v>
      </c>
      <c r="B1846" s="65" t="s">
        <v>265</v>
      </c>
      <c r="C1846" s="308" t="s">
        <v>940</v>
      </c>
      <c r="D1846" s="42">
        <f>SUM(D1848:D1848)</f>
        <v>3366800</v>
      </c>
      <c r="E1846" s="42">
        <f>SUM(E1848:E1848)</f>
        <v>0</v>
      </c>
      <c r="F1846" s="42">
        <f t="shared" si="869"/>
        <v>3366800</v>
      </c>
      <c r="G1846" s="55">
        <f>SUM(G1848:G1848)</f>
        <v>4012000</v>
      </c>
      <c r="H1846" s="55">
        <f>SUM(H1848:H1848)</f>
        <v>0</v>
      </c>
      <c r="I1846" s="55">
        <f t="shared" si="870"/>
        <v>4012000</v>
      </c>
      <c r="J1846" s="42">
        <f>SUM(J1848:J1848)</f>
        <v>3617070</v>
      </c>
      <c r="K1846" s="42">
        <f>SUM(K1848:K1848)</f>
        <v>0</v>
      </c>
      <c r="L1846" s="42">
        <f t="shared" si="877"/>
        <v>3617070</v>
      </c>
      <c r="M1846" s="225">
        <f t="shared" si="856"/>
        <v>107.43346798146609</v>
      </c>
      <c r="N1846" s="225">
        <f t="shared" si="857"/>
        <v>107.43346798146609</v>
      </c>
      <c r="O1846" s="225">
        <f t="shared" si="858"/>
        <v>90.156281156530412</v>
      </c>
      <c r="P1846" s="225">
        <f t="shared" si="865"/>
        <v>90.156281156530412</v>
      </c>
    </row>
    <row r="1847" spans="1:16" s="11" customFormat="1" hidden="1">
      <c r="A1847" s="36" t="s">
        <v>267</v>
      </c>
      <c r="B1847" s="92"/>
      <c r="C1847" s="312" t="s">
        <v>268</v>
      </c>
      <c r="D1847" s="38">
        <f>SUM(D1848)</f>
        <v>3366800</v>
      </c>
      <c r="E1847" s="77"/>
      <c r="F1847" s="63">
        <f t="shared" si="869"/>
        <v>3366800</v>
      </c>
      <c r="G1847" s="38">
        <f>SUM(G1848)</f>
        <v>4012000</v>
      </c>
      <c r="H1847" s="109"/>
      <c r="I1847" s="38">
        <f t="shared" si="870"/>
        <v>4012000</v>
      </c>
      <c r="J1847" s="63">
        <f>SUM(J1848)</f>
        <v>3617070</v>
      </c>
      <c r="K1847" s="77"/>
      <c r="L1847" s="63">
        <f t="shared" ref="L1847" si="878">SUM(J1847:K1847)</f>
        <v>3617070</v>
      </c>
      <c r="M1847" s="218">
        <f t="shared" si="856"/>
        <v>107.43346798146609</v>
      </c>
      <c r="N1847" s="218">
        <f t="shared" si="857"/>
        <v>107.43346798146609</v>
      </c>
      <c r="O1847" s="218">
        <f t="shared" si="858"/>
        <v>90.156281156530412</v>
      </c>
      <c r="P1847" s="218">
        <f t="shared" si="865"/>
        <v>90.156281156530412</v>
      </c>
    </row>
    <row r="1848" spans="1:16" s="3" customFormat="1" ht="12.75" customHeight="1">
      <c r="A1848" s="36" t="s">
        <v>178</v>
      </c>
      <c r="B1848" s="47" t="s">
        <v>415</v>
      </c>
      <c r="C1848" s="212" t="s">
        <v>1863</v>
      </c>
      <c r="D1848" s="63">
        <v>3366800</v>
      </c>
      <c r="E1848" s="63"/>
      <c r="F1848" s="63">
        <f t="shared" si="869"/>
        <v>3366800</v>
      </c>
      <c r="G1848" s="38">
        <v>4012000</v>
      </c>
      <c r="H1848" s="38"/>
      <c r="I1848" s="38">
        <f t="shared" si="870"/>
        <v>4012000</v>
      </c>
      <c r="J1848" s="63">
        <v>3617070</v>
      </c>
      <c r="K1848" s="63"/>
      <c r="L1848" s="63">
        <f t="shared" ref="L1848:L1850" si="879">SUM(J1848:K1848)</f>
        <v>3617070</v>
      </c>
      <c r="M1848" s="218">
        <f t="shared" si="856"/>
        <v>107.43346798146609</v>
      </c>
      <c r="N1848" s="218">
        <f t="shared" si="857"/>
        <v>107.43346798146609</v>
      </c>
      <c r="O1848" s="218">
        <f t="shared" si="858"/>
        <v>90.156281156530412</v>
      </c>
      <c r="P1848" s="218">
        <f t="shared" si="865"/>
        <v>90.156281156530412</v>
      </c>
    </row>
    <row r="1849" spans="1:16" s="3" customFormat="1" ht="6" customHeight="1">
      <c r="A1849" s="36"/>
      <c r="B1849" s="33"/>
      <c r="C1849" s="211" t="s">
        <v>268</v>
      </c>
      <c r="D1849" s="63"/>
      <c r="E1849" s="63"/>
      <c r="F1849" s="63">
        <f t="shared" si="869"/>
        <v>0</v>
      </c>
      <c r="G1849" s="38"/>
      <c r="H1849" s="38"/>
      <c r="I1849" s="38">
        <f t="shared" si="870"/>
        <v>0</v>
      </c>
      <c r="J1849" s="63"/>
      <c r="K1849" s="63"/>
      <c r="L1849" s="63">
        <f t="shared" si="879"/>
        <v>0</v>
      </c>
      <c r="M1849" s="218" t="str">
        <f t="shared" si="856"/>
        <v/>
      </c>
      <c r="N1849" s="218" t="str">
        <f t="shared" si="857"/>
        <v/>
      </c>
      <c r="O1849" s="218" t="str">
        <f t="shared" si="858"/>
        <v/>
      </c>
      <c r="P1849" s="218" t="str">
        <f t="shared" si="865"/>
        <v/>
      </c>
    </row>
    <row r="1850" spans="1:16" s="11" customFormat="1" ht="12.75">
      <c r="A1850" s="58" t="s">
        <v>146</v>
      </c>
      <c r="B1850" s="65" t="s">
        <v>265</v>
      </c>
      <c r="C1850" s="308" t="s">
        <v>940</v>
      </c>
      <c r="D1850" s="42">
        <f>SUM(D1852:D1852)</f>
        <v>4875700</v>
      </c>
      <c r="E1850" s="42">
        <f>SUM(E1852:E1852)</f>
        <v>0</v>
      </c>
      <c r="F1850" s="42">
        <f t="shared" si="869"/>
        <v>4875700</v>
      </c>
      <c r="G1850" s="55">
        <f>SUM(G1852:G1852)</f>
        <v>5658800</v>
      </c>
      <c r="H1850" s="55">
        <f>SUM(H1852:H1852)</f>
        <v>0</v>
      </c>
      <c r="I1850" s="55">
        <f t="shared" si="870"/>
        <v>5658800</v>
      </c>
      <c r="J1850" s="42">
        <f>SUM(J1852:J1852)</f>
        <v>4875700</v>
      </c>
      <c r="K1850" s="42">
        <f>SUM(K1852:K1852)</f>
        <v>0</v>
      </c>
      <c r="L1850" s="42">
        <f t="shared" si="879"/>
        <v>4875700</v>
      </c>
      <c r="M1850" s="225">
        <f t="shared" si="856"/>
        <v>100</v>
      </c>
      <c r="N1850" s="225">
        <f t="shared" si="857"/>
        <v>100</v>
      </c>
      <c r="O1850" s="225">
        <f t="shared" si="858"/>
        <v>86.161376970382406</v>
      </c>
      <c r="P1850" s="225">
        <f t="shared" si="865"/>
        <v>86.161376970382406</v>
      </c>
    </row>
    <row r="1851" spans="1:16" s="11" customFormat="1" hidden="1">
      <c r="A1851" s="36" t="s">
        <v>267</v>
      </c>
      <c r="B1851" s="92"/>
      <c r="C1851" s="312" t="s">
        <v>268</v>
      </c>
      <c r="D1851" s="38">
        <f>SUM(D1852)</f>
        <v>4875700</v>
      </c>
      <c r="E1851" s="77"/>
      <c r="F1851" s="63">
        <f t="shared" si="869"/>
        <v>4875700</v>
      </c>
      <c r="G1851" s="38">
        <f>SUM(G1852)</f>
        <v>5658800</v>
      </c>
      <c r="H1851" s="109"/>
      <c r="I1851" s="38">
        <f t="shared" si="870"/>
        <v>5658800</v>
      </c>
      <c r="J1851" s="63">
        <f>SUM(J1852)</f>
        <v>4875700</v>
      </c>
      <c r="K1851" s="77"/>
      <c r="L1851" s="63">
        <f t="shared" ref="L1851" si="880">SUM(J1851:K1851)</f>
        <v>4875700</v>
      </c>
      <c r="M1851" s="218">
        <f t="shared" si="856"/>
        <v>100</v>
      </c>
      <c r="N1851" s="218">
        <f t="shared" si="857"/>
        <v>100</v>
      </c>
      <c r="O1851" s="218">
        <f t="shared" si="858"/>
        <v>86.161376970382406</v>
      </c>
      <c r="P1851" s="218">
        <f t="shared" si="865"/>
        <v>86.161376970382406</v>
      </c>
    </row>
    <row r="1852" spans="1:16" s="3" customFormat="1" ht="12.75" customHeight="1">
      <c r="A1852" s="36" t="s">
        <v>178</v>
      </c>
      <c r="B1852" s="47" t="s">
        <v>415</v>
      </c>
      <c r="C1852" s="212" t="s">
        <v>1864</v>
      </c>
      <c r="D1852" s="63">
        <v>4875700</v>
      </c>
      <c r="E1852" s="63"/>
      <c r="F1852" s="63">
        <f t="shared" si="869"/>
        <v>4875700</v>
      </c>
      <c r="G1852" s="38">
        <v>5658800</v>
      </c>
      <c r="H1852" s="38"/>
      <c r="I1852" s="38">
        <f t="shared" si="870"/>
        <v>5658800</v>
      </c>
      <c r="J1852" s="63">
        <v>4875700</v>
      </c>
      <c r="K1852" s="63"/>
      <c r="L1852" s="63">
        <f t="shared" ref="L1852:L1862" si="881">SUM(J1852:K1852)</f>
        <v>4875700</v>
      </c>
      <c r="M1852" s="218">
        <f t="shared" si="856"/>
        <v>100</v>
      </c>
      <c r="N1852" s="218">
        <f t="shared" si="857"/>
        <v>100</v>
      </c>
      <c r="O1852" s="218">
        <f t="shared" si="858"/>
        <v>86.161376970382406</v>
      </c>
      <c r="P1852" s="218">
        <f t="shared" si="865"/>
        <v>86.161376970382406</v>
      </c>
    </row>
    <row r="1853" spans="1:16" s="3" customFormat="1" ht="6" customHeight="1">
      <c r="A1853" s="36"/>
      <c r="B1853" s="33"/>
      <c r="C1853" s="211" t="s">
        <v>268</v>
      </c>
      <c r="D1853" s="63"/>
      <c r="E1853" s="63"/>
      <c r="F1853" s="63">
        <f t="shared" si="869"/>
        <v>0</v>
      </c>
      <c r="G1853" s="38"/>
      <c r="H1853" s="38"/>
      <c r="I1853" s="38">
        <f t="shared" si="870"/>
        <v>0</v>
      </c>
      <c r="J1853" s="63"/>
      <c r="K1853" s="63"/>
      <c r="L1853" s="63">
        <f t="shared" si="881"/>
        <v>0</v>
      </c>
      <c r="M1853" s="218" t="str">
        <f t="shared" si="856"/>
        <v/>
      </c>
      <c r="N1853" s="218" t="str">
        <f t="shared" si="857"/>
        <v/>
      </c>
      <c r="O1853" s="218" t="str">
        <f t="shared" si="858"/>
        <v/>
      </c>
      <c r="P1853" s="218" t="str">
        <f t="shared" si="865"/>
        <v/>
      </c>
    </row>
    <row r="1854" spans="1:16" s="11" customFormat="1" ht="12.75">
      <c r="A1854" s="58" t="s">
        <v>778</v>
      </c>
      <c r="B1854" s="65" t="s">
        <v>265</v>
      </c>
      <c r="C1854" s="308" t="s">
        <v>940</v>
      </c>
      <c r="D1854" s="69">
        <f>SUM(D1856:D1859)</f>
        <v>3923500</v>
      </c>
      <c r="E1854" s="69">
        <f>SUM(E1856:E1859)</f>
        <v>0</v>
      </c>
      <c r="F1854" s="69">
        <f t="shared" si="869"/>
        <v>3923500</v>
      </c>
      <c r="G1854" s="115">
        <f>SUM(G1856:G1859)</f>
        <v>4800260</v>
      </c>
      <c r="H1854" s="115">
        <f>SUM(H1856:H1859)</f>
        <v>0</v>
      </c>
      <c r="I1854" s="115">
        <f t="shared" si="870"/>
        <v>4800260</v>
      </c>
      <c r="J1854" s="69">
        <f>SUM(J1856:J1859)</f>
        <v>3756200</v>
      </c>
      <c r="K1854" s="69">
        <f>SUM(K1856:K1859)</f>
        <v>0</v>
      </c>
      <c r="L1854" s="69">
        <f t="shared" si="881"/>
        <v>3756200</v>
      </c>
      <c r="M1854" s="217">
        <f t="shared" si="856"/>
        <v>95.73595004460303</v>
      </c>
      <c r="N1854" s="217">
        <f t="shared" si="857"/>
        <v>95.73595004460303</v>
      </c>
      <c r="O1854" s="217">
        <f t="shared" si="858"/>
        <v>78.249928128893018</v>
      </c>
      <c r="P1854" s="217">
        <f t="shared" si="865"/>
        <v>78.249928128893018</v>
      </c>
    </row>
    <row r="1855" spans="1:16" s="11" customFormat="1" hidden="1">
      <c r="A1855" s="36" t="s">
        <v>267</v>
      </c>
      <c r="B1855" s="92"/>
      <c r="C1855" s="312" t="s">
        <v>268</v>
      </c>
      <c r="D1855" s="84">
        <f>SUM(D1856:D1858)</f>
        <v>3923500</v>
      </c>
      <c r="E1855" s="110"/>
      <c r="F1855" s="63">
        <f t="shared" si="869"/>
        <v>3923500</v>
      </c>
      <c r="G1855" s="84">
        <f>SUM(G1856:G1858)</f>
        <v>4800260</v>
      </c>
      <c r="H1855" s="259"/>
      <c r="I1855" s="38">
        <f t="shared" si="870"/>
        <v>4800260</v>
      </c>
      <c r="J1855" s="63">
        <f>SUM(J1856:J1858)</f>
        <v>3756200</v>
      </c>
      <c r="K1855" s="110"/>
      <c r="L1855" s="63">
        <f t="shared" si="881"/>
        <v>3756200</v>
      </c>
      <c r="M1855" s="218">
        <f t="shared" si="856"/>
        <v>95.73595004460303</v>
      </c>
      <c r="N1855" s="218">
        <f t="shared" si="857"/>
        <v>95.73595004460303</v>
      </c>
      <c r="O1855" s="218">
        <f t="shared" si="858"/>
        <v>78.249928128893018</v>
      </c>
      <c r="P1855" s="218">
        <f t="shared" si="865"/>
        <v>78.249928128893018</v>
      </c>
    </row>
    <row r="1856" spans="1:16" s="3" customFormat="1" ht="12.75" customHeight="1">
      <c r="A1856" s="36" t="s">
        <v>178</v>
      </c>
      <c r="B1856" s="47" t="s">
        <v>415</v>
      </c>
      <c r="C1856" s="212" t="s">
        <v>1865</v>
      </c>
      <c r="D1856" s="63">
        <f>3673500+200000</f>
        <v>3873500</v>
      </c>
      <c r="E1856" s="63"/>
      <c r="F1856" s="63">
        <f t="shared" si="869"/>
        <v>3873500</v>
      </c>
      <c r="G1856" s="38">
        <v>4747260</v>
      </c>
      <c r="H1856" s="38"/>
      <c r="I1856" s="38">
        <f t="shared" si="870"/>
        <v>4747260</v>
      </c>
      <c r="J1856" s="63">
        <v>3688500</v>
      </c>
      <c r="K1856" s="63"/>
      <c r="L1856" s="63">
        <f t="shared" si="881"/>
        <v>3688500</v>
      </c>
      <c r="M1856" s="218">
        <f t="shared" si="856"/>
        <v>95.223957661030084</v>
      </c>
      <c r="N1856" s="218">
        <f t="shared" si="857"/>
        <v>95.223957661030084</v>
      </c>
      <c r="O1856" s="218">
        <f t="shared" si="858"/>
        <v>77.69745074000582</v>
      </c>
      <c r="P1856" s="218">
        <f t="shared" ref="P1856:P1890" si="882">IF(I1856&gt;0,IF(L1856&gt;=0,L1856/I1856*100,""),"")</f>
        <v>77.69745074000582</v>
      </c>
    </row>
    <row r="1857" spans="1:17" s="3" customFormat="1" ht="12.75" customHeight="1">
      <c r="A1857" s="36" t="s">
        <v>14</v>
      </c>
      <c r="B1857" s="47" t="s">
        <v>9</v>
      </c>
      <c r="C1857" s="212" t="s">
        <v>2446</v>
      </c>
      <c r="D1857" s="63"/>
      <c r="E1857" s="63"/>
      <c r="F1857" s="63"/>
      <c r="G1857" s="38"/>
      <c r="H1857" s="38"/>
      <c r="I1857" s="38"/>
      <c r="J1857" s="63">
        <v>18500</v>
      </c>
      <c r="K1857" s="63"/>
      <c r="L1857" s="63">
        <f t="shared" si="881"/>
        <v>18500</v>
      </c>
      <c r="M1857" s="218" t="str">
        <f t="shared" si="856"/>
        <v/>
      </c>
      <c r="N1857" s="218" t="str">
        <f t="shared" si="857"/>
        <v/>
      </c>
      <c r="O1857" s="218" t="str">
        <f t="shared" si="858"/>
        <v/>
      </c>
      <c r="P1857" s="218"/>
    </row>
    <row r="1858" spans="1:17" s="3" customFormat="1" ht="12.75" customHeight="1">
      <c r="A1858" s="354" t="s">
        <v>651</v>
      </c>
      <c r="B1858" s="66" t="s">
        <v>650</v>
      </c>
      <c r="C1858" s="311" t="s">
        <v>1866</v>
      </c>
      <c r="D1858" s="67">
        <v>50000</v>
      </c>
      <c r="E1858" s="67"/>
      <c r="F1858" s="67">
        <f t="shared" si="869"/>
        <v>50000</v>
      </c>
      <c r="G1858" s="61">
        <v>53000</v>
      </c>
      <c r="H1858" s="61"/>
      <c r="I1858" s="61">
        <f t="shared" si="870"/>
        <v>53000</v>
      </c>
      <c r="J1858" s="67">
        <v>49200</v>
      </c>
      <c r="K1858" s="67"/>
      <c r="L1858" s="67">
        <f t="shared" si="881"/>
        <v>49200</v>
      </c>
      <c r="M1858" s="273">
        <f t="shared" si="856"/>
        <v>98.4</v>
      </c>
      <c r="N1858" s="273">
        <f t="shared" si="857"/>
        <v>98.4</v>
      </c>
      <c r="O1858" s="273">
        <f t="shared" si="858"/>
        <v>92.830188679245282</v>
      </c>
      <c r="P1858" s="273">
        <f t="shared" si="882"/>
        <v>92.830188679245282</v>
      </c>
      <c r="Q1858" s="20"/>
    </row>
    <row r="1859" spans="1:17" s="3" customFormat="1" ht="6" customHeight="1">
      <c r="A1859" s="80"/>
      <c r="B1859" s="79"/>
      <c r="C1859" s="302" t="s">
        <v>268</v>
      </c>
      <c r="D1859" s="76">
        <f>13000-13000</f>
        <v>0</v>
      </c>
      <c r="E1859" s="76"/>
      <c r="F1859" s="76">
        <f t="shared" si="869"/>
        <v>0</v>
      </c>
      <c r="G1859" s="116">
        <f>13000-13000</f>
        <v>0</v>
      </c>
      <c r="H1859" s="116"/>
      <c r="I1859" s="116">
        <f t="shared" si="870"/>
        <v>0</v>
      </c>
      <c r="J1859" s="76">
        <f>13000-13000</f>
        <v>0</v>
      </c>
      <c r="K1859" s="76"/>
      <c r="L1859" s="76">
        <f t="shared" si="881"/>
        <v>0</v>
      </c>
      <c r="M1859" s="226" t="str">
        <f t="shared" si="856"/>
        <v/>
      </c>
      <c r="N1859" s="226" t="str">
        <f t="shared" si="857"/>
        <v/>
      </c>
      <c r="O1859" s="226" t="str">
        <f t="shared" si="858"/>
        <v/>
      </c>
      <c r="P1859" s="226" t="str">
        <f t="shared" si="882"/>
        <v/>
      </c>
    </row>
    <row r="1860" spans="1:17" s="11" customFormat="1" ht="12.75">
      <c r="A1860" s="58" t="s">
        <v>444</v>
      </c>
      <c r="B1860" s="65" t="s">
        <v>265</v>
      </c>
      <c r="C1860" s="308" t="s">
        <v>940</v>
      </c>
      <c r="D1860" s="90">
        <f>SUM(D1862:D1866)</f>
        <v>5572400</v>
      </c>
      <c r="E1860" s="90">
        <f>SUM(E1862:E1867)</f>
        <v>0</v>
      </c>
      <c r="F1860" s="42">
        <f t="shared" si="869"/>
        <v>5572400</v>
      </c>
      <c r="G1860" s="60">
        <f>SUM(G1862:G1866)</f>
        <v>6855700</v>
      </c>
      <c r="H1860" s="60">
        <f>SUM(H1862:H1867)</f>
        <v>0</v>
      </c>
      <c r="I1860" s="55">
        <f t="shared" si="870"/>
        <v>6855700</v>
      </c>
      <c r="J1860" s="42">
        <f>SUM(J1862:J1866)</f>
        <v>6898230</v>
      </c>
      <c r="K1860" s="90">
        <f>SUM(K1862:K1867)</f>
        <v>0</v>
      </c>
      <c r="L1860" s="42">
        <f t="shared" si="881"/>
        <v>6898230</v>
      </c>
      <c r="M1860" s="225">
        <f t="shared" si="856"/>
        <v>123.79280022970353</v>
      </c>
      <c r="N1860" s="225">
        <f t="shared" si="857"/>
        <v>123.79280022970353</v>
      </c>
      <c r="O1860" s="225">
        <f t="shared" si="858"/>
        <v>100.62035970068702</v>
      </c>
      <c r="P1860" s="225">
        <f t="shared" si="882"/>
        <v>100.62035970068702</v>
      </c>
    </row>
    <row r="1861" spans="1:17" s="11" customFormat="1" hidden="1">
      <c r="A1861" s="36" t="s">
        <v>267</v>
      </c>
      <c r="B1861" s="92"/>
      <c r="C1861" s="312" t="s">
        <v>268</v>
      </c>
      <c r="D1861" s="38">
        <f>SUM(D1862:D1866)</f>
        <v>5572400</v>
      </c>
      <c r="E1861" s="77"/>
      <c r="F1861" s="63">
        <f t="shared" si="869"/>
        <v>5572400</v>
      </c>
      <c r="G1861" s="38">
        <f>SUM(G1862:G1866)</f>
        <v>6855700</v>
      </c>
      <c r="H1861" s="109"/>
      <c r="I1861" s="38">
        <f t="shared" si="870"/>
        <v>6855700</v>
      </c>
      <c r="J1861" s="63">
        <f>SUM(J1862:J1866)</f>
        <v>6898230</v>
      </c>
      <c r="K1861" s="77"/>
      <c r="L1861" s="63">
        <f t="shared" si="881"/>
        <v>6898230</v>
      </c>
      <c r="M1861" s="218">
        <f t="shared" si="856"/>
        <v>123.79280022970353</v>
      </c>
      <c r="N1861" s="218">
        <f t="shared" si="857"/>
        <v>123.79280022970353</v>
      </c>
      <c r="O1861" s="218">
        <f t="shared" si="858"/>
        <v>100.62035970068702</v>
      </c>
      <c r="P1861" s="218">
        <f t="shared" si="882"/>
        <v>100.62035970068702</v>
      </c>
    </row>
    <row r="1862" spans="1:17" s="3" customFormat="1" ht="12.75" customHeight="1">
      <c r="A1862" s="36" t="s">
        <v>178</v>
      </c>
      <c r="B1862" s="47" t="s">
        <v>415</v>
      </c>
      <c r="C1862" s="212" t="s">
        <v>1867</v>
      </c>
      <c r="D1862" s="63">
        <v>4695400</v>
      </c>
      <c r="E1862" s="63"/>
      <c r="F1862" s="63">
        <f t="shared" si="869"/>
        <v>4695400</v>
      </c>
      <c r="G1862" s="38">
        <v>6115500</v>
      </c>
      <c r="H1862" s="38"/>
      <c r="I1862" s="38">
        <f t="shared" si="870"/>
        <v>6115500</v>
      </c>
      <c r="J1862" s="63">
        <f>4817980+110000</f>
        <v>4927980</v>
      </c>
      <c r="K1862" s="63"/>
      <c r="L1862" s="63">
        <f t="shared" si="881"/>
        <v>4927980</v>
      </c>
      <c r="M1862" s="218">
        <f t="shared" si="856"/>
        <v>104.95335860629554</v>
      </c>
      <c r="N1862" s="218">
        <f t="shared" si="857"/>
        <v>104.95335860629554</v>
      </c>
      <c r="O1862" s="218">
        <f t="shared" si="858"/>
        <v>80.581800343389745</v>
      </c>
      <c r="P1862" s="218">
        <f t="shared" si="882"/>
        <v>80.581800343389745</v>
      </c>
    </row>
    <row r="1863" spans="1:17" s="3" customFormat="1" ht="36">
      <c r="A1863" s="341" t="s">
        <v>2474</v>
      </c>
      <c r="B1863" s="47"/>
      <c r="C1863" s="212"/>
      <c r="D1863" s="63"/>
      <c r="E1863" s="63"/>
      <c r="F1863" s="63"/>
      <c r="G1863" s="38"/>
      <c r="H1863" s="38"/>
      <c r="I1863" s="38"/>
      <c r="J1863" s="63"/>
      <c r="K1863" s="63"/>
      <c r="L1863" s="63"/>
      <c r="M1863" s="218" t="str">
        <f t="shared" si="856"/>
        <v/>
      </c>
      <c r="N1863" s="218" t="str">
        <f t="shared" si="857"/>
        <v/>
      </c>
      <c r="O1863" s="218" t="str">
        <f t="shared" si="858"/>
        <v/>
      </c>
      <c r="P1863" s="218"/>
    </row>
    <row r="1864" spans="1:17" s="3" customFormat="1" ht="12.75" customHeight="1">
      <c r="A1864" s="36" t="s">
        <v>651</v>
      </c>
      <c r="B1864" s="33" t="s">
        <v>650</v>
      </c>
      <c r="C1864" s="211" t="s">
        <v>1868</v>
      </c>
      <c r="D1864" s="63">
        <v>547000</v>
      </c>
      <c r="E1864" s="63"/>
      <c r="F1864" s="63">
        <f>SUM(D1864:E1864)</f>
        <v>547000</v>
      </c>
      <c r="G1864" s="38">
        <v>410200</v>
      </c>
      <c r="H1864" s="38"/>
      <c r="I1864" s="38">
        <f t="shared" si="870"/>
        <v>410200</v>
      </c>
      <c r="J1864" s="63">
        <v>612500</v>
      </c>
      <c r="K1864" s="63"/>
      <c r="L1864" s="63">
        <f>SUM(J1864:K1864)</f>
        <v>612500</v>
      </c>
      <c r="M1864" s="218">
        <f t="shared" si="856"/>
        <v>111.97440585009142</v>
      </c>
      <c r="N1864" s="218">
        <f t="shared" si="857"/>
        <v>111.97440585009142</v>
      </c>
      <c r="O1864" s="218">
        <f t="shared" si="858"/>
        <v>149.3174061433447</v>
      </c>
      <c r="P1864" s="218">
        <f t="shared" si="882"/>
        <v>149.3174061433447</v>
      </c>
    </row>
    <row r="1865" spans="1:17" s="3" customFormat="1" ht="12.75" customHeight="1">
      <c r="A1865" s="36" t="s">
        <v>14</v>
      </c>
      <c r="B1865" s="33" t="s">
        <v>9</v>
      </c>
      <c r="C1865" s="211" t="s">
        <v>1869</v>
      </c>
      <c r="D1865" s="63">
        <v>297000</v>
      </c>
      <c r="E1865" s="63"/>
      <c r="F1865" s="63">
        <f t="shared" ref="F1865:F1877" si="883">SUM(D1865:E1865)</f>
        <v>297000</v>
      </c>
      <c r="G1865" s="38">
        <v>297000</v>
      </c>
      <c r="H1865" s="38"/>
      <c r="I1865" s="38">
        <f t="shared" si="870"/>
        <v>297000</v>
      </c>
      <c r="J1865" s="63">
        <v>1357750</v>
      </c>
      <c r="K1865" s="63"/>
      <c r="L1865" s="63">
        <f t="shared" ref="L1865:L1868" si="884">SUM(J1865:K1865)</f>
        <v>1357750</v>
      </c>
      <c r="M1865" s="218">
        <f t="shared" si="856"/>
        <v>457.15488215488216</v>
      </c>
      <c r="N1865" s="218">
        <f t="shared" si="857"/>
        <v>457.15488215488216</v>
      </c>
      <c r="O1865" s="218">
        <f t="shared" si="858"/>
        <v>457.15488215488216</v>
      </c>
      <c r="P1865" s="218">
        <f t="shared" si="882"/>
        <v>457.15488215488216</v>
      </c>
    </row>
    <row r="1866" spans="1:17" s="3" customFormat="1" ht="12.75" customHeight="1">
      <c r="A1866" s="36" t="s">
        <v>641</v>
      </c>
      <c r="B1866" s="211" t="s">
        <v>642</v>
      </c>
      <c r="C1866" s="211" t="s">
        <v>1870</v>
      </c>
      <c r="D1866" s="63">
        <v>33000</v>
      </c>
      <c r="E1866" s="63"/>
      <c r="F1866" s="63">
        <f t="shared" si="883"/>
        <v>33000</v>
      </c>
      <c r="G1866" s="38">
        <v>33000</v>
      </c>
      <c r="H1866" s="38"/>
      <c r="I1866" s="38">
        <f t="shared" si="870"/>
        <v>33000</v>
      </c>
      <c r="J1866" s="63"/>
      <c r="K1866" s="63"/>
      <c r="L1866" s="63">
        <f t="shared" si="884"/>
        <v>0</v>
      </c>
      <c r="M1866" s="218">
        <f t="shared" si="856"/>
        <v>0</v>
      </c>
      <c r="N1866" s="218">
        <f t="shared" si="857"/>
        <v>0</v>
      </c>
      <c r="O1866" s="218">
        <f t="shared" si="858"/>
        <v>0</v>
      </c>
      <c r="P1866" s="218">
        <f t="shared" si="882"/>
        <v>0</v>
      </c>
    </row>
    <row r="1867" spans="1:17" s="3" customFormat="1" ht="6" customHeight="1">
      <c r="A1867" s="46"/>
      <c r="B1867" s="47"/>
      <c r="C1867" s="212" t="s">
        <v>268</v>
      </c>
      <c r="D1867" s="63"/>
      <c r="E1867" s="63"/>
      <c r="F1867" s="63">
        <f t="shared" si="883"/>
        <v>0</v>
      </c>
      <c r="G1867" s="38"/>
      <c r="H1867" s="38"/>
      <c r="I1867" s="38">
        <f t="shared" si="870"/>
        <v>0</v>
      </c>
      <c r="J1867" s="63"/>
      <c r="K1867" s="63"/>
      <c r="L1867" s="63">
        <f t="shared" si="884"/>
        <v>0</v>
      </c>
      <c r="M1867" s="218" t="str">
        <f t="shared" si="856"/>
        <v/>
      </c>
      <c r="N1867" s="218" t="str">
        <f t="shared" si="857"/>
        <v/>
      </c>
      <c r="O1867" s="218" t="str">
        <f t="shared" si="858"/>
        <v/>
      </c>
      <c r="P1867" s="218" t="str">
        <f t="shared" si="882"/>
        <v/>
      </c>
    </row>
    <row r="1868" spans="1:17" s="11" customFormat="1" ht="12.75">
      <c r="A1868" s="58" t="s">
        <v>443</v>
      </c>
      <c r="B1868" s="65" t="s">
        <v>265</v>
      </c>
      <c r="C1868" s="308" t="s">
        <v>940</v>
      </c>
      <c r="D1868" s="69">
        <f>SUM(D1870:D1873)</f>
        <v>4082400</v>
      </c>
      <c r="E1868" s="69">
        <f>SUM(E1870:E1874)</f>
        <v>0</v>
      </c>
      <c r="F1868" s="69">
        <f t="shared" si="883"/>
        <v>4082400</v>
      </c>
      <c r="G1868" s="115">
        <f>SUM(G1870:G1873)</f>
        <v>4679084</v>
      </c>
      <c r="H1868" s="115">
        <f>SUM(H1870:H1874)</f>
        <v>0</v>
      </c>
      <c r="I1868" s="115">
        <f t="shared" si="870"/>
        <v>4679084</v>
      </c>
      <c r="J1868" s="69">
        <f>SUM(J1870:J1873)</f>
        <v>4557464</v>
      </c>
      <c r="K1868" s="69">
        <f>SUM(K1870:K1874)</f>
        <v>0</v>
      </c>
      <c r="L1868" s="69">
        <f t="shared" si="884"/>
        <v>4557464</v>
      </c>
      <c r="M1868" s="217">
        <f t="shared" si="856"/>
        <v>111.63688026650989</v>
      </c>
      <c r="N1868" s="217">
        <f t="shared" si="857"/>
        <v>111.63688026650989</v>
      </c>
      <c r="O1868" s="217">
        <f t="shared" si="858"/>
        <v>97.400773313751159</v>
      </c>
      <c r="P1868" s="217">
        <f t="shared" si="882"/>
        <v>97.400773313751159</v>
      </c>
    </row>
    <row r="1869" spans="1:17" s="11" customFormat="1" hidden="1">
      <c r="A1869" s="36" t="s">
        <v>267</v>
      </c>
      <c r="B1869" s="92"/>
      <c r="C1869" s="312" t="s">
        <v>268</v>
      </c>
      <c r="D1869" s="84">
        <f>SUM(D1870:D1873)</f>
        <v>4082400</v>
      </c>
      <c r="E1869" s="110"/>
      <c r="F1869" s="63">
        <f t="shared" si="883"/>
        <v>4082400</v>
      </c>
      <c r="G1869" s="84">
        <f>SUM(G1870:G1873)</f>
        <v>4679084</v>
      </c>
      <c r="H1869" s="259"/>
      <c r="I1869" s="38">
        <f t="shared" si="870"/>
        <v>4679084</v>
      </c>
      <c r="J1869" s="63">
        <f>SUM(J1870:J1873)</f>
        <v>4557464</v>
      </c>
      <c r="K1869" s="110"/>
      <c r="L1869" s="63">
        <f t="shared" ref="L1869" si="885">SUM(J1869:K1869)</f>
        <v>4557464</v>
      </c>
      <c r="M1869" s="218">
        <f t="shared" si="856"/>
        <v>111.63688026650989</v>
      </c>
      <c r="N1869" s="218">
        <f t="shared" si="857"/>
        <v>111.63688026650989</v>
      </c>
      <c r="O1869" s="218">
        <f t="shared" si="858"/>
        <v>97.400773313751159</v>
      </c>
      <c r="P1869" s="218">
        <f t="shared" si="882"/>
        <v>97.400773313751159</v>
      </c>
    </row>
    <row r="1870" spans="1:17" s="3" customFormat="1" ht="12.75" customHeight="1">
      <c r="A1870" s="36" t="s">
        <v>178</v>
      </c>
      <c r="B1870" s="47" t="s">
        <v>415</v>
      </c>
      <c r="C1870" s="212" t="s">
        <v>1871</v>
      </c>
      <c r="D1870" s="63">
        <v>3975400</v>
      </c>
      <c r="E1870" s="63"/>
      <c r="F1870" s="63">
        <f t="shared" si="883"/>
        <v>3975400</v>
      </c>
      <c r="G1870" s="38">
        <v>4522600</v>
      </c>
      <c r="H1870" s="38"/>
      <c r="I1870" s="38">
        <f t="shared" si="870"/>
        <v>4522600</v>
      </c>
      <c r="J1870" s="63">
        <f>4224050+65000</f>
        <v>4289050</v>
      </c>
      <c r="K1870" s="63"/>
      <c r="L1870" s="63">
        <f t="shared" ref="L1870:L1875" si="886">SUM(J1870:K1870)</f>
        <v>4289050</v>
      </c>
      <c r="M1870" s="218">
        <f t="shared" si="856"/>
        <v>107.8897720984052</v>
      </c>
      <c r="N1870" s="218">
        <f t="shared" si="857"/>
        <v>107.8897720984052</v>
      </c>
      <c r="O1870" s="218">
        <f t="shared" si="858"/>
        <v>94.835935081590236</v>
      </c>
      <c r="P1870" s="218">
        <f t="shared" si="882"/>
        <v>94.835935081590236</v>
      </c>
    </row>
    <row r="1871" spans="1:17" s="3" customFormat="1" ht="24">
      <c r="A1871" s="341" t="s">
        <v>2469</v>
      </c>
      <c r="B1871" s="47"/>
      <c r="C1871" s="212"/>
      <c r="D1871" s="63"/>
      <c r="E1871" s="63"/>
      <c r="F1871" s="63"/>
      <c r="G1871" s="38"/>
      <c r="H1871" s="38"/>
      <c r="I1871" s="38"/>
      <c r="J1871" s="63"/>
      <c r="K1871" s="63"/>
      <c r="L1871" s="63"/>
      <c r="M1871" s="218" t="str">
        <f t="shared" ref="M1871:M1934" si="887">IF(D1871&gt;0,IF(J1871&gt;=0,J1871/D1871*100,""),"")</f>
        <v/>
      </c>
      <c r="N1871" s="218" t="str">
        <f t="shared" ref="N1871:N1934" si="888">IF(F1871&gt;0,IF(L1871&gt;=0,L1871/F1871*100,""),"")</f>
        <v/>
      </c>
      <c r="O1871" s="218" t="str">
        <f t="shared" ref="O1871:O1934" si="889">IF(G1871&gt;0,IF(J1871&gt;=0,J1871/G1871*100,""),"")</f>
        <v/>
      </c>
      <c r="P1871" s="218"/>
    </row>
    <row r="1872" spans="1:17" s="3" customFormat="1" ht="12.75" customHeight="1">
      <c r="A1872" s="36" t="s">
        <v>651</v>
      </c>
      <c r="B1872" s="33" t="s">
        <v>650</v>
      </c>
      <c r="C1872" s="211" t="s">
        <v>1872</v>
      </c>
      <c r="D1872" s="63">
        <v>107000</v>
      </c>
      <c r="E1872" s="63"/>
      <c r="F1872" s="63">
        <f t="shared" si="883"/>
        <v>107000</v>
      </c>
      <c r="G1872" s="38">
        <v>156484</v>
      </c>
      <c r="H1872" s="38"/>
      <c r="I1872" s="38">
        <f t="shared" si="870"/>
        <v>156484</v>
      </c>
      <c r="J1872" s="63">
        <v>254014</v>
      </c>
      <c r="K1872" s="63"/>
      <c r="L1872" s="63">
        <f t="shared" si="886"/>
        <v>254014</v>
      </c>
      <c r="M1872" s="218">
        <f t="shared" si="887"/>
        <v>237.39626168224297</v>
      </c>
      <c r="N1872" s="218">
        <f t="shared" si="888"/>
        <v>237.39626168224297</v>
      </c>
      <c r="O1872" s="218">
        <f t="shared" si="889"/>
        <v>162.32586079087957</v>
      </c>
      <c r="P1872" s="218">
        <f t="shared" si="882"/>
        <v>162.32586079087957</v>
      </c>
    </row>
    <row r="1873" spans="1:16" s="3" customFormat="1" ht="12.75" customHeight="1">
      <c r="A1873" s="36" t="s">
        <v>14</v>
      </c>
      <c r="B1873" s="33" t="s">
        <v>9</v>
      </c>
      <c r="C1873" s="211" t="s">
        <v>1873</v>
      </c>
      <c r="D1873" s="63"/>
      <c r="E1873" s="63"/>
      <c r="F1873" s="63">
        <f t="shared" si="883"/>
        <v>0</v>
      </c>
      <c r="G1873" s="38"/>
      <c r="H1873" s="38"/>
      <c r="I1873" s="38">
        <f t="shared" si="870"/>
        <v>0</v>
      </c>
      <c r="J1873" s="63">
        <v>14400</v>
      </c>
      <c r="K1873" s="63"/>
      <c r="L1873" s="63">
        <f t="shared" si="886"/>
        <v>14400</v>
      </c>
      <c r="M1873" s="219" t="str">
        <f t="shared" si="887"/>
        <v/>
      </c>
      <c r="N1873" s="219" t="str">
        <f t="shared" si="888"/>
        <v/>
      </c>
      <c r="O1873" s="219" t="str">
        <f t="shared" si="889"/>
        <v/>
      </c>
      <c r="P1873" s="219" t="str">
        <f t="shared" si="882"/>
        <v/>
      </c>
    </row>
    <row r="1874" spans="1:16" s="3" customFormat="1" ht="6" customHeight="1">
      <c r="A1874" s="39"/>
      <c r="B1874" s="40"/>
      <c r="C1874" s="306" t="s">
        <v>268</v>
      </c>
      <c r="D1874" s="63"/>
      <c r="E1874" s="63"/>
      <c r="F1874" s="63">
        <f t="shared" si="883"/>
        <v>0</v>
      </c>
      <c r="G1874" s="38"/>
      <c r="H1874" s="38"/>
      <c r="I1874" s="38">
        <f t="shared" si="870"/>
        <v>0</v>
      </c>
      <c r="J1874" s="63"/>
      <c r="K1874" s="63"/>
      <c r="L1874" s="63">
        <f t="shared" si="886"/>
        <v>0</v>
      </c>
      <c r="M1874" s="218" t="str">
        <f t="shared" si="887"/>
        <v/>
      </c>
      <c r="N1874" s="218" t="str">
        <f t="shared" si="888"/>
        <v/>
      </c>
      <c r="O1874" s="218" t="str">
        <f t="shared" si="889"/>
        <v/>
      </c>
      <c r="P1874" s="218" t="str">
        <f t="shared" si="882"/>
        <v/>
      </c>
    </row>
    <row r="1875" spans="1:16" s="11" customFormat="1" ht="12.75" customHeight="1">
      <c r="A1875" s="58" t="s">
        <v>833</v>
      </c>
      <c r="B1875" s="65" t="s">
        <v>265</v>
      </c>
      <c r="C1875" s="308" t="s">
        <v>940</v>
      </c>
      <c r="D1875" s="42">
        <f>SUM(D1877:D1878)</f>
        <v>1090200</v>
      </c>
      <c r="E1875" s="42">
        <f>SUM(E1877:E1878)</f>
        <v>0</v>
      </c>
      <c r="F1875" s="42">
        <f t="shared" si="883"/>
        <v>1090200</v>
      </c>
      <c r="G1875" s="55">
        <f>SUM(G1877:G1878)</f>
        <v>1142800</v>
      </c>
      <c r="H1875" s="55">
        <f>SUM(H1877:H1878)</f>
        <v>0</v>
      </c>
      <c r="I1875" s="55">
        <f t="shared" si="870"/>
        <v>1142800</v>
      </c>
      <c r="J1875" s="42">
        <f>SUM(J1877:J1878)</f>
        <v>1091200</v>
      </c>
      <c r="K1875" s="42">
        <f>SUM(K1877:K1878)</f>
        <v>0</v>
      </c>
      <c r="L1875" s="42">
        <f t="shared" si="886"/>
        <v>1091200</v>
      </c>
      <c r="M1875" s="225">
        <f t="shared" si="887"/>
        <v>100.09172628875436</v>
      </c>
      <c r="N1875" s="225">
        <f t="shared" si="888"/>
        <v>100.09172628875436</v>
      </c>
      <c r="O1875" s="225">
        <f t="shared" si="889"/>
        <v>95.484774238711935</v>
      </c>
      <c r="P1875" s="225">
        <f t="shared" si="882"/>
        <v>95.484774238711935</v>
      </c>
    </row>
    <row r="1876" spans="1:16" s="11" customFormat="1" ht="12.75" hidden="1" customHeight="1">
      <c r="A1876" s="36" t="s">
        <v>267</v>
      </c>
      <c r="B1876" s="92"/>
      <c r="C1876" s="312" t="s">
        <v>268</v>
      </c>
      <c r="D1876" s="38">
        <f>SUM(D1877:D1878)</f>
        <v>1090200</v>
      </c>
      <c r="E1876" s="77"/>
      <c r="F1876" s="63">
        <f t="shared" si="883"/>
        <v>1090200</v>
      </c>
      <c r="G1876" s="38">
        <f>SUM(G1877:G1878)</f>
        <v>1142800</v>
      </c>
      <c r="H1876" s="109"/>
      <c r="I1876" s="38">
        <f t="shared" si="870"/>
        <v>1142800</v>
      </c>
      <c r="J1876" s="63">
        <f>SUM(J1877:J1878)</f>
        <v>1091200</v>
      </c>
      <c r="K1876" s="77"/>
      <c r="L1876" s="63">
        <f t="shared" ref="L1876" si="890">SUM(J1876:K1876)</f>
        <v>1091200</v>
      </c>
      <c r="M1876" s="218">
        <f t="shared" si="887"/>
        <v>100.09172628875436</v>
      </c>
      <c r="N1876" s="218">
        <f t="shared" si="888"/>
        <v>100.09172628875436</v>
      </c>
      <c r="O1876" s="218">
        <f t="shared" si="889"/>
        <v>95.484774238711935</v>
      </c>
      <c r="P1876" s="218">
        <f t="shared" si="882"/>
        <v>95.484774238711935</v>
      </c>
    </row>
    <row r="1877" spans="1:16" s="3" customFormat="1" ht="12.75" customHeight="1">
      <c r="A1877" s="36" t="s">
        <v>178</v>
      </c>
      <c r="B1877" s="47" t="s">
        <v>415</v>
      </c>
      <c r="C1877" s="212" t="s">
        <v>1874</v>
      </c>
      <c r="D1877" s="63">
        <v>1066200</v>
      </c>
      <c r="E1877" s="63"/>
      <c r="F1877" s="63">
        <f t="shared" si="883"/>
        <v>1066200</v>
      </c>
      <c r="G1877" s="38">
        <v>1118800</v>
      </c>
      <c r="H1877" s="38"/>
      <c r="I1877" s="38">
        <f t="shared" si="870"/>
        <v>1118800</v>
      </c>
      <c r="J1877" s="63">
        <v>1066200</v>
      </c>
      <c r="K1877" s="63"/>
      <c r="L1877" s="63">
        <f t="shared" ref="L1877" si="891">SUM(J1877:K1877)</f>
        <v>1066200</v>
      </c>
      <c r="M1877" s="218">
        <f t="shared" si="887"/>
        <v>100</v>
      </c>
      <c r="N1877" s="218">
        <f t="shared" si="888"/>
        <v>100</v>
      </c>
      <c r="O1877" s="218">
        <f t="shared" si="889"/>
        <v>95.298534143725419</v>
      </c>
      <c r="P1877" s="218">
        <f t="shared" si="882"/>
        <v>95.298534143725419</v>
      </c>
    </row>
    <row r="1878" spans="1:16" s="3" customFormat="1" ht="12.75" customHeight="1">
      <c r="A1878" s="36" t="s">
        <v>651</v>
      </c>
      <c r="B1878" s="33" t="s">
        <v>650</v>
      </c>
      <c r="C1878" s="211" t="s">
        <v>1875</v>
      </c>
      <c r="D1878" s="63">
        <v>24000</v>
      </c>
      <c r="E1878" s="63"/>
      <c r="F1878" s="63">
        <f>SUM(D1878:E1878)</f>
        <v>24000</v>
      </c>
      <c r="G1878" s="38">
        <v>24000</v>
      </c>
      <c r="H1878" s="38"/>
      <c r="I1878" s="38">
        <f t="shared" si="870"/>
        <v>24000</v>
      </c>
      <c r="J1878" s="63">
        <v>25000</v>
      </c>
      <c r="K1878" s="63"/>
      <c r="L1878" s="63">
        <f>SUM(J1878:K1878)</f>
        <v>25000</v>
      </c>
      <c r="M1878" s="218">
        <f t="shared" si="887"/>
        <v>104.16666666666667</v>
      </c>
      <c r="N1878" s="218">
        <f t="shared" si="888"/>
        <v>104.16666666666667</v>
      </c>
      <c r="O1878" s="218">
        <f t="shared" si="889"/>
        <v>104.16666666666667</v>
      </c>
      <c r="P1878" s="218">
        <f t="shared" si="882"/>
        <v>104.16666666666667</v>
      </c>
    </row>
    <row r="1879" spans="1:16" s="3" customFormat="1" ht="6" customHeight="1">
      <c r="A1879" s="36"/>
      <c r="B1879" s="47"/>
      <c r="C1879" s="212" t="s">
        <v>268</v>
      </c>
      <c r="D1879" s="63"/>
      <c r="E1879" s="63"/>
      <c r="F1879" s="63"/>
      <c r="G1879" s="38"/>
      <c r="H1879" s="38"/>
      <c r="I1879" s="38"/>
      <c r="J1879" s="63"/>
      <c r="K1879" s="63"/>
      <c r="L1879" s="63"/>
      <c r="M1879" s="218" t="str">
        <f t="shared" si="887"/>
        <v/>
      </c>
      <c r="N1879" s="218" t="str">
        <f t="shared" si="888"/>
        <v/>
      </c>
      <c r="O1879" s="218" t="str">
        <f t="shared" si="889"/>
        <v/>
      </c>
      <c r="P1879" s="218" t="str">
        <f t="shared" si="882"/>
        <v/>
      </c>
    </row>
    <row r="1880" spans="1:16" s="11" customFormat="1" ht="12.75">
      <c r="A1880" s="58" t="s">
        <v>175</v>
      </c>
      <c r="B1880" s="65" t="s">
        <v>265</v>
      </c>
      <c r="C1880" s="308" t="s">
        <v>940</v>
      </c>
      <c r="D1880" s="69">
        <f>SUM(D1882:D1883)</f>
        <v>8326900</v>
      </c>
      <c r="E1880" s="69">
        <f>SUM(E1882:E1884)</f>
        <v>0</v>
      </c>
      <c r="F1880" s="69">
        <f t="shared" ref="F1880:F1892" si="892">SUM(D1880:E1880)</f>
        <v>8326900</v>
      </c>
      <c r="G1880" s="115">
        <f>SUM(G1882:G1883)</f>
        <v>10131400</v>
      </c>
      <c r="H1880" s="115">
        <f>SUM(H1882:H1884)</f>
        <v>0</v>
      </c>
      <c r="I1880" s="115">
        <f t="shared" ref="I1880:I1915" si="893">SUM(G1880:H1880)</f>
        <v>10131400</v>
      </c>
      <c r="J1880" s="69">
        <f>SUM(J1882:J1883)</f>
        <v>8337900</v>
      </c>
      <c r="K1880" s="69">
        <f>SUM(K1882:K1884)</f>
        <v>0</v>
      </c>
      <c r="L1880" s="69">
        <f t="shared" ref="L1880:L1887" si="894">SUM(J1880:K1880)</f>
        <v>8337900</v>
      </c>
      <c r="M1880" s="217">
        <f t="shared" si="887"/>
        <v>100.13210198273066</v>
      </c>
      <c r="N1880" s="217">
        <f t="shared" si="888"/>
        <v>100.13210198273066</v>
      </c>
      <c r="O1880" s="217">
        <f t="shared" si="889"/>
        <v>82.297609412322089</v>
      </c>
      <c r="P1880" s="217">
        <f t="shared" si="882"/>
        <v>82.297609412322089</v>
      </c>
    </row>
    <row r="1881" spans="1:16" s="11" customFormat="1" hidden="1">
      <c r="A1881" s="36" t="s">
        <v>267</v>
      </c>
      <c r="B1881" s="184"/>
      <c r="C1881" s="320" t="s">
        <v>268</v>
      </c>
      <c r="D1881" s="187">
        <f>SUM(D1882:D1883)</f>
        <v>8326900</v>
      </c>
      <c r="E1881" s="192"/>
      <c r="F1881" s="63">
        <f t="shared" si="892"/>
        <v>8326900</v>
      </c>
      <c r="G1881" s="187">
        <f>SUM(G1882:G1883)</f>
        <v>10131400</v>
      </c>
      <c r="H1881" s="186"/>
      <c r="I1881" s="38">
        <f t="shared" si="893"/>
        <v>10131400</v>
      </c>
      <c r="J1881" s="63">
        <f>SUM(J1882:J1883)</f>
        <v>8337900</v>
      </c>
      <c r="K1881" s="192"/>
      <c r="L1881" s="63">
        <f t="shared" si="894"/>
        <v>8337900</v>
      </c>
      <c r="M1881" s="218">
        <f t="shared" si="887"/>
        <v>100.13210198273066</v>
      </c>
      <c r="N1881" s="218">
        <f t="shared" si="888"/>
        <v>100.13210198273066</v>
      </c>
      <c r="O1881" s="218">
        <f t="shared" si="889"/>
        <v>82.297609412322089</v>
      </c>
      <c r="P1881" s="218">
        <f t="shared" si="882"/>
        <v>82.297609412322089</v>
      </c>
    </row>
    <row r="1882" spans="1:16" s="3" customFormat="1" ht="12.75" customHeight="1">
      <c r="A1882" s="36" t="s">
        <v>178</v>
      </c>
      <c r="B1882" s="47" t="s">
        <v>415</v>
      </c>
      <c r="C1882" s="212" t="s">
        <v>1876</v>
      </c>
      <c r="D1882" s="63">
        <v>8286400</v>
      </c>
      <c r="E1882" s="63"/>
      <c r="F1882" s="63">
        <f t="shared" si="892"/>
        <v>8286400</v>
      </c>
      <c r="G1882" s="38">
        <v>10087400</v>
      </c>
      <c r="H1882" s="38"/>
      <c r="I1882" s="38">
        <f t="shared" si="893"/>
        <v>10087400</v>
      </c>
      <c r="J1882" s="63">
        <v>8291400</v>
      </c>
      <c r="K1882" s="63"/>
      <c r="L1882" s="63">
        <f>SUM(J1882:K1882)</f>
        <v>8291400</v>
      </c>
      <c r="M1882" s="218">
        <f t="shared" si="887"/>
        <v>100.06033983394478</v>
      </c>
      <c r="N1882" s="218">
        <f t="shared" si="888"/>
        <v>100.06033983394478</v>
      </c>
      <c r="O1882" s="218">
        <f t="shared" si="889"/>
        <v>82.195610365406353</v>
      </c>
      <c r="P1882" s="218">
        <f t="shared" si="882"/>
        <v>82.195610365406353</v>
      </c>
    </row>
    <row r="1883" spans="1:16" s="3" customFormat="1" ht="12.75" customHeight="1">
      <c r="A1883" s="36" t="s">
        <v>651</v>
      </c>
      <c r="B1883" s="33" t="s">
        <v>650</v>
      </c>
      <c r="C1883" s="211" t="s">
        <v>1877</v>
      </c>
      <c r="D1883" s="63">
        <v>40500</v>
      </c>
      <c r="E1883" s="63"/>
      <c r="F1883" s="63">
        <f t="shared" si="892"/>
        <v>40500</v>
      </c>
      <c r="G1883" s="38">
        <v>44000</v>
      </c>
      <c r="H1883" s="38"/>
      <c r="I1883" s="38">
        <f t="shared" si="893"/>
        <v>44000</v>
      </c>
      <c r="J1883" s="63">
        <v>46500</v>
      </c>
      <c r="K1883" s="63"/>
      <c r="L1883" s="63">
        <f>SUM(J1883:K1883)</f>
        <v>46500</v>
      </c>
      <c r="M1883" s="218">
        <f t="shared" si="887"/>
        <v>114.81481481481481</v>
      </c>
      <c r="N1883" s="218">
        <f t="shared" si="888"/>
        <v>114.81481481481481</v>
      </c>
      <c r="O1883" s="218">
        <f t="shared" si="889"/>
        <v>105.68181818181819</v>
      </c>
      <c r="P1883" s="218">
        <f t="shared" si="882"/>
        <v>105.68181818181819</v>
      </c>
    </row>
    <row r="1884" spans="1:16" s="3" customFormat="1" ht="6" customHeight="1">
      <c r="A1884" s="36"/>
      <c r="B1884" s="33"/>
      <c r="C1884" s="211" t="s">
        <v>268</v>
      </c>
      <c r="D1884" s="63">
        <f>4000-4000</f>
        <v>0</v>
      </c>
      <c r="E1884" s="63"/>
      <c r="F1884" s="63">
        <f t="shared" si="892"/>
        <v>0</v>
      </c>
      <c r="G1884" s="38">
        <f>4000-4000</f>
        <v>0</v>
      </c>
      <c r="H1884" s="38"/>
      <c r="I1884" s="38">
        <f t="shared" si="893"/>
        <v>0</v>
      </c>
      <c r="J1884" s="63">
        <f>4000-4000</f>
        <v>0</v>
      </c>
      <c r="K1884" s="63"/>
      <c r="L1884" s="63">
        <f t="shared" si="894"/>
        <v>0</v>
      </c>
      <c r="M1884" s="218" t="str">
        <f t="shared" si="887"/>
        <v/>
      </c>
      <c r="N1884" s="218" t="str">
        <f t="shared" si="888"/>
        <v/>
      </c>
      <c r="O1884" s="218" t="str">
        <f t="shared" si="889"/>
        <v/>
      </c>
      <c r="P1884" s="218" t="str">
        <f t="shared" si="882"/>
        <v/>
      </c>
    </row>
    <row r="1885" spans="1:16" s="11" customFormat="1" ht="12.75">
      <c r="A1885" s="58" t="s">
        <v>837</v>
      </c>
      <c r="B1885" s="65" t="s">
        <v>265</v>
      </c>
      <c r="C1885" s="308" t="s">
        <v>940</v>
      </c>
      <c r="D1885" s="90">
        <f>SUM(D1887:D1890)</f>
        <v>5331300</v>
      </c>
      <c r="E1885" s="90">
        <f>SUM(E1887:E1890)</f>
        <v>0</v>
      </c>
      <c r="F1885" s="42">
        <f t="shared" si="892"/>
        <v>5331300</v>
      </c>
      <c r="G1885" s="60">
        <f>SUM(G1887:G1890)</f>
        <v>6170929</v>
      </c>
      <c r="H1885" s="60">
        <f>SUM(H1887:H1890)</f>
        <v>0</v>
      </c>
      <c r="I1885" s="55">
        <f t="shared" si="893"/>
        <v>6170929</v>
      </c>
      <c r="J1885" s="42">
        <f>SUM(J1887:J1890)</f>
        <v>5798653</v>
      </c>
      <c r="K1885" s="90">
        <f>SUM(K1887:K1890)</f>
        <v>0</v>
      </c>
      <c r="L1885" s="42">
        <f t="shared" si="894"/>
        <v>5798653</v>
      </c>
      <c r="M1885" s="225">
        <f t="shared" si="887"/>
        <v>108.76621086789338</v>
      </c>
      <c r="N1885" s="225">
        <f t="shared" si="888"/>
        <v>108.76621086789338</v>
      </c>
      <c r="O1885" s="225">
        <f t="shared" si="889"/>
        <v>93.967261655416877</v>
      </c>
      <c r="P1885" s="225">
        <f t="shared" si="882"/>
        <v>93.967261655416877</v>
      </c>
    </row>
    <row r="1886" spans="1:16" s="11" customFormat="1" hidden="1">
      <c r="A1886" s="36" t="s">
        <v>267</v>
      </c>
      <c r="B1886" s="92"/>
      <c r="C1886" s="312" t="s">
        <v>268</v>
      </c>
      <c r="D1886" s="38">
        <f>SUM(D1887:D1889)</f>
        <v>5331300</v>
      </c>
      <c r="E1886" s="77"/>
      <c r="F1886" s="63">
        <f t="shared" si="892"/>
        <v>5331300</v>
      </c>
      <c r="G1886" s="38">
        <f>SUM(G1887:G1889)</f>
        <v>6170929</v>
      </c>
      <c r="H1886" s="109"/>
      <c r="I1886" s="38">
        <f t="shared" si="893"/>
        <v>6170929</v>
      </c>
      <c r="J1886" s="63">
        <f>SUM(J1887:J1889)</f>
        <v>5798653</v>
      </c>
      <c r="K1886" s="77"/>
      <c r="L1886" s="63">
        <f t="shared" si="894"/>
        <v>5798653</v>
      </c>
      <c r="M1886" s="218">
        <f t="shared" si="887"/>
        <v>108.76621086789338</v>
      </c>
      <c r="N1886" s="218">
        <f t="shared" si="888"/>
        <v>108.76621086789338</v>
      </c>
      <c r="O1886" s="218">
        <f t="shared" si="889"/>
        <v>93.967261655416877</v>
      </c>
      <c r="P1886" s="218">
        <f t="shared" si="882"/>
        <v>93.967261655416877</v>
      </c>
    </row>
    <row r="1887" spans="1:16" s="3" customFormat="1" ht="12.75" customHeight="1">
      <c r="A1887" s="36" t="s">
        <v>178</v>
      </c>
      <c r="B1887" s="47" t="s">
        <v>415</v>
      </c>
      <c r="C1887" s="212" t="s">
        <v>1878</v>
      </c>
      <c r="D1887" s="63">
        <v>4404300</v>
      </c>
      <c r="E1887" s="63"/>
      <c r="F1887" s="63">
        <f t="shared" si="892"/>
        <v>4404300</v>
      </c>
      <c r="G1887" s="38">
        <v>5036200</v>
      </c>
      <c r="H1887" s="38"/>
      <c r="I1887" s="38">
        <f t="shared" si="893"/>
        <v>5036200</v>
      </c>
      <c r="J1887" s="63">
        <f>5058740</f>
        <v>5058740</v>
      </c>
      <c r="K1887" s="63"/>
      <c r="L1887" s="63">
        <f t="shared" si="894"/>
        <v>5058740</v>
      </c>
      <c r="M1887" s="218">
        <f t="shared" si="887"/>
        <v>114.85911495583861</v>
      </c>
      <c r="N1887" s="218">
        <f t="shared" si="888"/>
        <v>114.85911495583861</v>
      </c>
      <c r="O1887" s="218">
        <f t="shared" si="889"/>
        <v>100.44755966800365</v>
      </c>
      <c r="P1887" s="218">
        <f t="shared" si="882"/>
        <v>100.44755966800365</v>
      </c>
    </row>
    <row r="1888" spans="1:16" s="3" customFormat="1" ht="12.75" customHeight="1">
      <c r="A1888" s="36" t="s">
        <v>651</v>
      </c>
      <c r="B1888" s="33" t="s">
        <v>650</v>
      </c>
      <c r="C1888" s="211" t="s">
        <v>1879</v>
      </c>
      <c r="D1888" s="63">
        <v>561500</v>
      </c>
      <c r="E1888" s="63"/>
      <c r="F1888" s="63">
        <f t="shared" si="892"/>
        <v>561500</v>
      </c>
      <c r="G1888" s="38">
        <v>789229</v>
      </c>
      <c r="H1888" s="38"/>
      <c r="I1888" s="38">
        <f t="shared" si="893"/>
        <v>789229</v>
      </c>
      <c r="J1888" s="63">
        <v>732113</v>
      </c>
      <c r="K1888" s="63"/>
      <c r="L1888" s="63">
        <f t="shared" ref="L1888:L1891" si="895">SUM(J1888:K1888)</f>
        <v>732113</v>
      </c>
      <c r="M1888" s="218">
        <f t="shared" si="887"/>
        <v>130.38521816562778</v>
      </c>
      <c r="N1888" s="218">
        <f t="shared" si="888"/>
        <v>130.38521816562778</v>
      </c>
      <c r="O1888" s="218">
        <f t="shared" si="889"/>
        <v>92.76306369887574</v>
      </c>
      <c r="P1888" s="218">
        <f t="shared" si="882"/>
        <v>92.76306369887574</v>
      </c>
    </row>
    <row r="1889" spans="1:16" s="3" customFormat="1" ht="12.75" customHeight="1">
      <c r="A1889" s="36" t="s">
        <v>14</v>
      </c>
      <c r="B1889" s="33" t="s">
        <v>9</v>
      </c>
      <c r="C1889" s="211" t="s">
        <v>1880</v>
      </c>
      <c r="D1889" s="63">
        <v>365500</v>
      </c>
      <c r="E1889" s="63"/>
      <c r="F1889" s="63">
        <f t="shared" si="892"/>
        <v>365500</v>
      </c>
      <c r="G1889" s="38">
        <v>345500</v>
      </c>
      <c r="H1889" s="38"/>
      <c r="I1889" s="38">
        <f t="shared" si="893"/>
        <v>345500</v>
      </c>
      <c r="J1889" s="63">
        <f>21800-14000</f>
        <v>7800</v>
      </c>
      <c r="K1889" s="63"/>
      <c r="L1889" s="63">
        <f t="shared" si="895"/>
        <v>7800</v>
      </c>
      <c r="M1889" s="218">
        <f t="shared" si="887"/>
        <v>2.1340629274965801</v>
      </c>
      <c r="N1889" s="218">
        <f t="shared" si="888"/>
        <v>2.1340629274965801</v>
      </c>
      <c r="O1889" s="218">
        <f t="shared" si="889"/>
        <v>2.2575976845151953</v>
      </c>
      <c r="P1889" s="218">
        <f t="shared" si="882"/>
        <v>2.2575976845151953</v>
      </c>
    </row>
    <row r="1890" spans="1:16" s="3" customFormat="1" ht="6" customHeight="1">
      <c r="A1890" s="36"/>
      <c r="B1890" s="47"/>
      <c r="C1890" s="212" t="s">
        <v>268</v>
      </c>
      <c r="D1890" s="63">
        <f>146000-146000</f>
        <v>0</v>
      </c>
      <c r="E1890" s="63"/>
      <c r="F1890" s="63">
        <f t="shared" si="892"/>
        <v>0</v>
      </c>
      <c r="G1890" s="38">
        <f>146000-146000</f>
        <v>0</v>
      </c>
      <c r="H1890" s="38"/>
      <c r="I1890" s="38">
        <f t="shared" si="893"/>
        <v>0</v>
      </c>
      <c r="J1890" s="63">
        <f>146000-146000</f>
        <v>0</v>
      </c>
      <c r="K1890" s="63"/>
      <c r="L1890" s="63">
        <f t="shared" si="895"/>
        <v>0</v>
      </c>
      <c r="M1890" s="218" t="str">
        <f t="shared" si="887"/>
        <v/>
      </c>
      <c r="N1890" s="218" t="str">
        <f t="shared" si="888"/>
        <v/>
      </c>
      <c r="O1890" s="218" t="str">
        <f t="shared" si="889"/>
        <v/>
      </c>
      <c r="P1890" s="218" t="str">
        <f t="shared" si="882"/>
        <v/>
      </c>
    </row>
    <row r="1891" spans="1:16" s="11" customFormat="1" ht="12.75">
      <c r="A1891" s="58" t="s">
        <v>779</v>
      </c>
      <c r="B1891" s="65" t="s">
        <v>265</v>
      </c>
      <c r="C1891" s="308" t="s">
        <v>940</v>
      </c>
      <c r="D1891" s="42">
        <f>SUM(D1893:D1895)</f>
        <v>11322344</v>
      </c>
      <c r="E1891" s="42">
        <f>SUM(E1893:E1896)</f>
        <v>0</v>
      </c>
      <c r="F1891" s="42">
        <f t="shared" si="892"/>
        <v>11322344</v>
      </c>
      <c r="G1891" s="55">
        <f>SUM(G1893:G1895)</f>
        <v>12742661</v>
      </c>
      <c r="H1891" s="55">
        <f>SUM(H1893:H1896)</f>
        <v>0</v>
      </c>
      <c r="I1891" s="55">
        <f t="shared" si="893"/>
        <v>12742661</v>
      </c>
      <c r="J1891" s="42">
        <f>SUM(J1893:J1895)</f>
        <v>12030520</v>
      </c>
      <c r="K1891" s="42">
        <f>SUM(K1893:K1896)</f>
        <v>0</v>
      </c>
      <c r="L1891" s="42">
        <f t="shared" si="895"/>
        <v>12030520</v>
      </c>
      <c r="M1891" s="225">
        <f t="shared" si="887"/>
        <v>106.25467659346863</v>
      </c>
      <c r="N1891" s="225">
        <f t="shared" si="888"/>
        <v>106.25467659346863</v>
      </c>
      <c r="O1891" s="225">
        <f t="shared" si="889"/>
        <v>94.411363529171808</v>
      </c>
      <c r="P1891" s="225">
        <f t="shared" ref="P1891:P1911" si="896">IF(I1891&gt;0,IF(L1891&gt;=0,L1891/I1891*100,""),"")</f>
        <v>94.411363529171808</v>
      </c>
    </row>
    <row r="1892" spans="1:16" s="11" customFormat="1" hidden="1">
      <c r="A1892" s="36" t="s">
        <v>267</v>
      </c>
      <c r="B1892" s="184"/>
      <c r="C1892" s="320" t="s">
        <v>268</v>
      </c>
      <c r="D1892" s="116">
        <f>SUM(D1893:D1895)</f>
        <v>11322344</v>
      </c>
      <c r="E1892" s="111"/>
      <c r="F1892" s="63">
        <f t="shared" si="892"/>
        <v>11322344</v>
      </c>
      <c r="G1892" s="116">
        <f>SUM(G1893:G1895)</f>
        <v>12742661</v>
      </c>
      <c r="H1892" s="193"/>
      <c r="I1892" s="38">
        <f t="shared" si="893"/>
        <v>12742661</v>
      </c>
      <c r="J1892" s="63">
        <f>SUM(J1893:J1895)</f>
        <v>12030520</v>
      </c>
      <c r="K1892" s="111"/>
      <c r="L1892" s="63">
        <f t="shared" ref="L1892" si="897">SUM(J1892:K1892)</f>
        <v>12030520</v>
      </c>
      <c r="M1892" s="218">
        <f t="shared" si="887"/>
        <v>106.25467659346863</v>
      </c>
      <c r="N1892" s="218">
        <f t="shared" si="888"/>
        <v>106.25467659346863</v>
      </c>
      <c r="O1892" s="218">
        <f t="shared" si="889"/>
        <v>94.411363529171808</v>
      </c>
      <c r="P1892" s="218">
        <f t="shared" si="896"/>
        <v>94.411363529171808</v>
      </c>
    </row>
    <row r="1893" spans="1:16" s="3" customFormat="1" ht="12.75" customHeight="1">
      <c r="A1893" s="36" t="s">
        <v>178</v>
      </c>
      <c r="B1893" s="47" t="s">
        <v>415</v>
      </c>
      <c r="C1893" s="212" t="s">
        <v>1881</v>
      </c>
      <c r="D1893" s="63">
        <f>10272500+100000</f>
        <v>10372500</v>
      </c>
      <c r="E1893" s="63"/>
      <c r="F1893" s="63">
        <f t="shared" ref="F1893:F1897" si="898">SUM(D1893:E1893)</f>
        <v>10372500</v>
      </c>
      <c r="G1893" s="38">
        <v>11575400</v>
      </c>
      <c r="H1893" s="38"/>
      <c r="I1893" s="38">
        <f t="shared" si="893"/>
        <v>11575400</v>
      </c>
      <c r="J1893" s="63">
        <v>10446220</v>
      </c>
      <c r="K1893" s="63"/>
      <c r="L1893" s="63">
        <f t="shared" ref="L1893:L1897" si="899">SUM(J1893:K1893)</f>
        <v>10446220</v>
      </c>
      <c r="M1893" s="218">
        <f t="shared" si="887"/>
        <v>100.71072547601831</v>
      </c>
      <c r="N1893" s="218">
        <f t="shared" si="888"/>
        <v>100.71072547601831</v>
      </c>
      <c r="O1893" s="218">
        <f t="shared" si="889"/>
        <v>90.245002332532792</v>
      </c>
      <c r="P1893" s="218">
        <f t="shared" si="896"/>
        <v>90.245002332532792</v>
      </c>
    </row>
    <row r="1894" spans="1:16" s="3" customFormat="1" ht="12.75" customHeight="1">
      <c r="A1894" s="36" t="s">
        <v>651</v>
      </c>
      <c r="B1894" s="33" t="s">
        <v>650</v>
      </c>
      <c r="C1894" s="211" t="s">
        <v>1882</v>
      </c>
      <c r="D1894" s="63">
        <v>755744</v>
      </c>
      <c r="E1894" s="63"/>
      <c r="F1894" s="63">
        <f t="shared" si="898"/>
        <v>755744</v>
      </c>
      <c r="G1894" s="38">
        <v>973161</v>
      </c>
      <c r="H1894" s="38"/>
      <c r="I1894" s="38">
        <f t="shared" si="893"/>
        <v>973161</v>
      </c>
      <c r="J1894" s="63">
        <v>990800</v>
      </c>
      <c r="K1894" s="63"/>
      <c r="L1894" s="63">
        <f t="shared" si="899"/>
        <v>990800</v>
      </c>
      <c r="M1894" s="218">
        <f t="shared" si="887"/>
        <v>131.10259558792393</v>
      </c>
      <c r="N1894" s="218">
        <f t="shared" si="888"/>
        <v>131.10259558792393</v>
      </c>
      <c r="O1894" s="218">
        <f t="shared" si="889"/>
        <v>101.81254694752462</v>
      </c>
      <c r="P1894" s="218">
        <f t="shared" si="896"/>
        <v>101.81254694752462</v>
      </c>
    </row>
    <row r="1895" spans="1:16" s="3" customFormat="1" ht="12.75" customHeight="1">
      <c r="A1895" s="36" t="s">
        <v>14</v>
      </c>
      <c r="B1895" s="33" t="s">
        <v>9</v>
      </c>
      <c r="C1895" s="211" t="s">
        <v>1883</v>
      </c>
      <c r="D1895" s="63">
        <v>194100</v>
      </c>
      <c r="E1895" s="63"/>
      <c r="F1895" s="63">
        <f t="shared" si="898"/>
        <v>194100</v>
      </c>
      <c r="G1895" s="38">
        <v>194100</v>
      </c>
      <c r="H1895" s="38"/>
      <c r="I1895" s="38">
        <f t="shared" si="893"/>
        <v>194100</v>
      </c>
      <c r="J1895" s="63">
        <v>593500</v>
      </c>
      <c r="K1895" s="63"/>
      <c r="L1895" s="63">
        <f t="shared" si="899"/>
        <v>593500</v>
      </c>
      <c r="M1895" s="218">
        <f t="shared" si="887"/>
        <v>305.77022153529111</v>
      </c>
      <c r="N1895" s="218">
        <f t="shared" si="888"/>
        <v>305.77022153529111</v>
      </c>
      <c r="O1895" s="218">
        <f t="shared" si="889"/>
        <v>305.77022153529111</v>
      </c>
      <c r="P1895" s="218">
        <f t="shared" si="896"/>
        <v>305.77022153529111</v>
      </c>
    </row>
    <row r="1896" spans="1:16" s="3" customFormat="1" ht="6" customHeight="1">
      <c r="A1896" s="36"/>
      <c r="B1896" s="47"/>
      <c r="C1896" s="212" t="s">
        <v>268</v>
      </c>
      <c r="D1896" s="63">
        <f>208500-208500</f>
        <v>0</v>
      </c>
      <c r="E1896" s="63"/>
      <c r="F1896" s="63">
        <f t="shared" si="898"/>
        <v>0</v>
      </c>
      <c r="G1896" s="38">
        <f>208500-208500</f>
        <v>0</v>
      </c>
      <c r="H1896" s="38"/>
      <c r="I1896" s="38">
        <f t="shared" si="893"/>
        <v>0</v>
      </c>
      <c r="J1896" s="63">
        <f>208500-208500</f>
        <v>0</v>
      </c>
      <c r="K1896" s="63"/>
      <c r="L1896" s="63">
        <f t="shared" si="899"/>
        <v>0</v>
      </c>
      <c r="M1896" s="218" t="str">
        <f t="shared" si="887"/>
        <v/>
      </c>
      <c r="N1896" s="218" t="str">
        <f t="shared" si="888"/>
        <v/>
      </c>
      <c r="O1896" s="218" t="str">
        <f t="shared" si="889"/>
        <v/>
      </c>
      <c r="P1896" s="218" t="str">
        <f t="shared" si="896"/>
        <v/>
      </c>
    </row>
    <row r="1897" spans="1:16" s="11" customFormat="1" ht="12.75">
      <c r="A1897" s="58" t="s">
        <v>203</v>
      </c>
      <c r="B1897" s="65" t="s">
        <v>265</v>
      </c>
      <c r="C1897" s="308" t="s">
        <v>940</v>
      </c>
      <c r="D1897" s="42">
        <f>SUM(D1899:D1900)</f>
        <v>1367300</v>
      </c>
      <c r="E1897" s="42">
        <f>SUM(E1899:E1899)</f>
        <v>0</v>
      </c>
      <c r="F1897" s="42">
        <f t="shared" si="898"/>
        <v>1367300</v>
      </c>
      <c r="G1897" s="55">
        <f>SUM(G1899:G1900)</f>
        <v>1451800</v>
      </c>
      <c r="H1897" s="55">
        <f>SUM(H1899:H1899)</f>
        <v>0</v>
      </c>
      <c r="I1897" s="55">
        <f t="shared" si="893"/>
        <v>1451800</v>
      </c>
      <c r="J1897" s="42">
        <f>SUM(J1899:J1900)</f>
        <v>1364300</v>
      </c>
      <c r="K1897" s="42">
        <f>SUM(K1899:K1899)</f>
        <v>0</v>
      </c>
      <c r="L1897" s="42">
        <f t="shared" si="899"/>
        <v>1364300</v>
      </c>
      <c r="M1897" s="225">
        <f t="shared" si="887"/>
        <v>99.780589482922551</v>
      </c>
      <c r="N1897" s="225">
        <f t="shared" si="888"/>
        <v>99.780589482922551</v>
      </c>
      <c r="O1897" s="225">
        <f t="shared" si="889"/>
        <v>93.972999035679848</v>
      </c>
      <c r="P1897" s="225">
        <f t="shared" si="896"/>
        <v>93.972999035679848</v>
      </c>
    </row>
    <row r="1898" spans="1:16" s="11" customFormat="1" hidden="1">
      <c r="A1898" s="36" t="s">
        <v>267</v>
      </c>
      <c r="B1898" s="92"/>
      <c r="C1898" s="312" t="s">
        <v>268</v>
      </c>
      <c r="D1898" s="63">
        <f>SUM(D1899:D1900)</f>
        <v>1367300</v>
      </c>
      <c r="E1898" s="77"/>
      <c r="F1898" s="63">
        <f t="shared" ref="F1898:F1901" si="900">SUM(D1898:E1898)</f>
        <v>1367300</v>
      </c>
      <c r="G1898" s="38">
        <f>SUM(G1899:G1900)</f>
        <v>1451800</v>
      </c>
      <c r="H1898" s="109"/>
      <c r="I1898" s="38">
        <f t="shared" si="893"/>
        <v>1451800</v>
      </c>
      <c r="J1898" s="63">
        <f>SUM(J1899:J1900)</f>
        <v>1364300</v>
      </c>
      <c r="K1898" s="77"/>
      <c r="L1898" s="63">
        <f t="shared" ref="L1898" si="901">SUM(J1898:K1898)</f>
        <v>1364300</v>
      </c>
      <c r="M1898" s="218">
        <f t="shared" si="887"/>
        <v>99.780589482922551</v>
      </c>
      <c r="N1898" s="218">
        <f t="shared" si="888"/>
        <v>99.780589482922551</v>
      </c>
      <c r="O1898" s="218">
        <f t="shared" si="889"/>
        <v>93.972999035679848</v>
      </c>
      <c r="P1898" s="218">
        <f t="shared" si="896"/>
        <v>93.972999035679848</v>
      </c>
    </row>
    <row r="1899" spans="1:16" s="3" customFormat="1" ht="12.75" customHeight="1">
      <c r="A1899" s="36" t="s">
        <v>178</v>
      </c>
      <c r="B1899" s="47" t="s">
        <v>415</v>
      </c>
      <c r="C1899" s="212" t="s">
        <v>1884</v>
      </c>
      <c r="D1899" s="63">
        <v>1360300</v>
      </c>
      <c r="E1899" s="63"/>
      <c r="F1899" s="63">
        <f t="shared" si="900"/>
        <v>1360300</v>
      </c>
      <c r="G1899" s="38">
        <v>1411800</v>
      </c>
      <c r="H1899" s="38"/>
      <c r="I1899" s="38">
        <f t="shared" si="893"/>
        <v>1411800</v>
      </c>
      <c r="J1899" s="63">
        <v>1360300</v>
      </c>
      <c r="K1899" s="63"/>
      <c r="L1899" s="63">
        <f t="shared" ref="L1899:L1901" si="902">SUM(J1899:K1899)</f>
        <v>1360300</v>
      </c>
      <c r="M1899" s="218">
        <f t="shared" si="887"/>
        <v>100</v>
      </c>
      <c r="N1899" s="218">
        <f t="shared" si="888"/>
        <v>100</v>
      </c>
      <c r="O1899" s="218">
        <f t="shared" si="889"/>
        <v>96.35217452897011</v>
      </c>
      <c r="P1899" s="218">
        <f t="shared" si="896"/>
        <v>96.35217452897011</v>
      </c>
    </row>
    <row r="1900" spans="1:16" s="3" customFormat="1" ht="12.75" customHeight="1">
      <c r="A1900" s="36" t="s">
        <v>651</v>
      </c>
      <c r="B1900" s="47" t="s">
        <v>650</v>
      </c>
      <c r="C1900" s="212" t="s">
        <v>1885</v>
      </c>
      <c r="D1900" s="63">
        <v>7000</v>
      </c>
      <c r="E1900" s="63"/>
      <c r="F1900" s="63">
        <f t="shared" si="900"/>
        <v>7000</v>
      </c>
      <c r="G1900" s="38">
        <v>40000</v>
      </c>
      <c r="H1900" s="38"/>
      <c r="I1900" s="38">
        <f t="shared" si="893"/>
        <v>40000</v>
      </c>
      <c r="J1900" s="63">
        <v>4000</v>
      </c>
      <c r="K1900" s="63"/>
      <c r="L1900" s="63">
        <f t="shared" si="902"/>
        <v>4000</v>
      </c>
      <c r="M1900" s="218">
        <f t="shared" si="887"/>
        <v>57.142857142857139</v>
      </c>
      <c r="N1900" s="218">
        <f t="shared" si="888"/>
        <v>57.142857142857139</v>
      </c>
      <c r="O1900" s="218">
        <f t="shared" si="889"/>
        <v>10</v>
      </c>
      <c r="P1900" s="218">
        <f t="shared" si="896"/>
        <v>10</v>
      </c>
    </row>
    <row r="1901" spans="1:16" s="3" customFormat="1" ht="6" customHeight="1">
      <c r="A1901" s="36"/>
      <c r="B1901" s="33"/>
      <c r="C1901" s="211" t="s">
        <v>268</v>
      </c>
      <c r="D1901" s="63"/>
      <c r="E1901" s="63"/>
      <c r="F1901" s="63">
        <f t="shared" si="900"/>
        <v>0</v>
      </c>
      <c r="G1901" s="38"/>
      <c r="H1901" s="38"/>
      <c r="I1901" s="38">
        <f t="shared" si="893"/>
        <v>0</v>
      </c>
      <c r="J1901" s="63"/>
      <c r="K1901" s="63"/>
      <c r="L1901" s="63">
        <f t="shared" si="902"/>
        <v>0</v>
      </c>
      <c r="M1901" s="218" t="str">
        <f t="shared" si="887"/>
        <v/>
      </c>
      <c r="N1901" s="218" t="str">
        <f t="shared" si="888"/>
        <v/>
      </c>
      <c r="O1901" s="218" t="str">
        <f t="shared" si="889"/>
        <v/>
      </c>
      <c r="P1901" s="218" t="str">
        <f t="shared" si="896"/>
        <v/>
      </c>
    </row>
    <row r="1902" spans="1:16" s="3" customFormat="1" ht="12.75">
      <c r="A1902" s="58" t="s">
        <v>724</v>
      </c>
      <c r="B1902" s="65" t="s">
        <v>265</v>
      </c>
      <c r="C1902" s="308" t="s">
        <v>940</v>
      </c>
      <c r="D1902" s="90">
        <f>SUM(D1904:D1907)</f>
        <v>27551500</v>
      </c>
      <c r="E1902" s="90">
        <f>SUM(E1904:E1907)</f>
        <v>0</v>
      </c>
      <c r="F1902" s="42">
        <f>SUM(D1902:E1902)</f>
        <v>27551500</v>
      </c>
      <c r="G1902" s="60">
        <f>SUM(G1904:G1907)</f>
        <v>31428185</v>
      </c>
      <c r="H1902" s="60">
        <f>SUM(H1904:H1907)</f>
        <v>0</v>
      </c>
      <c r="I1902" s="55">
        <f t="shared" si="893"/>
        <v>31428185</v>
      </c>
      <c r="J1902" s="42">
        <f>SUM(J1904:J1907)</f>
        <v>28541160</v>
      </c>
      <c r="K1902" s="90">
        <f>SUM(K1904:K1907)</f>
        <v>0</v>
      </c>
      <c r="L1902" s="42">
        <f>SUM(J1902:K1902)</f>
        <v>28541160</v>
      </c>
      <c r="M1902" s="225">
        <f t="shared" si="887"/>
        <v>103.59203673121246</v>
      </c>
      <c r="N1902" s="225">
        <f t="shared" si="888"/>
        <v>103.59203673121246</v>
      </c>
      <c r="O1902" s="225">
        <f t="shared" si="889"/>
        <v>90.813898416341885</v>
      </c>
      <c r="P1902" s="225">
        <f t="shared" si="896"/>
        <v>90.813898416341885</v>
      </c>
    </row>
    <row r="1903" spans="1:16" s="3" customFormat="1" hidden="1">
      <c r="A1903" s="36" t="s">
        <v>267</v>
      </c>
      <c r="B1903" s="92"/>
      <c r="C1903" s="312" t="s">
        <v>268</v>
      </c>
      <c r="D1903" s="38">
        <f>SUM(D1904:D1907)</f>
        <v>27551500</v>
      </c>
      <c r="E1903" s="77"/>
      <c r="F1903" s="63">
        <f t="shared" ref="F1903:F1914" si="903">SUM(D1903:E1903)</f>
        <v>27551500</v>
      </c>
      <c r="G1903" s="38">
        <f>SUM(G1904:G1907)</f>
        <v>31428185</v>
      </c>
      <c r="H1903" s="109"/>
      <c r="I1903" s="38">
        <f t="shared" si="893"/>
        <v>31428185</v>
      </c>
      <c r="J1903" s="63">
        <f>SUM(J1904:J1907)</f>
        <v>28541160</v>
      </c>
      <c r="K1903" s="77"/>
      <c r="L1903" s="63">
        <f t="shared" ref="L1903" si="904">SUM(J1903:K1903)</f>
        <v>28541160</v>
      </c>
      <c r="M1903" s="218">
        <f t="shared" si="887"/>
        <v>103.59203673121246</v>
      </c>
      <c r="N1903" s="218">
        <f t="shared" si="888"/>
        <v>103.59203673121246</v>
      </c>
      <c r="O1903" s="218">
        <f t="shared" si="889"/>
        <v>90.813898416341885</v>
      </c>
      <c r="P1903" s="218">
        <f t="shared" si="896"/>
        <v>90.813898416341885</v>
      </c>
    </row>
    <row r="1904" spans="1:16" s="3" customFormat="1" ht="12.75" customHeight="1">
      <c r="A1904" s="36" t="s">
        <v>178</v>
      </c>
      <c r="B1904" s="47" t="s">
        <v>415</v>
      </c>
      <c r="C1904" s="212" t="s">
        <v>1886</v>
      </c>
      <c r="D1904" s="63">
        <v>26925000</v>
      </c>
      <c r="E1904" s="63"/>
      <c r="F1904" s="63">
        <f t="shared" si="903"/>
        <v>26925000</v>
      </c>
      <c r="G1904" s="38">
        <v>30726310</v>
      </c>
      <c r="H1904" s="38"/>
      <c r="I1904" s="38">
        <f t="shared" si="893"/>
        <v>30726310</v>
      </c>
      <c r="J1904" s="63">
        <v>27355860</v>
      </c>
      <c r="K1904" s="63"/>
      <c r="L1904" s="63">
        <f t="shared" ref="L1904:L1914" si="905">SUM(J1904:K1904)</f>
        <v>27355860</v>
      </c>
      <c r="M1904" s="218">
        <f t="shared" si="887"/>
        <v>101.60022284122563</v>
      </c>
      <c r="N1904" s="218">
        <f t="shared" si="888"/>
        <v>101.60022284122563</v>
      </c>
      <c r="O1904" s="218">
        <f t="shared" si="889"/>
        <v>89.030736199693365</v>
      </c>
      <c r="P1904" s="218">
        <f t="shared" si="896"/>
        <v>89.030736199693365</v>
      </c>
    </row>
    <row r="1905" spans="1:16" s="3" customFormat="1" ht="12.75" customHeight="1">
      <c r="A1905" s="36" t="s">
        <v>641</v>
      </c>
      <c r="B1905" s="33" t="s">
        <v>642</v>
      </c>
      <c r="C1905" s="212" t="s">
        <v>2447</v>
      </c>
      <c r="D1905" s="63"/>
      <c r="E1905" s="63"/>
      <c r="F1905" s="63"/>
      <c r="G1905" s="38"/>
      <c r="H1905" s="38"/>
      <c r="I1905" s="38"/>
      <c r="J1905" s="63">
        <v>200000</v>
      </c>
      <c r="K1905" s="63"/>
      <c r="L1905" s="63">
        <f t="shared" ref="L1905" si="906">SUM(J1905:K1905)</f>
        <v>200000</v>
      </c>
      <c r="M1905" s="218" t="str">
        <f t="shared" si="887"/>
        <v/>
      </c>
      <c r="N1905" s="218" t="str">
        <f t="shared" si="888"/>
        <v/>
      </c>
      <c r="O1905" s="218" t="str">
        <f t="shared" si="889"/>
        <v/>
      </c>
      <c r="P1905" s="218" t="str">
        <f t="shared" ref="P1905" si="907">IF(I1905&gt;0,IF(L1905&gt;=0,L1905/I1905*100,""),"")</f>
        <v/>
      </c>
    </row>
    <row r="1906" spans="1:16" s="3" customFormat="1" ht="12.75" customHeight="1">
      <c r="A1906" s="36" t="s">
        <v>14</v>
      </c>
      <c r="B1906" s="33" t="s">
        <v>9</v>
      </c>
      <c r="C1906" s="211" t="s">
        <v>1888</v>
      </c>
      <c r="D1906" s="63">
        <v>427000</v>
      </c>
      <c r="E1906" s="63"/>
      <c r="F1906" s="63">
        <f>SUM(D1906:E1906)</f>
        <v>427000</v>
      </c>
      <c r="G1906" s="38">
        <v>447000</v>
      </c>
      <c r="H1906" s="38"/>
      <c r="I1906" s="38">
        <f>SUM(G1906:H1906)</f>
        <v>447000</v>
      </c>
      <c r="J1906" s="63">
        <v>716800</v>
      </c>
      <c r="K1906" s="63"/>
      <c r="L1906" s="63">
        <f>SUM(J1906:K1906)</f>
        <v>716800</v>
      </c>
      <c r="M1906" s="218">
        <f t="shared" si="887"/>
        <v>167.86885245901638</v>
      </c>
      <c r="N1906" s="218">
        <f t="shared" si="888"/>
        <v>167.86885245901638</v>
      </c>
      <c r="O1906" s="218">
        <f t="shared" si="889"/>
        <v>160.35794183445191</v>
      </c>
      <c r="P1906" s="218">
        <f>IF(I1906&gt;0,IF(L1906&gt;=0,L1906/I1906*100,""),"")</f>
        <v>160.35794183445191</v>
      </c>
    </row>
    <row r="1907" spans="1:16" s="3" customFormat="1" ht="12.75" customHeight="1">
      <c r="A1907" s="36" t="s">
        <v>651</v>
      </c>
      <c r="B1907" s="33" t="s">
        <v>650</v>
      </c>
      <c r="C1907" s="211" t="s">
        <v>1887</v>
      </c>
      <c r="D1907" s="63">
        <v>199500</v>
      </c>
      <c r="E1907" s="63"/>
      <c r="F1907" s="63">
        <f t="shared" si="903"/>
        <v>199500</v>
      </c>
      <c r="G1907" s="38">
        <v>254875</v>
      </c>
      <c r="H1907" s="38"/>
      <c r="I1907" s="38">
        <f t="shared" si="893"/>
        <v>254875</v>
      </c>
      <c r="J1907" s="63">
        <v>268500</v>
      </c>
      <c r="K1907" s="63"/>
      <c r="L1907" s="63">
        <f t="shared" si="905"/>
        <v>268500</v>
      </c>
      <c r="M1907" s="218">
        <f t="shared" si="887"/>
        <v>134.58646616541355</v>
      </c>
      <c r="N1907" s="218">
        <f t="shared" si="888"/>
        <v>134.58646616541355</v>
      </c>
      <c r="O1907" s="218">
        <f t="shared" si="889"/>
        <v>105.34575772437469</v>
      </c>
      <c r="P1907" s="218">
        <f t="shared" si="896"/>
        <v>105.34575772437469</v>
      </c>
    </row>
    <row r="1908" spans="1:16" s="3" customFormat="1" ht="6" customHeight="1">
      <c r="A1908" s="39"/>
      <c r="B1908" s="40"/>
      <c r="C1908" s="306" t="s">
        <v>268</v>
      </c>
      <c r="D1908" s="63"/>
      <c r="E1908" s="63"/>
      <c r="F1908" s="63">
        <f t="shared" si="903"/>
        <v>0</v>
      </c>
      <c r="G1908" s="38"/>
      <c r="H1908" s="38"/>
      <c r="I1908" s="38">
        <f t="shared" si="893"/>
        <v>0</v>
      </c>
      <c r="J1908" s="63"/>
      <c r="K1908" s="63"/>
      <c r="L1908" s="63">
        <f t="shared" si="905"/>
        <v>0</v>
      </c>
      <c r="M1908" s="218" t="str">
        <f t="shared" si="887"/>
        <v/>
      </c>
      <c r="N1908" s="218" t="str">
        <f t="shared" si="888"/>
        <v/>
      </c>
      <c r="O1908" s="218" t="str">
        <f t="shared" si="889"/>
        <v/>
      </c>
      <c r="P1908" s="218" t="str">
        <f t="shared" si="896"/>
        <v/>
      </c>
    </row>
    <row r="1909" spans="1:16" s="3" customFormat="1" ht="12.75">
      <c r="A1909" s="58" t="s">
        <v>635</v>
      </c>
      <c r="B1909" s="65" t="s">
        <v>265</v>
      </c>
      <c r="C1909" s="308" t="s">
        <v>940</v>
      </c>
      <c r="D1909" s="42">
        <f>SUM(D1911:D1915)</f>
        <v>39351900</v>
      </c>
      <c r="E1909" s="42">
        <f>SUM(E1911:E1914)</f>
        <v>0</v>
      </c>
      <c r="F1909" s="42">
        <f t="shared" si="903"/>
        <v>39351900</v>
      </c>
      <c r="G1909" s="55">
        <f>SUM(G1911:G1915)</f>
        <v>27613400</v>
      </c>
      <c r="H1909" s="55">
        <f>SUM(H1911:H1914)</f>
        <v>0</v>
      </c>
      <c r="I1909" s="55">
        <f t="shared" si="893"/>
        <v>27613400</v>
      </c>
      <c r="J1909" s="42">
        <f>SUM(J1911:J1914)</f>
        <v>23800000</v>
      </c>
      <c r="K1909" s="42">
        <f>SUM(K1911:K1914)</f>
        <v>0</v>
      </c>
      <c r="L1909" s="42">
        <f t="shared" si="905"/>
        <v>23800000</v>
      </c>
      <c r="M1909" s="225">
        <f t="shared" si="887"/>
        <v>60.479926001031714</v>
      </c>
      <c r="N1909" s="225">
        <f t="shared" si="888"/>
        <v>60.479926001031714</v>
      </c>
      <c r="O1909" s="225">
        <f t="shared" si="889"/>
        <v>86.190038169874043</v>
      </c>
      <c r="P1909" s="225">
        <f t="shared" si="896"/>
        <v>86.190038169874043</v>
      </c>
    </row>
    <row r="1910" spans="1:16" s="3" customFormat="1" hidden="1">
      <c r="A1910" s="80" t="s">
        <v>267</v>
      </c>
      <c r="B1910" s="92"/>
      <c r="C1910" s="312" t="s">
        <v>268</v>
      </c>
      <c r="D1910" s="88">
        <f>SUM(D1911:D1915)</f>
        <v>39351900</v>
      </c>
      <c r="E1910" s="189"/>
      <c r="F1910" s="85">
        <f t="shared" si="903"/>
        <v>39351900</v>
      </c>
      <c r="G1910" s="88">
        <f>SUM(G1911:G1915)</f>
        <v>27613400</v>
      </c>
      <c r="H1910" s="267"/>
      <c r="I1910" s="85">
        <f t="shared" si="893"/>
        <v>27613400</v>
      </c>
      <c r="J1910" s="85">
        <f>SUM(J1911:J1914)</f>
        <v>23800000</v>
      </c>
      <c r="K1910" s="189"/>
      <c r="L1910" s="85">
        <f t="shared" si="905"/>
        <v>23800000</v>
      </c>
      <c r="M1910" s="238">
        <f t="shared" si="887"/>
        <v>60.479926001031714</v>
      </c>
      <c r="N1910" s="238">
        <f t="shared" si="888"/>
        <v>60.479926001031714</v>
      </c>
      <c r="O1910" s="238">
        <f t="shared" si="889"/>
        <v>86.190038169874043</v>
      </c>
      <c r="P1910" s="238">
        <f t="shared" si="896"/>
        <v>86.190038169874043</v>
      </c>
    </row>
    <row r="1911" spans="1:16" ht="12.75" customHeight="1">
      <c r="A1911" s="36" t="s">
        <v>178</v>
      </c>
      <c r="B1911" s="47" t="s">
        <v>415</v>
      </c>
      <c r="C1911" s="212" t="s">
        <v>1889</v>
      </c>
      <c r="D1911" s="112">
        <v>39167000</v>
      </c>
      <c r="E1911" s="21"/>
      <c r="F1911" s="85">
        <f t="shared" si="903"/>
        <v>39167000</v>
      </c>
      <c r="G1911" s="112">
        <v>27377000</v>
      </c>
      <c r="H1911" s="21"/>
      <c r="I1911" s="85">
        <f t="shared" si="893"/>
        <v>27377000</v>
      </c>
      <c r="J1911" s="112">
        <f>23700000+100000</f>
        <v>23800000</v>
      </c>
      <c r="K1911" s="21"/>
      <c r="L1911" s="85">
        <f t="shared" si="905"/>
        <v>23800000</v>
      </c>
      <c r="M1911" s="238">
        <f t="shared" si="887"/>
        <v>60.765440294125163</v>
      </c>
      <c r="N1911" s="238">
        <f t="shared" si="888"/>
        <v>60.765440294125163</v>
      </c>
      <c r="O1911" s="238">
        <f t="shared" si="889"/>
        <v>86.934287905906416</v>
      </c>
      <c r="P1911" s="238">
        <f t="shared" si="896"/>
        <v>86.934287905906416</v>
      </c>
    </row>
    <row r="1912" spans="1:16" ht="12.75" customHeight="1">
      <c r="A1912" s="341" t="s">
        <v>2456</v>
      </c>
      <c r="B1912" s="47"/>
      <c r="C1912" s="212"/>
      <c r="D1912" s="84"/>
      <c r="E1912" s="21"/>
      <c r="F1912" s="38"/>
      <c r="G1912" s="84"/>
      <c r="H1912" s="21"/>
      <c r="I1912" s="85"/>
      <c r="J1912" s="84"/>
      <c r="K1912" s="21"/>
      <c r="L1912" s="38"/>
      <c r="M1912" s="228" t="str">
        <f t="shared" si="887"/>
        <v/>
      </c>
      <c r="N1912" s="228" t="str">
        <f t="shared" si="888"/>
        <v/>
      </c>
      <c r="O1912" s="228" t="str">
        <f t="shared" si="889"/>
        <v/>
      </c>
      <c r="P1912" s="228"/>
    </row>
    <row r="1913" spans="1:16" ht="12.75" customHeight="1">
      <c r="A1913" s="36" t="s">
        <v>210</v>
      </c>
      <c r="B1913" s="211" t="s">
        <v>420</v>
      </c>
      <c r="C1913" s="212" t="s">
        <v>2283</v>
      </c>
      <c r="D1913" s="84"/>
      <c r="E1913" s="112"/>
      <c r="F1913" s="38"/>
      <c r="G1913" s="84">
        <v>50000</v>
      </c>
      <c r="H1913" s="21"/>
      <c r="I1913" s="85">
        <f t="shared" si="893"/>
        <v>50000</v>
      </c>
      <c r="J1913" s="84"/>
      <c r="K1913" s="112"/>
      <c r="L1913" s="38"/>
      <c r="M1913" s="228" t="str">
        <f t="shared" si="887"/>
        <v/>
      </c>
      <c r="N1913" s="228" t="str">
        <f t="shared" si="888"/>
        <v/>
      </c>
      <c r="O1913" s="228">
        <f t="shared" si="889"/>
        <v>0</v>
      </c>
      <c r="P1913" s="228"/>
    </row>
    <row r="1914" spans="1:16" s="7" customFormat="1" ht="12.75" customHeight="1">
      <c r="A1914" s="46" t="s">
        <v>14</v>
      </c>
      <c r="B1914" s="211" t="s">
        <v>9</v>
      </c>
      <c r="C1914" s="211" t="s">
        <v>1890</v>
      </c>
      <c r="D1914" s="63">
        <v>184900</v>
      </c>
      <c r="E1914" s="63"/>
      <c r="F1914" s="63">
        <f t="shared" si="903"/>
        <v>184900</v>
      </c>
      <c r="G1914" s="38">
        <v>184900</v>
      </c>
      <c r="H1914" s="38"/>
      <c r="I1914" s="85">
        <f t="shared" si="893"/>
        <v>184900</v>
      </c>
      <c r="J1914" s="63"/>
      <c r="K1914" s="63"/>
      <c r="L1914" s="63">
        <f t="shared" si="905"/>
        <v>0</v>
      </c>
      <c r="M1914" s="218">
        <f t="shared" si="887"/>
        <v>0</v>
      </c>
      <c r="N1914" s="218">
        <f t="shared" si="888"/>
        <v>0</v>
      </c>
      <c r="O1914" s="218">
        <f t="shared" si="889"/>
        <v>0</v>
      </c>
      <c r="P1914" s="218">
        <f>IF(I1914&gt;0,IF(L1914&gt;=0,L1914/I1914*100,""),"")</f>
        <v>0</v>
      </c>
    </row>
    <row r="1915" spans="1:16" s="7" customFormat="1" ht="12.75" customHeight="1">
      <c r="A1915" s="46" t="s">
        <v>651</v>
      </c>
      <c r="B1915" s="211" t="s">
        <v>650</v>
      </c>
      <c r="C1915" s="211" t="s">
        <v>2284</v>
      </c>
      <c r="D1915" s="63"/>
      <c r="E1915" s="63"/>
      <c r="F1915" s="63"/>
      <c r="G1915" s="38">
        <v>1500</v>
      </c>
      <c r="H1915" s="38"/>
      <c r="I1915" s="85">
        <f t="shared" si="893"/>
        <v>1500</v>
      </c>
      <c r="J1915" s="63"/>
      <c r="K1915" s="63"/>
      <c r="L1915" s="63"/>
      <c r="M1915" s="218" t="str">
        <f t="shared" si="887"/>
        <v/>
      </c>
      <c r="N1915" s="218" t="str">
        <f t="shared" si="888"/>
        <v/>
      </c>
      <c r="O1915" s="218">
        <f t="shared" si="889"/>
        <v>0</v>
      </c>
      <c r="P1915" s="218"/>
    </row>
    <row r="1916" spans="1:16" s="7" customFormat="1" ht="6" customHeight="1">
      <c r="A1916" s="46"/>
      <c r="B1916" s="33"/>
      <c r="C1916" s="211" t="s">
        <v>268</v>
      </c>
      <c r="D1916" s="63"/>
      <c r="E1916" s="63"/>
      <c r="F1916" s="63"/>
      <c r="G1916" s="38"/>
      <c r="H1916" s="38"/>
      <c r="I1916" s="38"/>
      <c r="J1916" s="63"/>
      <c r="K1916" s="63"/>
      <c r="L1916" s="63"/>
      <c r="M1916" s="218" t="str">
        <f t="shared" si="887"/>
        <v/>
      </c>
      <c r="N1916" s="218" t="str">
        <f t="shared" si="888"/>
        <v/>
      </c>
      <c r="O1916" s="218" t="str">
        <f t="shared" si="889"/>
        <v/>
      </c>
      <c r="P1916" s="218" t="str">
        <f t="shared" ref="P1916:P1928" si="908">IF(I1916&gt;0,IF(L1916&gt;=0,L1916/I1916*100,""),"")</f>
        <v/>
      </c>
    </row>
    <row r="1917" spans="1:16" s="11" customFormat="1" ht="12.75">
      <c r="A1917" s="58" t="s">
        <v>143</v>
      </c>
      <c r="B1917" s="65" t="s">
        <v>265</v>
      </c>
      <c r="C1917" s="308" t="s">
        <v>940</v>
      </c>
      <c r="D1917" s="95">
        <f>SUM(D1919:D1931)</f>
        <v>27326700</v>
      </c>
      <c r="E1917" s="95">
        <f>SUM(E1919:E1931)</f>
        <v>9398300</v>
      </c>
      <c r="F1917" s="114">
        <f t="shared" ref="F1917:F1925" si="909">SUM(D1917:E1917)</f>
        <v>36725000</v>
      </c>
      <c r="G1917" s="261">
        <f>SUM(G1919:G1931)</f>
        <v>61248341</v>
      </c>
      <c r="H1917" s="261">
        <f>SUM(H1919:H1931)</f>
        <v>11934480</v>
      </c>
      <c r="I1917" s="260">
        <f t="shared" ref="I1917:I1946" si="910">SUM(G1917:H1917)</f>
        <v>73182821</v>
      </c>
      <c r="J1917" s="114">
        <f>SUM(J1919:J1931)</f>
        <v>27699701</v>
      </c>
      <c r="K1917" s="95">
        <f>SUM(K1919:K1931)</f>
        <v>13386732</v>
      </c>
      <c r="L1917" s="114">
        <f t="shared" ref="L1917:L1932" si="911">SUM(J1917:K1917)</f>
        <v>41086433</v>
      </c>
      <c r="M1917" s="244">
        <f t="shared" si="887"/>
        <v>101.36496905956444</v>
      </c>
      <c r="N1917" s="244">
        <f t="shared" si="888"/>
        <v>111.87592375765827</v>
      </c>
      <c r="O1917" s="244">
        <f t="shared" si="889"/>
        <v>45.225226590218995</v>
      </c>
      <c r="P1917" s="244">
        <f t="shared" si="908"/>
        <v>56.142182603209569</v>
      </c>
    </row>
    <row r="1918" spans="1:16" s="11" customFormat="1" ht="12.75" customHeight="1">
      <c r="A1918" s="46" t="s">
        <v>267</v>
      </c>
      <c r="B1918" s="159"/>
      <c r="C1918" s="325" t="s">
        <v>268</v>
      </c>
      <c r="D1918" s="160">
        <f>SUM(D1919:D1930)</f>
        <v>27326700</v>
      </c>
      <c r="E1918" s="160">
        <f>SUM(E1919:E1930)</f>
        <v>9398300</v>
      </c>
      <c r="F1918" s="165">
        <f t="shared" si="909"/>
        <v>36725000</v>
      </c>
      <c r="G1918" s="268">
        <f>SUM(G1919:G1930)</f>
        <v>34823973</v>
      </c>
      <c r="H1918" s="268">
        <f>SUM(H1919:H1930)</f>
        <v>11934480</v>
      </c>
      <c r="I1918" s="104">
        <f t="shared" si="910"/>
        <v>46758453</v>
      </c>
      <c r="J1918" s="165">
        <f>SUM(J1919:J1930)</f>
        <v>27699701</v>
      </c>
      <c r="K1918" s="160">
        <f>SUM(K1919:K1930)</f>
        <v>13386732</v>
      </c>
      <c r="L1918" s="165">
        <f t="shared" si="911"/>
        <v>41086433</v>
      </c>
      <c r="M1918" s="245">
        <f t="shared" si="887"/>
        <v>101.36496905956444</v>
      </c>
      <c r="N1918" s="245">
        <f t="shared" si="888"/>
        <v>111.87592375765827</v>
      </c>
      <c r="O1918" s="245">
        <f t="shared" si="889"/>
        <v>79.542047083484704</v>
      </c>
      <c r="P1918" s="245">
        <f t="shared" si="908"/>
        <v>87.86953024301296</v>
      </c>
    </row>
    <row r="1919" spans="1:16" s="11" customFormat="1" ht="12.75" customHeight="1">
      <c r="A1919" s="46" t="s">
        <v>554</v>
      </c>
      <c r="B1919" s="33">
        <v>0</v>
      </c>
      <c r="C1919" s="211" t="s">
        <v>268</v>
      </c>
      <c r="D1919" s="102"/>
      <c r="E1919" s="102">
        <v>3476084</v>
      </c>
      <c r="F1919" s="165">
        <f t="shared" si="909"/>
        <v>3476084</v>
      </c>
      <c r="G1919" s="87"/>
      <c r="H1919" s="87">
        <v>4001981</v>
      </c>
      <c r="I1919" s="104">
        <f t="shared" si="910"/>
        <v>4001981</v>
      </c>
      <c r="J1919" s="165"/>
      <c r="K1919" s="102">
        <v>4596111</v>
      </c>
      <c r="L1919" s="165">
        <f t="shared" si="911"/>
        <v>4596111</v>
      </c>
      <c r="M1919" s="245" t="str">
        <f t="shared" si="887"/>
        <v/>
      </c>
      <c r="N1919" s="245">
        <f t="shared" si="888"/>
        <v>132.22094172637946</v>
      </c>
      <c r="O1919" s="245" t="str">
        <f t="shared" si="889"/>
        <v/>
      </c>
      <c r="P1919" s="245">
        <f t="shared" si="908"/>
        <v>114.84589756922885</v>
      </c>
    </row>
    <row r="1920" spans="1:16" s="11" customFormat="1" ht="24">
      <c r="A1920" s="46" t="s">
        <v>379</v>
      </c>
      <c r="B1920" s="33" t="s">
        <v>532</v>
      </c>
      <c r="C1920" s="211" t="s">
        <v>1891</v>
      </c>
      <c r="D1920" s="102">
        <v>20256700</v>
      </c>
      <c r="E1920" s="102">
        <v>3604827</v>
      </c>
      <c r="F1920" s="165">
        <f t="shared" si="909"/>
        <v>23861527</v>
      </c>
      <c r="G1920" s="87">
        <v>27091350</v>
      </c>
      <c r="H1920" s="87">
        <v>5066794</v>
      </c>
      <c r="I1920" s="104">
        <f t="shared" si="910"/>
        <v>32158144</v>
      </c>
      <c r="J1920" s="102">
        <v>19846700</v>
      </c>
      <c r="K1920" s="102">
        <v>5570368</v>
      </c>
      <c r="L1920" s="165">
        <f t="shared" si="911"/>
        <v>25417068</v>
      </c>
      <c r="M1920" s="245">
        <f t="shared" si="887"/>
        <v>97.975978318284817</v>
      </c>
      <c r="N1920" s="245">
        <f t="shared" si="888"/>
        <v>106.51903375672478</v>
      </c>
      <c r="O1920" s="245">
        <f t="shared" si="889"/>
        <v>73.258438579103654</v>
      </c>
      <c r="P1920" s="245">
        <f t="shared" si="908"/>
        <v>79.03773302339836</v>
      </c>
    </row>
    <row r="1921" spans="1:16" s="11" customFormat="1" ht="12.75" customHeight="1">
      <c r="A1921" s="46" t="s">
        <v>110</v>
      </c>
      <c r="B1921" s="33" t="s">
        <v>533</v>
      </c>
      <c r="C1921" s="211" t="s">
        <v>1892</v>
      </c>
      <c r="D1921" s="102">
        <v>1760000</v>
      </c>
      <c r="E1921" s="102">
        <v>180241</v>
      </c>
      <c r="F1921" s="165">
        <f t="shared" si="909"/>
        <v>1940241</v>
      </c>
      <c r="G1921" s="87">
        <v>1860000</v>
      </c>
      <c r="H1921" s="87">
        <v>235831</v>
      </c>
      <c r="I1921" s="104">
        <f t="shared" si="910"/>
        <v>2095831</v>
      </c>
      <c r="J1921" s="102">
        <v>1758864</v>
      </c>
      <c r="K1921" s="102">
        <v>245423</v>
      </c>
      <c r="L1921" s="165">
        <f t="shared" si="911"/>
        <v>2004287</v>
      </c>
      <c r="M1921" s="245">
        <f t="shared" si="887"/>
        <v>99.935454545454547</v>
      </c>
      <c r="N1921" s="245">
        <f t="shared" si="888"/>
        <v>103.30093014218338</v>
      </c>
      <c r="O1921" s="245">
        <f t="shared" si="889"/>
        <v>94.56258064516129</v>
      </c>
      <c r="P1921" s="245">
        <f t="shared" si="908"/>
        <v>95.632090564554105</v>
      </c>
    </row>
    <row r="1922" spans="1:16" s="11" customFormat="1" ht="12.75" customHeight="1">
      <c r="A1922" s="46" t="s">
        <v>867</v>
      </c>
      <c r="B1922" s="33" t="s">
        <v>527</v>
      </c>
      <c r="C1922" s="211" t="s">
        <v>1893</v>
      </c>
      <c r="D1922" s="102">
        <v>4850000</v>
      </c>
      <c r="E1922" s="102">
        <v>321860</v>
      </c>
      <c r="F1922" s="165">
        <f t="shared" si="909"/>
        <v>5171860</v>
      </c>
      <c r="G1922" s="87">
        <v>5295000</v>
      </c>
      <c r="H1922" s="87">
        <v>500248</v>
      </c>
      <c r="I1922" s="104">
        <f t="shared" si="910"/>
        <v>5795248</v>
      </c>
      <c r="J1922" s="102">
        <v>5500000</v>
      </c>
      <c r="K1922" s="102">
        <v>669337</v>
      </c>
      <c r="L1922" s="165">
        <f t="shared" si="911"/>
        <v>6169337</v>
      </c>
      <c r="M1922" s="245">
        <f t="shared" si="887"/>
        <v>113.4020618556701</v>
      </c>
      <c r="N1922" s="245">
        <f t="shared" si="888"/>
        <v>119.28662028747878</v>
      </c>
      <c r="O1922" s="245">
        <f t="shared" si="889"/>
        <v>103.87157695939567</v>
      </c>
      <c r="P1922" s="245">
        <f t="shared" si="908"/>
        <v>106.45509907427603</v>
      </c>
    </row>
    <row r="1923" spans="1:16" s="11" customFormat="1" ht="12.75" customHeight="1">
      <c r="A1923" s="46" t="s">
        <v>171</v>
      </c>
      <c r="B1923" s="33" t="s">
        <v>534</v>
      </c>
      <c r="C1923" s="211" t="s">
        <v>1894</v>
      </c>
      <c r="D1923" s="102">
        <v>20000</v>
      </c>
      <c r="E1923" s="102">
        <v>12874</v>
      </c>
      <c r="F1923" s="165">
        <f t="shared" si="909"/>
        <v>32874</v>
      </c>
      <c r="G1923" s="87">
        <v>18000</v>
      </c>
      <c r="H1923" s="87">
        <v>14293</v>
      </c>
      <c r="I1923" s="104">
        <f t="shared" si="910"/>
        <v>32293</v>
      </c>
      <c r="J1923" s="102">
        <v>10000</v>
      </c>
      <c r="K1923" s="102">
        <v>14875</v>
      </c>
      <c r="L1923" s="165">
        <f t="shared" si="911"/>
        <v>24875</v>
      </c>
      <c r="M1923" s="245">
        <f t="shared" si="887"/>
        <v>50</v>
      </c>
      <c r="N1923" s="245">
        <f t="shared" si="888"/>
        <v>75.667700918659122</v>
      </c>
      <c r="O1923" s="245">
        <f t="shared" si="889"/>
        <v>55.555555555555557</v>
      </c>
      <c r="P1923" s="245">
        <f t="shared" si="908"/>
        <v>77.029077509057686</v>
      </c>
    </row>
    <row r="1924" spans="1:16" s="11" customFormat="1" ht="24">
      <c r="A1924" s="46" t="s">
        <v>111</v>
      </c>
      <c r="B1924" s="33" t="s">
        <v>112</v>
      </c>
      <c r="C1924" s="211" t="s">
        <v>1895</v>
      </c>
      <c r="D1924" s="102">
        <v>250000</v>
      </c>
      <c r="E1924" s="102">
        <v>1416182</v>
      </c>
      <c r="F1924" s="165">
        <f t="shared" si="909"/>
        <v>1666182</v>
      </c>
      <c r="G1924" s="87">
        <v>45000</v>
      </c>
      <c r="H1924" s="87">
        <v>1372108</v>
      </c>
      <c r="I1924" s="104">
        <f t="shared" si="910"/>
        <v>1417108</v>
      </c>
      <c r="J1924" s="102">
        <v>60000</v>
      </c>
      <c r="K1924" s="102">
        <v>1517163</v>
      </c>
      <c r="L1924" s="165">
        <f t="shared" si="911"/>
        <v>1577163</v>
      </c>
      <c r="M1924" s="245">
        <f t="shared" si="887"/>
        <v>24</v>
      </c>
      <c r="N1924" s="245">
        <f t="shared" si="888"/>
        <v>94.657306344685026</v>
      </c>
      <c r="O1924" s="245">
        <f t="shared" si="889"/>
        <v>133.33333333333331</v>
      </c>
      <c r="P1924" s="245">
        <f t="shared" si="908"/>
        <v>111.29448143684179</v>
      </c>
    </row>
    <row r="1925" spans="1:16" s="11" customFormat="1" ht="12.75" customHeight="1">
      <c r="A1925" s="46" t="s">
        <v>891</v>
      </c>
      <c r="B1925" s="33" t="s">
        <v>890</v>
      </c>
      <c r="C1925" s="211" t="s">
        <v>1896</v>
      </c>
      <c r="D1925" s="102">
        <v>90000</v>
      </c>
      <c r="E1925" s="102">
        <v>386232</v>
      </c>
      <c r="F1925" s="165">
        <f t="shared" si="909"/>
        <v>476232</v>
      </c>
      <c r="G1925" s="87">
        <v>90000</v>
      </c>
      <c r="H1925" s="87">
        <v>428784</v>
      </c>
      <c r="I1925" s="104">
        <f t="shared" si="910"/>
        <v>518784</v>
      </c>
      <c r="J1925" s="102">
        <v>40000</v>
      </c>
      <c r="K1925" s="102">
        <v>446224</v>
      </c>
      <c r="L1925" s="165">
        <f t="shared" si="911"/>
        <v>486224</v>
      </c>
      <c r="M1925" s="245">
        <f t="shared" si="887"/>
        <v>44.444444444444443</v>
      </c>
      <c r="N1925" s="245">
        <f t="shared" si="888"/>
        <v>102.09813704244991</v>
      </c>
      <c r="O1925" s="245">
        <f t="shared" si="889"/>
        <v>44.444444444444443</v>
      </c>
      <c r="P1925" s="245">
        <f t="shared" si="908"/>
        <v>93.723784850727853</v>
      </c>
    </row>
    <row r="1926" spans="1:16" s="3" customFormat="1" ht="12.75" customHeight="1">
      <c r="A1926" s="36" t="s">
        <v>651</v>
      </c>
      <c r="B1926" s="33" t="s">
        <v>650</v>
      </c>
      <c r="C1926" s="211" t="s">
        <v>1897</v>
      </c>
      <c r="D1926" s="48">
        <v>100000</v>
      </c>
      <c r="E1926" s="48"/>
      <c r="F1926" s="165">
        <f>SUM(D1926:E1926)</f>
        <v>100000</v>
      </c>
      <c r="G1926" s="85">
        <v>100000</v>
      </c>
      <c r="H1926" s="85"/>
      <c r="I1926" s="104">
        <f t="shared" si="910"/>
        <v>100000</v>
      </c>
      <c r="J1926" s="48">
        <v>50000</v>
      </c>
      <c r="K1926" s="48"/>
      <c r="L1926" s="165">
        <f>SUM(J1926:K1926)</f>
        <v>50000</v>
      </c>
      <c r="M1926" s="245">
        <f t="shared" si="887"/>
        <v>50</v>
      </c>
      <c r="N1926" s="245">
        <f t="shared" si="888"/>
        <v>50</v>
      </c>
      <c r="O1926" s="245">
        <f t="shared" si="889"/>
        <v>50</v>
      </c>
      <c r="P1926" s="245">
        <f t="shared" si="908"/>
        <v>50</v>
      </c>
    </row>
    <row r="1927" spans="1:16" s="3" customFormat="1" ht="12.75" customHeight="1">
      <c r="A1927" s="354" t="s">
        <v>13</v>
      </c>
      <c r="B1927" s="66" t="s">
        <v>10</v>
      </c>
      <c r="C1927" s="311" t="s">
        <v>2210</v>
      </c>
      <c r="D1927" s="67"/>
      <c r="E1927" s="67"/>
      <c r="F1927" s="381"/>
      <c r="G1927" s="61">
        <v>25000</v>
      </c>
      <c r="H1927" s="61">
        <v>28585</v>
      </c>
      <c r="I1927" s="382">
        <f t="shared" si="910"/>
        <v>53585</v>
      </c>
      <c r="J1927" s="67">
        <v>161270</v>
      </c>
      <c r="K1927" s="67">
        <v>29748</v>
      </c>
      <c r="L1927" s="381">
        <f>SUM(J1927:K1927)</f>
        <v>191018</v>
      </c>
      <c r="M1927" s="383" t="str">
        <f t="shared" si="887"/>
        <v/>
      </c>
      <c r="N1927" s="383" t="str">
        <f t="shared" si="888"/>
        <v/>
      </c>
      <c r="O1927" s="383">
        <f t="shared" si="889"/>
        <v>645.08000000000004</v>
      </c>
      <c r="P1927" s="383">
        <f t="shared" si="908"/>
        <v>356.47662592143325</v>
      </c>
    </row>
    <row r="1928" spans="1:16" s="3" customFormat="1" ht="12.75" customHeight="1">
      <c r="A1928" s="80" t="s">
        <v>2353</v>
      </c>
      <c r="B1928" s="79" t="s">
        <v>2352</v>
      </c>
      <c r="C1928" s="302" t="s">
        <v>2341</v>
      </c>
      <c r="D1928" s="76"/>
      <c r="E1928" s="76"/>
      <c r="F1928" s="384"/>
      <c r="G1928" s="116">
        <v>87273</v>
      </c>
      <c r="H1928" s="116">
        <v>285856</v>
      </c>
      <c r="I1928" s="385">
        <f t="shared" si="910"/>
        <v>373129</v>
      </c>
      <c r="J1928" s="76">
        <v>272867</v>
      </c>
      <c r="K1928" s="76">
        <v>297483</v>
      </c>
      <c r="L1928" s="384">
        <f t="shared" ref="L1928:L1931" si="912">SUM(J1928:K1928)</f>
        <v>570350</v>
      </c>
      <c r="M1928" s="386" t="str">
        <f t="shared" si="887"/>
        <v/>
      </c>
      <c r="N1928" s="386" t="str">
        <f t="shared" si="888"/>
        <v/>
      </c>
      <c r="O1928" s="386">
        <f t="shared" si="889"/>
        <v>312.65912710689446</v>
      </c>
      <c r="P1928" s="386">
        <f t="shared" si="908"/>
        <v>152.85598278343414</v>
      </c>
    </row>
    <row r="1929" spans="1:16" s="11" customFormat="1" ht="12.75" customHeight="1">
      <c r="A1929" s="46" t="s">
        <v>654</v>
      </c>
      <c r="B1929" s="33" t="s">
        <v>142</v>
      </c>
      <c r="C1929" s="211" t="s">
        <v>1898</v>
      </c>
      <c r="D1929" s="102"/>
      <c r="E1929" s="102"/>
      <c r="F1929" s="165">
        <f t="shared" ref="F1929:F1932" si="913">SUM(D1929:E1929)</f>
        <v>0</v>
      </c>
      <c r="G1929" s="87"/>
      <c r="H1929" s="87"/>
      <c r="I1929" s="104">
        <f t="shared" si="910"/>
        <v>0</v>
      </c>
      <c r="J1929" s="102"/>
      <c r="K1929" s="102"/>
      <c r="L1929" s="165">
        <f t="shared" si="912"/>
        <v>0</v>
      </c>
      <c r="M1929" s="245" t="str">
        <f t="shared" si="887"/>
        <v/>
      </c>
      <c r="N1929" s="245" t="str">
        <f t="shared" si="888"/>
        <v/>
      </c>
      <c r="O1929" s="245" t="str">
        <f t="shared" si="889"/>
        <v/>
      </c>
      <c r="P1929" s="245" t="str">
        <f>IF(I1929&gt;0,IF(L1929&gt;=0,L1929/I1929*100,""),"")</f>
        <v/>
      </c>
    </row>
    <row r="1930" spans="1:16" s="11" customFormat="1" ht="12.75" customHeight="1">
      <c r="A1930" s="46" t="s">
        <v>2069</v>
      </c>
      <c r="B1930" s="211" t="s">
        <v>2070</v>
      </c>
      <c r="C1930" s="211" t="s">
        <v>2211</v>
      </c>
      <c r="D1930" s="102"/>
      <c r="E1930" s="102"/>
      <c r="F1930" s="165"/>
      <c r="G1930" s="87">
        <v>212350</v>
      </c>
      <c r="H1930" s="87"/>
      <c r="I1930" s="104">
        <f t="shared" si="910"/>
        <v>212350</v>
      </c>
      <c r="J1930" s="102"/>
      <c r="K1930" s="102"/>
      <c r="L1930" s="165">
        <f t="shared" si="912"/>
        <v>0</v>
      </c>
      <c r="M1930" s="245" t="str">
        <f t="shared" si="887"/>
        <v/>
      </c>
      <c r="N1930" s="245" t="str">
        <f t="shared" si="888"/>
        <v/>
      </c>
      <c r="O1930" s="245">
        <f t="shared" si="889"/>
        <v>0</v>
      </c>
      <c r="P1930" s="245"/>
    </row>
    <row r="1931" spans="1:16" s="3" customFormat="1" ht="12.75" customHeight="1">
      <c r="A1931" s="46" t="s">
        <v>791</v>
      </c>
      <c r="B1931" s="211" t="s">
        <v>151</v>
      </c>
      <c r="C1931" s="211" t="s">
        <v>1899</v>
      </c>
      <c r="D1931" s="63"/>
      <c r="E1931" s="63"/>
      <c r="F1931" s="165">
        <f t="shared" si="913"/>
        <v>0</v>
      </c>
      <c r="G1931" s="38">
        <v>26424368</v>
      </c>
      <c r="H1931" s="38"/>
      <c r="I1931" s="104">
        <f t="shared" si="910"/>
        <v>26424368</v>
      </c>
      <c r="J1931" s="63"/>
      <c r="K1931" s="63"/>
      <c r="L1931" s="165">
        <f t="shared" si="912"/>
        <v>0</v>
      </c>
      <c r="M1931" s="245" t="str">
        <f t="shared" si="887"/>
        <v/>
      </c>
      <c r="N1931" s="245" t="str">
        <f t="shared" si="888"/>
        <v/>
      </c>
      <c r="O1931" s="245">
        <f t="shared" si="889"/>
        <v>0</v>
      </c>
      <c r="P1931" s="245">
        <f t="shared" ref="P1931:P1960" si="914">IF(I1931&gt;0,IF(L1931&gt;=0,L1931/I1931*100,""),"")</f>
        <v>0</v>
      </c>
    </row>
    <row r="1932" spans="1:16" s="3" customFormat="1" ht="6" customHeight="1">
      <c r="A1932" s="46"/>
      <c r="B1932" s="47"/>
      <c r="C1932" s="212" t="s">
        <v>268</v>
      </c>
      <c r="D1932" s="63"/>
      <c r="E1932" s="63"/>
      <c r="F1932" s="63">
        <f t="shared" si="913"/>
        <v>0</v>
      </c>
      <c r="G1932" s="38"/>
      <c r="H1932" s="38"/>
      <c r="I1932" s="38">
        <f t="shared" si="910"/>
        <v>0</v>
      </c>
      <c r="J1932" s="63"/>
      <c r="K1932" s="63"/>
      <c r="L1932" s="63">
        <f t="shared" si="911"/>
        <v>0</v>
      </c>
      <c r="M1932" s="218" t="str">
        <f t="shared" si="887"/>
        <v/>
      </c>
      <c r="N1932" s="218" t="str">
        <f t="shared" si="888"/>
        <v/>
      </c>
      <c r="O1932" s="218" t="str">
        <f t="shared" si="889"/>
        <v/>
      </c>
      <c r="P1932" s="218" t="str">
        <f t="shared" si="914"/>
        <v/>
      </c>
    </row>
    <row r="1933" spans="1:16" s="25" customFormat="1" ht="12.75">
      <c r="A1933" s="58" t="s">
        <v>179</v>
      </c>
      <c r="B1933" s="65" t="s">
        <v>265</v>
      </c>
      <c r="C1933" s="308" t="s">
        <v>940</v>
      </c>
      <c r="D1933" s="90">
        <f>SUM(D1935:D1946)</f>
        <v>125191434</v>
      </c>
      <c r="E1933" s="90">
        <f>SUM(E1935:E1946)</f>
        <v>32325500</v>
      </c>
      <c r="F1933" s="90">
        <f>SUM(D1933:E1933)</f>
        <v>157516934</v>
      </c>
      <c r="G1933" s="60">
        <f>SUM(G1935:G1946)</f>
        <v>156768019</v>
      </c>
      <c r="H1933" s="60">
        <f>SUM(H1935:H1946)</f>
        <v>34625500</v>
      </c>
      <c r="I1933" s="60">
        <f t="shared" si="910"/>
        <v>191393519</v>
      </c>
      <c r="J1933" s="90">
        <f>SUM(J1935:J1946)</f>
        <v>120088569</v>
      </c>
      <c r="K1933" s="90">
        <f>SUM(K1935:K1946)</f>
        <v>36647990</v>
      </c>
      <c r="L1933" s="90">
        <f>SUM(J1933:K1933)</f>
        <v>156736559</v>
      </c>
      <c r="M1933" s="227">
        <f t="shared" si="887"/>
        <v>95.923950355900544</v>
      </c>
      <c r="N1933" s="227">
        <f t="shared" si="888"/>
        <v>99.504577076138361</v>
      </c>
      <c r="O1933" s="227">
        <f t="shared" si="889"/>
        <v>76.602721502783041</v>
      </c>
      <c r="P1933" s="227">
        <f t="shared" si="914"/>
        <v>81.892302215311688</v>
      </c>
    </row>
    <row r="1934" spans="1:16" s="3" customFormat="1" ht="12.75" customHeight="1">
      <c r="A1934" s="36" t="s">
        <v>267</v>
      </c>
      <c r="B1934" s="47"/>
      <c r="C1934" s="212" t="s">
        <v>268</v>
      </c>
      <c r="D1934" s="63">
        <f>SUM(D1935:D1944)</f>
        <v>125191434</v>
      </c>
      <c r="E1934" s="63">
        <f>SUM(E1935:E1944)</f>
        <v>32325500</v>
      </c>
      <c r="F1934" s="63">
        <f t="shared" ref="F1934:F1943" si="915">SUM(D1934:E1934)</f>
        <v>157516934</v>
      </c>
      <c r="G1934" s="38">
        <f>SUM(G1935:G1944)</f>
        <v>130991171</v>
      </c>
      <c r="H1934" s="38">
        <f>SUM(H1935:H1944)</f>
        <v>34625500</v>
      </c>
      <c r="I1934" s="38">
        <f t="shared" si="910"/>
        <v>165616671</v>
      </c>
      <c r="J1934" s="63">
        <f>SUM(J1935:J1944)</f>
        <v>120088569</v>
      </c>
      <c r="K1934" s="63">
        <f>SUM(K1935:K1944)</f>
        <v>36647990</v>
      </c>
      <c r="L1934" s="63">
        <f>SUM(J1934:K1934)</f>
        <v>156736559</v>
      </c>
      <c r="M1934" s="218">
        <f t="shared" si="887"/>
        <v>95.923950355900544</v>
      </c>
      <c r="N1934" s="218">
        <f t="shared" si="888"/>
        <v>99.504577076138361</v>
      </c>
      <c r="O1934" s="218">
        <f t="shared" si="889"/>
        <v>91.676842098006745</v>
      </c>
      <c r="P1934" s="218">
        <f t="shared" si="914"/>
        <v>94.638153305230972</v>
      </c>
    </row>
    <row r="1935" spans="1:16" s="3" customFormat="1" ht="12.75" customHeight="1">
      <c r="A1935" s="36" t="s">
        <v>554</v>
      </c>
      <c r="B1935" s="47">
        <v>0</v>
      </c>
      <c r="C1935" s="212" t="s">
        <v>268</v>
      </c>
      <c r="D1935" s="63"/>
      <c r="E1935" s="63">
        <v>3921845</v>
      </c>
      <c r="F1935" s="63">
        <f t="shared" si="915"/>
        <v>3921845</v>
      </c>
      <c r="G1935" s="38"/>
      <c r="H1935" s="38">
        <v>4200888</v>
      </c>
      <c r="I1935" s="38">
        <f t="shared" si="910"/>
        <v>4200888</v>
      </c>
      <c r="J1935" s="63"/>
      <c r="K1935" s="63">
        <v>4429977</v>
      </c>
      <c r="L1935" s="63">
        <f t="shared" ref="L1935:L1937" si="916">SUM(J1935:K1935)</f>
        <v>4429977</v>
      </c>
      <c r="M1935" s="218" t="str">
        <f t="shared" ref="M1935:M1998" si="917">IF(D1935&gt;0,IF(J1935&gt;=0,J1935/D1935*100,""),"")</f>
        <v/>
      </c>
      <c r="N1935" s="218">
        <f t="shared" ref="N1935:N1998" si="918">IF(F1935&gt;0,IF(L1935&gt;=0,L1935/F1935*100,""),"")</f>
        <v>112.9564528939823</v>
      </c>
      <c r="O1935" s="218" t="str">
        <f t="shared" ref="O1935:O1998" si="919">IF(G1935&gt;0,IF(J1935&gt;=0,J1935/G1935*100,""),"")</f>
        <v/>
      </c>
      <c r="P1935" s="218">
        <f t="shared" si="914"/>
        <v>105.4533470066329</v>
      </c>
    </row>
    <row r="1936" spans="1:16" s="3" customFormat="1" ht="24">
      <c r="A1936" s="46" t="s">
        <v>107</v>
      </c>
      <c r="B1936" s="47" t="s">
        <v>31</v>
      </c>
      <c r="C1936" s="212" t="s">
        <v>1900</v>
      </c>
      <c r="D1936" s="63">
        <v>124709050</v>
      </c>
      <c r="E1936" s="63">
        <v>27690593</v>
      </c>
      <c r="F1936" s="63">
        <f t="shared" si="915"/>
        <v>152399643</v>
      </c>
      <c r="G1936" s="38">
        <v>129801675</v>
      </c>
      <c r="H1936" s="38">
        <v>29660813</v>
      </c>
      <c r="I1936" s="38">
        <f t="shared" si="910"/>
        <v>159462488</v>
      </c>
      <c r="J1936" s="63">
        <v>118788063</v>
      </c>
      <c r="K1936" s="63">
        <v>31412563</v>
      </c>
      <c r="L1936" s="63">
        <f t="shared" si="916"/>
        <v>150200626</v>
      </c>
      <c r="M1936" s="218">
        <f t="shared" si="917"/>
        <v>95.252159326047305</v>
      </c>
      <c r="N1936" s="218">
        <f t="shared" si="918"/>
        <v>98.557072079230522</v>
      </c>
      <c r="O1936" s="218">
        <f t="shared" si="919"/>
        <v>91.515046319702734</v>
      </c>
      <c r="P1936" s="218">
        <f t="shared" ref="P1936:P1946" si="920">IF(I1936&gt;0,IF(L1936&gt;=0,L1936/I1936*100,""),"")</f>
        <v>94.191823973046255</v>
      </c>
    </row>
    <row r="1937" spans="1:16" s="3" customFormat="1" ht="12.75" customHeight="1">
      <c r="A1937" s="46" t="s">
        <v>207</v>
      </c>
      <c r="B1937" s="47" t="s">
        <v>32</v>
      </c>
      <c r="C1937" s="212" t="s">
        <v>1901</v>
      </c>
      <c r="D1937" s="63">
        <v>361049</v>
      </c>
      <c r="E1937" s="63">
        <v>713062</v>
      </c>
      <c r="F1937" s="63">
        <f t="shared" si="915"/>
        <v>1074111</v>
      </c>
      <c r="G1937" s="38">
        <v>858206</v>
      </c>
      <c r="H1937" s="38">
        <v>763799</v>
      </c>
      <c r="I1937" s="38">
        <f t="shared" si="910"/>
        <v>1622005</v>
      </c>
      <c r="J1937" s="63">
        <v>611200</v>
      </c>
      <c r="K1937" s="63">
        <v>805450</v>
      </c>
      <c r="L1937" s="63">
        <f t="shared" si="916"/>
        <v>1416650</v>
      </c>
      <c r="M1937" s="218">
        <f t="shared" si="917"/>
        <v>169.28450154965117</v>
      </c>
      <c r="N1937" s="218">
        <f t="shared" si="918"/>
        <v>131.89046569674829</v>
      </c>
      <c r="O1937" s="218">
        <f t="shared" si="919"/>
        <v>71.218332195300434</v>
      </c>
      <c r="P1937" s="218">
        <f t="shared" si="920"/>
        <v>87.339434835281025</v>
      </c>
    </row>
    <row r="1938" spans="1:16" s="7" customFormat="1" ht="12.75" customHeight="1">
      <c r="A1938" s="46" t="s">
        <v>13</v>
      </c>
      <c r="B1938" s="33" t="s">
        <v>10</v>
      </c>
      <c r="C1938" s="211" t="s">
        <v>1902</v>
      </c>
      <c r="D1938" s="63">
        <v>59077</v>
      </c>
      <c r="E1938" s="63"/>
      <c r="F1938" s="63">
        <f t="shared" si="915"/>
        <v>59077</v>
      </c>
      <c r="G1938" s="38">
        <v>59077</v>
      </c>
      <c r="H1938" s="38"/>
      <c r="I1938" s="38">
        <f t="shared" si="910"/>
        <v>59077</v>
      </c>
      <c r="J1938" s="63">
        <v>186270</v>
      </c>
      <c r="K1938" s="63"/>
      <c r="L1938" s="63">
        <f t="shared" ref="L1938:L1946" si="921">SUM(J1938:K1938)</f>
        <v>186270</v>
      </c>
      <c r="M1938" s="218">
        <f t="shared" si="917"/>
        <v>315.30037070264234</v>
      </c>
      <c r="N1938" s="218">
        <f t="shared" si="918"/>
        <v>315.30037070264234</v>
      </c>
      <c r="O1938" s="218">
        <f t="shared" si="919"/>
        <v>315.30037070264234</v>
      </c>
      <c r="P1938" s="218">
        <f t="shared" si="920"/>
        <v>315.30037070264234</v>
      </c>
    </row>
    <row r="1939" spans="1:16" s="3" customFormat="1" ht="24">
      <c r="A1939" s="46" t="s">
        <v>96</v>
      </c>
      <c r="B1939" s="47" t="s">
        <v>93</v>
      </c>
      <c r="C1939" s="212" t="s">
        <v>1903</v>
      </c>
      <c r="D1939" s="63">
        <v>19337</v>
      </c>
      <c r="E1939" s="63"/>
      <c r="F1939" s="63">
        <f t="shared" si="915"/>
        <v>19337</v>
      </c>
      <c r="G1939" s="38">
        <v>33978</v>
      </c>
      <c r="H1939" s="38"/>
      <c r="I1939" s="38">
        <f t="shared" si="910"/>
        <v>33978</v>
      </c>
      <c r="J1939" s="63">
        <v>30250</v>
      </c>
      <c r="K1939" s="63"/>
      <c r="L1939" s="63">
        <f t="shared" si="921"/>
        <v>30250</v>
      </c>
      <c r="M1939" s="218">
        <f t="shared" si="917"/>
        <v>156.43584837358432</v>
      </c>
      <c r="N1939" s="218">
        <f t="shared" si="918"/>
        <v>156.43584837358432</v>
      </c>
      <c r="O1939" s="218">
        <f t="shared" si="919"/>
        <v>89.028194714226856</v>
      </c>
      <c r="P1939" s="218">
        <f t="shared" si="920"/>
        <v>89.028194714226856</v>
      </c>
    </row>
    <row r="1940" spans="1:16" s="3" customFormat="1" ht="25.5" customHeight="1">
      <c r="A1940" s="46" t="s">
        <v>95</v>
      </c>
      <c r="B1940" s="47" t="s">
        <v>94</v>
      </c>
      <c r="C1940" s="212" t="s">
        <v>1904</v>
      </c>
      <c r="D1940" s="63">
        <v>21865</v>
      </c>
      <c r="E1940" s="63"/>
      <c r="F1940" s="63">
        <f t="shared" si="915"/>
        <v>21865</v>
      </c>
      <c r="G1940" s="38">
        <v>35859</v>
      </c>
      <c r="H1940" s="38"/>
      <c r="I1940" s="38">
        <f t="shared" si="910"/>
        <v>35859</v>
      </c>
      <c r="J1940" s="63">
        <v>32130</v>
      </c>
      <c r="K1940" s="63"/>
      <c r="L1940" s="63">
        <f t="shared" si="921"/>
        <v>32130</v>
      </c>
      <c r="M1940" s="218">
        <f t="shared" si="917"/>
        <v>146.94717585181797</v>
      </c>
      <c r="N1940" s="218">
        <f t="shared" si="918"/>
        <v>146.94717585181797</v>
      </c>
      <c r="O1940" s="218">
        <f t="shared" si="919"/>
        <v>89.600937003262786</v>
      </c>
      <c r="P1940" s="218">
        <f t="shared" si="920"/>
        <v>89.600937003262786</v>
      </c>
    </row>
    <row r="1941" spans="1:16" s="7" customFormat="1" ht="24">
      <c r="A1941" s="46" t="s">
        <v>893</v>
      </c>
      <c r="B1941" s="33" t="s">
        <v>892</v>
      </c>
      <c r="C1941" s="211" t="s">
        <v>1905</v>
      </c>
      <c r="D1941" s="63">
        <v>21056</v>
      </c>
      <c r="E1941" s="63"/>
      <c r="F1941" s="63">
        <f t="shared" si="915"/>
        <v>21056</v>
      </c>
      <c r="G1941" s="38">
        <v>21056</v>
      </c>
      <c r="H1941" s="38"/>
      <c r="I1941" s="38">
        <f t="shared" si="910"/>
        <v>21056</v>
      </c>
      <c r="J1941" s="63">
        <v>25656</v>
      </c>
      <c r="K1941" s="63"/>
      <c r="L1941" s="63">
        <f>SUM(J1941:K1941)</f>
        <v>25656</v>
      </c>
      <c r="M1941" s="218">
        <f t="shared" si="917"/>
        <v>121.84650455927051</v>
      </c>
      <c r="N1941" s="218">
        <f t="shared" si="918"/>
        <v>121.84650455927051</v>
      </c>
      <c r="O1941" s="218">
        <f t="shared" si="919"/>
        <v>121.84650455927051</v>
      </c>
      <c r="P1941" s="218">
        <f t="shared" si="920"/>
        <v>121.84650455927051</v>
      </c>
    </row>
    <row r="1942" spans="1:16" s="7" customFormat="1" ht="12.75" customHeight="1">
      <c r="A1942" s="46" t="s">
        <v>14</v>
      </c>
      <c r="B1942" s="33" t="s">
        <v>9</v>
      </c>
      <c r="C1942" s="211" t="s">
        <v>2448</v>
      </c>
      <c r="D1942" s="63"/>
      <c r="E1942" s="63"/>
      <c r="F1942" s="63"/>
      <c r="G1942" s="38"/>
      <c r="H1942" s="38"/>
      <c r="I1942" s="38"/>
      <c r="J1942" s="63">
        <v>275000</v>
      </c>
      <c r="K1942" s="63"/>
      <c r="L1942" s="63">
        <f>SUM(J1942:K1942)</f>
        <v>275000</v>
      </c>
      <c r="M1942" s="218" t="str">
        <f t="shared" si="917"/>
        <v/>
      </c>
      <c r="N1942" s="218" t="str">
        <f t="shared" si="918"/>
        <v/>
      </c>
      <c r="O1942" s="218" t="str">
        <f t="shared" si="919"/>
        <v/>
      </c>
      <c r="P1942" s="218"/>
    </row>
    <row r="1943" spans="1:16" s="3" customFormat="1" ht="12.75" customHeight="1">
      <c r="A1943" s="46" t="s">
        <v>314</v>
      </c>
      <c r="B1943" s="47" t="s">
        <v>667</v>
      </c>
      <c r="C1943" s="212" t="s">
        <v>1906</v>
      </c>
      <c r="D1943" s="63"/>
      <c r="E1943" s="63"/>
      <c r="F1943" s="63">
        <f t="shared" si="915"/>
        <v>0</v>
      </c>
      <c r="G1943" s="38"/>
      <c r="H1943" s="38"/>
      <c r="I1943" s="38">
        <f t="shared" si="910"/>
        <v>0</v>
      </c>
      <c r="J1943" s="63"/>
      <c r="K1943" s="63"/>
      <c r="L1943" s="63">
        <f>SUM(J1943:K1943)</f>
        <v>0</v>
      </c>
      <c r="M1943" s="218" t="str">
        <f t="shared" si="917"/>
        <v/>
      </c>
      <c r="N1943" s="218" t="str">
        <f t="shared" si="918"/>
        <v/>
      </c>
      <c r="O1943" s="218" t="str">
        <f t="shared" si="919"/>
        <v/>
      </c>
      <c r="P1943" s="218" t="str">
        <f t="shared" si="920"/>
        <v/>
      </c>
    </row>
    <row r="1944" spans="1:16" s="10" customFormat="1" ht="12.75" customHeight="1">
      <c r="A1944" s="36" t="s">
        <v>651</v>
      </c>
      <c r="B1944" s="33" t="s">
        <v>650</v>
      </c>
      <c r="C1944" s="211" t="s">
        <v>1907</v>
      </c>
      <c r="D1944" s="63"/>
      <c r="E1944" s="63"/>
      <c r="F1944" s="63">
        <f>SUM(D1944:E1944)</f>
        <v>0</v>
      </c>
      <c r="G1944" s="38">
        <v>181320</v>
      </c>
      <c r="H1944" s="38"/>
      <c r="I1944" s="38">
        <f>SUM(G1944:H1944)</f>
        <v>181320</v>
      </c>
      <c r="J1944" s="63">
        <v>140000</v>
      </c>
      <c r="K1944" s="63"/>
      <c r="L1944" s="63">
        <f>SUM(J1944:K1944)</f>
        <v>140000</v>
      </c>
      <c r="M1944" s="218" t="str">
        <f t="shared" si="917"/>
        <v/>
      </c>
      <c r="N1944" s="218" t="str">
        <f t="shared" si="918"/>
        <v/>
      </c>
      <c r="O1944" s="218">
        <f t="shared" si="919"/>
        <v>77.211559673505405</v>
      </c>
      <c r="P1944" s="218">
        <f t="shared" si="920"/>
        <v>77.211559673505405</v>
      </c>
    </row>
    <row r="1945" spans="1:16" s="10" customFormat="1" ht="12.75" customHeight="1">
      <c r="A1945" s="36" t="s">
        <v>792</v>
      </c>
      <c r="B1945" s="211" t="s">
        <v>152</v>
      </c>
      <c r="C1945" s="211" t="s">
        <v>1908</v>
      </c>
      <c r="D1945" s="63"/>
      <c r="E1945" s="63"/>
      <c r="F1945" s="63">
        <f t="shared" ref="F1945:F1946" si="922">SUM(D1945:E1945)</f>
        <v>0</v>
      </c>
      <c r="G1945" s="38">
        <v>39696</v>
      </c>
      <c r="H1945" s="38"/>
      <c r="I1945" s="38">
        <f t="shared" si="910"/>
        <v>39696</v>
      </c>
      <c r="J1945" s="63"/>
      <c r="K1945" s="63"/>
      <c r="L1945" s="63">
        <f t="shared" si="921"/>
        <v>0</v>
      </c>
      <c r="M1945" s="218" t="str">
        <f t="shared" si="917"/>
        <v/>
      </c>
      <c r="N1945" s="218" t="str">
        <f t="shared" si="918"/>
        <v/>
      </c>
      <c r="O1945" s="218">
        <f t="shared" si="919"/>
        <v>0</v>
      </c>
      <c r="P1945" s="218">
        <f t="shared" si="920"/>
        <v>0</v>
      </c>
    </row>
    <row r="1946" spans="1:16" s="10" customFormat="1" ht="12.75" customHeight="1">
      <c r="A1946" s="36" t="s">
        <v>791</v>
      </c>
      <c r="B1946" s="211" t="s">
        <v>151</v>
      </c>
      <c r="C1946" s="211" t="s">
        <v>1909</v>
      </c>
      <c r="D1946" s="63"/>
      <c r="E1946" s="63"/>
      <c r="F1946" s="63">
        <f t="shared" si="922"/>
        <v>0</v>
      </c>
      <c r="G1946" s="38">
        <v>25737152</v>
      </c>
      <c r="H1946" s="38"/>
      <c r="I1946" s="38">
        <f t="shared" si="910"/>
        <v>25737152</v>
      </c>
      <c r="J1946" s="63"/>
      <c r="K1946" s="63"/>
      <c r="L1946" s="63">
        <f t="shared" si="921"/>
        <v>0</v>
      </c>
      <c r="M1946" s="218" t="str">
        <f t="shared" si="917"/>
        <v/>
      </c>
      <c r="N1946" s="218" t="str">
        <f t="shared" si="918"/>
        <v/>
      </c>
      <c r="O1946" s="218">
        <f t="shared" si="919"/>
        <v>0</v>
      </c>
      <c r="P1946" s="218">
        <f t="shared" si="920"/>
        <v>0</v>
      </c>
    </row>
    <row r="1947" spans="1:16" s="10" customFormat="1" ht="6" customHeight="1">
      <c r="A1947" s="36"/>
      <c r="B1947" s="33"/>
      <c r="C1947" s="211" t="s">
        <v>268</v>
      </c>
      <c r="D1947" s="63"/>
      <c r="E1947" s="63"/>
      <c r="F1947" s="63"/>
      <c r="G1947" s="38"/>
      <c r="H1947" s="38"/>
      <c r="I1947" s="38"/>
      <c r="J1947" s="63"/>
      <c r="K1947" s="63"/>
      <c r="L1947" s="63"/>
      <c r="M1947" s="218" t="str">
        <f t="shared" si="917"/>
        <v/>
      </c>
      <c r="N1947" s="218" t="str">
        <f t="shared" si="918"/>
        <v/>
      </c>
      <c r="O1947" s="218" t="str">
        <f t="shared" si="919"/>
        <v/>
      </c>
      <c r="P1947" s="218" t="str">
        <f t="shared" si="914"/>
        <v/>
      </c>
    </row>
    <row r="1948" spans="1:16" s="3" customFormat="1" ht="12.75">
      <c r="A1948" s="58" t="s">
        <v>162</v>
      </c>
      <c r="B1948" s="65" t="s">
        <v>265</v>
      </c>
      <c r="C1948" s="308" t="s">
        <v>940</v>
      </c>
      <c r="D1948" s="42">
        <f>SUM(D1951:D1956)</f>
        <v>7665000</v>
      </c>
      <c r="E1948" s="42">
        <f>SUM(E1950:E1956)</f>
        <v>21050000</v>
      </c>
      <c r="F1948" s="60">
        <f t="shared" ref="F1948:F1983" si="923">SUM(D1948:E1948)</f>
        <v>28715000</v>
      </c>
      <c r="G1948" s="55">
        <f>SUM(G1951:G1956)</f>
        <v>11466812</v>
      </c>
      <c r="H1948" s="55">
        <f>SUM(H1950:H1956)</f>
        <v>21531177</v>
      </c>
      <c r="I1948" s="60">
        <f t="shared" ref="I1948:I1983" si="924">SUM(G1948:H1948)</f>
        <v>32997989</v>
      </c>
      <c r="J1948" s="60">
        <f>SUM(J1951:J1956)</f>
        <v>6610780</v>
      </c>
      <c r="K1948" s="42">
        <f>SUM(K1950:K1956)</f>
        <v>24073720</v>
      </c>
      <c r="L1948" s="60">
        <f t="shared" ref="L1948:L1956" si="925">SUM(J1948:K1948)</f>
        <v>30684500</v>
      </c>
      <c r="M1948" s="231">
        <f t="shared" si="917"/>
        <v>86.246314416177427</v>
      </c>
      <c r="N1948" s="231">
        <f t="shared" si="918"/>
        <v>106.85878460734808</v>
      </c>
      <c r="O1948" s="231">
        <f t="shared" si="919"/>
        <v>57.651420464554583</v>
      </c>
      <c r="P1948" s="231">
        <f t="shared" si="914"/>
        <v>92.989000026637996</v>
      </c>
    </row>
    <row r="1949" spans="1:16" s="3" customFormat="1" ht="12.75" customHeight="1">
      <c r="A1949" s="43" t="s">
        <v>267</v>
      </c>
      <c r="B1949" s="44"/>
      <c r="C1949" s="304" t="s">
        <v>268</v>
      </c>
      <c r="D1949" s="116">
        <f>SUM(D1951:D1955)</f>
        <v>7665000</v>
      </c>
      <c r="E1949" s="116">
        <f>SUM(E1950:E1955)</f>
        <v>21050000</v>
      </c>
      <c r="F1949" s="45">
        <f t="shared" si="923"/>
        <v>28715000</v>
      </c>
      <c r="G1949" s="116">
        <f>SUM(G1951:G1955)</f>
        <v>8840300</v>
      </c>
      <c r="H1949" s="116">
        <f>SUM(H1950:H1955)</f>
        <v>21531177</v>
      </c>
      <c r="I1949" s="88">
        <f t="shared" si="924"/>
        <v>30371477</v>
      </c>
      <c r="J1949" s="45">
        <f>SUM(J1951:J1955)</f>
        <v>6610780</v>
      </c>
      <c r="K1949" s="116">
        <f>SUM(K1950:K1955)</f>
        <v>24073720</v>
      </c>
      <c r="L1949" s="45">
        <f t="shared" si="925"/>
        <v>30684500</v>
      </c>
      <c r="M1949" s="229">
        <f t="shared" si="917"/>
        <v>86.246314416177427</v>
      </c>
      <c r="N1949" s="229">
        <f t="shared" si="918"/>
        <v>106.85878460734808</v>
      </c>
      <c r="O1949" s="229">
        <f t="shared" si="919"/>
        <v>74.780041401309916</v>
      </c>
      <c r="P1949" s="229">
        <f t="shared" si="914"/>
        <v>101.03064793325657</v>
      </c>
    </row>
    <row r="1950" spans="1:16" s="3" customFormat="1" ht="12.75" customHeight="1">
      <c r="A1950" s="46" t="s">
        <v>554</v>
      </c>
      <c r="B1950" s="47">
        <v>0</v>
      </c>
      <c r="C1950" s="212" t="s">
        <v>268</v>
      </c>
      <c r="D1950" s="38"/>
      <c r="E1950" s="38">
        <v>6670775</v>
      </c>
      <c r="F1950" s="48">
        <f t="shared" si="923"/>
        <v>6670775</v>
      </c>
      <c r="G1950" s="38"/>
      <c r="H1950" s="38">
        <v>6823260</v>
      </c>
      <c r="I1950" s="85">
        <f t="shared" si="924"/>
        <v>6823260</v>
      </c>
      <c r="J1950" s="48"/>
      <c r="K1950" s="38">
        <f>7103618+472028</f>
        <v>7575646</v>
      </c>
      <c r="L1950" s="48">
        <f t="shared" si="925"/>
        <v>7575646</v>
      </c>
      <c r="M1950" s="219" t="str">
        <f t="shared" si="917"/>
        <v/>
      </c>
      <c r="N1950" s="219">
        <f t="shared" si="918"/>
        <v>113.5647057500815</v>
      </c>
      <c r="O1950" s="219" t="str">
        <f t="shared" si="919"/>
        <v/>
      </c>
      <c r="P1950" s="219">
        <f t="shared" si="914"/>
        <v>111.02678191949302</v>
      </c>
    </row>
    <row r="1951" spans="1:16" s="7" customFormat="1" ht="12.75" customHeight="1">
      <c r="A1951" s="46" t="s">
        <v>831</v>
      </c>
      <c r="B1951" s="33" t="s">
        <v>87</v>
      </c>
      <c r="C1951" s="211" t="s">
        <v>1910</v>
      </c>
      <c r="D1951" s="63">
        <v>7570000</v>
      </c>
      <c r="E1951" s="63">
        <v>14379225</v>
      </c>
      <c r="F1951" s="63">
        <f t="shared" si="923"/>
        <v>21949225</v>
      </c>
      <c r="G1951" s="38">
        <v>8762300</v>
      </c>
      <c r="H1951" s="38">
        <v>14707917</v>
      </c>
      <c r="I1951" s="38">
        <f t="shared" si="924"/>
        <v>23470217</v>
      </c>
      <c r="J1951" s="63">
        <f>5084780+1500000</f>
        <v>6584780</v>
      </c>
      <c r="K1951" s="63">
        <f>15470102+1027972</f>
        <v>16498074</v>
      </c>
      <c r="L1951" s="63">
        <f t="shared" si="925"/>
        <v>23082854</v>
      </c>
      <c r="M1951" s="218">
        <f t="shared" si="917"/>
        <v>86.985204755614262</v>
      </c>
      <c r="N1951" s="218">
        <f t="shared" si="918"/>
        <v>105.16477916646261</v>
      </c>
      <c r="O1951" s="218">
        <f t="shared" si="919"/>
        <v>75.148990561838787</v>
      </c>
      <c r="P1951" s="218">
        <f t="shared" si="914"/>
        <v>98.349555097850185</v>
      </c>
    </row>
    <row r="1952" spans="1:16" s="7" customFormat="1" ht="12.75" customHeight="1">
      <c r="A1952" s="46" t="s">
        <v>651</v>
      </c>
      <c r="B1952" s="47" t="s">
        <v>650</v>
      </c>
      <c r="C1952" s="212" t="s">
        <v>1911</v>
      </c>
      <c r="D1952" s="63">
        <v>18000</v>
      </c>
      <c r="E1952" s="63"/>
      <c r="F1952" s="63">
        <f t="shared" si="923"/>
        <v>18000</v>
      </c>
      <c r="G1952" s="38">
        <v>18000</v>
      </c>
      <c r="H1952" s="38"/>
      <c r="I1952" s="38">
        <f t="shared" si="924"/>
        <v>18000</v>
      </c>
      <c r="J1952" s="63">
        <v>18000</v>
      </c>
      <c r="K1952" s="63"/>
      <c r="L1952" s="63">
        <f t="shared" si="925"/>
        <v>18000</v>
      </c>
      <c r="M1952" s="218">
        <f t="shared" si="917"/>
        <v>100</v>
      </c>
      <c r="N1952" s="218">
        <f t="shared" si="918"/>
        <v>100</v>
      </c>
      <c r="O1952" s="218">
        <f t="shared" si="919"/>
        <v>100</v>
      </c>
      <c r="P1952" s="218">
        <f t="shared" si="914"/>
        <v>100</v>
      </c>
    </row>
    <row r="1953" spans="1:17" s="7" customFormat="1" ht="12.75" customHeight="1">
      <c r="A1953" s="36" t="s">
        <v>13</v>
      </c>
      <c r="B1953" s="47" t="s">
        <v>10</v>
      </c>
      <c r="C1953" s="212" t="s">
        <v>1912</v>
      </c>
      <c r="D1953" s="63">
        <v>25000</v>
      </c>
      <c r="E1953" s="63"/>
      <c r="F1953" s="63">
        <f t="shared" si="923"/>
        <v>25000</v>
      </c>
      <c r="G1953" s="38">
        <v>8000</v>
      </c>
      <c r="H1953" s="38"/>
      <c r="I1953" s="38">
        <f t="shared" si="924"/>
        <v>8000</v>
      </c>
      <c r="J1953" s="63">
        <v>8000</v>
      </c>
      <c r="K1953" s="63"/>
      <c r="L1953" s="63">
        <f t="shared" si="925"/>
        <v>8000</v>
      </c>
      <c r="M1953" s="218">
        <f t="shared" si="917"/>
        <v>32</v>
      </c>
      <c r="N1953" s="218">
        <f t="shared" si="918"/>
        <v>32</v>
      </c>
      <c r="O1953" s="218">
        <f t="shared" si="919"/>
        <v>100</v>
      </c>
      <c r="P1953" s="218">
        <f t="shared" si="914"/>
        <v>100</v>
      </c>
    </row>
    <row r="1954" spans="1:17" s="7" customFormat="1" ht="12.75" customHeight="1">
      <c r="A1954" s="46" t="s">
        <v>654</v>
      </c>
      <c r="B1954" s="47" t="s">
        <v>832</v>
      </c>
      <c r="C1954" s="212" t="s">
        <v>1914</v>
      </c>
      <c r="D1954" s="63"/>
      <c r="E1954" s="63"/>
      <c r="F1954" s="63">
        <f>SUM(D1954:E1954)</f>
        <v>0</v>
      </c>
      <c r="G1954" s="38"/>
      <c r="H1954" s="38"/>
      <c r="I1954" s="38">
        <f>SUM(G1954:H1954)</f>
        <v>0</v>
      </c>
      <c r="J1954" s="63"/>
      <c r="K1954" s="63"/>
      <c r="L1954" s="63">
        <f t="shared" si="925"/>
        <v>0</v>
      </c>
      <c r="M1954" s="218" t="str">
        <f t="shared" si="917"/>
        <v/>
      </c>
      <c r="N1954" s="218" t="str">
        <f t="shared" si="918"/>
        <v/>
      </c>
      <c r="O1954" s="218" t="str">
        <f t="shared" si="919"/>
        <v/>
      </c>
      <c r="P1954" s="218" t="str">
        <f>IF(I1954&gt;0,IF(L1954&gt;=0,L1954/I1954*100,""),"")</f>
        <v/>
      </c>
    </row>
    <row r="1955" spans="1:17" s="7" customFormat="1" ht="12.75" customHeight="1">
      <c r="A1955" s="36" t="s">
        <v>14</v>
      </c>
      <c r="B1955" s="211" t="s">
        <v>9</v>
      </c>
      <c r="C1955" s="212" t="s">
        <v>1913</v>
      </c>
      <c r="D1955" s="63">
        <v>52000</v>
      </c>
      <c r="E1955" s="63"/>
      <c r="F1955" s="63">
        <f t="shared" si="923"/>
        <v>52000</v>
      </c>
      <c r="G1955" s="38">
        <v>52000</v>
      </c>
      <c r="H1955" s="38"/>
      <c r="I1955" s="38">
        <f t="shared" si="924"/>
        <v>52000</v>
      </c>
      <c r="J1955" s="63"/>
      <c r="K1955" s="63"/>
      <c r="L1955" s="63">
        <f t="shared" si="925"/>
        <v>0</v>
      </c>
      <c r="M1955" s="218">
        <f t="shared" si="917"/>
        <v>0</v>
      </c>
      <c r="N1955" s="218">
        <f t="shared" si="918"/>
        <v>0</v>
      </c>
      <c r="O1955" s="218">
        <f t="shared" si="919"/>
        <v>0</v>
      </c>
      <c r="P1955" s="218">
        <f t="shared" si="914"/>
        <v>0</v>
      </c>
    </row>
    <row r="1956" spans="1:17" s="7" customFormat="1" ht="12.75" customHeight="1">
      <c r="A1956" s="46" t="s">
        <v>791</v>
      </c>
      <c r="B1956" s="211" t="s">
        <v>151</v>
      </c>
      <c r="C1956" s="211" t="s">
        <v>1915</v>
      </c>
      <c r="D1956" s="63"/>
      <c r="E1956" s="63"/>
      <c r="F1956" s="63">
        <f t="shared" si="923"/>
        <v>0</v>
      </c>
      <c r="G1956" s="38">
        <v>2626512</v>
      </c>
      <c r="H1956" s="38"/>
      <c r="I1956" s="38">
        <f t="shared" si="924"/>
        <v>2626512</v>
      </c>
      <c r="J1956" s="63"/>
      <c r="K1956" s="63"/>
      <c r="L1956" s="63">
        <f t="shared" si="925"/>
        <v>0</v>
      </c>
      <c r="M1956" s="218" t="str">
        <f t="shared" si="917"/>
        <v/>
      </c>
      <c r="N1956" s="218" t="str">
        <f t="shared" si="918"/>
        <v/>
      </c>
      <c r="O1956" s="218">
        <f t="shared" si="919"/>
        <v>0</v>
      </c>
      <c r="P1956" s="218">
        <f t="shared" si="914"/>
        <v>0</v>
      </c>
    </row>
    <row r="1957" spans="1:17" s="7" customFormat="1" ht="6" customHeight="1">
      <c r="A1957" s="46"/>
      <c r="B1957" s="47"/>
      <c r="C1957" s="212" t="s">
        <v>268</v>
      </c>
      <c r="D1957" s="63"/>
      <c r="E1957" s="63"/>
      <c r="F1957" s="63">
        <f t="shared" si="923"/>
        <v>0</v>
      </c>
      <c r="G1957" s="38"/>
      <c r="H1957" s="38"/>
      <c r="I1957" s="38">
        <f t="shared" si="924"/>
        <v>0</v>
      </c>
      <c r="J1957" s="63"/>
      <c r="K1957" s="63"/>
      <c r="L1957" s="63">
        <f t="shared" ref="L1957" si="926">SUM(J1957:K1957)</f>
        <v>0</v>
      </c>
      <c r="M1957" s="218" t="str">
        <f t="shared" si="917"/>
        <v/>
      </c>
      <c r="N1957" s="218" t="str">
        <f t="shared" si="918"/>
        <v/>
      </c>
      <c r="O1957" s="218" t="str">
        <f t="shared" si="919"/>
        <v/>
      </c>
      <c r="P1957" s="218" t="str">
        <f t="shared" si="914"/>
        <v/>
      </c>
    </row>
    <row r="1958" spans="1:17" s="23" customFormat="1" ht="12.75">
      <c r="A1958" s="72" t="s">
        <v>15</v>
      </c>
      <c r="B1958" s="65" t="s">
        <v>265</v>
      </c>
      <c r="C1958" s="308" t="s">
        <v>940</v>
      </c>
      <c r="D1958" s="55">
        <f>SUM(D1960:D1983)</f>
        <v>141206797</v>
      </c>
      <c r="E1958" s="55">
        <f>SUM(E1960:E1983)</f>
        <v>77679250</v>
      </c>
      <c r="F1958" s="60">
        <f t="shared" si="923"/>
        <v>218886047</v>
      </c>
      <c r="G1958" s="55">
        <f>SUM(G1960:G1983)</f>
        <v>550460630</v>
      </c>
      <c r="H1958" s="55">
        <f>SUM(H1960:H1983)</f>
        <v>85712391</v>
      </c>
      <c r="I1958" s="60">
        <f t="shared" si="924"/>
        <v>636173021</v>
      </c>
      <c r="J1958" s="60">
        <f>SUM(J1960:J1983)</f>
        <v>131449588</v>
      </c>
      <c r="K1958" s="55">
        <f>SUM(K1960:K1983)</f>
        <v>84880017</v>
      </c>
      <c r="L1958" s="60">
        <f t="shared" ref="L1958:L1967" si="927">SUM(J1958:K1958)</f>
        <v>216329605</v>
      </c>
      <c r="M1958" s="231">
        <f t="shared" si="917"/>
        <v>93.090127949010835</v>
      </c>
      <c r="N1958" s="231">
        <f t="shared" si="918"/>
        <v>98.832067171462967</v>
      </c>
      <c r="O1958" s="231">
        <f t="shared" si="919"/>
        <v>23.879925436265985</v>
      </c>
      <c r="P1958" s="231">
        <f t="shared" si="914"/>
        <v>34.004837970015075</v>
      </c>
      <c r="Q1958" s="27"/>
    </row>
    <row r="1959" spans="1:17" s="7" customFormat="1" ht="12.75" customHeight="1">
      <c r="A1959" s="46" t="s">
        <v>267</v>
      </c>
      <c r="B1959" s="40"/>
      <c r="C1959" s="306"/>
      <c r="D1959" s="63">
        <f>SUM(D1960:D1981)</f>
        <v>141206797</v>
      </c>
      <c r="E1959" s="63">
        <f>SUM(E1960:E1981)</f>
        <v>77679250</v>
      </c>
      <c r="F1959" s="63">
        <f t="shared" si="923"/>
        <v>218886047</v>
      </c>
      <c r="G1959" s="38">
        <f>SUM(G1960:G1981)</f>
        <v>186437243</v>
      </c>
      <c r="H1959" s="38">
        <f>SUM(H1960:H1981)</f>
        <v>85712391</v>
      </c>
      <c r="I1959" s="38">
        <f t="shared" si="924"/>
        <v>272149634</v>
      </c>
      <c r="J1959" s="63">
        <f>SUM(J1960:J1981)</f>
        <v>131449588</v>
      </c>
      <c r="K1959" s="63">
        <f>SUM(K1960:K1981)</f>
        <v>84880017</v>
      </c>
      <c r="L1959" s="63">
        <f t="shared" si="927"/>
        <v>216329605</v>
      </c>
      <c r="M1959" s="218">
        <f t="shared" si="917"/>
        <v>93.090127949010835</v>
      </c>
      <c r="N1959" s="218">
        <f t="shared" si="918"/>
        <v>98.832067171462967</v>
      </c>
      <c r="O1959" s="218">
        <f t="shared" si="919"/>
        <v>70.506078015753531</v>
      </c>
      <c r="P1959" s="218">
        <f t="shared" si="914"/>
        <v>79.489214010848158</v>
      </c>
    </row>
    <row r="1960" spans="1:17" s="7" customFormat="1" ht="12.75" customHeight="1">
      <c r="A1960" s="36" t="s">
        <v>554</v>
      </c>
      <c r="B1960" s="33">
        <v>0</v>
      </c>
      <c r="C1960" s="211" t="s">
        <v>268</v>
      </c>
      <c r="D1960" s="63"/>
      <c r="E1960" s="63">
        <v>21026969</v>
      </c>
      <c r="F1960" s="63">
        <f t="shared" si="923"/>
        <v>21026969</v>
      </c>
      <c r="G1960" s="38"/>
      <c r="H1960" s="38">
        <v>23201457</v>
      </c>
      <c r="I1960" s="38">
        <f t="shared" si="924"/>
        <v>23201457</v>
      </c>
      <c r="J1960" s="63"/>
      <c r="K1960" s="63">
        <v>22493205</v>
      </c>
      <c r="L1960" s="63">
        <f t="shared" si="927"/>
        <v>22493205</v>
      </c>
      <c r="M1960" s="218" t="str">
        <f t="shared" si="917"/>
        <v/>
      </c>
      <c r="N1960" s="218">
        <f t="shared" si="918"/>
        <v>106.97312104279032</v>
      </c>
      <c r="O1960" s="218" t="str">
        <f t="shared" si="919"/>
        <v/>
      </c>
      <c r="P1960" s="218">
        <f t="shared" si="914"/>
        <v>96.947381364885828</v>
      </c>
    </row>
    <row r="1961" spans="1:17" s="7" customFormat="1" ht="12.75" customHeight="1">
      <c r="A1961" s="46" t="s">
        <v>186</v>
      </c>
      <c r="B1961" s="47" t="s">
        <v>525</v>
      </c>
      <c r="C1961" s="212" t="s">
        <v>1916</v>
      </c>
      <c r="D1961" s="63">
        <v>2570000</v>
      </c>
      <c r="E1961" s="63">
        <v>133930</v>
      </c>
      <c r="F1961" s="63">
        <f t="shared" si="923"/>
        <v>2703930</v>
      </c>
      <c r="G1961" s="38">
        <v>2570000</v>
      </c>
      <c r="H1961" s="38">
        <v>147780</v>
      </c>
      <c r="I1961" s="38">
        <f t="shared" si="924"/>
        <v>2717780</v>
      </c>
      <c r="J1961" s="63">
        <v>1100000</v>
      </c>
      <c r="K1961" s="63">
        <v>141467</v>
      </c>
      <c r="L1961" s="63">
        <f t="shared" si="927"/>
        <v>1241467</v>
      </c>
      <c r="M1961" s="218">
        <f t="shared" si="917"/>
        <v>42.80155642023346</v>
      </c>
      <c r="N1961" s="218">
        <f t="shared" si="918"/>
        <v>45.913429711567979</v>
      </c>
      <c r="O1961" s="218">
        <f t="shared" si="919"/>
        <v>42.80155642023346</v>
      </c>
      <c r="P1961" s="218">
        <f t="shared" ref="P1961:P1983" si="928">IF(I1961&gt;0,IF(L1961&gt;=0,L1961/I1961*100,""),"")</f>
        <v>45.679451611241525</v>
      </c>
    </row>
    <row r="1962" spans="1:17" s="7" customFormat="1" ht="12.75" customHeight="1">
      <c r="A1962" s="46" t="s">
        <v>172</v>
      </c>
      <c r="B1962" s="47" t="s">
        <v>526</v>
      </c>
      <c r="C1962" s="212" t="s">
        <v>1917</v>
      </c>
      <c r="D1962" s="63">
        <v>51000</v>
      </c>
      <c r="E1962" s="63">
        <v>133930</v>
      </c>
      <c r="F1962" s="63">
        <f t="shared" si="923"/>
        <v>184930</v>
      </c>
      <c r="G1962" s="38">
        <v>51000</v>
      </c>
      <c r="H1962" s="38">
        <v>147780</v>
      </c>
      <c r="I1962" s="38">
        <f t="shared" si="924"/>
        <v>198780</v>
      </c>
      <c r="J1962" s="63">
        <v>25000</v>
      </c>
      <c r="K1962" s="63">
        <v>141467</v>
      </c>
      <c r="L1962" s="63">
        <f t="shared" si="927"/>
        <v>166467</v>
      </c>
      <c r="M1962" s="218">
        <f t="shared" si="917"/>
        <v>49.019607843137251</v>
      </c>
      <c r="N1962" s="218">
        <f t="shared" si="918"/>
        <v>90.016222354404377</v>
      </c>
      <c r="O1962" s="218">
        <f t="shared" si="919"/>
        <v>49.019607843137251</v>
      </c>
      <c r="P1962" s="218">
        <f t="shared" si="928"/>
        <v>83.744340476909144</v>
      </c>
    </row>
    <row r="1963" spans="1:17" ht="12.75" customHeight="1">
      <c r="A1963" s="36" t="s">
        <v>363</v>
      </c>
      <c r="B1963" s="33" t="s">
        <v>529</v>
      </c>
      <c r="C1963" s="211" t="s">
        <v>1918</v>
      </c>
      <c r="D1963" s="112">
        <v>9651900</v>
      </c>
      <c r="E1963" s="112">
        <v>669649</v>
      </c>
      <c r="F1963" s="63">
        <f t="shared" si="923"/>
        <v>10321549</v>
      </c>
      <c r="G1963" s="112">
        <v>9651900</v>
      </c>
      <c r="H1963" s="112">
        <v>738900</v>
      </c>
      <c r="I1963" s="85">
        <f t="shared" si="924"/>
        <v>10390800</v>
      </c>
      <c r="J1963" s="112">
        <v>7595000</v>
      </c>
      <c r="K1963" s="112">
        <v>707333</v>
      </c>
      <c r="L1963" s="48">
        <f t="shared" si="927"/>
        <v>8302333</v>
      </c>
      <c r="M1963" s="218">
        <f t="shared" si="917"/>
        <v>78.689170007977708</v>
      </c>
      <c r="N1963" s="218">
        <f t="shared" si="918"/>
        <v>80.436889850544731</v>
      </c>
      <c r="O1963" s="218">
        <f t="shared" si="919"/>
        <v>78.689170007977708</v>
      </c>
      <c r="P1963" s="218">
        <f t="shared" si="928"/>
        <v>79.900806482657742</v>
      </c>
    </row>
    <row r="1964" spans="1:17" ht="12.75" customHeight="1">
      <c r="A1964" s="36" t="s">
        <v>328</v>
      </c>
      <c r="B1964" s="33" t="s">
        <v>530</v>
      </c>
      <c r="C1964" s="211" t="s">
        <v>1919</v>
      </c>
      <c r="D1964" s="48">
        <f>26053235+1550000</f>
        <v>27603235</v>
      </c>
      <c r="E1964" s="48">
        <v>4017892</v>
      </c>
      <c r="F1964" s="63">
        <f t="shared" si="923"/>
        <v>31621127</v>
      </c>
      <c r="G1964" s="85">
        <v>41891633</v>
      </c>
      <c r="H1964" s="85">
        <v>4433400</v>
      </c>
      <c r="I1964" s="85">
        <f t="shared" si="924"/>
        <v>46325033</v>
      </c>
      <c r="J1964" s="85">
        <v>22906000</v>
      </c>
      <c r="K1964" s="48">
        <v>4668401</v>
      </c>
      <c r="L1964" s="48">
        <f t="shared" si="927"/>
        <v>27574401</v>
      </c>
      <c r="M1964" s="218">
        <f t="shared" si="917"/>
        <v>82.983027170547217</v>
      </c>
      <c r="N1964" s="218">
        <f t="shared" si="918"/>
        <v>87.202461189950625</v>
      </c>
      <c r="O1964" s="218">
        <f t="shared" si="919"/>
        <v>54.679176626988976</v>
      </c>
      <c r="P1964" s="218">
        <f t="shared" si="928"/>
        <v>59.523759000884034</v>
      </c>
    </row>
    <row r="1965" spans="1:17" s="7" customFormat="1" ht="12.75" customHeight="1">
      <c r="A1965" s="46" t="s">
        <v>329</v>
      </c>
      <c r="B1965" s="47" t="s">
        <v>539</v>
      </c>
      <c r="C1965" s="212" t="s">
        <v>1921</v>
      </c>
      <c r="D1965" s="63">
        <v>22328169</v>
      </c>
      <c r="E1965" s="63">
        <v>803578</v>
      </c>
      <c r="F1965" s="63">
        <f t="shared" si="923"/>
        <v>23131747</v>
      </c>
      <c r="G1965" s="38">
        <v>28984740</v>
      </c>
      <c r="H1965" s="38">
        <v>886680</v>
      </c>
      <c r="I1965" s="38">
        <f t="shared" si="924"/>
        <v>29871420</v>
      </c>
      <c r="J1965" s="38">
        <v>26518985</v>
      </c>
      <c r="K1965" s="63">
        <v>848800</v>
      </c>
      <c r="L1965" s="63">
        <f t="shared" si="927"/>
        <v>27367785</v>
      </c>
      <c r="M1965" s="218">
        <f t="shared" si="917"/>
        <v>118.76918792579903</v>
      </c>
      <c r="N1965" s="218">
        <f t="shared" si="918"/>
        <v>118.31265922111287</v>
      </c>
      <c r="O1965" s="218">
        <f t="shared" si="919"/>
        <v>91.492920067594184</v>
      </c>
      <c r="P1965" s="218">
        <f t="shared" si="928"/>
        <v>91.618627437195826</v>
      </c>
    </row>
    <row r="1966" spans="1:17" s="7" customFormat="1" ht="12.75" customHeight="1">
      <c r="A1966" s="46" t="s">
        <v>229</v>
      </c>
      <c r="B1966" s="47" t="s">
        <v>541</v>
      </c>
      <c r="C1966" s="212" t="s">
        <v>1922</v>
      </c>
      <c r="D1966" s="63">
        <v>18742581</v>
      </c>
      <c r="E1966" s="63">
        <v>4553611</v>
      </c>
      <c r="F1966" s="63">
        <f t="shared" si="923"/>
        <v>23296192</v>
      </c>
      <c r="G1966" s="38">
        <v>19942581</v>
      </c>
      <c r="H1966" s="38">
        <v>5024519</v>
      </c>
      <c r="I1966" s="38">
        <f t="shared" si="924"/>
        <v>24967100</v>
      </c>
      <c r="J1966" s="38">
        <v>16536000</v>
      </c>
      <c r="K1966" s="63">
        <v>4951334</v>
      </c>
      <c r="L1966" s="63">
        <f t="shared" si="927"/>
        <v>21487334</v>
      </c>
      <c r="M1966" s="218">
        <f t="shared" si="917"/>
        <v>88.226909623599866</v>
      </c>
      <c r="N1966" s="218">
        <f t="shared" si="918"/>
        <v>92.235391947319116</v>
      </c>
      <c r="O1966" s="218">
        <f t="shared" si="919"/>
        <v>82.918053585942559</v>
      </c>
      <c r="P1966" s="218">
        <f t="shared" si="928"/>
        <v>86.062594374196451</v>
      </c>
    </row>
    <row r="1967" spans="1:17" s="7" customFormat="1" ht="12.75" customHeight="1">
      <c r="A1967" s="46" t="s">
        <v>227</v>
      </c>
      <c r="B1967" s="47" t="s">
        <v>540</v>
      </c>
      <c r="C1967" s="212" t="s">
        <v>1923</v>
      </c>
      <c r="D1967" s="63">
        <v>36068060</v>
      </c>
      <c r="E1967" s="63">
        <v>3080384</v>
      </c>
      <c r="F1967" s="63">
        <f t="shared" si="923"/>
        <v>39148444</v>
      </c>
      <c r="G1967" s="38">
        <v>53119370</v>
      </c>
      <c r="H1967" s="38">
        <v>3398940</v>
      </c>
      <c r="I1967" s="38">
        <f t="shared" si="924"/>
        <v>56518310</v>
      </c>
      <c r="J1967" s="38">
        <v>30800000</v>
      </c>
      <c r="K1967" s="63">
        <v>3253734</v>
      </c>
      <c r="L1967" s="63">
        <f t="shared" si="927"/>
        <v>34053734</v>
      </c>
      <c r="M1967" s="218">
        <f t="shared" si="917"/>
        <v>85.394113240357257</v>
      </c>
      <c r="N1967" s="218">
        <f t="shared" si="918"/>
        <v>86.986174980543282</v>
      </c>
      <c r="O1967" s="218">
        <f t="shared" si="919"/>
        <v>57.98261538116887</v>
      </c>
      <c r="P1967" s="218">
        <f t="shared" si="928"/>
        <v>60.252569477042037</v>
      </c>
    </row>
    <row r="1968" spans="1:17" s="7" customFormat="1" ht="12.75" customHeight="1">
      <c r="A1968" s="46" t="s">
        <v>640</v>
      </c>
      <c r="B1968" s="47" t="s">
        <v>535</v>
      </c>
      <c r="C1968" s="212" t="s">
        <v>1924</v>
      </c>
      <c r="D1968" s="63">
        <v>3108960</v>
      </c>
      <c r="E1968" s="63">
        <v>803578</v>
      </c>
      <c r="F1968" s="63">
        <f t="shared" si="923"/>
        <v>3912538</v>
      </c>
      <c r="G1968" s="38">
        <v>3123960</v>
      </c>
      <c r="H1968" s="38">
        <v>886680</v>
      </c>
      <c r="I1968" s="38">
        <f t="shared" si="924"/>
        <v>4010640</v>
      </c>
      <c r="J1968" s="63">
        <v>2575124</v>
      </c>
      <c r="K1968" s="63">
        <v>1131734</v>
      </c>
      <c r="L1968" s="63">
        <f t="shared" ref="L1968:L1974" si="929">SUM(J1968:K1968)</f>
        <v>3706858</v>
      </c>
      <c r="M1968" s="218">
        <f t="shared" si="917"/>
        <v>82.829113272605625</v>
      </c>
      <c r="N1968" s="218">
        <f t="shared" si="918"/>
        <v>94.743054252763798</v>
      </c>
      <c r="O1968" s="218">
        <f t="shared" si="919"/>
        <v>82.431401170309485</v>
      </c>
      <c r="P1968" s="218">
        <f t="shared" si="928"/>
        <v>92.425597909560565</v>
      </c>
    </row>
    <row r="1969" spans="1:16" s="7" customFormat="1" ht="12.75" customHeight="1">
      <c r="A1969" s="46" t="s">
        <v>114</v>
      </c>
      <c r="B1969" s="47" t="s">
        <v>536</v>
      </c>
      <c r="C1969" s="212" t="s">
        <v>1925</v>
      </c>
      <c r="D1969" s="48"/>
      <c r="E1969" s="48">
        <v>9107222</v>
      </c>
      <c r="F1969" s="63">
        <f t="shared" si="923"/>
        <v>9107222</v>
      </c>
      <c r="G1969" s="85"/>
      <c r="H1969" s="85">
        <v>10049039</v>
      </c>
      <c r="I1969" s="38">
        <f t="shared" si="924"/>
        <v>10049039</v>
      </c>
      <c r="K1969" s="48">
        <v>9902669</v>
      </c>
      <c r="L1969" s="48">
        <f>SUM(K1969:K1969)</f>
        <v>9902669</v>
      </c>
      <c r="M1969" s="218" t="str">
        <f t="shared" si="917"/>
        <v/>
      </c>
      <c r="N1969" s="218">
        <f t="shared" si="918"/>
        <v>108.7342440977062</v>
      </c>
      <c r="O1969" s="218" t="str">
        <f t="shared" si="919"/>
        <v/>
      </c>
      <c r="P1969" s="218">
        <f t="shared" si="928"/>
        <v>98.543442810800116</v>
      </c>
    </row>
    <row r="1970" spans="1:16" s="7" customFormat="1" ht="12.75" customHeight="1">
      <c r="A1970" s="46" t="s">
        <v>348</v>
      </c>
      <c r="B1970" s="47" t="s">
        <v>537</v>
      </c>
      <c r="C1970" s="212" t="s">
        <v>1926</v>
      </c>
      <c r="D1970" s="97"/>
      <c r="E1970" s="48">
        <v>7633995</v>
      </c>
      <c r="F1970" s="63">
        <f t="shared" si="923"/>
        <v>7633995</v>
      </c>
      <c r="G1970" s="85"/>
      <c r="H1970" s="85">
        <v>8423459</v>
      </c>
      <c r="I1970" s="38">
        <f t="shared" si="924"/>
        <v>8423459</v>
      </c>
      <c r="J1970" s="97"/>
      <c r="K1970" s="48">
        <v>8205068</v>
      </c>
      <c r="L1970" s="48">
        <f t="shared" si="929"/>
        <v>8205068</v>
      </c>
      <c r="M1970" s="218" t="str">
        <f t="shared" si="917"/>
        <v/>
      </c>
      <c r="N1970" s="218">
        <f t="shared" si="918"/>
        <v>107.48065724433931</v>
      </c>
      <c r="O1970" s="218" t="str">
        <f t="shared" si="919"/>
        <v/>
      </c>
      <c r="P1970" s="218">
        <f t="shared" si="928"/>
        <v>97.407347741586918</v>
      </c>
    </row>
    <row r="1971" spans="1:16" s="7" customFormat="1" ht="12.75" customHeight="1">
      <c r="A1971" s="46" t="s">
        <v>195</v>
      </c>
      <c r="B1971" s="47" t="s">
        <v>538</v>
      </c>
      <c r="C1971" s="212" t="s">
        <v>1927</v>
      </c>
      <c r="D1971" s="48"/>
      <c r="E1971" s="48">
        <v>7901855</v>
      </c>
      <c r="F1971" s="63">
        <f t="shared" si="923"/>
        <v>7901855</v>
      </c>
      <c r="G1971" s="85"/>
      <c r="H1971" s="85">
        <v>8719019</v>
      </c>
      <c r="I1971" s="38">
        <f t="shared" si="924"/>
        <v>8719019</v>
      </c>
      <c r="J1971" s="48"/>
      <c r="K1971" s="48">
        <v>8912402</v>
      </c>
      <c r="L1971" s="48">
        <f t="shared" si="929"/>
        <v>8912402</v>
      </c>
      <c r="M1971" s="218" t="str">
        <f t="shared" si="917"/>
        <v/>
      </c>
      <c r="N1971" s="218">
        <f t="shared" si="918"/>
        <v>112.78873125361071</v>
      </c>
      <c r="O1971" s="218" t="str">
        <f t="shared" si="919"/>
        <v/>
      </c>
      <c r="P1971" s="218">
        <f t="shared" si="928"/>
        <v>102.21794447288164</v>
      </c>
    </row>
    <row r="1972" spans="1:16" s="7" customFormat="1" ht="12.75" customHeight="1">
      <c r="A1972" s="46" t="s">
        <v>13</v>
      </c>
      <c r="B1972" s="33" t="s">
        <v>10</v>
      </c>
      <c r="C1972" s="211" t="s">
        <v>1928</v>
      </c>
      <c r="D1972" s="63">
        <v>280000</v>
      </c>
      <c r="E1972" s="63">
        <v>133930</v>
      </c>
      <c r="F1972" s="63">
        <f t="shared" si="923"/>
        <v>413930</v>
      </c>
      <c r="G1972" s="38">
        <v>280000</v>
      </c>
      <c r="H1972" s="38">
        <v>147780</v>
      </c>
      <c r="I1972" s="38">
        <f t="shared" si="924"/>
        <v>427780</v>
      </c>
      <c r="J1972" s="63">
        <v>483174</v>
      </c>
      <c r="K1972" s="63">
        <v>141467</v>
      </c>
      <c r="L1972" s="63">
        <f t="shared" si="929"/>
        <v>624641</v>
      </c>
      <c r="M1972" s="218">
        <f t="shared" si="917"/>
        <v>172.56214285714287</v>
      </c>
      <c r="N1972" s="218">
        <f t="shared" si="918"/>
        <v>150.90498393448169</v>
      </c>
      <c r="O1972" s="218">
        <f t="shared" si="919"/>
        <v>172.56214285714287</v>
      </c>
      <c r="P1972" s="218">
        <f t="shared" si="928"/>
        <v>146.01921548459489</v>
      </c>
    </row>
    <row r="1973" spans="1:16" s="7" customFormat="1" ht="12.75" customHeight="1">
      <c r="A1973" s="46" t="s">
        <v>2093</v>
      </c>
      <c r="B1973" s="33" t="s">
        <v>2094</v>
      </c>
      <c r="C1973" s="211" t="s">
        <v>2212</v>
      </c>
      <c r="D1973" s="63"/>
      <c r="E1973" s="63"/>
      <c r="F1973" s="63"/>
      <c r="G1973" s="38">
        <v>684345</v>
      </c>
      <c r="H1973" s="38"/>
      <c r="I1973" s="38">
        <f t="shared" si="924"/>
        <v>684345</v>
      </c>
      <c r="J1973" s="63">
        <v>132040</v>
      </c>
      <c r="K1973" s="63">
        <v>282933</v>
      </c>
      <c r="L1973" s="63">
        <f t="shared" si="929"/>
        <v>414973</v>
      </c>
      <c r="M1973" s="218" t="str">
        <f t="shared" si="917"/>
        <v/>
      </c>
      <c r="N1973" s="218" t="str">
        <f t="shared" si="918"/>
        <v/>
      </c>
      <c r="O1973" s="218">
        <f t="shared" si="919"/>
        <v>19.294361761976781</v>
      </c>
      <c r="P1973" s="218">
        <f t="shared" si="928"/>
        <v>60.637982304247132</v>
      </c>
    </row>
    <row r="1974" spans="1:16" s="7" customFormat="1" ht="12.75" customHeight="1">
      <c r="A1974" s="46" t="s">
        <v>14</v>
      </c>
      <c r="B1974" s="33" t="s">
        <v>9</v>
      </c>
      <c r="C1974" s="211" t="s">
        <v>1929</v>
      </c>
      <c r="D1974" s="63">
        <v>2385200</v>
      </c>
      <c r="E1974" s="63"/>
      <c r="F1974" s="63">
        <f t="shared" si="923"/>
        <v>2385200</v>
      </c>
      <c r="G1974" s="38">
        <v>2385200</v>
      </c>
      <c r="H1974" s="38"/>
      <c r="I1974" s="38">
        <f t="shared" si="924"/>
        <v>2385200</v>
      </c>
      <c r="J1974" s="63">
        <v>1934050</v>
      </c>
      <c r="K1974" s="63"/>
      <c r="L1974" s="63">
        <f t="shared" si="929"/>
        <v>1934050</v>
      </c>
      <c r="M1974" s="218">
        <f t="shared" si="917"/>
        <v>81.085443568673483</v>
      </c>
      <c r="N1974" s="218">
        <f t="shared" si="918"/>
        <v>81.085443568673483</v>
      </c>
      <c r="O1974" s="218">
        <f t="shared" si="919"/>
        <v>81.085443568673483</v>
      </c>
      <c r="P1974" s="218">
        <f t="shared" si="928"/>
        <v>81.085443568673483</v>
      </c>
    </row>
    <row r="1975" spans="1:16" s="7" customFormat="1" ht="12.75" customHeight="1">
      <c r="A1975" s="46" t="s">
        <v>863</v>
      </c>
      <c r="B1975" s="47" t="s">
        <v>864</v>
      </c>
      <c r="C1975" s="212" t="s">
        <v>1931</v>
      </c>
      <c r="D1975" s="63">
        <v>6119000</v>
      </c>
      <c r="E1975" s="63">
        <v>12991185</v>
      </c>
      <c r="F1975" s="63">
        <f t="shared" si="923"/>
        <v>19110185</v>
      </c>
      <c r="G1975" s="38">
        <v>6119000</v>
      </c>
      <c r="H1975" s="38">
        <v>14334658</v>
      </c>
      <c r="I1975" s="38">
        <f t="shared" si="924"/>
        <v>20453658</v>
      </c>
      <c r="J1975" s="63">
        <v>5700000</v>
      </c>
      <c r="K1975" s="63">
        <v>14288136</v>
      </c>
      <c r="L1975" s="63">
        <f>SUM(J1975:K1975)</f>
        <v>19988136</v>
      </c>
      <c r="M1975" s="218">
        <f t="shared" si="917"/>
        <v>93.152475894754048</v>
      </c>
      <c r="N1975" s="218">
        <f t="shared" si="918"/>
        <v>104.59415228057709</v>
      </c>
      <c r="O1975" s="218">
        <f t="shared" si="919"/>
        <v>93.152475894754048</v>
      </c>
      <c r="P1975" s="218">
        <f t="shared" si="928"/>
        <v>97.724015919304023</v>
      </c>
    </row>
    <row r="1976" spans="1:16" s="7" customFormat="1" ht="24">
      <c r="A1976" s="36" t="s">
        <v>16</v>
      </c>
      <c r="B1976" s="33" t="s">
        <v>670</v>
      </c>
      <c r="C1976" s="211" t="s">
        <v>1932</v>
      </c>
      <c r="D1976" s="63">
        <v>89700</v>
      </c>
      <c r="E1976" s="63">
        <v>267860</v>
      </c>
      <c r="F1976" s="63">
        <f t="shared" si="923"/>
        <v>357560</v>
      </c>
      <c r="G1976" s="38">
        <v>89700</v>
      </c>
      <c r="H1976" s="38">
        <v>295560</v>
      </c>
      <c r="I1976" s="38">
        <f t="shared" si="924"/>
        <v>385260</v>
      </c>
      <c r="J1976" s="63">
        <v>380900</v>
      </c>
      <c r="K1976" s="63">
        <v>282933</v>
      </c>
      <c r="L1976" s="48">
        <f>SUM(J1976:K1976)</f>
        <v>663833</v>
      </c>
      <c r="M1976" s="218">
        <f t="shared" si="917"/>
        <v>424.63768115942031</v>
      </c>
      <c r="N1976" s="218">
        <f t="shared" si="918"/>
        <v>185.65639333258756</v>
      </c>
      <c r="O1976" s="218">
        <f t="shared" si="919"/>
        <v>424.63768115942031</v>
      </c>
      <c r="P1976" s="218">
        <f t="shared" si="928"/>
        <v>172.30779214037273</v>
      </c>
    </row>
    <row r="1977" spans="1:16" s="7" customFormat="1" ht="12.75" customHeight="1">
      <c r="A1977" s="36" t="s">
        <v>651</v>
      </c>
      <c r="B1977" s="33" t="s">
        <v>650</v>
      </c>
      <c r="C1977" s="211" t="s">
        <v>1933</v>
      </c>
      <c r="D1977" s="63">
        <v>11519512</v>
      </c>
      <c r="E1977" s="63"/>
      <c r="F1977" s="63">
        <f t="shared" si="923"/>
        <v>11519512</v>
      </c>
      <c r="G1977" s="38">
        <v>16854334</v>
      </c>
      <c r="H1977" s="38"/>
      <c r="I1977" s="38">
        <f t="shared" si="924"/>
        <v>16854334</v>
      </c>
      <c r="J1977" s="63">
        <v>14763315</v>
      </c>
      <c r="K1977" s="63"/>
      <c r="L1977" s="63">
        <f t="shared" ref="L1977" si="930">SUM(J1977:K1977)</f>
        <v>14763315</v>
      </c>
      <c r="M1977" s="218">
        <f t="shared" si="917"/>
        <v>128.15920500798993</v>
      </c>
      <c r="N1977" s="218">
        <f t="shared" si="918"/>
        <v>128.15920500798993</v>
      </c>
      <c r="O1977" s="218">
        <f t="shared" si="919"/>
        <v>87.593582754441684</v>
      </c>
      <c r="P1977" s="218">
        <f t="shared" si="928"/>
        <v>87.593582754441684</v>
      </c>
    </row>
    <row r="1978" spans="1:16" s="7" customFormat="1" ht="12.75" customHeight="1">
      <c r="A1978" s="46" t="s">
        <v>865</v>
      </c>
      <c r="B1978" s="47" t="s">
        <v>866</v>
      </c>
      <c r="C1978" s="212" t="s">
        <v>1934</v>
      </c>
      <c r="D1978" s="63"/>
      <c r="E1978" s="63">
        <v>4285752</v>
      </c>
      <c r="F1978" s="63">
        <f t="shared" si="923"/>
        <v>4285752</v>
      </c>
      <c r="G1978" s="38"/>
      <c r="H1978" s="38">
        <v>4728960</v>
      </c>
      <c r="I1978" s="38">
        <f t="shared" si="924"/>
        <v>4728960</v>
      </c>
      <c r="J1978" s="63"/>
      <c r="K1978" s="63">
        <v>4526934</v>
      </c>
      <c r="L1978" s="63">
        <f>SUM(J1978:K1978)</f>
        <v>4526934</v>
      </c>
      <c r="M1978" s="218" t="str">
        <f t="shared" si="917"/>
        <v/>
      </c>
      <c r="N1978" s="218">
        <f t="shared" si="918"/>
        <v>105.6275304777318</v>
      </c>
      <c r="O1978" s="218" t="str">
        <f t="shared" si="919"/>
        <v/>
      </c>
      <c r="P1978" s="218">
        <f t="shared" si="928"/>
        <v>95.72789788875356</v>
      </c>
    </row>
    <row r="1979" spans="1:16" s="7" customFormat="1" ht="12.75" customHeight="1">
      <c r="A1979" s="46" t="s">
        <v>654</v>
      </c>
      <c r="B1979" s="47" t="s">
        <v>545</v>
      </c>
      <c r="C1979" s="212" t="s">
        <v>1935</v>
      </c>
      <c r="D1979" s="63"/>
      <c r="E1979" s="63"/>
      <c r="F1979" s="63">
        <f t="shared" si="923"/>
        <v>0</v>
      </c>
      <c r="G1979" s="38"/>
      <c r="H1979" s="38"/>
      <c r="I1979" s="38">
        <f t="shared" si="924"/>
        <v>0</v>
      </c>
      <c r="J1979" s="63"/>
      <c r="K1979" s="63"/>
      <c r="L1979" s="63">
        <f>SUM(J1979:K1979)</f>
        <v>0</v>
      </c>
      <c r="M1979" s="218" t="str">
        <f t="shared" si="917"/>
        <v/>
      </c>
      <c r="N1979" s="218" t="str">
        <f t="shared" si="918"/>
        <v/>
      </c>
      <c r="O1979" s="218" t="str">
        <f t="shared" si="919"/>
        <v/>
      </c>
      <c r="P1979" s="218" t="str">
        <f t="shared" si="928"/>
        <v/>
      </c>
    </row>
    <row r="1980" spans="1:16" s="7" customFormat="1" ht="12.75" customHeight="1">
      <c r="A1980" s="46" t="s">
        <v>641</v>
      </c>
      <c r="B1980" s="211" t="s">
        <v>642</v>
      </c>
      <c r="C1980" s="211" t="s">
        <v>1930</v>
      </c>
      <c r="D1980" s="63">
        <v>190000</v>
      </c>
      <c r="E1980" s="63"/>
      <c r="F1980" s="63">
        <f>SUM(D1980:E1980)</f>
        <v>190000</v>
      </c>
      <c r="G1980" s="38">
        <v>190000</v>
      </c>
      <c r="H1980" s="38"/>
      <c r="I1980" s="38">
        <f>SUM(G1980:H1980)</f>
        <v>190000</v>
      </c>
      <c r="J1980" s="63"/>
      <c r="K1980" s="63"/>
      <c r="L1980" s="63"/>
      <c r="M1980" s="218">
        <f t="shared" si="917"/>
        <v>0</v>
      </c>
      <c r="N1980" s="218">
        <f t="shared" si="918"/>
        <v>0</v>
      </c>
      <c r="O1980" s="218">
        <f t="shared" si="919"/>
        <v>0</v>
      </c>
      <c r="P1980" s="218">
        <f>IF(I1980&gt;0,IF(L1980&gt;=0,L1980/I1980*100,""),"")</f>
        <v>0</v>
      </c>
    </row>
    <row r="1981" spans="1:16" s="7" customFormat="1" ht="12.75" customHeight="1">
      <c r="A1981" s="46" t="s">
        <v>161</v>
      </c>
      <c r="B1981" s="211" t="s">
        <v>531</v>
      </c>
      <c r="C1981" s="212" t="s">
        <v>1920</v>
      </c>
      <c r="D1981" s="48">
        <v>499480</v>
      </c>
      <c r="E1981" s="48">
        <v>133930</v>
      </c>
      <c r="F1981" s="63">
        <f>SUM(D1981:E1981)</f>
        <v>633410</v>
      </c>
      <c r="G1981" s="85">
        <v>499480</v>
      </c>
      <c r="H1981" s="85">
        <v>147780</v>
      </c>
      <c r="I1981" s="85">
        <f>SUM(G1981:H1981)</f>
        <v>647260</v>
      </c>
      <c r="J1981" s="85"/>
      <c r="K1981" s="48"/>
      <c r="L1981" s="48">
        <f>SUM(J1981:K1981)</f>
        <v>0</v>
      </c>
      <c r="M1981" s="218">
        <f t="shared" si="917"/>
        <v>0</v>
      </c>
      <c r="N1981" s="218">
        <f t="shared" si="918"/>
        <v>0</v>
      </c>
      <c r="O1981" s="218">
        <f t="shared" si="919"/>
        <v>0</v>
      </c>
      <c r="P1981" s="218">
        <f>IF(I1981&gt;0,IF(L1981&gt;=0,L1981/I1981*100,""),"")</f>
        <v>0</v>
      </c>
    </row>
    <row r="1982" spans="1:16" s="3" customFormat="1" ht="12.75" customHeight="1">
      <c r="A1982" s="36" t="s">
        <v>792</v>
      </c>
      <c r="B1982" s="211" t="s">
        <v>152</v>
      </c>
      <c r="C1982" s="211" t="s">
        <v>1936</v>
      </c>
      <c r="D1982" s="38"/>
      <c r="E1982" s="38"/>
      <c r="F1982" s="63">
        <f t="shared" si="923"/>
        <v>0</v>
      </c>
      <c r="G1982" s="38">
        <v>2342939</v>
      </c>
      <c r="H1982" s="38"/>
      <c r="I1982" s="38">
        <f t="shared" si="924"/>
        <v>2342939</v>
      </c>
      <c r="J1982" s="38"/>
      <c r="K1982" s="38"/>
      <c r="L1982" s="38">
        <f>SUM(J1982:K1982)</f>
        <v>0</v>
      </c>
      <c r="M1982" s="218" t="str">
        <f t="shared" si="917"/>
        <v/>
      </c>
      <c r="N1982" s="218" t="str">
        <f t="shared" si="918"/>
        <v/>
      </c>
      <c r="O1982" s="218">
        <f t="shared" si="919"/>
        <v>0</v>
      </c>
      <c r="P1982" s="218">
        <f t="shared" si="928"/>
        <v>0</v>
      </c>
    </row>
    <row r="1983" spans="1:16" s="3" customFormat="1" ht="12.75" customHeight="1">
      <c r="A1983" s="354" t="s">
        <v>791</v>
      </c>
      <c r="B1983" s="311" t="s">
        <v>151</v>
      </c>
      <c r="C1983" s="311" t="s">
        <v>1937</v>
      </c>
      <c r="D1983" s="61"/>
      <c r="E1983" s="61"/>
      <c r="F1983" s="67">
        <f t="shared" si="923"/>
        <v>0</v>
      </c>
      <c r="G1983" s="61">
        <v>361680448</v>
      </c>
      <c r="H1983" s="61"/>
      <c r="I1983" s="61">
        <f t="shared" si="924"/>
        <v>361680448</v>
      </c>
      <c r="J1983" s="61"/>
      <c r="K1983" s="61"/>
      <c r="L1983" s="61">
        <f>SUM(J1983:K1983)</f>
        <v>0</v>
      </c>
      <c r="M1983" s="273" t="str">
        <f t="shared" si="917"/>
        <v/>
      </c>
      <c r="N1983" s="273" t="str">
        <f t="shared" si="918"/>
        <v/>
      </c>
      <c r="O1983" s="273">
        <f t="shared" si="919"/>
        <v>0</v>
      </c>
      <c r="P1983" s="273">
        <f t="shared" si="928"/>
        <v>0</v>
      </c>
    </row>
    <row r="1984" spans="1:16" s="7" customFormat="1" ht="6" customHeight="1">
      <c r="A1984" s="80"/>
      <c r="B1984" s="79"/>
      <c r="C1984" s="302" t="s">
        <v>268</v>
      </c>
      <c r="D1984" s="76"/>
      <c r="E1984" s="76"/>
      <c r="F1984" s="76"/>
      <c r="G1984" s="116"/>
      <c r="H1984" s="116"/>
      <c r="I1984" s="116"/>
      <c r="J1984" s="76"/>
      <c r="K1984" s="76"/>
      <c r="L1984" s="76"/>
      <c r="M1984" s="226" t="str">
        <f t="shared" si="917"/>
        <v/>
      </c>
      <c r="N1984" s="226" t="str">
        <f t="shared" si="918"/>
        <v/>
      </c>
      <c r="O1984" s="226" t="str">
        <f t="shared" si="919"/>
        <v/>
      </c>
      <c r="P1984" s="226" t="str">
        <f t="shared" ref="P1984:P2002" si="931">IF(I1984&gt;0,IF(L1984&gt;=0,L1984/I1984*100,""),"")</f>
        <v/>
      </c>
    </row>
    <row r="1985" spans="1:17" s="7" customFormat="1" ht="12.75">
      <c r="A1985" s="72" t="s">
        <v>744</v>
      </c>
      <c r="B1985" s="65" t="s">
        <v>265</v>
      </c>
      <c r="C1985" s="308" t="s">
        <v>940</v>
      </c>
      <c r="D1985" s="55">
        <f>SUM(D1987:D1993)</f>
        <v>1833323</v>
      </c>
      <c r="E1985" s="55">
        <f>SUM(E1987:E1993)</f>
        <v>10461572</v>
      </c>
      <c r="F1985" s="55">
        <f t="shared" ref="F1985:F1991" si="932">SUM(D1985:E1985)</f>
        <v>12294895</v>
      </c>
      <c r="G1985" s="55">
        <f>SUM(G1987:G1993)</f>
        <v>545562308</v>
      </c>
      <c r="H1985" s="55">
        <f>SUM(H1987:H1993)</f>
        <v>10611572</v>
      </c>
      <c r="I1985" s="55">
        <f t="shared" ref="I1985:I1991" si="933">SUM(G1985:H1985)</f>
        <v>556173880</v>
      </c>
      <c r="J1985" s="55">
        <f>SUM(J1987:J1993)</f>
        <v>390107</v>
      </c>
      <c r="K1985" s="55">
        <f>SUM(K1987:K1993)</f>
        <v>11288651</v>
      </c>
      <c r="L1985" s="55">
        <f t="shared" ref="L1985:L1999" si="934">SUM(J1985:K1985)</f>
        <v>11678758</v>
      </c>
      <c r="M1985" s="221">
        <f t="shared" si="917"/>
        <v>21.278683570761945</v>
      </c>
      <c r="N1985" s="221">
        <f t="shared" si="918"/>
        <v>94.988676194469335</v>
      </c>
      <c r="O1985" s="221">
        <f t="shared" si="919"/>
        <v>7.1505489708427586E-2</v>
      </c>
      <c r="P1985" s="221">
        <f t="shared" si="931"/>
        <v>2.0998393523982104</v>
      </c>
    </row>
    <row r="1986" spans="1:17" s="7" customFormat="1" ht="12.75" customHeight="1">
      <c r="A1986" s="46" t="s">
        <v>267</v>
      </c>
      <c r="B1986" s="92"/>
      <c r="C1986" s="312" t="s">
        <v>268</v>
      </c>
      <c r="D1986" s="63">
        <f>SUM(D1987:D1991)</f>
        <v>1833323</v>
      </c>
      <c r="E1986" s="63">
        <f>SUM(E1987:E1991)</f>
        <v>10461572</v>
      </c>
      <c r="F1986" s="63">
        <f t="shared" si="932"/>
        <v>12294895</v>
      </c>
      <c r="G1986" s="38">
        <f>SUM(G1987:G1991)</f>
        <v>2602180</v>
      </c>
      <c r="H1986" s="38">
        <f>SUM(H1987:H1991)</f>
        <v>10611572</v>
      </c>
      <c r="I1986" s="38">
        <f t="shared" si="933"/>
        <v>13213752</v>
      </c>
      <c r="J1986" s="63">
        <f>SUM(J1987:J1991)</f>
        <v>390107</v>
      </c>
      <c r="K1986" s="63">
        <f>SUM(K1987:K1991)</f>
        <v>11288651</v>
      </c>
      <c r="L1986" s="63">
        <f t="shared" si="934"/>
        <v>11678758</v>
      </c>
      <c r="M1986" s="218">
        <f t="shared" si="917"/>
        <v>21.278683570761945</v>
      </c>
      <c r="N1986" s="218">
        <f t="shared" si="918"/>
        <v>94.988676194469335</v>
      </c>
      <c r="O1986" s="218">
        <f t="shared" si="919"/>
        <v>14.99154555026939</v>
      </c>
      <c r="P1986" s="218">
        <f t="shared" si="931"/>
        <v>88.383360002518586</v>
      </c>
    </row>
    <row r="1987" spans="1:17" s="7" customFormat="1" ht="12.75" customHeight="1">
      <c r="A1987" s="36" t="s">
        <v>554</v>
      </c>
      <c r="B1987" s="33">
        <v>0</v>
      </c>
      <c r="C1987" s="211" t="s">
        <v>268</v>
      </c>
      <c r="D1987" s="63"/>
      <c r="E1987" s="63">
        <v>3835910</v>
      </c>
      <c r="F1987" s="63">
        <f t="shared" si="932"/>
        <v>3835910</v>
      </c>
      <c r="G1987" s="38"/>
      <c r="H1987" s="38">
        <v>3890910</v>
      </c>
      <c r="I1987" s="38">
        <f t="shared" si="933"/>
        <v>3890910</v>
      </c>
      <c r="J1987" s="63"/>
      <c r="K1987" s="63">
        <v>4549158</v>
      </c>
      <c r="L1987" s="63">
        <f t="shared" si="934"/>
        <v>4549158</v>
      </c>
      <c r="M1987" s="218" t="str">
        <f t="shared" si="917"/>
        <v/>
      </c>
      <c r="N1987" s="218">
        <f t="shared" si="918"/>
        <v>118.59397118284841</v>
      </c>
      <c r="O1987" s="218" t="str">
        <f t="shared" si="919"/>
        <v/>
      </c>
      <c r="P1987" s="218">
        <f t="shared" si="931"/>
        <v>116.91758483233998</v>
      </c>
    </row>
    <row r="1988" spans="1:17" s="7" customFormat="1" ht="12.75" customHeight="1">
      <c r="A1988" s="46" t="s">
        <v>654</v>
      </c>
      <c r="B1988" s="47" t="s">
        <v>747</v>
      </c>
      <c r="C1988" s="212" t="s">
        <v>1938</v>
      </c>
      <c r="D1988" s="63"/>
      <c r="E1988" s="63"/>
      <c r="F1988" s="63">
        <f t="shared" si="932"/>
        <v>0</v>
      </c>
      <c r="G1988" s="38"/>
      <c r="H1988" s="38"/>
      <c r="I1988" s="38">
        <f t="shared" si="933"/>
        <v>0</v>
      </c>
      <c r="J1988" s="63"/>
      <c r="K1988" s="63"/>
      <c r="L1988" s="63">
        <f t="shared" si="934"/>
        <v>0</v>
      </c>
      <c r="M1988" s="218" t="str">
        <f t="shared" si="917"/>
        <v/>
      </c>
      <c r="N1988" s="218" t="str">
        <f t="shared" si="918"/>
        <v/>
      </c>
      <c r="O1988" s="218" t="str">
        <f t="shared" si="919"/>
        <v/>
      </c>
      <c r="P1988" s="218" t="str">
        <f t="shared" si="931"/>
        <v/>
      </c>
      <c r="Q1988" s="163"/>
    </row>
    <row r="1989" spans="1:17" s="7" customFormat="1" ht="12.75" customHeight="1">
      <c r="A1989" s="46" t="s">
        <v>745</v>
      </c>
      <c r="B1989" s="47" t="s">
        <v>746</v>
      </c>
      <c r="C1989" s="212" t="s">
        <v>1939</v>
      </c>
      <c r="D1989" s="63">
        <f>327600+700000</f>
        <v>1027600</v>
      </c>
      <c r="E1989" s="63">
        <v>5495813</v>
      </c>
      <c r="F1989" s="63">
        <f t="shared" si="932"/>
        <v>6523413</v>
      </c>
      <c r="G1989" s="38">
        <v>1796457</v>
      </c>
      <c r="H1989" s="38">
        <v>5574612</v>
      </c>
      <c r="I1989" s="38">
        <f t="shared" si="933"/>
        <v>7371069</v>
      </c>
      <c r="J1989" s="63">
        <v>179800</v>
      </c>
      <c r="K1989" s="63">
        <v>5795964</v>
      </c>
      <c r="L1989" s="63">
        <f t="shared" si="934"/>
        <v>5975764</v>
      </c>
      <c r="M1989" s="218">
        <f t="shared" si="917"/>
        <v>17.497080576099648</v>
      </c>
      <c r="N1989" s="218">
        <f t="shared" si="918"/>
        <v>91.60487002739211</v>
      </c>
      <c r="O1989" s="218">
        <f t="shared" si="919"/>
        <v>10.008589128490133</v>
      </c>
      <c r="P1989" s="218">
        <f t="shared" si="931"/>
        <v>81.0705204360453</v>
      </c>
    </row>
    <row r="1990" spans="1:17" s="7" customFormat="1" ht="36">
      <c r="A1990" s="36" t="s">
        <v>113</v>
      </c>
      <c r="B1990" s="33" t="s">
        <v>671</v>
      </c>
      <c r="C1990" s="211" t="s">
        <v>1940</v>
      </c>
      <c r="D1990" s="63">
        <v>547493</v>
      </c>
      <c r="E1990" s="63">
        <v>620719</v>
      </c>
      <c r="F1990" s="63">
        <f t="shared" si="932"/>
        <v>1168212</v>
      </c>
      <c r="G1990" s="38">
        <v>547493</v>
      </c>
      <c r="H1990" s="38">
        <v>629620</v>
      </c>
      <c r="I1990" s="38">
        <f t="shared" si="933"/>
        <v>1177113</v>
      </c>
      <c r="J1990" s="63">
        <v>181334</v>
      </c>
      <c r="K1990" s="63">
        <v>581281</v>
      </c>
      <c r="L1990" s="63">
        <f t="shared" si="934"/>
        <v>762615</v>
      </c>
      <c r="M1990" s="218">
        <f t="shared" si="917"/>
        <v>33.120788758943036</v>
      </c>
      <c r="N1990" s="218">
        <f t="shared" si="918"/>
        <v>65.280531273433255</v>
      </c>
      <c r="O1990" s="218">
        <f t="shared" si="919"/>
        <v>33.120788758943036</v>
      </c>
      <c r="P1990" s="218">
        <f t="shared" si="931"/>
        <v>64.786898114284696</v>
      </c>
    </row>
    <row r="1991" spans="1:17" s="7" customFormat="1" ht="12.75" customHeight="1">
      <c r="A1991" s="36" t="s">
        <v>830</v>
      </c>
      <c r="B1991" s="33" t="s">
        <v>773</v>
      </c>
      <c r="C1991" s="211" t="s">
        <v>1941</v>
      </c>
      <c r="D1991" s="63">
        <v>258230</v>
      </c>
      <c r="E1991" s="63">
        <v>509130</v>
      </c>
      <c r="F1991" s="63">
        <f t="shared" si="932"/>
        <v>767360</v>
      </c>
      <c r="G1991" s="38">
        <v>258230</v>
      </c>
      <c r="H1991" s="38">
        <v>516430</v>
      </c>
      <c r="I1991" s="38">
        <f t="shared" si="933"/>
        <v>774660</v>
      </c>
      <c r="J1991" s="63">
        <v>28973</v>
      </c>
      <c r="K1991" s="63">
        <v>362248</v>
      </c>
      <c r="L1991" s="63">
        <f t="shared" si="934"/>
        <v>391221</v>
      </c>
      <c r="M1991" s="218">
        <f t="shared" si="917"/>
        <v>11.219842775820005</v>
      </c>
      <c r="N1991" s="218">
        <f t="shared" si="918"/>
        <v>50.982719974979155</v>
      </c>
      <c r="O1991" s="218">
        <f t="shared" si="919"/>
        <v>11.219842775820005</v>
      </c>
      <c r="P1991" s="218">
        <f t="shared" si="931"/>
        <v>50.502284873363799</v>
      </c>
    </row>
    <row r="1992" spans="1:17" s="7" customFormat="1" ht="12.75" customHeight="1">
      <c r="A1992" s="46" t="s">
        <v>791</v>
      </c>
      <c r="B1992" s="211" t="s">
        <v>151</v>
      </c>
      <c r="C1992" s="211" t="s">
        <v>1942</v>
      </c>
      <c r="D1992" s="63"/>
      <c r="E1992" s="63"/>
      <c r="F1992" s="63">
        <f t="shared" ref="F1992:F2002" si="935">SUM(D1992:E1992)</f>
        <v>0</v>
      </c>
      <c r="G1992" s="38">
        <v>542960128</v>
      </c>
      <c r="H1992" s="38"/>
      <c r="I1992" s="38">
        <f t="shared" ref="I1992:I2024" si="936">SUM(G1992:H1992)</f>
        <v>542960128</v>
      </c>
      <c r="J1992" s="63"/>
      <c r="K1992" s="63"/>
      <c r="L1992" s="63">
        <f t="shared" si="934"/>
        <v>0</v>
      </c>
      <c r="M1992" s="218" t="str">
        <f t="shared" si="917"/>
        <v/>
      </c>
      <c r="N1992" s="218" t="str">
        <f t="shared" si="918"/>
        <v/>
      </c>
      <c r="O1992" s="218">
        <f t="shared" si="919"/>
        <v>0</v>
      </c>
      <c r="P1992" s="218">
        <f t="shared" si="931"/>
        <v>0</v>
      </c>
    </row>
    <row r="1993" spans="1:17" s="7" customFormat="1" ht="6" customHeight="1">
      <c r="A1993" s="39"/>
      <c r="B1993" s="40"/>
      <c r="C1993" s="306" t="s">
        <v>268</v>
      </c>
      <c r="D1993" s="63"/>
      <c r="E1993" s="63"/>
      <c r="F1993" s="63">
        <f t="shared" si="935"/>
        <v>0</v>
      </c>
      <c r="G1993" s="38"/>
      <c r="H1993" s="38"/>
      <c r="I1993" s="38">
        <f t="shared" si="936"/>
        <v>0</v>
      </c>
      <c r="J1993" s="63"/>
      <c r="K1993" s="63"/>
      <c r="L1993" s="63">
        <f t="shared" si="934"/>
        <v>0</v>
      </c>
      <c r="M1993" s="218" t="str">
        <f t="shared" si="917"/>
        <v/>
      </c>
      <c r="N1993" s="218" t="str">
        <f t="shared" si="918"/>
        <v/>
      </c>
      <c r="O1993" s="218" t="str">
        <f t="shared" si="919"/>
        <v/>
      </c>
      <c r="P1993" s="218" t="str">
        <f t="shared" si="931"/>
        <v/>
      </c>
    </row>
    <row r="1994" spans="1:17" s="3" customFormat="1" ht="12.75">
      <c r="A1994" s="58" t="s">
        <v>228</v>
      </c>
      <c r="B1994" s="65" t="s">
        <v>265</v>
      </c>
      <c r="C1994" s="308" t="s">
        <v>940</v>
      </c>
      <c r="D1994" s="42">
        <f>SUM(D1996:D2010)</f>
        <v>19575280</v>
      </c>
      <c r="E1994" s="42">
        <f>SUM(E1996:E2010)</f>
        <v>15500000</v>
      </c>
      <c r="F1994" s="60">
        <f t="shared" si="935"/>
        <v>35075280</v>
      </c>
      <c r="G1994" s="55">
        <f>SUM(G1996:G2010)</f>
        <v>146130918</v>
      </c>
      <c r="H1994" s="55">
        <f>SUM(H1996:H2010)</f>
        <v>19628303</v>
      </c>
      <c r="I1994" s="60">
        <f t="shared" si="936"/>
        <v>165759221</v>
      </c>
      <c r="J1994" s="60">
        <f>SUM(J1996:J2010)</f>
        <v>24229612</v>
      </c>
      <c r="K1994" s="42">
        <f>SUM(K1996:K2010)</f>
        <v>20400000</v>
      </c>
      <c r="L1994" s="60">
        <f t="shared" si="934"/>
        <v>44629612</v>
      </c>
      <c r="M1994" s="231">
        <f t="shared" si="917"/>
        <v>123.77657944100929</v>
      </c>
      <c r="N1994" s="231">
        <f t="shared" si="918"/>
        <v>127.23950314865627</v>
      </c>
      <c r="O1994" s="231">
        <f t="shared" si="919"/>
        <v>16.580756715700641</v>
      </c>
      <c r="P1994" s="231">
        <f t="shared" si="931"/>
        <v>26.924361571414479</v>
      </c>
    </row>
    <row r="1995" spans="1:17" s="3" customFormat="1" ht="12.75" customHeight="1">
      <c r="A1995" s="36" t="s">
        <v>267</v>
      </c>
      <c r="B1995" s="47"/>
      <c r="C1995" s="212" t="s">
        <v>268</v>
      </c>
      <c r="D1995" s="63">
        <f>SUM(D1996:D2008)</f>
        <v>19575280</v>
      </c>
      <c r="E1995" s="63">
        <f>SUM(E1996:E2008)</f>
        <v>15500000</v>
      </c>
      <c r="F1995" s="63">
        <f t="shared" si="935"/>
        <v>35075280</v>
      </c>
      <c r="G1995" s="38">
        <f>SUM(G1996:G2008)</f>
        <v>24857349</v>
      </c>
      <c r="H1995" s="38">
        <f>SUM(H1996:H2008)</f>
        <v>19628303</v>
      </c>
      <c r="I1995" s="38">
        <f t="shared" si="936"/>
        <v>44485652</v>
      </c>
      <c r="J1995" s="63">
        <f>SUM(J1996:J2008)</f>
        <v>24229612</v>
      </c>
      <c r="K1995" s="63">
        <f>SUM(K1996:K2008)</f>
        <v>20400000</v>
      </c>
      <c r="L1995" s="63">
        <f t="shared" si="934"/>
        <v>44629612</v>
      </c>
      <c r="M1995" s="218">
        <f t="shared" si="917"/>
        <v>123.77657944100929</v>
      </c>
      <c r="N1995" s="218">
        <f t="shared" si="918"/>
        <v>127.23950314865627</v>
      </c>
      <c r="O1995" s="218">
        <f t="shared" si="919"/>
        <v>97.47464220742124</v>
      </c>
      <c r="P1995" s="218">
        <f t="shared" si="931"/>
        <v>100.32360995855471</v>
      </c>
    </row>
    <row r="1996" spans="1:17" s="3" customFormat="1" ht="12.75" customHeight="1">
      <c r="A1996" s="36" t="s">
        <v>554</v>
      </c>
      <c r="B1996" s="47">
        <v>0</v>
      </c>
      <c r="C1996" s="212" t="s">
        <v>268</v>
      </c>
      <c r="D1996" s="63"/>
      <c r="E1996" s="63">
        <v>2818182</v>
      </c>
      <c r="F1996" s="63">
        <f t="shared" si="935"/>
        <v>2818182</v>
      </c>
      <c r="G1996" s="38"/>
      <c r="H1996" s="38">
        <v>3154549</v>
      </c>
      <c r="I1996" s="38">
        <f t="shared" si="936"/>
        <v>3154549</v>
      </c>
      <c r="J1996" s="63"/>
      <c r="K1996" s="63">
        <v>3460714</v>
      </c>
      <c r="L1996" s="63">
        <f t="shared" si="934"/>
        <v>3460714</v>
      </c>
      <c r="M1996" s="218" t="str">
        <f t="shared" si="917"/>
        <v/>
      </c>
      <c r="N1996" s="218">
        <f t="shared" si="918"/>
        <v>122.79952110970831</v>
      </c>
      <c r="O1996" s="218" t="str">
        <f t="shared" si="919"/>
        <v/>
      </c>
      <c r="P1996" s="218">
        <f t="shared" si="931"/>
        <v>109.70550782378083</v>
      </c>
    </row>
    <row r="1997" spans="1:17" s="3" customFormat="1" ht="12.75" customHeight="1">
      <c r="A1997" s="36" t="s">
        <v>231</v>
      </c>
      <c r="B1997" s="47" t="s">
        <v>485</v>
      </c>
      <c r="C1997" s="212" t="s">
        <v>1943</v>
      </c>
      <c r="D1997" s="63">
        <v>888330</v>
      </c>
      <c r="E1997" s="63">
        <v>1565656</v>
      </c>
      <c r="F1997" s="63">
        <f t="shared" si="935"/>
        <v>2453986</v>
      </c>
      <c r="G1997" s="38">
        <v>402443</v>
      </c>
      <c r="H1997" s="38">
        <v>1752527</v>
      </c>
      <c r="I1997" s="38">
        <f t="shared" si="936"/>
        <v>2154970</v>
      </c>
      <c r="J1997" s="63">
        <v>524100</v>
      </c>
      <c r="K1997" s="63">
        <v>1821429</v>
      </c>
      <c r="L1997" s="63">
        <f t="shared" si="934"/>
        <v>2345529</v>
      </c>
      <c r="M1997" s="218">
        <f t="shared" si="917"/>
        <v>58.998345209550507</v>
      </c>
      <c r="N1997" s="218">
        <f t="shared" si="918"/>
        <v>95.580374134163762</v>
      </c>
      <c r="O1997" s="218">
        <f t="shared" si="919"/>
        <v>130.2296225800921</v>
      </c>
      <c r="P1997" s="218">
        <f t="shared" si="931"/>
        <v>108.84276811278116</v>
      </c>
    </row>
    <row r="1998" spans="1:17" s="3" customFormat="1" ht="24">
      <c r="A1998" s="36" t="s">
        <v>397</v>
      </c>
      <c r="B1998" s="47" t="s">
        <v>484</v>
      </c>
      <c r="C1998" s="212" t="s">
        <v>1944</v>
      </c>
      <c r="D1998" s="63">
        <v>9830000</v>
      </c>
      <c r="E1998" s="63">
        <v>5636364</v>
      </c>
      <c r="F1998" s="63">
        <f t="shared" si="935"/>
        <v>15466364</v>
      </c>
      <c r="G1998" s="38">
        <v>9717155</v>
      </c>
      <c r="H1998" s="38">
        <v>6309097</v>
      </c>
      <c r="I1998" s="38">
        <f t="shared" si="936"/>
        <v>16026252</v>
      </c>
      <c r="J1998" s="63">
        <v>9000000</v>
      </c>
      <c r="K1998" s="63">
        <v>6557143</v>
      </c>
      <c r="L1998" s="63">
        <f t="shared" si="934"/>
        <v>15557143</v>
      </c>
      <c r="M1998" s="218">
        <f t="shared" si="917"/>
        <v>91.556459816887084</v>
      </c>
      <c r="N1998" s="218">
        <f t="shared" si="918"/>
        <v>100.58694467555529</v>
      </c>
      <c r="O1998" s="218">
        <f t="shared" si="919"/>
        <v>92.619701960090168</v>
      </c>
      <c r="P1998" s="218">
        <f t="shared" si="931"/>
        <v>97.072871436191065</v>
      </c>
    </row>
    <row r="1999" spans="1:17" s="3" customFormat="1" ht="12.75" customHeight="1">
      <c r="A1999" s="36" t="s">
        <v>696</v>
      </c>
      <c r="B1999" s="47" t="s">
        <v>483</v>
      </c>
      <c r="C1999" s="212" t="s">
        <v>1945</v>
      </c>
      <c r="D1999" s="63">
        <v>7800000</v>
      </c>
      <c r="E1999" s="63">
        <v>4227273</v>
      </c>
      <c r="F1999" s="63">
        <f t="shared" si="935"/>
        <v>12027273</v>
      </c>
      <c r="G1999" s="38">
        <v>11103231</v>
      </c>
      <c r="H1999" s="38">
        <v>4731823</v>
      </c>
      <c r="I1999" s="38">
        <f t="shared" si="936"/>
        <v>15835054</v>
      </c>
      <c r="J1999" s="63">
        <v>7446730</v>
      </c>
      <c r="K1999" s="63">
        <v>4917857</v>
      </c>
      <c r="L1999" s="63">
        <f t="shared" si="934"/>
        <v>12364587</v>
      </c>
      <c r="M1999" s="218">
        <f t="shared" ref="M1999:M2062" si="937">IF(D1999&gt;0,IF(J1999&gt;=0,J1999/D1999*100,""),"")</f>
        <v>95.470897435897442</v>
      </c>
      <c r="N1999" s="218">
        <f t="shared" ref="N1999:N2062" si="938">IF(F1999&gt;0,IF(L1999&gt;=0,L1999/F1999*100,""),"")</f>
        <v>102.804575900123</v>
      </c>
      <c r="O1999" s="218">
        <f t="shared" ref="O1999:O2062" si="939">IF(G1999&gt;0,IF(J1999&gt;=0,J1999/G1999*100,""),"")</f>
        <v>67.068135392301571</v>
      </c>
      <c r="P1999" s="218">
        <f t="shared" si="931"/>
        <v>78.083642783914726</v>
      </c>
    </row>
    <row r="2000" spans="1:17" s="3" customFormat="1" ht="12.75" customHeight="1">
      <c r="A2000" s="36" t="s">
        <v>605</v>
      </c>
      <c r="B2000" s="47" t="s">
        <v>606</v>
      </c>
      <c r="C2000" s="212" t="s">
        <v>1946</v>
      </c>
      <c r="D2000" s="63"/>
      <c r="E2000" s="63">
        <v>1095960</v>
      </c>
      <c r="F2000" s="63">
        <f t="shared" si="935"/>
        <v>1095960</v>
      </c>
      <c r="G2000" s="38"/>
      <c r="H2000" s="38">
        <v>1226769</v>
      </c>
      <c r="I2000" s="38">
        <f t="shared" si="936"/>
        <v>1226769</v>
      </c>
      <c r="J2000" s="63"/>
      <c r="K2000" s="63">
        <v>1275000</v>
      </c>
      <c r="L2000" s="63">
        <f t="shared" ref="L2000:L2006" si="940">SUM(J2000:K2000)</f>
        <v>1275000</v>
      </c>
      <c r="M2000" s="218" t="str">
        <f t="shared" si="937"/>
        <v/>
      </c>
      <c r="N2000" s="218">
        <f t="shared" si="938"/>
        <v>116.3363626409723</v>
      </c>
      <c r="O2000" s="218" t="str">
        <f t="shared" si="939"/>
        <v/>
      </c>
      <c r="P2000" s="218">
        <f t="shared" si="931"/>
        <v>103.9315470149637</v>
      </c>
    </row>
    <row r="2001" spans="1:17" s="3" customFormat="1" ht="12.75" customHeight="1">
      <c r="A2001" s="36" t="s">
        <v>654</v>
      </c>
      <c r="B2001" s="33" t="s">
        <v>681</v>
      </c>
      <c r="C2001" s="211" t="s">
        <v>1947</v>
      </c>
      <c r="D2001" s="63"/>
      <c r="E2001" s="63"/>
      <c r="F2001" s="63">
        <f t="shared" si="935"/>
        <v>0</v>
      </c>
      <c r="G2001" s="38"/>
      <c r="H2001" s="38"/>
      <c r="I2001" s="38">
        <f t="shared" si="936"/>
        <v>0</v>
      </c>
      <c r="J2001" s="63"/>
      <c r="K2001" s="63"/>
      <c r="L2001" s="63">
        <f t="shared" si="940"/>
        <v>0</v>
      </c>
      <c r="M2001" s="218" t="str">
        <f t="shared" si="937"/>
        <v/>
      </c>
      <c r="N2001" s="218" t="str">
        <f t="shared" si="938"/>
        <v/>
      </c>
      <c r="O2001" s="218" t="str">
        <f t="shared" si="939"/>
        <v/>
      </c>
      <c r="P2001" s="218" t="str">
        <f t="shared" si="931"/>
        <v/>
      </c>
    </row>
    <row r="2002" spans="1:17" s="3" customFormat="1" ht="12.75" customHeight="1">
      <c r="A2002" s="36" t="s">
        <v>13</v>
      </c>
      <c r="B2002" s="47" t="s">
        <v>10</v>
      </c>
      <c r="C2002" s="212" t="s">
        <v>1948</v>
      </c>
      <c r="D2002" s="63">
        <v>133000</v>
      </c>
      <c r="E2002" s="63">
        <v>156565</v>
      </c>
      <c r="F2002" s="63">
        <f t="shared" si="935"/>
        <v>289565</v>
      </c>
      <c r="G2002" s="38">
        <v>133000</v>
      </c>
      <c r="H2002" s="38">
        <v>175253</v>
      </c>
      <c r="I2002" s="38">
        <f t="shared" si="936"/>
        <v>308253</v>
      </c>
      <c r="J2002" s="63">
        <v>153270</v>
      </c>
      <c r="K2002" s="63">
        <v>182143</v>
      </c>
      <c r="L2002" s="63">
        <f t="shared" si="940"/>
        <v>335413</v>
      </c>
      <c r="M2002" s="218">
        <f t="shared" si="937"/>
        <v>115.24060150375939</v>
      </c>
      <c r="N2002" s="218">
        <f t="shared" si="938"/>
        <v>115.8334052803343</v>
      </c>
      <c r="O2002" s="218">
        <f t="shared" si="939"/>
        <v>115.24060150375939</v>
      </c>
      <c r="P2002" s="218">
        <f t="shared" si="931"/>
        <v>108.81094425682801</v>
      </c>
    </row>
    <row r="2003" spans="1:17" s="3" customFormat="1" ht="12.75" customHeight="1">
      <c r="A2003" s="36" t="s">
        <v>318</v>
      </c>
      <c r="B2003" s="47" t="s">
        <v>612</v>
      </c>
      <c r="C2003" s="212" t="s">
        <v>2277</v>
      </c>
      <c r="D2003" s="63"/>
      <c r="E2003" s="63"/>
      <c r="F2003" s="63"/>
      <c r="G2003" s="38">
        <v>2213900</v>
      </c>
      <c r="H2003" s="38">
        <v>2278285</v>
      </c>
      <c r="I2003" s="38">
        <f t="shared" si="936"/>
        <v>4492185</v>
      </c>
      <c r="J2003" s="63">
        <f>1500000+20000</f>
        <v>1520000</v>
      </c>
      <c r="K2003" s="63">
        <v>1092857</v>
      </c>
      <c r="L2003" s="63">
        <f t="shared" si="940"/>
        <v>2612857</v>
      </c>
      <c r="M2003" s="218" t="str">
        <f t="shared" si="937"/>
        <v/>
      </c>
      <c r="N2003" s="218" t="str">
        <f t="shared" si="938"/>
        <v/>
      </c>
      <c r="O2003" s="218">
        <f t="shared" si="939"/>
        <v>68.657120917837304</v>
      </c>
      <c r="P2003" s="218"/>
    </row>
    <row r="2004" spans="1:17" s="3" customFormat="1" ht="12.75" customHeight="1">
      <c r="A2004" s="341" t="s">
        <v>2479</v>
      </c>
      <c r="B2004" s="47"/>
      <c r="C2004" s="212"/>
      <c r="D2004" s="63"/>
      <c r="E2004" s="63"/>
      <c r="F2004" s="63"/>
      <c r="G2004" s="38"/>
      <c r="H2004" s="38"/>
      <c r="I2004" s="38"/>
      <c r="J2004" s="63"/>
      <c r="K2004" s="63"/>
      <c r="L2004" s="63"/>
      <c r="M2004" s="218" t="str">
        <f t="shared" si="937"/>
        <v/>
      </c>
      <c r="N2004" s="218" t="str">
        <f t="shared" si="938"/>
        <v/>
      </c>
      <c r="O2004" s="218" t="str">
        <f t="shared" si="939"/>
        <v/>
      </c>
      <c r="P2004" s="218"/>
    </row>
    <row r="2005" spans="1:17" s="3" customFormat="1" ht="12.75" customHeight="1">
      <c r="A2005" s="36" t="s">
        <v>319</v>
      </c>
      <c r="B2005" s="47" t="s">
        <v>613</v>
      </c>
      <c r="C2005" s="212" t="s">
        <v>2405</v>
      </c>
      <c r="D2005" s="63"/>
      <c r="E2005" s="63"/>
      <c r="F2005" s="63"/>
      <c r="G2005" s="38"/>
      <c r="H2005" s="38"/>
      <c r="I2005" s="38"/>
      <c r="J2005" s="63">
        <v>4000000</v>
      </c>
      <c r="K2005" s="63">
        <v>1092857</v>
      </c>
      <c r="L2005" s="63">
        <f t="shared" si="940"/>
        <v>5092857</v>
      </c>
      <c r="M2005" s="218" t="str">
        <f t="shared" si="937"/>
        <v/>
      </c>
      <c r="N2005" s="218" t="str">
        <f t="shared" si="938"/>
        <v/>
      </c>
      <c r="O2005" s="218" t="str">
        <f t="shared" si="939"/>
        <v/>
      </c>
      <c r="P2005" s="218"/>
    </row>
    <row r="2006" spans="1:17" s="3" customFormat="1" ht="12.75" customHeight="1">
      <c r="A2006" s="36" t="s">
        <v>651</v>
      </c>
      <c r="B2006" s="47" t="s">
        <v>650</v>
      </c>
      <c r="C2006" s="212" t="s">
        <v>1949</v>
      </c>
      <c r="D2006" s="63">
        <v>888950</v>
      </c>
      <c r="E2006" s="63"/>
      <c r="F2006" s="63">
        <f>SUM(D2006:E2006)</f>
        <v>888950</v>
      </c>
      <c r="G2006" s="38">
        <v>1133335</v>
      </c>
      <c r="H2006" s="38"/>
      <c r="I2006" s="38">
        <f t="shared" si="936"/>
        <v>1133335</v>
      </c>
      <c r="J2006" s="63">
        <v>1090950</v>
      </c>
      <c r="K2006" s="63"/>
      <c r="L2006" s="63">
        <f t="shared" si="940"/>
        <v>1090950</v>
      </c>
      <c r="M2006" s="218">
        <f t="shared" si="937"/>
        <v>122.72343776365375</v>
      </c>
      <c r="N2006" s="218">
        <f t="shared" si="938"/>
        <v>122.72343776365375</v>
      </c>
      <c r="O2006" s="218">
        <f t="shared" si="939"/>
        <v>96.260152558599174</v>
      </c>
      <c r="P2006" s="218">
        <f>IF(I2006&gt;0,IF(L2006&gt;=0,L2006/I2006*100,""),"")</f>
        <v>96.260152558599174</v>
      </c>
    </row>
    <row r="2007" spans="1:17" s="3" customFormat="1" ht="12.75" customHeight="1">
      <c r="A2007" s="36" t="s">
        <v>14</v>
      </c>
      <c r="B2007" s="47" t="s">
        <v>9</v>
      </c>
      <c r="C2007" s="212" t="s">
        <v>1950</v>
      </c>
      <c r="D2007" s="63">
        <v>35000</v>
      </c>
      <c r="E2007" s="63"/>
      <c r="F2007" s="63">
        <f>SUM(D2007:E2007)</f>
        <v>35000</v>
      </c>
      <c r="G2007" s="38">
        <v>114285</v>
      </c>
      <c r="H2007" s="38"/>
      <c r="I2007" s="38">
        <f>SUM(G2007:H2007)</f>
        <v>114285</v>
      </c>
      <c r="J2007" s="63">
        <v>494562</v>
      </c>
      <c r="K2007" s="63"/>
      <c r="L2007" s="63">
        <f>SUM(J2007:K2007)</f>
        <v>494562</v>
      </c>
      <c r="M2007" s="218">
        <f t="shared" si="937"/>
        <v>1413.0342857142857</v>
      </c>
      <c r="N2007" s="218">
        <f t="shared" si="938"/>
        <v>1413.0342857142857</v>
      </c>
      <c r="O2007" s="218">
        <f t="shared" si="939"/>
        <v>432.74445465284163</v>
      </c>
      <c r="P2007" s="218">
        <f>IF(I2007&gt;0,IF(L2007&gt;=0,L2007/I2007*100,""),"")</f>
        <v>432.74445465284163</v>
      </c>
    </row>
    <row r="2008" spans="1:17" s="3" customFormat="1" ht="12.75" customHeight="1">
      <c r="A2008" s="36" t="s">
        <v>2354</v>
      </c>
      <c r="B2008" s="212" t="s">
        <v>642</v>
      </c>
      <c r="C2008" s="212" t="s">
        <v>2278</v>
      </c>
      <c r="D2008" s="63"/>
      <c r="E2008" s="63"/>
      <c r="F2008" s="63"/>
      <c r="G2008" s="38">
        <v>40000</v>
      </c>
      <c r="H2008" s="38"/>
      <c r="I2008" s="38">
        <f t="shared" si="936"/>
        <v>40000</v>
      </c>
      <c r="J2008" s="63"/>
      <c r="K2008" s="63"/>
      <c r="L2008" s="63">
        <f t="shared" ref="L2008:L2010" si="941">SUM(J2008:K2008)</f>
        <v>0</v>
      </c>
      <c r="M2008" s="218" t="str">
        <f t="shared" si="937"/>
        <v/>
      </c>
      <c r="N2008" s="218" t="str">
        <f t="shared" si="938"/>
        <v/>
      </c>
      <c r="O2008" s="218">
        <f t="shared" si="939"/>
        <v>0</v>
      </c>
      <c r="P2008" s="218">
        <f t="shared" ref="P2008:P2010" si="942">IF(I2008&gt;0,IF(L2008&gt;=0,L2008/I2008*100,""),"")</f>
        <v>0</v>
      </c>
    </row>
    <row r="2009" spans="1:17" s="3" customFormat="1" ht="12.75" customHeight="1">
      <c r="A2009" s="36" t="s">
        <v>792</v>
      </c>
      <c r="B2009" s="212" t="s">
        <v>152</v>
      </c>
      <c r="C2009" s="212" t="s">
        <v>1951</v>
      </c>
      <c r="D2009" s="63"/>
      <c r="E2009" s="63"/>
      <c r="F2009" s="63">
        <f t="shared" ref="F2009:F2010" si="943">SUM(D2009:E2009)</f>
        <v>0</v>
      </c>
      <c r="G2009" s="38">
        <v>631640</v>
      </c>
      <c r="H2009" s="38"/>
      <c r="I2009" s="38">
        <f t="shared" si="936"/>
        <v>631640</v>
      </c>
      <c r="J2009" s="63"/>
      <c r="K2009" s="63"/>
      <c r="L2009" s="63">
        <f t="shared" si="941"/>
        <v>0</v>
      </c>
      <c r="M2009" s="218" t="str">
        <f t="shared" si="937"/>
        <v/>
      </c>
      <c r="N2009" s="218" t="str">
        <f t="shared" si="938"/>
        <v/>
      </c>
      <c r="O2009" s="218">
        <f t="shared" si="939"/>
        <v>0</v>
      </c>
      <c r="P2009" s="218">
        <f t="shared" si="942"/>
        <v>0</v>
      </c>
    </row>
    <row r="2010" spans="1:17" s="3" customFormat="1" ht="12.75" customHeight="1">
      <c r="A2010" s="36" t="s">
        <v>791</v>
      </c>
      <c r="B2010" s="212" t="s">
        <v>151</v>
      </c>
      <c r="C2010" s="212" t="s">
        <v>1952</v>
      </c>
      <c r="D2010" s="63"/>
      <c r="E2010" s="63"/>
      <c r="F2010" s="63">
        <f t="shared" si="943"/>
        <v>0</v>
      </c>
      <c r="G2010" s="38">
        <v>120641929</v>
      </c>
      <c r="H2010" s="38"/>
      <c r="I2010" s="38">
        <f t="shared" si="936"/>
        <v>120641929</v>
      </c>
      <c r="J2010" s="63"/>
      <c r="K2010" s="63"/>
      <c r="L2010" s="63">
        <f t="shared" si="941"/>
        <v>0</v>
      </c>
      <c r="M2010" s="218" t="str">
        <f t="shared" si="937"/>
        <v/>
      </c>
      <c r="N2010" s="218" t="str">
        <f t="shared" si="938"/>
        <v/>
      </c>
      <c r="O2010" s="218">
        <f t="shared" si="939"/>
        <v>0</v>
      </c>
      <c r="P2010" s="218">
        <f t="shared" si="942"/>
        <v>0</v>
      </c>
    </row>
    <row r="2011" spans="1:17" s="3" customFormat="1" ht="6" customHeight="1">
      <c r="A2011" s="36"/>
      <c r="B2011" s="47"/>
      <c r="C2011" s="212" t="s">
        <v>268</v>
      </c>
      <c r="D2011" s="63"/>
      <c r="E2011" s="63"/>
      <c r="F2011" s="63">
        <f>SUM(D2011:E2011)</f>
        <v>0</v>
      </c>
      <c r="G2011" s="38"/>
      <c r="H2011" s="38"/>
      <c r="I2011" s="38">
        <f t="shared" si="936"/>
        <v>0</v>
      </c>
      <c r="J2011" s="63"/>
      <c r="K2011" s="63"/>
      <c r="L2011" s="63">
        <f>SUM(J2011:K2011)</f>
        <v>0</v>
      </c>
      <c r="M2011" s="218" t="str">
        <f t="shared" si="937"/>
        <v/>
      </c>
      <c r="N2011" s="218" t="str">
        <f t="shared" si="938"/>
        <v/>
      </c>
      <c r="O2011" s="218" t="str">
        <f t="shared" si="939"/>
        <v/>
      </c>
      <c r="P2011" s="218" t="str">
        <f t="shared" ref="P2011:P2022" si="944">IF(I2011&gt;0,IF(L2011&gt;=0,L2011/I2011*100,""),"")</f>
        <v/>
      </c>
    </row>
    <row r="2012" spans="1:17" s="23" customFormat="1" ht="12.75">
      <c r="A2012" s="72" t="s">
        <v>23</v>
      </c>
      <c r="B2012" s="65" t="s">
        <v>265</v>
      </c>
      <c r="C2012" s="308" t="s">
        <v>940</v>
      </c>
      <c r="D2012" s="55">
        <f>SUM(D2014:D2024)</f>
        <v>625377037</v>
      </c>
      <c r="E2012" s="55">
        <f>SUM(E2014:E2023)</f>
        <v>13790150</v>
      </c>
      <c r="F2012" s="60">
        <f>SUM(D2012:E2012)</f>
        <v>639167187</v>
      </c>
      <c r="G2012" s="55">
        <f>SUM(G2014:G2024)</f>
        <v>639507075</v>
      </c>
      <c r="H2012" s="55">
        <f>SUM(H2014:H2023)</f>
        <v>13791739</v>
      </c>
      <c r="I2012" s="60">
        <f t="shared" si="936"/>
        <v>653298814</v>
      </c>
      <c r="J2012" s="60">
        <f>SUM(J2014:J2024)</f>
        <v>686215108</v>
      </c>
      <c r="K2012" s="55">
        <f>SUM(K2014:K2023)</f>
        <v>16984892</v>
      </c>
      <c r="L2012" s="60">
        <f>SUM(J2012:K2012)</f>
        <v>703200000</v>
      </c>
      <c r="M2012" s="231">
        <f t="shared" si="937"/>
        <v>109.72822272014442</v>
      </c>
      <c r="N2012" s="231">
        <f t="shared" si="938"/>
        <v>110.01816336982893</v>
      </c>
      <c r="O2012" s="231">
        <f t="shared" si="939"/>
        <v>107.3037554744801</v>
      </c>
      <c r="P2012" s="231">
        <f t="shared" si="944"/>
        <v>107.638340209814</v>
      </c>
      <c r="Q2012" s="27"/>
    </row>
    <row r="2013" spans="1:17" s="7" customFormat="1" ht="12.75" customHeight="1">
      <c r="A2013" s="46" t="s">
        <v>267</v>
      </c>
      <c r="B2013" s="40"/>
      <c r="C2013" s="306" t="s">
        <v>268</v>
      </c>
      <c r="D2013" s="63">
        <f>SUM(D2014:D2023)</f>
        <v>625377037</v>
      </c>
      <c r="E2013" s="63">
        <f>SUM(E2014:E2023)</f>
        <v>13790150</v>
      </c>
      <c r="F2013" s="63">
        <f>SUM(D2013:E2013)</f>
        <v>639167187</v>
      </c>
      <c r="G2013" s="38">
        <f>SUM(G2014:G2023)</f>
        <v>632330115</v>
      </c>
      <c r="H2013" s="38">
        <f>SUM(H2014:H2023)</f>
        <v>13791739</v>
      </c>
      <c r="I2013" s="38">
        <f t="shared" si="936"/>
        <v>646121854</v>
      </c>
      <c r="J2013" s="63">
        <f>SUM(J2014:J2023)</f>
        <v>686215108</v>
      </c>
      <c r="K2013" s="63">
        <f>SUM(K2014:K2023)</f>
        <v>16984892</v>
      </c>
      <c r="L2013" s="63">
        <f>SUM(J2013:K2013)</f>
        <v>703200000</v>
      </c>
      <c r="M2013" s="218">
        <f t="shared" si="937"/>
        <v>109.72822272014442</v>
      </c>
      <c r="N2013" s="218">
        <f t="shared" si="938"/>
        <v>110.01816336982893</v>
      </c>
      <c r="O2013" s="218">
        <f t="shared" si="939"/>
        <v>108.5216553382089</v>
      </c>
      <c r="P2013" s="218">
        <f t="shared" si="944"/>
        <v>108.83395997931993</v>
      </c>
    </row>
    <row r="2014" spans="1:17" s="7" customFormat="1" ht="12.75" customHeight="1">
      <c r="A2014" s="36" t="s">
        <v>554</v>
      </c>
      <c r="B2014" s="33">
        <v>0</v>
      </c>
      <c r="C2014" s="211" t="s">
        <v>268</v>
      </c>
      <c r="D2014" s="63"/>
      <c r="E2014" s="63">
        <v>5253391</v>
      </c>
      <c r="F2014" s="63">
        <f t="shared" ref="F2014:F2019" si="945">SUM(D2014:E2014)</f>
        <v>5253391</v>
      </c>
      <c r="G2014" s="38"/>
      <c r="H2014" s="38">
        <v>5253995</v>
      </c>
      <c r="I2014" s="38">
        <f t="shared" si="936"/>
        <v>5253995</v>
      </c>
      <c r="J2014" s="63"/>
      <c r="K2014" s="63">
        <v>5072921</v>
      </c>
      <c r="L2014" s="63">
        <f t="shared" ref="L2014:L2017" si="946">SUM(J2014:K2014)</f>
        <v>5072921</v>
      </c>
      <c r="M2014" s="218" t="str">
        <f t="shared" si="937"/>
        <v/>
      </c>
      <c r="N2014" s="218">
        <f t="shared" si="938"/>
        <v>96.564695070288892</v>
      </c>
      <c r="O2014" s="218" t="str">
        <f t="shared" si="939"/>
        <v/>
      </c>
      <c r="P2014" s="218">
        <f t="shared" si="944"/>
        <v>96.553593979438503</v>
      </c>
    </row>
    <row r="2015" spans="1:17" s="7" customFormat="1" ht="12.75" customHeight="1">
      <c r="A2015" s="46" t="s">
        <v>17</v>
      </c>
      <c r="B2015" s="47" t="s">
        <v>86</v>
      </c>
      <c r="C2015" s="212" t="s">
        <v>1953</v>
      </c>
      <c r="D2015" s="63">
        <v>608492269</v>
      </c>
      <c r="E2015" s="63">
        <v>5745896</v>
      </c>
      <c r="F2015" s="63">
        <f t="shared" si="945"/>
        <v>614238165</v>
      </c>
      <c r="G2015" s="38">
        <v>617354970</v>
      </c>
      <c r="H2015" s="38">
        <v>5623417</v>
      </c>
      <c r="I2015" s="38">
        <f t="shared" si="936"/>
        <v>622978387</v>
      </c>
      <c r="J2015" s="63">
        <v>648296653</v>
      </c>
      <c r="K2015" s="63">
        <v>9319144</v>
      </c>
      <c r="L2015" s="63">
        <f t="shared" si="946"/>
        <v>657615797</v>
      </c>
      <c r="M2015" s="218">
        <f t="shared" si="937"/>
        <v>106.54147735770165</v>
      </c>
      <c r="N2015" s="218">
        <f t="shared" si="938"/>
        <v>107.06202161827572</v>
      </c>
      <c r="O2015" s="218">
        <f t="shared" si="939"/>
        <v>105.01197601114316</v>
      </c>
      <c r="P2015" s="218">
        <f t="shared" si="944"/>
        <v>105.55996977147137</v>
      </c>
    </row>
    <row r="2016" spans="1:17" s="7" customFormat="1" ht="12.75" customHeight="1">
      <c r="A2016" s="46" t="s">
        <v>66</v>
      </c>
      <c r="B2016" s="47" t="s">
        <v>69</v>
      </c>
      <c r="C2016" s="212" t="s">
        <v>1954</v>
      </c>
      <c r="D2016" s="63">
        <v>8971799</v>
      </c>
      <c r="E2016" s="63">
        <v>943969</v>
      </c>
      <c r="F2016" s="63">
        <f t="shared" si="945"/>
        <v>9915768</v>
      </c>
      <c r="G2016" s="38">
        <v>7237624</v>
      </c>
      <c r="H2016" s="38">
        <v>903031</v>
      </c>
      <c r="I2016" s="38">
        <f t="shared" si="936"/>
        <v>8140655</v>
      </c>
      <c r="J2016" s="63">
        <v>17924912</v>
      </c>
      <c r="K2016" s="63">
        <v>901853</v>
      </c>
      <c r="L2016" s="63">
        <f t="shared" si="946"/>
        <v>18826765</v>
      </c>
      <c r="M2016" s="218">
        <f t="shared" si="937"/>
        <v>199.7917251601379</v>
      </c>
      <c r="N2016" s="218">
        <f t="shared" si="938"/>
        <v>189.86693718529921</v>
      </c>
      <c r="O2016" s="218">
        <f t="shared" si="939"/>
        <v>247.66293468685302</v>
      </c>
      <c r="P2016" s="218">
        <f t="shared" si="944"/>
        <v>231.2684298745003</v>
      </c>
    </row>
    <row r="2017" spans="1:16" s="7" customFormat="1" ht="12.75" customHeight="1">
      <c r="A2017" s="46" t="s">
        <v>108</v>
      </c>
      <c r="B2017" s="47" t="s">
        <v>109</v>
      </c>
      <c r="C2017" s="212" t="s">
        <v>1955</v>
      </c>
      <c r="D2017" s="63">
        <v>6571000</v>
      </c>
      <c r="E2017" s="63">
        <v>820842</v>
      </c>
      <c r="F2017" s="63">
        <f t="shared" si="945"/>
        <v>7391842</v>
      </c>
      <c r="G2017" s="38">
        <v>6000500</v>
      </c>
      <c r="H2017" s="38">
        <v>820937</v>
      </c>
      <c r="I2017" s="38">
        <f t="shared" si="936"/>
        <v>6821437</v>
      </c>
      <c r="J2017" s="63">
        <v>18660000</v>
      </c>
      <c r="K2017" s="63">
        <v>901853</v>
      </c>
      <c r="L2017" s="63">
        <f t="shared" si="946"/>
        <v>19561853</v>
      </c>
      <c r="M2017" s="218">
        <f t="shared" si="937"/>
        <v>283.97504185055544</v>
      </c>
      <c r="N2017" s="218">
        <f t="shared" si="938"/>
        <v>264.6411138116859</v>
      </c>
      <c r="O2017" s="218">
        <f t="shared" si="939"/>
        <v>310.97408549287559</v>
      </c>
      <c r="P2017" s="218">
        <f t="shared" si="944"/>
        <v>286.77026556134729</v>
      </c>
    </row>
    <row r="2018" spans="1:16" s="7" customFormat="1" ht="12.75" customHeight="1">
      <c r="A2018" s="46" t="s">
        <v>821</v>
      </c>
      <c r="B2018" s="47" t="s">
        <v>811</v>
      </c>
      <c r="C2018" s="212" t="s">
        <v>1957</v>
      </c>
      <c r="D2018" s="63">
        <v>1163091</v>
      </c>
      <c r="E2018" s="63">
        <v>820842</v>
      </c>
      <c r="F2018" s="63">
        <f t="shared" si="945"/>
        <v>1983933</v>
      </c>
      <c r="G2018" s="38">
        <v>1161178</v>
      </c>
      <c r="H2018" s="38">
        <v>820937</v>
      </c>
      <c r="I2018" s="38">
        <f t="shared" si="936"/>
        <v>1982115</v>
      </c>
      <c r="J2018" s="63">
        <v>1107519</v>
      </c>
      <c r="K2018" s="63">
        <v>751544</v>
      </c>
      <c r="L2018" s="63">
        <f t="shared" ref="L2018:L2019" si="947">SUM(J2018:K2018)</f>
        <v>1859063</v>
      </c>
      <c r="M2018" s="218">
        <f t="shared" si="937"/>
        <v>95.222041955444595</v>
      </c>
      <c r="N2018" s="218">
        <f t="shared" si="938"/>
        <v>93.705936642013626</v>
      </c>
      <c r="O2018" s="218">
        <f t="shared" si="939"/>
        <v>95.378916927465042</v>
      </c>
      <c r="P2018" s="218">
        <f t="shared" si="944"/>
        <v>93.791883921972243</v>
      </c>
    </row>
    <row r="2019" spans="1:16" s="7" customFormat="1" ht="12.75" customHeight="1">
      <c r="A2019" s="46" t="s">
        <v>13</v>
      </c>
      <c r="B2019" s="47" t="s">
        <v>10</v>
      </c>
      <c r="C2019" s="212" t="s">
        <v>1958</v>
      </c>
      <c r="D2019" s="63">
        <v>27301</v>
      </c>
      <c r="E2019" s="63">
        <v>41042</v>
      </c>
      <c r="F2019" s="63">
        <f t="shared" si="945"/>
        <v>68343</v>
      </c>
      <c r="G2019" s="38">
        <v>61476</v>
      </c>
      <c r="H2019" s="38">
        <v>41047</v>
      </c>
      <c r="I2019" s="38">
        <f t="shared" si="936"/>
        <v>102523</v>
      </c>
      <c r="J2019" s="63">
        <v>226024</v>
      </c>
      <c r="K2019" s="63">
        <v>37577</v>
      </c>
      <c r="L2019" s="63">
        <f t="shared" si="947"/>
        <v>263601</v>
      </c>
      <c r="M2019" s="218">
        <f t="shared" si="937"/>
        <v>827.89641405076736</v>
      </c>
      <c r="N2019" s="218">
        <f t="shared" si="938"/>
        <v>385.70299811246213</v>
      </c>
      <c r="O2019" s="218">
        <f t="shared" si="939"/>
        <v>367.66217710976645</v>
      </c>
      <c r="P2019" s="218">
        <f t="shared" si="944"/>
        <v>257.11401344088642</v>
      </c>
    </row>
    <row r="2020" spans="1:16" s="7" customFormat="1" ht="12.75" customHeight="1">
      <c r="A2020" s="46" t="s">
        <v>654</v>
      </c>
      <c r="B2020" s="47" t="s">
        <v>38</v>
      </c>
      <c r="C2020" s="212" t="s">
        <v>1960</v>
      </c>
      <c r="D2020" s="63"/>
      <c r="E2020" s="63"/>
      <c r="F2020" s="63">
        <f>SUM(D2020:E2020)</f>
        <v>0</v>
      </c>
      <c r="G2020" s="38"/>
      <c r="H2020" s="38"/>
      <c r="I2020" s="38">
        <f>SUM(G2020:H2020)</f>
        <v>0</v>
      </c>
      <c r="J2020" s="63"/>
      <c r="K2020" s="63"/>
      <c r="L2020" s="63">
        <f>SUM(J2020:K2020)</f>
        <v>0</v>
      </c>
      <c r="M2020" s="218" t="str">
        <f t="shared" si="937"/>
        <v/>
      </c>
      <c r="N2020" s="218" t="str">
        <f t="shared" si="938"/>
        <v/>
      </c>
      <c r="O2020" s="218" t="str">
        <f t="shared" si="939"/>
        <v/>
      </c>
      <c r="P2020" s="218" t="str">
        <f>IF(I2020&gt;0,IF(L2020&gt;=0,L2020/I2020*100,""),"")</f>
        <v/>
      </c>
    </row>
    <row r="2021" spans="1:16" s="7" customFormat="1" ht="12.75" customHeight="1">
      <c r="A2021" s="46" t="s">
        <v>820</v>
      </c>
      <c r="B2021" s="212" t="s">
        <v>810</v>
      </c>
      <c r="C2021" s="212" t="s">
        <v>1956</v>
      </c>
      <c r="D2021" s="63">
        <v>82577</v>
      </c>
      <c r="E2021" s="63">
        <v>164168</v>
      </c>
      <c r="F2021" s="63">
        <f>SUM(D2021:E2021)</f>
        <v>246745</v>
      </c>
      <c r="G2021" s="38">
        <v>88068</v>
      </c>
      <c r="H2021" s="38">
        <v>164187</v>
      </c>
      <c r="I2021" s="38">
        <f>SUM(G2021:H2021)</f>
        <v>252255</v>
      </c>
      <c r="J2021" s="63"/>
      <c r="K2021" s="63"/>
      <c r="L2021" s="63">
        <f>SUM(J2021:K2021)</f>
        <v>0</v>
      </c>
      <c r="M2021" s="218">
        <f t="shared" si="937"/>
        <v>0</v>
      </c>
      <c r="N2021" s="218">
        <f t="shared" si="938"/>
        <v>0</v>
      </c>
      <c r="O2021" s="218">
        <f t="shared" si="939"/>
        <v>0</v>
      </c>
      <c r="P2021" s="218">
        <f>IF(I2021&gt;0,IF(L2021&gt;=0,L2021/I2021*100,""),"")</f>
        <v>0</v>
      </c>
    </row>
    <row r="2022" spans="1:16" s="7" customFormat="1" ht="12.75" customHeight="1">
      <c r="A2022" s="46" t="s">
        <v>14</v>
      </c>
      <c r="B2022" s="212" t="s">
        <v>9</v>
      </c>
      <c r="C2022" s="212" t="s">
        <v>1959</v>
      </c>
      <c r="D2022" s="63">
        <v>69000</v>
      </c>
      <c r="E2022" s="63"/>
      <c r="F2022" s="63">
        <f>SUM(D2022:E2022)</f>
        <v>69000</v>
      </c>
      <c r="G2022" s="38">
        <v>69000</v>
      </c>
      <c r="H2022" s="38">
        <v>82094</v>
      </c>
      <c r="I2022" s="38">
        <f t="shared" si="936"/>
        <v>151094</v>
      </c>
      <c r="J2022" s="63"/>
      <c r="K2022" s="63"/>
      <c r="L2022" s="63">
        <f>SUM(J2022:K2022)</f>
        <v>0</v>
      </c>
      <c r="M2022" s="218">
        <f t="shared" si="937"/>
        <v>0</v>
      </c>
      <c r="N2022" s="218">
        <f t="shared" si="938"/>
        <v>0</v>
      </c>
      <c r="O2022" s="218">
        <f t="shared" si="939"/>
        <v>0</v>
      </c>
      <c r="P2022" s="218">
        <f t="shared" si="944"/>
        <v>0</v>
      </c>
    </row>
    <row r="2023" spans="1:16" s="7" customFormat="1" ht="12.75" customHeight="1">
      <c r="A2023" s="46" t="s">
        <v>2069</v>
      </c>
      <c r="B2023" s="212" t="s">
        <v>2070</v>
      </c>
      <c r="C2023" s="212" t="s">
        <v>2213</v>
      </c>
      <c r="D2023" s="63"/>
      <c r="E2023" s="63"/>
      <c r="F2023" s="63"/>
      <c r="G2023" s="38">
        <v>357299</v>
      </c>
      <c r="H2023" s="38">
        <v>82094</v>
      </c>
      <c r="I2023" s="38">
        <f t="shared" si="936"/>
        <v>439393</v>
      </c>
      <c r="J2023" s="63"/>
      <c r="K2023" s="63"/>
      <c r="L2023" s="63"/>
      <c r="M2023" s="218" t="str">
        <f t="shared" si="937"/>
        <v/>
      </c>
      <c r="N2023" s="218" t="str">
        <f t="shared" si="938"/>
        <v/>
      </c>
      <c r="O2023" s="218">
        <f t="shared" si="939"/>
        <v>0</v>
      </c>
      <c r="P2023" s="218"/>
    </row>
    <row r="2024" spans="1:16" s="164" customFormat="1" ht="12.75" customHeight="1">
      <c r="A2024" s="46" t="s">
        <v>791</v>
      </c>
      <c r="B2024" s="212" t="s">
        <v>151</v>
      </c>
      <c r="C2024" s="212" t="s">
        <v>1961</v>
      </c>
      <c r="D2024" s="70"/>
      <c r="E2024" s="70"/>
      <c r="F2024" s="63">
        <f t="shared" ref="F2024" si="948">SUM(D2024:E2024)</f>
        <v>0</v>
      </c>
      <c r="G2024" s="84">
        <v>7176960</v>
      </c>
      <c r="H2024" s="84"/>
      <c r="I2024" s="38">
        <f t="shared" si="936"/>
        <v>7176960</v>
      </c>
      <c r="J2024" s="70"/>
      <c r="K2024" s="70"/>
      <c r="L2024" s="63">
        <f t="shared" ref="L2024" si="949">SUM(J2024:K2024)</f>
        <v>0</v>
      </c>
      <c r="M2024" s="218" t="str">
        <f t="shared" si="937"/>
        <v/>
      </c>
      <c r="N2024" s="218" t="str">
        <f t="shared" si="938"/>
        <v/>
      </c>
      <c r="O2024" s="218">
        <f t="shared" si="939"/>
        <v>0</v>
      </c>
      <c r="P2024" s="218">
        <f t="shared" ref="P2024:P2028" si="950">IF(I2024&gt;0,IF(L2024&gt;=0,L2024/I2024*100,""),"")</f>
        <v>0</v>
      </c>
    </row>
    <row r="2025" spans="1:16" ht="6" customHeight="1">
      <c r="A2025" s="36"/>
      <c r="B2025" s="33"/>
      <c r="C2025" s="211" t="s">
        <v>268</v>
      </c>
      <c r="D2025" s="84"/>
      <c r="E2025" s="84"/>
      <c r="F2025" s="63"/>
      <c r="G2025" s="84"/>
      <c r="H2025" s="84"/>
      <c r="I2025" s="38"/>
      <c r="J2025" s="63"/>
      <c r="K2025" s="84"/>
      <c r="L2025" s="63"/>
      <c r="M2025" s="218" t="str">
        <f t="shared" si="937"/>
        <v/>
      </c>
      <c r="N2025" s="218" t="str">
        <f t="shared" si="938"/>
        <v/>
      </c>
      <c r="O2025" s="218" t="str">
        <f t="shared" si="939"/>
        <v/>
      </c>
      <c r="P2025" s="218" t="str">
        <f t="shared" si="950"/>
        <v/>
      </c>
    </row>
    <row r="2026" spans="1:16" s="7" customFormat="1" ht="12.75">
      <c r="A2026" s="98" t="s">
        <v>652</v>
      </c>
      <c r="B2026" s="65" t="s">
        <v>265</v>
      </c>
      <c r="C2026" s="308" t="s">
        <v>940</v>
      </c>
      <c r="D2026" s="55">
        <f>SUM(D2028:D2047)</f>
        <v>49356016</v>
      </c>
      <c r="E2026" s="55">
        <f>SUM(E2028:E2047)</f>
        <v>34624026</v>
      </c>
      <c r="F2026" s="55">
        <f>SUM(D2026:E2026)</f>
        <v>83980042</v>
      </c>
      <c r="G2026" s="55">
        <f>SUM(G2028:G2047)</f>
        <v>157060211</v>
      </c>
      <c r="H2026" s="55">
        <f>SUM(H2028:H2047)</f>
        <v>35391516</v>
      </c>
      <c r="I2026" s="55">
        <f t="shared" ref="I2026:I2047" si="951">SUM(G2026:H2026)</f>
        <v>192451727</v>
      </c>
      <c r="J2026" s="55">
        <f>SUM(J2028:J2047)</f>
        <v>56686639</v>
      </c>
      <c r="K2026" s="55">
        <f>SUM(K2028:K2047)</f>
        <v>31771110</v>
      </c>
      <c r="L2026" s="55">
        <f t="shared" ref="L2026" si="952">SUM(J2026:K2026)</f>
        <v>88457749</v>
      </c>
      <c r="M2026" s="221">
        <f t="shared" si="937"/>
        <v>114.85254198799191</v>
      </c>
      <c r="N2026" s="221">
        <f t="shared" si="938"/>
        <v>105.33187039844537</v>
      </c>
      <c r="O2026" s="221">
        <f t="shared" si="939"/>
        <v>36.092297749428084</v>
      </c>
      <c r="P2026" s="221">
        <f t="shared" si="950"/>
        <v>45.963603641758951</v>
      </c>
    </row>
    <row r="2027" spans="1:16" s="7" customFormat="1" ht="12.75" customHeight="1">
      <c r="A2027" s="99" t="s">
        <v>267</v>
      </c>
      <c r="B2027" s="92"/>
      <c r="C2027" s="312" t="s">
        <v>268</v>
      </c>
      <c r="D2027" s="63">
        <f>SUM(D2028:D2045)</f>
        <v>49356016</v>
      </c>
      <c r="E2027" s="63">
        <f>SUM(E2028:E2045)</f>
        <v>34624026</v>
      </c>
      <c r="F2027" s="63">
        <f>SUM(D2027:E2027)</f>
        <v>83980042</v>
      </c>
      <c r="G2027" s="38">
        <f>SUM(G2028:G2045)</f>
        <v>58088180</v>
      </c>
      <c r="H2027" s="38">
        <f>SUM(H2028:H2045)</f>
        <v>35391516</v>
      </c>
      <c r="I2027" s="38">
        <f t="shared" si="951"/>
        <v>93479696</v>
      </c>
      <c r="J2027" s="63">
        <f>SUM(J2028:J2045)</f>
        <v>56686639</v>
      </c>
      <c r="K2027" s="63">
        <f>SUM(K2028:K2045)</f>
        <v>31771110</v>
      </c>
      <c r="L2027" s="63">
        <f>SUM(J2027:K2027)</f>
        <v>88457749</v>
      </c>
      <c r="M2027" s="218">
        <f t="shared" si="937"/>
        <v>114.85254198799191</v>
      </c>
      <c r="N2027" s="218">
        <f t="shared" si="938"/>
        <v>105.33187039844537</v>
      </c>
      <c r="O2027" s="218">
        <f t="shared" si="939"/>
        <v>97.587218260238146</v>
      </c>
      <c r="P2027" s="218">
        <f t="shared" si="950"/>
        <v>94.627767082169385</v>
      </c>
    </row>
    <row r="2028" spans="1:16" s="7" customFormat="1" ht="12.75" customHeight="1">
      <c r="A2028" s="36" t="s">
        <v>554</v>
      </c>
      <c r="B2028" s="33">
        <v>0</v>
      </c>
      <c r="C2028" s="211" t="s">
        <v>268</v>
      </c>
      <c r="D2028" s="63"/>
      <c r="E2028" s="63">
        <v>11020256</v>
      </c>
      <c r="F2028" s="63">
        <f t="shared" ref="F2028:F2032" si="953">SUM(D2028:E2028)</f>
        <v>11020256</v>
      </c>
      <c r="G2028" s="38"/>
      <c r="H2028" s="38">
        <v>10627052</v>
      </c>
      <c r="I2028" s="38">
        <f t="shared" si="951"/>
        <v>10627052</v>
      </c>
      <c r="J2028" s="63"/>
      <c r="K2028" s="63">
        <v>8892678</v>
      </c>
      <c r="L2028" s="63">
        <f t="shared" ref="L2028:L2032" si="954">SUM(J2028:K2028)</f>
        <v>8892678</v>
      </c>
      <c r="M2028" s="218" t="str">
        <f t="shared" si="937"/>
        <v/>
      </c>
      <c r="N2028" s="218">
        <f t="shared" si="938"/>
        <v>80.693933062897997</v>
      </c>
      <c r="O2028" s="218" t="str">
        <f t="shared" si="939"/>
        <v/>
      </c>
      <c r="P2028" s="218">
        <f t="shared" si="950"/>
        <v>83.679631943082612</v>
      </c>
    </row>
    <row r="2029" spans="1:16" s="7" customFormat="1" ht="12.75" customHeight="1">
      <c r="A2029" s="46" t="s">
        <v>653</v>
      </c>
      <c r="B2029" s="47" t="s">
        <v>528</v>
      </c>
      <c r="C2029" s="212" t="s">
        <v>1962</v>
      </c>
      <c r="D2029" s="63">
        <f>39461223+750000</f>
        <v>40211223</v>
      </c>
      <c r="E2029" s="63">
        <v>16843740</v>
      </c>
      <c r="F2029" s="63">
        <f t="shared" si="953"/>
        <v>57054963</v>
      </c>
      <c r="G2029" s="38">
        <v>45615180</v>
      </c>
      <c r="H2029" s="38">
        <v>16125697</v>
      </c>
      <c r="I2029" s="38">
        <f t="shared" si="951"/>
        <v>61740877</v>
      </c>
      <c r="J2029" s="63">
        <f>47769954+100000</f>
        <v>47869954</v>
      </c>
      <c r="K2029" s="63">
        <v>16122308</v>
      </c>
      <c r="L2029" s="63">
        <f t="shared" si="954"/>
        <v>63992262</v>
      </c>
      <c r="M2029" s="218">
        <f t="shared" si="937"/>
        <v>119.04625233607045</v>
      </c>
      <c r="N2029" s="218">
        <f t="shared" si="938"/>
        <v>112.15897554784146</v>
      </c>
      <c r="O2029" s="218">
        <f t="shared" si="939"/>
        <v>104.94303431445408</v>
      </c>
      <c r="P2029" s="218">
        <f t="shared" ref="P2029:P2047" si="955">IF(I2029&gt;0,IF(L2029&gt;=0,L2029/I2029*100,""),"")</f>
        <v>103.646506349432</v>
      </c>
    </row>
    <row r="2030" spans="1:16" s="7" customFormat="1" ht="12.75" customHeight="1">
      <c r="A2030" s="341" t="s">
        <v>2478</v>
      </c>
      <c r="B2030" s="47"/>
      <c r="C2030" s="212"/>
      <c r="D2030" s="63"/>
      <c r="E2030" s="63"/>
      <c r="F2030" s="63"/>
      <c r="G2030" s="38"/>
      <c r="H2030" s="38"/>
      <c r="I2030" s="38"/>
      <c r="J2030" s="63"/>
      <c r="K2030" s="63"/>
      <c r="L2030" s="63"/>
      <c r="M2030" s="218" t="str">
        <f t="shared" si="937"/>
        <v/>
      </c>
      <c r="N2030" s="218" t="str">
        <f t="shared" si="938"/>
        <v/>
      </c>
      <c r="O2030" s="218" t="str">
        <f t="shared" si="939"/>
        <v/>
      </c>
      <c r="P2030" s="218"/>
    </row>
    <row r="2031" spans="1:16" s="7" customFormat="1" ht="12.75" customHeight="1">
      <c r="A2031" s="36" t="s">
        <v>668</v>
      </c>
      <c r="B2031" s="33" t="s">
        <v>669</v>
      </c>
      <c r="C2031" s="211" t="s">
        <v>1963</v>
      </c>
      <c r="D2031" s="63">
        <v>2631200</v>
      </c>
      <c r="E2031" s="63">
        <v>1690007</v>
      </c>
      <c r="F2031" s="63">
        <f t="shared" si="953"/>
        <v>4321207</v>
      </c>
      <c r="G2031" s="38">
        <v>3117200</v>
      </c>
      <c r="H2031" s="38">
        <v>1782603</v>
      </c>
      <c r="I2031" s="38">
        <f t="shared" si="951"/>
        <v>4899803</v>
      </c>
      <c r="J2031" s="63">
        <v>850000</v>
      </c>
      <c r="K2031" s="63">
        <v>1616850</v>
      </c>
      <c r="L2031" s="63">
        <f t="shared" si="954"/>
        <v>2466850</v>
      </c>
      <c r="M2031" s="218">
        <f t="shared" si="937"/>
        <v>32.304651869869261</v>
      </c>
      <c r="N2031" s="218">
        <f t="shared" si="938"/>
        <v>57.087059240624207</v>
      </c>
      <c r="O2031" s="218">
        <f t="shared" si="939"/>
        <v>27.268061080456818</v>
      </c>
      <c r="P2031" s="218">
        <f t="shared" si="955"/>
        <v>50.345901661760685</v>
      </c>
    </row>
    <row r="2032" spans="1:16" s="7" customFormat="1" ht="12.75" customHeight="1">
      <c r="A2032" s="36" t="s">
        <v>24</v>
      </c>
      <c r="B2032" s="33" t="s">
        <v>25</v>
      </c>
      <c r="C2032" s="211" t="s">
        <v>1964</v>
      </c>
      <c r="D2032" s="63">
        <v>176174</v>
      </c>
      <c r="E2032" s="63">
        <v>1267505</v>
      </c>
      <c r="F2032" s="63">
        <f t="shared" si="953"/>
        <v>1443679</v>
      </c>
      <c r="G2032" s="38">
        <v>505283</v>
      </c>
      <c r="H2032" s="38">
        <v>1508356</v>
      </c>
      <c r="I2032" s="38">
        <f t="shared" si="951"/>
        <v>2013639</v>
      </c>
      <c r="J2032" s="63">
        <v>600000</v>
      </c>
      <c r="K2032" s="63">
        <v>1385872</v>
      </c>
      <c r="L2032" s="63">
        <f t="shared" si="954"/>
        <v>1985872</v>
      </c>
      <c r="M2032" s="218">
        <f t="shared" si="937"/>
        <v>340.57238866120991</v>
      </c>
      <c r="N2032" s="218">
        <f t="shared" si="938"/>
        <v>137.5563404330187</v>
      </c>
      <c r="O2032" s="218">
        <f t="shared" si="939"/>
        <v>118.74533677167054</v>
      </c>
      <c r="P2032" s="218">
        <f t="shared" si="955"/>
        <v>98.621053724128302</v>
      </c>
    </row>
    <row r="2033" spans="1:16" s="7" customFormat="1" ht="12.75" customHeight="1">
      <c r="A2033" s="36" t="s">
        <v>862</v>
      </c>
      <c r="B2033" s="33" t="s">
        <v>861</v>
      </c>
      <c r="C2033" s="211" t="s">
        <v>1965</v>
      </c>
      <c r="D2033" s="63">
        <v>134000</v>
      </c>
      <c r="E2033" s="63">
        <v>1267506</v>
      </c>
      <c r="F2033" s="63">
        <f>SUM(D2033:E2033)</f>
        <v>1401506</v>
      </c>
      <c r="G2033" s="38">
        <v>644000</v>
      </c>
      <c r="H2033" s="38">
        <v>1508356</v>
      </c>
      <c r="I2033" s="38">
        <f t="shared" si="951"/>
        <v>2152356</v>
      </c>
      <c r="J2033" s="63">
        <v>100000</v>
      </c>
      <c r="K2033" s="63">
        <v>1385872</v>
      </c>
      <c r="L2033" s="63">
        <f>SUM(J2033:K2033)</f>
        <v>1485872</v>
      </c>
      <c r="M2033" s="218">
        <f t="shared" si="937"/>
        <v>74.626865671641795</v>
      </c>
      <c r="N2033" s="218">
        <f t="shared" si="938"/>
        <v>106.01966741490938</v>
      </c>
      <c r="O2033" s="218">
        <f t="shared" si="939"/>
        <v>15.527950310559005</v>
      </c>
      <c r="P2033" s="218">
        <f t="shared" si="955"/>
        <v>69.034676419700091</v>
      </c>
    </row>
    <row r="2034" spans="1:16" s="7" customFormat="1" ht="12.75" customHeight="1">
      <c r="A2034" s="46" t="s">
        <v>13</v>
      </c>
      <c r="B2034" s="33" t="s">
        <v>10</v>
      </c>
      <c r="C2034" s="211" t="s">
        <v>1968</v>
      </c>
      <c r="D2034" s="63">
        <v>236000</v>
      </c>
      <c r="E2034" s="63"/>
      <c r="F2034" s="63">
        <f t="shared" ref="F2034:F2047" si="956">SUM(D2034:E2034)</f>
        <v>236000</v>
      </c>
      <c r="G2034" s="38">
        <v>236000</v>
      </c>
      <c r="H2034" s="38">
        <v>137123</v>
      </c>
      <c r="I2034" s="38">
        <f t="shared" si="951"/>
        <v>373123</v>
      </c>
      <c r="J2034" s="63">
        <v>469736</v>
      </c>
      <c r="K2034" s="63"/>
      <c r="L2034" s="63">
        <f t="shared" ref="L2034:L2035" si="957">SUM(J2034:K2034)</f>
        <v>469736</v>
      </c>
      <c r="M2034" s="218">
        <f t="shared" si="937"/>
        <v>199.0406779661017</v>
      </c>
      <c r="N2034" s="218">
        <f t="shared" si="938"/>
        <v>199.0406779661017</v>
      </c>
      <c r="O2034" s="218">
        <f t="shared" si="939"/>
        <v>199.0406779661017</v>
      </c>
      <c r="P2034" s="218">
        <f t="shared" si="955"/>
        <v>125.89307011360864</v>
      </c>
    </row>
    <row r="2035" spans="1:16" s="7" customFormat="1" ht="12.75" customHeight="1">
      <c r="A2035" s="36" t="s">
        <v>654</v>
      </c>
      <c r="B2035" s="33" t="s">
        <v>768</v>
      </c>
      <c r="C2035" s="211" t="s">
        <v>1969</v>
      </c>
      <c r="D2035" s="63"/>
      <c r="E2035" s="63"/>
      <c r="F2035" s="63">
        <f t="shared" si="956"/>
        <v>0</v>
      </c>
      <c r="G2035" s="38"/>
      <c r="H2035" s="38"/>
      <c r="I2035" s="38">
        <f t="shared" si="951"/>
        <v>0</v>
      </c>
      <c r="J2035" s="63"/>
      <c r="K2035" s="63"/>
      <c r="L2035" s="63">
        <f t="shared" si="957"/>
        <v>0</v>
      </c>
      <c r="M2035" s="218" t="str">
        <f t="shared" si="937"/>
        <v/>
      </c>
      <c r="N2035" s="218" t="str">
        <f t="shared" si="938"/>
        <v/>
      </c>
      <c r="O2035" s="218" t="str">
        <f t="shared" si="939"/>
        <v/>
      </c>
      <c r="P2035" s="218" t="str">
        <f t="shared" si="955"/>
        <v/>
      </c>
    </row>
    <row r="2036" spans="1:16" s="7" customFormat="1" ht="12.75" customHeight="1">
      <c r="A2036" s="36" t="s">
        <v>92</v>
      </c>
      <c r="B2036" s="33" t="s">
        <v>91</v>
      </c>
      <c r="C2036" s="211" t="s">
        <v>1970</v>
      </c>
      <c r="D2036" s="63">
        <v>4330</v>
      </c>
      <c r="E2036" s="63">
        <v>140834</v>
      </c>
      <c r="F2036" s="63">
        <f t="shared" si="956"/>
        <v>145164</v>
      </c>
      <c r="G2036" s="38">
        <v>4330</v>
      </c>
      <c r="H2036" s="38">
        <v>137123</v>
      </c>
      <c r="I2036" s="38">
        <f t="shared" si="951"/>
        <v>141453</v>
      </c>
      <c r="J2036" s="63">
        <v>34172</v>
      </c>
      <c r="K2036" s="63">
        <v>115489</v>
      </c>
      <c r="L2036" s="63">
        <f t="shared" ref="L2036" si="958">SUM(J2036:K2036)</f>
        <v>149661</v>
      </c>
      <c r="M2036" s="218">
        <f t="shared" si="937"/>
        <v>789.19168591224013</v>
      </c>
      <c r="N2036" s="218">
        <f t="shared" si="938"/>
        <v>103.09787550632387</v>
      </c>
      <c r="O2036" s="218">
        <f t="shared" si="939"/>
        <v>789.19168591224013</v>
      </c>
      <c r="P2036" s="218">
        <f t="shared" si="955"/>
        <v>105.80263409047528</v>
      </c>
    </row>
    <row r="2037" spans="1:16" s="7" customFormat="1" ht="12.75" customHeight="1">
      <c r="A2037" s="36" t="s">
        <v>859</v>
      </c>
      <c r="B2037" s="33" t="s">
        <v>860</v>
      </c>
      <c r="C2037" s="211" t="s">
        <v>1973</v>
      </c>
      <c r="D2037" s="63">
        <v>350000</v>
      </c>
      <c r="E2037" s="63">
        <v>1126672</v>
      </c>
      <c r="F2037" s="63">
        <f>SUM(D2037:E2037)</f>
        <v>1476672</v>
      </c>
      <c r="G2037" s="38">
        <v>420000</v>
      </c>
      <c r="H2037" s="38">
        <v>1165548</v>
      </c>
      <c r="I2037" s="38">
        <f t="shared" ref="I2037:I2042" si="959">SUM(G2037:H2037)</f>
        <v>1585548</v>
      </c>
      <c r="J2037" s="63">
        <v>170000</v>
      </c>
      <c r="K2037" s="63">
        <v>981659</v>
      </c>
      <c r="L2037" s="63">
        <f t="shared" ref="L2037:L2042" si="960">SUM(J2037:K2037)</f>
        <v>1151659</v>
      </c>
      <c r="M2037" s="218">
        <f t="shared" si="937"/>
        <v>48.571428571428569</v>
      </c>
      <c r="N2037" s="218">
        <f t="shared" si="938"/>
        <v>77.990169787197161</v>
      </c>
      <c r="O2037" s="218">
        <f t="shared" si="939"/>
        <v>40.476190476190474</v>
      </c>
      <c r="P2037" s="218">
        <f t="shared" si="955"/>
        <v>72.634760978538651</v>
      </c>
    </row>
    <row r="2038" spans="1:16" s="7" customFormat="1" ht="12.75" customHeight="1">
      <c r="A2038" s="36" t="s">
        <v>921</v>
      </c>
      <c r="B2038" s="33" t="s">
        <v>922</v>
      </c>
      <c r="C2038" s="211" t="s">
        <v>1975</v>
      </c>
      <c r="D2038" s="63">
        <f>300000+70000</f>
        <v>370000</v>
      </c>
      <c r="E2038" s="63">
        <v>985838</v>
      </c>
      <c r="F2038" s="63">
        <f>SUM(D2038:E2038)</f>
        <v>1355838</v>
      </c>
      <c r="G2038" s="38">
        <v>1709000</v>
      </c>
      <c r="H2038" s="38">
        <v>1234109</v>
      </c>
      <c r="I2038" s="38">
        <f t="shared" si="959"/>
        <v>2943109</v>
      </c>
      <c r="J2038" s="63">
        <v>150000</v>
      </c>
      <c r="K2038" s="63">
        <v>1154893</v>
      </c>
      <c r="L2038" s="63">
        <f t="shared" si="960"/>
        <v>1304893</v>
      </c>
      <c r="M2038" s="218">
        <f t="shared" si="937"/>
        <v>40.54054054054054</v>
      </c>
      <c r="N2038" s="218">
        <f t="shared" si="938"/>
        <v>96.24254520082782</v>
      </c>
      <c r="O2038" s="218">
        <f t="shared" si="939"/>
        <v>8.7770626097132816</v>
      </c>
      <c r="P2038" s="218">
        <f t="shared" si="955"/>
        <v>44.337229779800886</v>
      </c>
    </row>
    <row r="2039" spans="1:16" s="7" customFormat="1" ht="12.75" customHeight="1">
      <c r="A2039" s="36" t="s">
        <v>2069</v>
      </c>
      <c r="B2039" s="33" t="s">
        <v>2070</v>
      </c>
      <c r="C2039" s="211" t="s">
        <v>2214</v>
      </c>
      <c r="D2039" s="63"/>
      <c r="E2039" s="63"/>
      <c r="F2039" s="63"/>
      <c r="G2039" s="38">
        <v>209758</v>
      </c>
      <c r="H2039" s="38">
        <v>205685</v>
      </c>
      <c r="I2039" s="38">
        <f t="shared" si="959"/>
        <v>415443</v>
      </c>
      <c r="J2039" s="63">
        <v>342627</v>
      </c>
      <c r="K2039" s="63">
        <v>115489</v>
      </c>
      <c r="L2039" s="63">
        <f t="shared" si="960"/>
        <v>458116</v>
      </c>
      <c r="M2039" s="218" t="str">
        <f t="shared" si="937"/>
        <v/>
      </c>
      <c r="N2039" s="218" t="str">
        <f t="shared" si="938"/>
        <v/>
      </c>
      <c r="O2039" s="218">
        <f t="shared" si="939"/>
        <v>163.34394874093005</v>
      </c>
      <c r="P2039" s="218">
        <f t="shared" si="955"/>
        <v>110.27168588711326</v>
      </c>
    </row>
    <row r="2040" spans="1:16" s="7" customFormat="1" ht="12.75" customHeight="1">
      <c r="A2040" s="36" t="s">
        <v>641</v>
      </c>
      <c r="B2040" s="33" t="s">
        <v>642</v>
      </c>
      <c r="C2040" s="211" t="s">
        <v>1966</v>
      </c>
      <c r="D2040" s="63">
        <v>950000</v>
      </c>
      <c r="E2040" s="63"/>
      <c r="F2040" s="63">
        <f>SUM(D2040:E2040)</f>
        <v>950000</v>
      </c>
      <c r="G2040" s="38">
        <v>535000</v>
      </c>
      <c r="H2040" s="38">
        <v>274247</v>
      </c>
      <c r="I2040" s="38">
        <f t="shared" si="959"/>
        <v>809247</v>
      </c>
      <c r="J2040" s="63">
        <v>1030000</v>
      </c>
      <c r="K2040" s="63"/>
      <c r="L2040" s="63">
        <f t="shared" si="960"/>
        <v>1030000</v>
      </c>
      <c r="M2040" s="218">
        <f t="shared" si="937"/>
        <v>108.42105263157895</v>
      </c>
      <c r="N2040" s="218">
        <f t="shared" si="938"/>
        <v>108.42105263157895</v>
      </c>
      <c r="O2040" s="218">
        <f t="shared" si="939"/>
        <v>192.52336448598132</v>
      </c>
      <c r="P2040" s="218">
        <f t="shared" si="955"/>
        <v>127.27881598572499</v>
      </c>
    </row>
    <row r="2041" spans="1:16" s="7" customFormat="1" ht="12.75" customHeight="1">
      <c r="A2041" s="359" t="s">
        <v>14</v>
      </c>
      <c r="B2041" s="66" t="s">
        <v>9</v>
      </c>
      <c r="C2041" s="311" t="s">
        <v>1967</v>
      </c>
      <c r="D2041" s="67">
        <f>3290500+26500</f>
        <v>3317000</v>
      </c>
      <c r="E2041" s="67"/>
      <c r="F2041" s="67">
        <f>SUM(D2041:E2041)</f>
        <v>3317000</v>
      </c>
      <c r="G2041" s="61">
        <v>3286607</v>
      </c>
      <c r="H2041" s="61"/>
      <c r="I2041" s="61">
        <f t="shared" si="959"/>
        <v>3286607</v>
      </c>
      <c r="J2041" s="67">
        <v>3873300</v>
      </c>
      <c r="K2041" s="67"/>
      <c r="L2041" s="67">
        <f t="shared" si="960"/>
        <v>3873300</v>
      </c>
      <c r="M2041" s="273">
        <f t="shared" si="937"/>
        <v>116.7711787760024</v>
      </c>
      <c r="N2041" s="273">
        <f t="shared" si="938"/>
        <v>116.7711787760024</v>
      </c>
      <c r="O2041" s="273">
        <f t="shared" si="939"/>
        <v>117.85102386747184</v>
      </c>
      <c r="P2041" s="273">
        <f t="shared" si="955"/>
        <v>117.85102386747184</v>
      </c>
    </row>
    <row r="2042" spans="1:16" s="7" customFormat="1" ht="12.75" customHeight="1">
      <c r="A2042" s="80" t="s">
        <v>651</v>
      </c>
      <c r="B2042" s="79" t="s">
        <v>650</v>
      </c>
      <c r="C2042" s="302" t="s">
        <v>1974</v>
      </c>
      <c r="D2042" s="76">
        <v>928000</v>
      </c>
      <c r="E2042" s="76"/>
      <c r="F2042" s="76">
        <f>SUM(D2042:E2042)</f>
        <v>928000</v>
      </c>
      <c r="G2042" s="116">
        <v>1313590</v>
      </c>
      <c r="H2042" s="116"/>
      <c r="I2042" s="116">
        <f t="shared" si="959"/>
        <v>1313590</v>
      </c>
      <c r="J2042" s="76">
        <v>1196850</v>
      </c>
      <c r="K2042" s="76"/>
      <c r="L2042" s="76">
        <f t="shared" si="960"/>
        <v>1196850</v>
      </c>
      <c r="M2042" s="226">
        <f t="shared" si="937"/>
        <v>128.97090517241378</v>
      </c>
      <c r="N2042" s="226">
        <f t="shared" si="938"/>
        <v>128.97090517241378</v>
      </c>
      <c r="O2042" s="226">
        <f t="shared" si="939"/>
        <v>91.112904330879502</v>
      </c>
      <c r="P2042" s="226">
        <f t="shared" si="955"/>
        <v>91.112904330879502</v>
      </c>
    </row>
    <row r="2043" spans="1:16" s="7" customFormat="1" ht="12.75" customHeight="1">
      <c r="A2043" s="36" t="s">
        <v>857</v>
      </c>
      <c r="B2043" s="211" t="s">
        <v>858</v>
      </c>
      <c r="C2043" s="211" t="s">
        <v>1971</v>
      </c>
      <c r="D2043" s="63">
        <v>8345</v>
      </c>
      <c r="E2043" s="63">
        <v>140834</v>
      </c>
      <c r="F2043" s="63">
        <f t="shared" si="956"/>
        <v>149179</v>
      </c>
      <c r="G2043" s="38">
        <v>56216</v>
      </c>
      <c r="H2043" s="38">
        <v>205685</v>
      </c>
      <c r="I2043" s="38">
        <f t="shared" si="951"/>
        <v>261901</v>
      </c>
      <c r="J2043" s="63"/>
      <c r="K2043" s="63"/>
      <c r="L2043" s="63">
        <f t="shared" ref="L2043:L2047" si="961">SUM(J2043:K2043)</f>
        <v>0</v>
      </c>
      <c r="M2043" s="218">
        <f t="shared" si="937"/>
        <v>0</v>
      </c>
      <c r="N2043" s="218">
        <f t="shared" si="938"/>
        <v>0</v>
      </c>
      <c r="O2043" s="218">
        <f t="shared" si="939"/>
        <v>0</v>
      </c>
      <c r="P2043" s="218">
        <f t="shared" si="955"/>
        <v>0</v>
      </c>
    </row>
    <row r="2044" spans="1:16" s="7" customFormat="1" ht="12.75" customHeight="1">
      <c r="A2044" s="36" t="s">
        <v>895</v>
      </c>
      <c r="B2044" s="211" t="s">
        <v>894</v>
      </c>
      <c r="C2044" s="211" t="s">
        <v>1972</v>
      </c>
      <c r="D2044" s="63">
        <v>39744</v>
      </c>
      <c r="E2044" s="63">
        <v>140834</v>
      </c>
      <c r="F2044" s="63">
        <f t="shared" si="956"/>
        <v>180578</v>
      </c>
      <c r="G2044" s="38">
        <v>58316</v>
      </c>
      <c r="H2044" s="38">
        <v>205685</v>
      </c>
      <c r="I2044" s="38">
        <f t="shared" si="951"/>
        <v>264001</v>
      </c>
      <c r="J2044" s="63"/>
      <c r="K2044" s="63"/>
      <c r="L2044" s="63">
        <f t="shared" si="961"/>
        <v>0</v>
      </c>
      <c r="M2044" s="218">
        <f t="shared" si="937"/>
        <v>0</v>
      </c>
      <c r="N2044" s="218">
        <f t="shared" si="938"/>
        <v>0</v>
      </c>
      <c r="O2044" s="218">
        <f t="shared" si="939"/>
        <v>0</v>
      </c>
      <c r="P2044" s="218">
        <f t="shared" si="955"/>
        <v>0</v>
      </c>
    </row>
    <row r="2045" spans="1:16" s="7" customFormat="1" ht="12.75" customHeight="1">
      <c r="A2045" s="36" t="s">
        <v>210</v>
      </c>
      <c r="B2045" s="211" t="s">
        <v>420</v>
      </c>
      <c r="C2045" s="211" t="s">
        <v>1976</v>
      </c>
      <c r="D2045" s="63"/>
      <c r="E2045" s="63"/>
      <c r="F2045" s="63">
        <f t="shared" si="956"/>
        <v>0</v>
      </c>
      <c r="G2045" s="38">
        <v>377700</v>
      </c>
      <c r="H2045" s="38">
        <v>274247</v>
      </c>
      <c r="I2045" s="38">
        <f t="shared" si="951"/>
        <v>651947</v>
      </c>
      <c r="J2045" s="63"/>
      <c r="K2045" s="63"/>
      <c r="L2045" s="63">
        <f t="shared" si="961"/>
        <v>0</v>
      </c>
      <c r="M2045" s="218" t="str">
        <f t="shared" si="937"/>
        <v/>
      </c>
      <c r="N2045" s="218" t="str">
        <f t="shared" si="938"/>
        <v/>
      </c>
      <c r="O2045" s="218">
        <f t="shared" si="939"/>
        <v>0</v>
      </c>
      <c r="P2045" s="218">
        <f t="shared" si="955"/>
        <v>0</v>
      </c>
    </row>
    <row r="2046" spans="1:16" s="7" customFormat="1" ht="12.75" customHeight="1">
      <c r="A2046" s="46" t="s">
        <v>792</v>
      </c>
      <c r="B2046" s="211" t="s">
        <v>152</v>
      </c>
      <c r="C2046" s="211" t="s">
        <v>1977</v>
      </c>
      <c r="D2046" s="63"/>
      <c r="E2046" s="63"/>
      <c r="F2046" s="63">
        <f t="shared" si="956"/>
        <v>0</v>
      </c>
      <c r="G2046" s="38">
        <v>6049670</v>
      </c>
      <c r="H2046" s="38"/>
      <c r="I2046" s="38">
        <f t="shared" si="951"/>
        <v>6049670</v>
      </c>
      <c r="J2046" s="63"/>
      <c r="K2046" s="63"/>
      <c r="L2046" s="63">
        <f t="shared" si="961"/>
        <v>0</v>
      </c>
      <c r="M2046" s="218" t="str">
        <f t="shared" si="937"/>
        <v/>
      </c>
      <c r="N2046" s="218" t="str">
        <f t="shared" si="938"/>
        <v/>
      </c>
      <c r="O2046" s="218">
        <f t="shared" si="939"/>
        <v>0</v>
      </c>
      <c r="P2046" s="218">
        <f t="shared" si="955"/>
        <v>0</v>
      </c>
    </row>
    <row r="2047" spans="1:16" s="7" customFormat="1" ht="12.75" customHeight="1">
      <c r="A2047" s="36" t="s">
        <v>791</v>
      </c>
      <c r="B2047" s="211" t="s">
        <v>151</v>
      </c>
      <c r="C2047" s="211" t="s">
        <v>1978</v>
      </c>
      <c r="D2047" s="63"/>
      <c r="E2047" s="63"/>
      <c r="F2047" s="63">
        <f t="shared" si="956"/>
        <v>0</v>
      </c>
      <c r="G2047" s="38">
        <v>92922361</v>
      </c>
      <c r="H2047" s="38"/>
      <c r="I2047" s="38">
        <f t="shared" si="951"/>
        <v>92922361</v>
      </c>
      <c r="J2047" s="63"/>
      <c r="K2047" s="63"/>
      <c r="L2047" s="63">
        <f t="shared" si="961"/>
        <v>0</v>
      </c>
      <c r="M2047" s="218" t="str">
        <f t="shared" si="937"/>
        <v/>
      </c>
      <c r="N2047" s="218" t="str">
        <f t="shared" si="938"/>
        <v/>
      </c>
      <c r="O2047" s="218">
        <f t="shared" si="939"/>
        <v>0</v>
      </c>
      <c r="P2047" s="218">
        <f t="shared" si="955"/>
        <v>0</v>
      </c>
    </row>
    <row r="2048" spans="1:16" s="7" customFormat="1" ht="6" customHeight="1">
      <c r="A2048" s="46"/>
      <c r="B2048" s="47"/>
      <c r="C2048" s="212" t="s">
        <v>268</v>
      </c>
      <c r="D2048" s="63"/>
      <c r="E2048" s="63"/>
      <c r="F2048" s="63"/>
      <c r="G2048" s="38"/>
      <c r="H2048" s="38"/>
      <c r="I2048" s="38"/>
      <c r="J2048" s="63"/>
      <c r="K2048" s="63"/>
      <c r="L2048" s="63"/>
      <c r="M2048" s="218" t="str">
        <f t="shared" si="937"/>
        <v/>
      </c>
      <c r="N2048" s="218" t="str">
        <f t="shared" si="938"/>
        <v/>
      </c>
      <c r="O2048" s="218" t="str">
        <f t="shared" si="939"/>
        <v/>
      </c>
      <c r="P2048" s="218" t="str">
        <f t="shared" ref="P2048:P2066" si="962">IF(I2048&gt;0,IF(L2048&gt;=0,L2048/I2048*100,""),"")</f>
        <v/>
      </c>
    </row>
    <row r="2049" spans="1:17" s="11" customFormat="1" ht="12.75">
      <c r="A2049" s="58" t="s">
        <v>198</v>
      </c>
      <c r="B2049" s="65" t="s">
        <v>265</v>
      </c>
      <c r="C2049" s="308" t="s">
        <v>940</v>
      </c>
      <c r="D2049" s="69">
        <f>SUM(D2051:D2055)</f>
        <v>63191448</v>
      </c>
      <c r="E2049" s="69">
        <f>SUM(E2051:E2056)</f>
        <v>0</v>
      </c>
      <c r="F2049" s="69">
        <f t="shared" ref="F2049:F2062" si="963">SUM(D2049:E2049)</f>
        <v>63191448</v>
      </c>
      <c r="G2049" s="115">
        <f>SUM(G2051:G2055)</f>
        <v>69702249</v>
      </c>
      <c r="H2049" s="115">
        <f>SUM(H2051:H2056)</f>
        <v>0</v>
      </c>
      <c r="I2049" s="115">
        <f t="shared" ref="I2049:I2069" si="964">SUM(G2049:H2049)</f>
        <v>69702249</v>
      </c>
      <c r="J2049" s="69">
        <f>SUM(J2051:J2055)</f>
        <v>72081655</v>
      </c>
      <c r="K2049" s="69">
        <f>SUM(K2051:K2056)</f>
        <v>0</v>
      </c>
      <c r="L2049" s="69">
        <f t="shared" ref="L2049:L2062" si="965">SUM(J2049:K2049)</f>
        <v>72081655</v>
      </c>
      <c r="M2049" s="217">
        <f t="shared" si="937"/>
        <v>114.06868695270285</v>
      </c>
      <c r="N2049" s="217">
        <f t="shared" si="938"/>
        <v>114.06868695270285</v>
      </c>
      <c r="O2049" s="217">
        <f t="shared" si="939"/>
        <v>103.41367177406285</v>
      </c>
      <c r="P2049" s="217">
        <f t="shared" si="962"/>
        <v>103.41367177406285</v>
      </c>
      <c r="Q2049" s="107"/>
    </row>
    <row r="2050" spans="1:17" s="11" customFormat="1" ht="12.75" customHeight="1">
      <c r="A2050" s="36" t="s">
        <v>267</v>
      </c>
      <c r="B2050" s="101"/>
      <c r="C2050" s="326" t="s">
        <v>268</v>
      </c>
      <c r="D2050" s="102">
        <f>SUM(D2051:D2053)</f>
        <v>63191448</v>
      </c>
      <c r="E2050" s="102">
        <f>SUM(E2051:E2056)</f>
        <v>0</v>
      </c>
      <c r="F2050" s="102">
        <f t="shared" si="963"/>
        <v>63191448</v>
      </c>
      <c r="G2050" s="87">
        <f>SUM(G2051:G2053)</f>
        <v>68169993</v>
      </c>
      <c r="H2050" s="87">
        <f>SUM(H2051:H2056)</f>
        <v>0</v>
      </c>
      <c r="I2050" s="87">
        <f t="shared" si="964"/>
        <v>68169993</v>
      </c>
      <c r="J2050" s="102">
        <f>SUM(J2051:J2053)</f>
        <v>72081655</v>
      </c>
      <c r="K2050" s="102">
        <f>SUM(K2051:K2056)</f>
        <v>0</v>
      </c>
      <c r="L2050" s="102">
        <f t="shared" si="965"/>
        <v>72081655</v>
      </c>
      <c r="M2050" s="246">
        <f t="shared" si="937"/>
        <v>114.06868695270285</v>
      </c>
      <c r="N2050" s="246">
        <f t="shared" si="938"/>
        <v>114.06868695270285</v>
      </c>
      <c r="O2050" s="246">
        <f t="shared" si="939"/>
        <v>105.73809945968455</v>
      </c>
      <c r="P2050" s="246">
        <f t="shared" si="962"/>
        <v>105.73809945968455</v>
      </c>
    </row>
    <row r="2051" spans="1:17" s="3" customFormat="1" ht="12.75" customHeight="1">
      <c r="A2051" s="46" t="s">
        <v>196</v>
      </c>
      <c r="B2051" s="47" t="s">
        <v>416</v>
      </c>
      <c r="C2051" s="212" t="s">
        <v>1979</v>
      </c>
      <c r="D2051" s="63">
        <v>62662449</v>
      </c>
      <c r="E2051" s="63"/>
      <c r="F2051" s="63">
        <f t="shared" si="963"/>
        <v>62662449</v>
      </c>
      <c r="G2051" s="38">
        <v>67523994</v>
      </c>
      <c r="H2051" s="38"/>
      <c r="I2051" s="38">
        <f t="shared" si="964"/>
        <v>67523994</v>
      </c>
      <c r="J2051" s="63">
        <v>71737655</v>
      </c>
      <c r="K2051" s="63"/>
      <c r="L2051" s="63">
        <f t="shared" si="965"/>
        <v>71737655</v>
      </c>
      <c r="M2051" s="218">
        <f t="shared" si="937"/>
        <v>114.48268643314594</v>
      </c>
      <c r="N2051" s="218">
        <f t="shared" si="938"/>
        <v>114.48268643314594</v>
      </c>
      <c r="O2051" s="218">
        <f t="shared" si="939"/>
        <v>106.24024254252495</v>
      </c>
      <c r="P2051" s="218">
        <f t="shared" si="962"/>
        <v>106.24024254252495</v>
      </c>
    </row>
    <row r="2052" spans="1:17" s="3" customFormat="1" ht="12.75" customHeight="1">
      <c r="A2052" s="46" t="s">
        <v>651</v>
      </c>
      <c r="B2052" s="33" t="s">
        <v>650</v>
      </c>
      <c r="C2052" s="211" t="s">
        <v>1980</v>
      </c>
      <c r="D2052" s="63">
        <v>288000</v>
      </c>
      <c r="E2052" s="63"/>
      <c r="F2052" s="63">
        <f t="shared" si="963"/>
        <v>288000</v>
      </c>
      <c r="G2052" s="38">
        <v>465000</v>
      </c>
      <c r="H2052" s="38"/>
      <c r="I2052" s="38">
        <f t="shared" si="964"/>
        <v>465000</v>
      </c>
      <c r="J2052" s="63">
        <v>278000</v>
      </c>
      <c r="K2052" s="63"/>
      <c r="L2052" s="63">
        <f t="shared" si="965"/>
        <v>278000</v>
      </c>
      <c r="M2052" s="218">
        <f t="shared" si="937"/>
        <v>96.527777777777786</v>
      </c>
      <c r="N2052" s="218">
        <f t="shared" si="938"/>
        <v>96.527777777777786</v>
      </c>
      <c r="O2052" s="218">
        <f t="shared" si="939"/>
        <v>59.784946236559144</v>
      </c>
      <c r="P2052" s="218">
        <f t="shared" si="962"/>
        <v>59.784946236559144</v>
      </c>
    </row>
    <row r="2053" spans="1:17" s="3" customFormat="1" ht="12.75" customHeight="1">
      <c r="A2053" s="46" t="s">
        <v>14</v>
      </c>
      <c r="B2053" s="47" t="s">
        <v>9</v>
      </c>
      <c r="C2053" s="212" t="s">
        <v>1981</v>
      </c>
      <c r="D2053" s="63">
        <v>240999</v>
      </c>
      <c r="E2053" s="63"/>
      <c r="F2053" s="63">
        <f t="shared" si="963"/>
        <v>240999</v>
      </c>
      <c r="G2053" s="38">
        <v>180999</v>
      </c>
      <c r="H2053" s="38"/>
      <c r="I2053" s="38">
        <f t="shared" si="964"/>
        <v>180999</v>
      </c>
      <c r="J2053" s="63">
        <v>66000</v>
      </c>
      <c r="K2053" s="63"/>
      <c r="L2053" s="63">
        <f t="shared" si="965"/>
        <v>66000</v>
      </c>
      <c r="M2053" s="218">
        <f t="shared" si="937"/>
        <v>27.386005751061209</v>
      </c>
      <c r="N2053" s="218">
        <f t="shared" si="938"/>
        <v>27.386005751061209</v>
      </c>
      <c r="O2053" s="218">
        <f t="shared" si="939"/>
        <v>36.464289857955016</v>
      </c>
      <c r="P2053" s="218">
        <f t="shared" si="962"/>
        <v>36.464289857955016</v>
      </c>
    </row>
    <row r="2054" spans="1:17" s="3" customFormat="1" ht="12.75" customHeight="1">
      <c r="A2054" s="46" t="s">
        <v>792</v>
      </c>
      <c r="B2054" s="211" t="s">
        <v>152</v>
      </c>
      <c r="C2054" s="211" t="s">
        <v>1982</v>
      </c>
      <c r="D2054" s="63"/>
      <c r="E2054" s="63"/>
      <c r="F2054" s="63">
        <f t="shared" si="963"/>
        <v>0</v>
      </c>
      <c r="G2054" s="38">
        <v>77000</v>
      </c>
      <c r="H2054" s="38"/>
      <c r="I2054" s="38">
        <f t="shared" si="964"/>
        <v>77000</v>
      </c>
      <c r="J2054" s="63"/>
      <c r="K2054" s="63"/>
      <c r="L2054" s="63">
        <f t="shared" si="965"/>
        <v>0</v>
      </c>
      <c r="M2054" s="218" t="str">
        <f t="shared" si="937"/>
        <v/>
      </c>
      <c r="N2054" s="218" t="str">
        <f t="shared" si="938"/>
        <v/>
      </c>
      <c r="O2054" s="218">
        <f t="shared" si="939"/>
        <v>0</v>
      </c>
      <c r="P2054" s="218">
        <f t="shared" si="962"/>
        <v>0</v>
      </c>
    </row>
    <row r="2055" spans="1:17" s="3" customFormat="1" ht="12.75" customHeight="1">
      <c r="A2055" s="46" t="s">
        <v>791</v>
      </c>
      <c r="B2055" s="211" t="s">
        <v>151</v>
      </c>
      <c r="C2055" s="211" t="s">
        <v>1983</v>
      </c>
      <c r="D2055" s="63"/>
      <c r="E2055" s="63"/>
      <c r="F2055" s="63">
        <f t="shared" si="963"/>
        <v>0</v>
      </c>
      <c r="G2055" s="38">
        <v>1455256</v>
      </c>
      <c r="H2055" s="38"/>
      <c r="I2055" s="38">
        <f t="shared" si="964"/>
        <v>1455256</v>
      </c>
      <c r="J2055" s="63"/>
      <c r="K2055" s="63"/>
      <c r="L2055" s="63">
        <f t="shared" si="965"/>
        <v>0</v>
      </c>
      <c r="M2055" s="218" t="str">
        <f t="shared" si="937"/>
        <v/>
      </c>
      <c r="N2055" s="218" t="str">
        <f t="shared" si="938"/>
        <v/>
      </c>
      <c r="O2055" s="218">
        <f t="shared" si="939"/>
        <v>0</v>
      </c>
      <c r="P2055" s="218">
        <f t="shared" si="962"/>
        <v>0</v>
      </c>
    </row>
    <row r="2056" spans="1:17" s="3" customFormat="1" ht="6" customHeight="1">
      <c r="A2056" s="46"/>
      <c r="B2056" s="47"/>
      <c r="C2056" s="212" t="s">
        <v>268</v>
      </c>
      <c r="D2056" s="63"/>
      <c r="E2056" s="63"/>
      <c r="F2056" s="63">
        <f t="shared" si="963"/>
        <v>0</v>
      </c>
      <c r="G2056" s="38"/>
      <c r="H2056" s="38"/>
      <c r="I2056" s="38">
        <f t="shared" si="964"/>
        <v>0</v>
      </c>
      <c r="J2056" s="63"/>
      <c r="K2056" s="63"/>
      <c r="L2056" s="63">
        <f t="shared" si="965"/>
        <v>0</v>
      </c>
      <c r="M2056" s="218" t="str">
        <f t="shared" si="937"/>
        <v/>
      </c>
      <c r="N2056" s="218" t="str">
        <f t="shared" si="938"/>
        <v/>
      </c>
      <c r="O2056" s="218" t="str">
        <f t="shared" si="939"/>
        <v/>
      </c>
      <c r="P2056" s="218" t="str">
        <f t="shared" si="962"/>
        <v/>
      </c>
    </row>
    <row r="2057" spans="1:17" s="8" customFormat="1" ht="12.75">
      <c r="A2057" s="58" t="s">
        <v>102</v>
      </c>
      <c r="B2057" s="65" t="s">
        <v>265</v>
      </c>
      <c r="C2057" s="308" t="s">
        <v>940</v>
      </c>
      <c r="D2057" s="69">
        <f>SUM(D2059:D2069)</f>
        <v>705389</v>
      </c>
      <c r="E2057" s="83">
        <f>SUM(E2059:E2067)</f>
        <v>65017000</v>
      </c>
      <c r="F2057" s="69">
        <f t="shared" si="963"/>
        <v>65722389</v>
      </c>
      <c r="G2057" s="121">
        <f>SUM(G2059:G2069)</f>
        <v>1124955</v>
      </c>
      <c r="H2057" s="121">
        <f>SUM(H2059:H2067)</f>
        <v>70596059</v>
      </c>
      <c r="I2057" s="115">
        <f t="shared" si="964"/>
        <v>71721014</v>
      </c>
      <c r="J2057" s="69">
        <f>SUM(J2059:J2069)</f>
        <v>1130300</v>
      </c>
      <c r="K2057" s="83">
        <f>SUM(K2059:K2067)</f>
        <v>77843000</v>
      </c>
      <c r="L2057" s="69">
        <f t="shared" si="965"/>
        <v>78973300</v>
      </c>
      <c r="M2057" s="217">
        <f t="shared" si="937"/>
        <v>160.23782622070942</v>
      </c>
      <c r="N2057" s="217">
        <f t="shared" si="938"/>
        <v>120.16194359581178</v>
      </c>
      <c r="O2057" s="217">
        <f t="shared" si="939"/>
        <v>100.47513011631577</v>
      </c>
      <c r="P2057" s="217">
        <f t="shared" si="962"/>
        <v>110.11180070599671</v>
      </c>
    </row>
    <row r="2058" spans="1:17" s="3" customFormat="1" ht="12.75" customHeight="1">
      <c r="A2058" s="46" t="s">
        <v>267</v>
      </c>
      <c r="B2058" s="44"/>
      <c r="C2058" s="304" t="s">
        <v>268</v>
      </c>
      <c r="D2058" s="70">
        <f>SUM(D2059:D2067)</f>
        <v>705389</v>
      </c>
      <c r="E2058" s="70">
        <f>SUM(E2059:E2067)</f>
        <v>65017000</v>
      </c>
      <c r="F2058" s="70">
        <f t="shared" si="963"/>
        <v>65722389</v>
      </c>
      <c r="G2058" s="84">
        <f>SUM(G2059:G2067)</f>
        <v>891555</v>
      </c>
      <c r="H2058" s="84">
        <f>SUM(H2059:H2067)</f>
        <v>70596059</v>
      </c>
      <c r="I2058" s="84">
        <f t="shared" si="964"/>
        <v>71487614</v>
      </c>
      <c r="J2058" s="70">
        <f>SUM(J2059:J2067)</f>
        <v>1130300</v>
      </c>
      <c r="K2058" s="70">
        <f>SUM(K2059:K2067)</f>
        <v>77843000</v>
      </c>
      <c r="L2058" s="70">
        <f t="shared" si="965"/>
        <v>78973300</v>
      </c>
      <c r="M2058" s="224">
        <f t="shared" si="937"/>
        <v>160.23782622070942</v>
      </c>
      <c r="N2058" s="224">
        <f t="shared" si="938"/>
        <v>120.16194359581178</v>
      </c>
      <c r="O2058" s="224">
        <f t="shared" si="939"/>
        <v>126.77849375529271</v>
      </c>
      <c r="P2058" s="224">
        <f t="shared" si="962"/>
        <v>110.4713048612869</v>
      </c>
    </row>
    <row r="2059" spans="1:17" s="3" customFormat="1" ht="12.75" customHeight="1">
      <c r="A2059" s="46" t="s">
        <v>554</v>
      </c>
      <c r="B2059" s="47">
        <v>0</v>
      </c>
      <c r="C2059" s="212" t="s">
        <v>268</v>
      </c>
      <c r="D2059" s="70"/>
      <c r="E2059" s="70">
        <v>17463924</v>
      </c>
      <c r="F2059" s="63">
        <f t="shared" si="963"/>
        <v>17463924</v>
      </c>
      <c r="G2059" s="84"/>
      <c r="H2059" s="84">
        <v>18342480</v>
      </c>
      <c r="I2059" s="38">
        <f t="shared" si="964"/>
        <v>18342480</v>
      </c>
      <c r="J2059" s="63"/>
      <c r="K2059" s="70">
        <v>18554189</v>
      </c>
      <c r="L2059" s="63">
        <f t="shared" si="965"/>
        <v>18554189</v>
      </c>
      <c r="M2059" s="218" t="str">
        <f t="shared" si="937"/>
        <v/>
      </c>
      <c r="N2059" s="218">
        <f t="shared" si="938"/>
        <v>106.24295547781817</v>
      </c>
      <c r="O2059" s="218" t="str">
        <f t="shared" si="939"/>
        <v/>
      </c>
      <c r="P2059" s="218">
        <f t="shared" si="962"/>
        <v>101.15420052250295</v>
      </c>
    </row>
    <row r="2060" spans="1:17" s="3" customFormat="1" ht="24">
      <c r="A2060" s="46" t="s">
        <v>304</v>
      </c>
      <c r="B2060" s="47" t="s">
        <v>462</v>
      </c>
      <c r="C2060" s="212" t="s">
        <v>1984</v>
      </c>
      <c r="D2060" s="63">
        <v>20000</v>
      </c>
      <c r="E2060" s="63">
        <v>45763617</v>
      </c>
      <c r="F2060" s="63">
        <f t="shared" si="963"/>
        <v>45783617</v>
      </c>
      <c r="G2060" s="38">
        <v>70000</v>
      </c>
      <c r="H2060" s="38">
        <v>50379347</v>
      </c>
      <c r="I2060" s="38">
        <f t="shared" si="964"/>
        <v>50449347</v>
      </c>
      <c r="J2060" s="63">
        <v>56000</v>
      </c>
      <c r="K2060" s="63">
        <v>57222183</v>
      </c>
      <c r="L2060" s="63">
        <f t="shared" si="965"/>
        <v>57278183</v>
      </c>
      <c r="M2060" s="218">
        <f t="shared" si="937"/>
        <v>280</v>
      </c>
      <c r="N2060" s="218">
        <f t="shared" si="938"/>
        <v>125.10628638187325</v>
      </c>
      <c r="O2060" s="218">
        <f t="shared" si="939"/>
        <v>80</v>
      </c>
      <c r="P2060" s="218">
        <f t="shared" si="962"/>
        <v>113.53602455944574</v>
      </c>
    </row>
    <row r="2061" spans="1:17" s="3" customFormat="1" ht="24">
      <c r="A2061" s="46" t="s">
        <v>349</v>
      </c>
      <c r="B2061" s="47" t="s">
        <v>461</v>
      </c>
      <c r="C2061" s="212" t="s">
        <v>1985</v>
      </c>
      <c r="D2061" s="63"/>
      <c r="E2061" s="63">
        <v>1789459</v>
      </c>
      <c r="F2061" s="63">
        <f t="shared" si="963"/>
        <v>1789459</v>
      </c>
      <c r="G2061" s="38"/>
      <c r="H2061" s="38">
        <v>1874232</v>
      </c>
      <c r="I2061" s="38">
        <f t="shared" si="964"/>
        <v>1874232</v>
      </c>
      <c r="J2061" s="63">
        <v>1000</v>
      </c>
      <c r="K2061" s="63">
        <v>2066628</v>
      </c>
      <c r="L2061" s="63">
        <f t="shared" si="965"/>
        <v>2067628</v>
      </c>
      <c r="M2061" s="218" t="str">
        <f t="shared" si="937"/>
        <v/>
      </c>
      <c r="N2061" s="218">
        <f t="shared" si="938"/>
        <v>115.54486579463401</v>
      </c>
      <c r="O2061" s="218" t="str">
        <f t="shared" si="939"/>
        <v/>
      </c>
      <c r="P2061" s="218">
        <f t="shared" si="962"/>
        <v>110.31867986460588</v>
      </c>
    </row>
    <row r="2062" spans="1:17" s="7" customFormat="1" ht="12.75" customHeight="1">
      <c r="A2062" s="46" t="s">
        <v>13</v>
      </c>
      <c r="B2062" s="33" t="s">
        <v>10</v>
      </c>
      <c r="C2062" s="211" t="s">
        <v>1986</v>
      </c>
      <c r="D2062" s="63">
        <v>275000</v>
      </c>
      <c r="E2062" s="63"/>
      <c r="F2062" s="63">
        <f t="shared" si="963"/>
        <v>275000</v>
      </c>
      <c r="G2062" s="38">
        <v>275000</v>
      </c>
      <c r="H2062" s="38"/>
      <c r="I2062" s="38">
        <f t="shared" si="964"/>
        <v>275000</v>
      </c>
      <c r="J2062" s="63">
        <v>700000</v>
      </c>
      <c r="K2062" s="63"/>
      <c r="L2062" s="63">
        <f t="shared" si="965"/>
        <v>700000</v>
      </c>
      <c r="M2062" s="218">
        <f t="shared" si="937"/>
        <v>254.54545454545453</v>
      </c>
      <c r="N2062" s="218">
        <f t="shared" si="938"/>
        <v>254.54545454545453</v>
      </c>
      <c r="O2062" s="218">
        <f t="shared" si="939"/>
        <v>254.54545454545453</v>
      </c>
      <c r="P2062" s="218">
        <f t="shared" si="962"/>
        <v>254.54545454545453</v>
      </c>
    </row>
    <row r="2063" spans="1:17" s="3" customFormat="1" ht="12.75" customHeight="1">
      <c r="A2063" s="46" t="s">
        <v>651</v>
      </c>
      <c r="B2063" s="47" t="s">
        <v>650</v>
      </c>
      <c r="C2063" s="212" t="s">
        <v>1987</v>
      </c>
      <c r="D2063" s="63">
        <v>271489</v>
      </c>
      <c r="E2063" s="63"/>
      <c r="F2063" s="63">
        <f>SUM(D2063:E2063)</f>
        <v>271489</v>
      </c>
      <c r="G2063" s="38">
        <v>320089</v>
      </c>
      <c r="H2063" s="38"/>
      <c r="I2063" s="38">
        <f t="shared" si="964"/>
        <v>320089</v>
      </c>
      <c r="J2063" s="63">
        <v>343300</v>
      </c>
      <c r="K2063" s="63"/>
      <c r="L2063" s="63">
        <f>SUM(J2063:K2063)</f>
        <v>343300</v>
      </c>
      <c r="M2063" s="218">
        <f t="shared" ref="M2063:M2126" si="966">IF(D2063&gt;0,IF(J2063&gt;=0,J2063/D2063*100,""),"")</f>
        <v>126.45079542817572</v>
      </c>
      <c r="N2063" s="218">
        <f t="shared" ref="N2063:N2126" si="967">IF(F2063&gt;0,IF(L2063&gt;=0,L2063/F2063*100,""),"")</f>
        <v>126.45079542817572</v>
      </c>
      <c r="O2063" s="218">
        <f t="shared" ref="O2063:O2126" si="968">IF(G2063&gt;0,IF(J2063&gt;=0,J2063/G2063*100,""),"")</f>
        <v>107.25142069861819</v>
      </c>
      <c r="P2063" s="218">
        <f t="shared" si="962"/>
        <v>107.25142069861819</v>
      </c>
    </row>
    <row r="2064" spans="1:17" s="3" customFormat="1" ht="12.75" customHeight="1">
      <c r="A2064" s="46" t="s">
        <v>401</v>
      </c>
      <c r="B2064" s="47" t="s">
        <v>679</v>
      </c>
      <c r="C2064" s="212" t="s">
        <v>1988</v>
      </c>
      <c r="D2064" s="63"/>
      <c r="E2064" s="63"/>
      <c r="F2064" s="63">
        <f>SUM(D2064:E2064)</f>
        <v>0</v>
      </c>
      <c r="G2064" s="38">
        <v>67466</v>
      </c>
      <c r="H2064" s="38"/>
      <c r="I2064" s="38">
        <f t="shared" si="964"/>
        <v>67466</v>
      </c>
      <c r="J2064" s="63"/>
      <c r="K2064" s="63"/>
      <c r="L2064" s="63">
        <f>SUM(J2064:K2064)</f>
        <v>0</v>
      </c>
      <c r="M2064" s="218" t="str">
        <f t="shared" si="966"/>
        <v/>
      </c>
      <c r="N2064" s="218" t="str">
        <f t="shared" si="967"/>
        <v/>
      </c>
      <c r="O2064" s="218">
        <f t="shared" si="968"/>
        <v>0</v>
      </c>
      <c r="P2064" s="218">
        <f t="shared" si="962"/>
        <v>0</v>
      </c>
    </row>
    <row r="2065" spans="1:16" ht="12.75" customHeight="1">
      <c r="A2065" s="36" t="s">
        <v>14</v>
      </c>
      <c r="B2065" s="33" t="s">
        <v>9</v>
      </c>
      <c r="C2065" s="211" t="s">
        <v>1989</v>
      </c>
      <c r="D2065" s="293">
        <f>11900+24000</f>
        <v>35900</v>
      </c>
      <c r="E2065" s="293"/>
      <c r="F2065" s="63">
        <f>SUM(D2065:E2065)</f>
        <v>35900</v>
      </c>
      <c r="G2065" s="293">
        <v>35900</v>
      </c>
      <c r="H2065" s="293"/>
      <c r="I2065" s="38">
        <f t="shared" si="964"/>
        <v>35900</v>
      </c>
      <c r="J2065" s="293">
        <v>30000</v>
      </c>
      <c r="K2065" s="293"/>
      <c r="L2065" s="63">
        <f>SUM(J2065:K2065)</f>
        <v>30000</v>
      </c>
      <c r="M2065" s="218">
        <f t="shared" si="966"/>
        <v>83.565459610027858</v>
      </c>
      <c r="N2065" s="218">
        <f t="shared" si="967"/>
        <v>83.565459610027858</v>
      </c>
      <c r="O2065" s="218">
        <f t="shared" si="968"/>
        <v>83.565459610027858</v>
      </c>
      <c r="P2065" s="218">
        <f t="shared" si="962"/>
        <v>83.565459610027858</v>
      </c>
    </row>
    <row r="2066" spans="1:16" ht="12.75" customHeight="1">
      <c r="A2066" s="36" t="s">
        <v>641</v>
      </c>
      <c r="B2066" s="211" t="s">
        <v>642</v>
      </c>
      <c r="C2066" s="211" t="s">
        <v>1990</v>
      </c>
      <c r="D2066" s="166">
        <v>103000</v>
      </c>
      <c r="E2066" s="166"/>
      <c r="F2066" s="63">
        <f>SUM(D2066:E2066)</f>
        <v>103000</v>
      </c>
      <c r="G2066" s="166">
        <v>103000</v>
      </c>
      <c r="H2066" s="166"/>
      <c r="I2066" s="38">
        <f t="shared" si="964"/>
        <v>103000</v>
      </c>
      <c r="J2066" s="166"/>
      <c r="K2066" s="166"/>
      <c r="L2066" s="63">
        <f>SUM(J2066:K2066)</f>
        <v>0</v>
      </c>
      <c r="M2066" s="218">
        <f t="shared" si="966"/>
        <v>0</v>
      </c>
      <c r="N2066" s="218">
        <f t="shared" si="967"/>
        <v>0</v>
      </c>
      <c r="O2066" s="218">
        <f t="shared" si="968"/>
        <v>0</v>
      </c>
      <c r="P2066" s="218">
        <f t="shared" si="962"/>
        <v>0</v>
      </c>
    </row>
    <row r="2067" spans="1:16" ht="12.75" customHeight="1">
      <c r="A2067" s="93" t="s">
        <v>2069</v>
      </c>
      <c r="B2067" s="340" t="s">
        <v>2070</v>
      </c>
      <c r="C2067" s="211" t="s">
        <v>2215</v>
      </c>
      <c r="D2067" s="166"/>
      <c r="E2067" s="166"/>
      <c r="F2067" s="63"/>
      <c r="G2067" s="166">
        <v>20100</v>
      </c>
      <c r="H2067" s="166"/>
      <c r="I2067" s="38">
        <f t="shared" si="964"/>
        <v>20100</v>
      </c>
      <c r="J2067" s="166"/>
      <c r="K2067" s="166"/>
      <c r="L2067" s="63"/>
      <c r="M2067" s="218" t="str">
        <f t="shared" si="966"/>
        <v/>
      </c>
      <c r="N2067" s="218" t="str">
        <f t="shared" si="967"/>
        <v/>
      </c>
      <c r="O2067" s="218">
        <f t="shared" si="968"/>
        <v>0</v>
      </c>
      <c r="P2067" s="218"/>
    </row>
    <row r="2068" spans="1:16" s="3" customFormat="1" ht="12.75" customHeight="1">
      <c r="A2068" s="46" t="s">
        <v>792</v>
      </c>
      <c r="B2068" s="211" t="s">
        <v>152</v>
      </c>
      <c r="C2068" s="211" t="s">
        <v>1991</v>
      </c>
      <c r="D2068" s="167"/>
      <c r="E2068" s="167"/>
      <c r="F2068" s="63">
        <f t="shared" ref="F2068:F2069" si="969">SUM(D2068:E2068)</f>
        <v>0</v>
      </c>
      <c r="G2068" s="269">
        <v>49000</v>
      </c>
      <c r="H2068" s="269"/>
      <c r="I2068" s="38">
        <f t="shared" si="964"/>
        <v>49000</v>
      </c>
      <c r="J2068" s="167"/>
      <c r="K2068" s="167"/>
      <c r="L2068" s="63">
        <f t="shared" ref="L2068:L2069" si="970">SUM(J2068:K2068)</f>
        <v>0</v>
      </c>
      <c r="M2068" s="218" t="str">
        <f t="shared" si="966"/>
        <v/>
      </c>
      <c r="N2068" s="218" t="str">
        <f t="shared" si="967"/>
        <v/>
      </c>
      <c r="O2068" s="218">
        <f t="shared" si="968"/>
        <v>0</v>
      </c>
      <c r="P2068" s="218">
        <f t="shared" ref="P2068:P2081" si="971">IF(I2068&gt;0,IF(L2068&gt;=0,L2068/I2068*100,""),"")</f>
        <v>0</v>
      </c>
    </row>
    <row r="2069" spans="1:16" s="3" customFormat="1" ht="12.75" customHeight="1">
      <c r="A2069" s="46" t="s">
        <v>791</v>
      </c>
      <c r="B2069" s="211" t="s">
        <v>151</v>
      </c>
      <c r="C2069" s="211" t="s">
        <v>1992</v>
      </c>
      <c r="D2069" s="63"/>
      <c r="E2069" s="63"/>
      <c r="F2069" s="63">
        <f t="shared" si="969"/>
        <v>0</v>
      </c>
      <c r="G2069" s="38">
        <v>184400</v>
      </c>
      <c r="H2069" s="38"/>
      <c r="I2069" s="38">
        <f t="shared" si="964"/>
        <v>184400</v>
      </c>
      <c r="J2069" s="63"/>
      <c r="K2069" s="63"/>
      <c r="L2069" s="63">
        <f t="shared" si="970"/>
        <v>0</v>
      </c>
      <c r="M2069" s="218" t="str">
        <f t="shared" si="966"/>
        <v/>
      </c>
      <c r="N2069" s="218" t="str">
        <f t="shared" si="967"/>
        <v/>
      </c>
      <c r="O2069" s="218">
        <f t="shared" si="968"/>
        <v>0</v>
      </c>
      <c r="P2069" s="218">
        <f t="shared" si="971"/>
        <v>0</v>
      </c>
    </row>
    <row r="2070" spans="1:16" s="3" customFormat="1" ht="6" customHeight="1">
      <c r="A2070" s="46"/>
      <c r="B2070" s="47"/>
      <c r="C2070" s="212" t="s">
        <v>268</v>
      </c>
      <c r="D2070" s="63"/>
      <c r="E2070" s="63"/>
      <c r="F2070" s="63"/>
      <c r="G2070" s="38"/>
      <c r="H2070" s="38"/>
      <c r="I2070" s="38"/>
      <c r="J2070" s="63"/>
      <c r="K2070" s="63"/>
      <c r="L2070" s="63"/>
      <c r="M2070" s="218" t="str">
        <f t="shared" si="966"/>
        <v/>
      </c>
      <c r="N2070" s="218" t="str">
        <f t="shared" si="967"/>
        <v/>
      </c>
      <c r="O2070" s="218" t="str">
        <f t="shared" si="968"/>
        <v/>
      </c>
      <c r="P2070" s="218" t="str">
        <f t="shared" si="971"/>
        <v/>
      </c>
    </row>
    <row r="2071" spans="1:16" s="3" customFormat="1" ht="12.75">
      <c r="A2071" s="58" t="s">
        <v>400</v>
      </c>
      <c r="B2071" s="65" t="s">
        <v>265</v>
      </c>
      <c r="C2071" s="308" t="s">
        <v>940</v>
      </c>
      <c r="D2071" s="121">
        <f>SUM(D2073:D2077)</f>
        <v>9163000</v>
      </c>
      <c r="E2071" s="121">
        <f>SUM(E2073:E2077)</f>
        <v>0</v>
      </c>
      <c r="F2071" s="60">
        <f t="shared" ref="F2071" si="972">SUM(D2071:E2071)</f>
        <v>9163000</v>
      </c>
      <c r="G2071" s="121">
        <f>SUM(G2073:G2077)</f>
        <v>9883687</v>
      </c>
      <c r="H2071" s="121">
        <f>SUM(H2073:H2077)</f>
        <v>0</v>
      </c>
      <c r="I2071" s="60">
        <f t="shared" ref="I2071:I2077" si="973">SUM(G2071:H2071)</f>
        <v>9883687</v>
      </c>
      <c r="J2071" s="60">
        <f>SUM(J2073:J2077)</f>
        <v>9630960</v>
      </c>
      <c r="K2071" s="121">
        <f>SUM(K2073:K2077)</f>
        <v>0</v>
      </c>
      <c r="L2071" s="60">
        <f t="shared" ref="L2071" si="974">SUM(J2071:K2071)</f>
        <v>9630960</v>
      </c>
      <c r="M2071" s="231">
        <f t="shared" si="966"/>
        <v>105.10706100622068</v>
      </c>
      <c r="N2071" s="231">
        <f t="shared" si="967"/>
        <v>105.10706100622068</v>
      </c>
      <c r="O2071" s="231">
        <f t="shared" si="968"/>
        <v>97.442988633695094</v>
      </c>
      <c r="P2071" s="231">
        <f t="shared" si="971"/>
        <v>97.442988633695094</v>
      </c>
    </row>
    <row r="2072" spans="1:16" s="3" customFormat="1" ht="12.75" customHeight="1">
      <c r="A2072" s="80" t="s">
        <v>267</v>
      </c>
      <c r="B2072" s="79"/>
      <c r="C2072" s="302" t="s">
        <v>268</v>
      </c>
      <c r="D2072" s="76">
        <f>SUM(D2073:D2075)</f>
        <v>9163000</v>
      </c>
      <c r="E2072" s="76">
        <f>SUM(E2073:E2075)</f>
        <v>0</v>
      </c>
      <c r="F2072" s="63">
        <f>SUM(D2072:E2072)</f>
        <v>9163000</v>
      </c>
      <c r="G2072" s="116">
        <f>SUM(G2073:G2075)</f>
        <v>9867687</v>
      </c>
      <c r="H2072" s="116">
        <f>SUM(H2073:H2075)</f>
        <v>0</v>
      </c>
      <c r="I2072" s="38">
        <f t="shared" si="973"/>
        <v>9867687</v>
      </c>
      <c r="J2072" s="63">
        <f>SUM(J2073:J2076)</f>
        <v>9630960</v>
      </c>
      <c r="K2072" s="76">
        <f>SUM(K2073:K2075)</f>
        <v>0</v>
      </c>
      <c r="L2072" s="63">
        <f>SUM(J2072:K2072)</f>
        <v>9630960</v>
      </c>
      <c r="M2072" s="218">
        <f t="shared" si="966"/>
        <v>105.10706100622068</v>
      </c>
      <c r="N2072" s="218">
        <f t="shared" si="967"/>
        <v>105.10706100622068</v>
      </c>
      <c r="O2072" s="218">
        <f t="shared" si="968"/>
        <v>97.600987951887817</v>
      </c>
      <c r="P2072" s="218">
        <f t="shared" si="971"/>
        <v>97.600987951887817</v>
      </c>
    </row>
    <row r="2073" spans="1:16" s="3" customFormat="1" ht="12.75" customHeight="1">
      <c r="A2073" s="46" t="s">
        <v>196</v>
      </c>
      <c r="B2073" s="47" t="s">
        <v>416</v>
      </c>
      <c r="C2073" s="212" t="s">
        <v>1993</v>
      </c>
      <c r="D2073" s="70">
        <v>8159000</v>
      </c>
      <c r="E2073" s="70"/>
      <c r="F2073" s="70">
        <f t="shared" ref="F2073:F2074" si="975">SUM(D2073:E2073)</f>
        <v>8159000</v>
      </c>
      <c r="G2073" s="84">
        <v>8836138</v>
      </c>
      <c r="H2073" s="84"/>
      <c r="I2073" s="84">
        <f t="shared" si="973"/>
        <v>8836138</v>
      </c>
      <c r="J2073" s="70">
        <v>8473365</v>
      </c>
      <c r="K2073" s="70"/>
      <c r="L2073" s="70">
        <f t="shared" ref="L2073:L2074" si="976">SUM(J2073:K2073)</f>
        <v>8473365</v>
      </c>
      <c r="M2073" s="224">
        <f t="shared" si="966"/>
        <v>103.85298443436695</v>
      </c>
      <c r="N2073" s="224">
        <f t="shared" si="967"/>
        <v>103.85298443436695</v>
      </c>
      <c r="O2073" s="224">
        <f t="shared" si="968"/>
        <v>95.894439403277758</v>
      </c>
      <c r="P2073" s="224">
        <f t="shared" si="971"/>
        <v>95.894439403277758</v>
      </c>
    </row>
    <row r="2074" spans="1:16" s="3" customFormat="1" ht="12.75" customHeight="1">
      <c r="A2074" s="46" t="s">
        <v>324</v>
      </c>
      <c r="B2074" s="47" t="s">
        <v>446</v>
      </c>
      <c r="C2074" s="212" t="s">
        <v>1994</v>
      </c>
      <c r="D2074" s="70">
        <v>950000</v>
      </c>
      <c r="E2074" s="70"/>
      <c r="F2074" s="70">
        <f t="shared" si="975"/>
        <v>950000</v>
      </c>
      <c r="G2074" s="84">
        <v>990000</v>
      </c>
      <c r="H2074" s="84"/>
      <c r="I2074" s="84">
        <f t="shared" si="973"/>
        <v>990000</v>
      </c>
      <c r="J2074" s="70">
        <v>1000000</v>
      </c>
      <c r="K2074" s="70"/>
      <c r="L2074" s="70">
        <f t="shared" si="976"/>
        <v>1000000</v>
      </c>
      <c r="M2074" s="224">
        <f t="shared" si="966"/>
        <v>105.26315789473684</v>
      </c>
      <c r="N2074" s="224">
        <f t="shared" si="967"/>
        <v>105.26315789473684</v>
      </c>
      <c r="O2074" s="224">
        <f t="shared" si="968"/>
        <v>101.01010101010101</v>
      </c>
      <c r="P2074" s="224">
        <f t="shared" si="971"/>
        <v>101.01010101010101</v>
      </c>
    </row>
    <row r="2075" spans="1:16" s="3" customFormat="1" ht="12.75" customHeight="1">
      <c r="A2075" s="46" t="s">
        <v>13</v>
      </c>
      <c r="B2075" s="47" t="s">
        <v>10</v>
      </c>
      <c r="C2075" s="212" t="s">
        <v>1995</v>
      </c>
      <c r="D2075" s="70">
        <v>54000</v>
      </c>
      <c r="E2075" s="70"/>
      <c r="F2075" s="70">
        <f>SUM(D2075:E2075)</f>
        <v>54000</v>
      </c>
      <c r="G2075" s="84">
        <v>41549</v>
      </c>
      <c r="H2075" s="84"/>
      <c r="I2075" s="84">
        <f t="shared" si="973"/>
        <v>41549</v>
      </c>
      <c r="J2075" s="70">
        <v>76635</v>
      </c>
      <c r="K2075" s="70"/>
      <c r="L2075" s="70">
        <f>SUM(J2075:K2075)</f>
        <v>76635</v>
      </c>
      <c r="M2075" s="224">
        <f t="shared" si="966"/>
        <v>141.91666666666666</v>
      </c>
      <c r="N2075" s="224">
        <f t="shared" si="967"/>
        <v>141.91666666666666</v>
      </c>
      <c r="O2075" s="224">
        <f t="shared" si="968"/>
        <v>184.44487231943009</v>
      </c>
      <c r="P2075" s="224">
        <f t="shared" si="971"/>
        <v>184.44487231943009</v>
      </c>
    </row>
    <row r="2076" spans="1:16" s="3" customFormat="1" ht="24">
      <c r="A2076" s="46" t="s">
        <v>2461</v>
      </c>
      <c r="B2076" s="47" t="s">
        <v>2460</v>
      </c>
      <c r="C2076" s="212"/>
      <c r="D2076" s="70"/>
      <c r="E2076" s="70"/>
      <c r="F2076" s="70"/>
      <c r="G2076" s="84"/>
      <c r="H2076" s="84"/>
      <c r="I2076" s="84"/>
      <c r="J2076" s="70">
        <v>80960</v>
      </c>
      <c r="K2076" s="70"/>
      <c r="L2076" s="70">
        <f>SUM(J2076:K2076)</f>
        <v>80960</v>
      </c>
      <c r="M2076" s="224" t="str">
        <f t="shared" si="966"/>
        <v/>
      </c>
      <c r="N2076" s="224" t="str">
        <f t="shared" si="967"/>
        <v/>
      </c>
      <c r="O2076" s="224" t="str">
        <f t="shared" si="968"/>
        <v/>
      </c>
      <c r="P2076" s="224" t="str">
        <f t="shared" ref="P2076:P2077" si="977">IF(I2076&gt;0,IF(L2076&gt;=0,L2076/I2076*100,""),"")</f>
        <v/>
      </c>
    </row>
    <row r="2077" spans="1:16" s="3" customFormat="1" ht="12.75" customHeight="1">
      <c r="A2077" s="46" t="s">
        <v>5</v>
      </c>
      <c r="B2077" s="212" t="s">
        <v>151</v>
      </c>
      <c r="C2077" s="212" t="s">
        <v>1996</v>
      </c>
      <c r="D2077" s="70"/>
      <c r="E2077" s="70"/>
      <c r="F2077" s="70">
        <f t="shared" ref="F2077" si="978">SUM(D2077:E2077)</f>
        <v>0</v>
      </c>
      <c r="G2077" s="84">
        <v>16000</v>
      </c>
      <c r="H2077" s="84"/>
      <c r="I2077" s="84">
        <f t="shared" si="973"/>
        <v>16000</v>
      </c>
      <c r="J2077" s="70"/>
      <c r="K2077" s="70"/>
      <c r="L2077" s="70">
        <f t="shared" ref="L2077" si="979">SUM(J2077:K2077)</f>
        <v>0</v>
      </c>
      <c r="M2077" s="224" t="str">
        <f t="shared" si="966"/>
        <v/>
      </c>
      <c r="N2077" s="224" t="str">
        <f t="shared" si="967"/>
        <v/>
      </c>
      <c r="O2077" s="224">
        <f t="shared" si="968"/>
        <v>0</v>
      </c>
      <c r="P2077" s="224">
        <f t="shared" si="977"/>
        <v>0</v>
      </c>
    </row>
    <row r="2078" spans="1:16" s="3" customFormat="1" ht="6" customHeight="1">
      <c r="A2078" s="46"/>
      <c r="B2078" s="47"/>
      <c r="C2078" s="212" t="s">
        <v>268</v>
      </c>
      <c r="D2078" s="63"/>
      <c r="E2078" s="63"/>
      <c r="F2078" s="63"/>
      <c r="G2078" s="38"/>
      <c r="H2078" s="38"/>
      <c r="I2078" s="38"/>
      <c r="J2078" s="63"/>
      <c r="K2078" s="63"/>
      <c r="L2078" s="63"/>
      <c r="M2078" s="218" t="str">
        <f t="shared" si="966"/>
        <v/>
      </c>
      <c r="N2078" s="218" t="str">
        <f t="shared" si="967"/>
        <v/>
      </c>
      <c r="O2078" s="218" t="str">
        <f t="shared" si="968"/>
        <v/>
      </c>
      <c r="P2078" s="218" t="str">
        <f t="shared" si="971"/>
        <v/>
      </c>
    </row>
    <row r="2079" spans="1:16" s="8" customFormat="1" ht="12.75">
      <c r="A2079" s="58" t="s">
        <v>221</v>
      </c>
      <c r="B2079" s="65" t="s">
        <v>265</v>
      </c>
      <c r="C2079" s="308" t="s">
        <v>940</v>
      </c>
      <c r="D2079" s="69">
        <f>SUM(D2081:D2102)</f>
        <v>74481180</v>
      </c>
      <c r="E2079" s="69">
        <f>SUM(E2081:E2102)</f>
        <v>73139795</v>
      </c>
      <c r="F2079" s="69">
        <f>SUM(D2079:E2079)</f>
        <v>147620975</v>
      </c>
      <c r="G2079" s="115">
        <f>SUM(G2081:G2102)</f>
        <v>147533663</v>
      </c>
      <c r="H2079" s="115">
        <f>SUM(H2081:H2102)</f>
        <v>78418291</v>
      </c>
      <c r="I2079" s="115">
        <f t="shared" ref="I2079:I2106" si="980">SUM(G2079:H2079)</f>
        <v>225951954</v>
      </c>
      <c r="J2079" s="69">
        <f>SUM(J2081:J2102)</f>
        <v>173239124</v>
      </c>
      <c r="K2079" s="69">
        <f>SUM(K2081:K2102)</f>
        <v>80649000</v>
      </c>
      <c r="L2079" s="69">
        <f>SUM(J2079:K2079)</f>
        <v>253888124</v>
      </c>
      <c r="M2079" s="217">
        <f t="shared" si="966"/>
        <v>232.59449434071803</v>
      </c>
      <c r="N2079" s="217">
        <f t="shared" si="967"/>
        <v>171.98648362808876</v>
      </c>
      <c r="O2079" s="217">
        <f t="shared" si="968"/>
        <v>117.42345474063096</v>
      </c>
      <c r="P2079" s="217">
        <f t="shared" si="971"/>
        <v>112.36376561718072</v>
      </c>
    </row>
    <row r="2080" spans="1:16" s="3" customFormat="1" ht="12.75" customHeight="1">
      <c r="A2080" s="80" t="s">
        <v>267</v>
      </c>
      <c r="B2080" s="79"/>
      <c r="C2080" s="302" t="s">
        <v>268</v>
      </c>
      <c r="D2080" s="63">
        <f>SUM(D2081:D2101)</f>
        <v>74481180</v>
      </c>
      <c r="E2080" s="76">
        <f>SUM(E2081:E2101)</f>
        <v>73139795</v>
      </c>
      <c r="F2080" s="63">
        <f>SUM(D2080:E2080)</f>
        <v>147620975</v>
      </c>
      <c r="G2080" s="116">
        <f>SUM(G2081:G2101)</f>
        <v>126384949</v>
      </c>
      <c r="H2080" s="116">
        <f>SUM(H2081:H2101)</f>
        <v>78418291</v>
      </c>
      <c r="I2080" s="38">
        <f t="shared" si="980"/>
        <v>204803240</v>
      </c>
      <c r="J2080" s="76">
        <f>SUM(J2081:J2101)</f>
        <v>173239124</v>
      </c>
      <c r="K2080" s="76">
        <f>SUM(K2081:K2101)</f>
        <v>80649000</v>
      </c>
      <c r="L2080" s="63">
        <f>SUM(J2080:K2080)</f>
        <v>253888124</v>
      </c>
      <c r="M2080" s="218">
        <f t="shared" si="966"/>
        <v>232.59449434071803</v>
      </c>
      <c r="N2080" s="218">
        <f t="shared" si="967"/>
        <v>171.98648362808876</v>
      </c>
      <c r="O2080" s="218">
        <f t="shared" si="968"/>
        <v>137.07259081933879</v>
      </c>
      <c r="P2080" s="218">
        <f t="shared" si="971"/>
        <v>123.96684935257861</v>
      </c>
    </row>
    <row r="2081" spans="1:16" s="3" customFormat="1" ht="12.75" customHeight="1">
      <c r="A2081" s="36" t="s">
        <v>554</v>
      </c>
      <c r="B2081" s="33">
        <v>0</v>
      </c>
      <c r="C2081" s="211" t="s">
        <v>268</v>
      </c>
      <c r="D2081" s="63"/>
      <c r="E2081" s="63">
        <v>15276695</v>
      </c>
      <c r="F2081" s="63">
        <f>SUM(D2081:E2081)</f>
        <v>15276695</v>
      </c>
      <c r="G2081" s="38"/>
      <c r="H2081" s="38">
        <v>16135027</v>
      </c>
      <c r="I2081" s="38">
        <f t="shared" si="980"/>
        <v>16135027</v>
      </c>
      <c r="J2081" s="63"/>
      <c r="K2081" s="63">
        <v>16308524</v>
      </c>
      <c r="L2081" s="63">
        <f>SUM(J2081:K2081)</f>
        <v>16308524</v>
      </c>
      <c r="M2081" s="218" t="str">
        <f t="shared" si="966"/>
        <v/>
      </c>
      <c r="N2081" s="218">
        <f t="shared" si="967"/>
        <v>106.75426851161195</v>
      </c>
      <c r="O2081" s="218" t="str">
        <f t="shared" si="968"/>
        <v/>
      </c>
      <c r="P2081" s="218">
        <f t="shared" si="971"/>
        <v>101.07528174573244</v>
      </c>
    </row>
    <row r="2082" spans="1:16" s="3" customFormat="1" ht="24">
      <c r="A2082" s="36" t="s">
        <v>353</v>
      </c>
      <c r="B2082" s="33" t="s">
        <v>501</v>
      </c>
      <c r="C2082" s="211" t="s">
        <v>1997</v>
      </c>
      <c r="D2082" s="63">
        <f>2221600+25000</f>
        <v>2246600</v>
      </c>
      <c r="E2082" s="63">
        <v>10358855</v>
      </c>
      <c r="F2082" s="63">
        <f t="shared" ref="F2082:F2101" si="981">SUM(D2082:E2082)</f>
        <v>12605455</v>
      </c>
      <c r="G2082" s="38">
        <v>2832383</v>
      </c>
      <c r="H2082" s="270">
        <v>10382617</v>
      </c>
      <c r="I2082" s="38">
        <f t="shared" si="980"/>
        <v>13215000</v>
      </c>
      <c r="J2082" s="63">
        <f>24324197+625000</f>
        <v>24949197</v>
      </c>
      <c r="K2082" s="63">
        <v>10927829</v>
      </c>
      <c r="L2082" s="63">
        <f>SUM(J2082:K2082)</f>
        <v>35877026</v>
      </c>
      <c r="M2082" s="218">
        <f t="shared" si="966"/>
        <v>1110.5313362414315</v>
      </c>
      <c r="N2082" s="218">
        <f t="shared" si="967"/>
        <v>284.61508132788543</v>
      </c>
      <c r="O2082" s="218">
        <f t="shared" si="968"/>
        <v>880.85534336281501</v>
      </c>
      <c r="P2082" s="218">
        <f t="shared" ref="P2082:P2102" si="982">IF(I2082&gt;0,IF(L2082&gt;=0,L2082/I2082*100,""),"")</f>
        <v>271.48714339765417</v>
      </c>
    </row>
    <row r="2083" spans="1:16" s="3" customFormat="1" ht="12.75" customHeight="1">
      <c r="A2083" s="36" t="s">
        <v>392</v>
      </c>
      <c r="B2083" s="33" t="s">
        <v>502</v>
      </c>
      <c r="C2083" s="211" t="s">
        <v>1998</v>
      </c>
      <c r="D2083" s="63">
        <f>11082339+1564000</f>
        <v>12646339</v>
      </c>
      <c r="E2083" s="63">
        <v>5650285</v>
      </c>
      <c r="F2083" s="63">
        <f t="shared" si="981"/>
        <v>18296624</v>
      </c>
      <c r="G2083" s="38">
        <v>15351362</v>
      </c>
      <c r="H2083" s="38">
        <v>6057369</v>
      </c>
      <c r="I2083" s="38">
        <f t="shared" si="980"/>
        <v>21408731</v>
      </c>
      <c r="J2083" s="63">
        <v>23147043</v>
      </c>
      <c r="K2083" s="63">
        <v>6487666</v>
      </c>
      <c r="L2083" s="63">
        <f t="shared" ref="L2083:L2101" si="983">SUM(J2083:K2083)</f>
        <v>29634709</v>
      </c>
      <c r="M2083" s="218">
        <f t="shared" si="966"/>
        <v>183.03354828618779</v>
      </c>
      <c r="N2083" s="218">
        <f t="shared" si="967"/>
        <v>161.96818057801264</v>
      </c>
      <c r="O2083" s="218">
        <f t="shared" si="968"/>
        <v>150.78168959861674</v>
      </c>
      <c r="P2083" s="218">
        <f t="shared" si="982"/>
        <v>138.42347311477735</v>
      </c>
    </row>
    <row r="2084" spans="1:16" s="3" customFormat="1" ht="12.75" customHeight="1">
      <c r="A2084" s="36" t="s">
        <v>354</v>
      </c>
      <c r="B2084" s="33" t="s">
        <v>503</v>
      </c>
      <c r="C2084" s="211" t="s">
        <v>1999</v>
      </c>
      <c r="D2084" s="63">
        <f>5905200+1118000</f>
        <v>7023200</v>
      </c>
      <c r="E2084" s="63">
        <v>2301968</v>
      </c>
      <c r="F2084" s="63">
        <f t="shared" si="981"/>
        <v>9325168</v>
      </c>
      <c r="G2084" s="38">
        <v>7707887</v>
      </c>
      <c r="H2084" s="38">
        <v>2690070</v>
      </c>
      <c r="I2084" s="38">
        <f t="shared" si="980"/>
        <v>10397957</v>
      </c>
      <c r="J2084" s="63">
        <v>36954930</v>
      </c>
      <c r="K2084" s="63">
        <v>2234044</v>
      </c>
      <c r="L2084" s="63">
        <f t="shared" si="983"/>
        <v>39188974</v>
      </c>
      <c r="M2084" s="218">
        <f t="shared" si="966"/>
        <v>526.18364847932571</v>
      </c>
      <c r="N2084" s="218">
        <f t="shared" si="967"/>
        <v>420.2495225823277</v>
      </c>
      <c r="O2084" s="218">
        <f t="shared" si="968"/>
        <v>479.44306915760438</v>
      </c>
      <c r="P2084" s="218">
        <f t="shared" si="982"/>
        <v>376.89109504876774</v>
      </c>
    </row>
    <row r="2085" spans="1:16" s="3" customFormat="1" ht="12.75" customHeight="1">
      <c r="A2085" s="36" t="s">
        <v>355</v>
      </c>
      <c r="B2085" s="33" t="s">
        <v>504</v>
      </c>
      <c r="C2085" s="211" t="s">
        <v>2000</v>
      </c>
      <c r="D2085" s="63">
        <v>25500</v>
      </c>
      <c r="E2085" s="63">
        <v>1046349</v>
      </c>
      <c r="F2085" s="63">
        <f t="shared" si="981"/>
        <v>1071849</v>
      </c>
      <c r="G2085" s="38">
        <v>177500</v>
      </c>
      <c r="H2085" s="38">
        <v>1161170</v>
      </c>
      <c r="I2085" s="38">
        <f t="shared" si="980"/>
        <v>1338670</v>
      </c>
      <c r="J2085" s="63">
        <v>15387101</v>
      </c>
      <c r="K2085" s="63">
        <v>1675533</v>
      </c>
      <c r="L2085" s="63">
        <f t="shared" si="983"/>
        <v>17062634</v>
      </c>
      <c r="M2085" s="218">
        <f t="shared" si="966"/>
        <v>60341.572549019613</v>
      </c>
      <c r="N2085" s="218">
        <f t="shared" si="967"/>
        <v>1591.8878498743761</v>
      </c>
      <c r="O2085" s="218">
        <f t="shared" si="968"/>
        <v>8668.7892957746481</v>
      </c>
      <c r="P2085" s="218">
        <f t="shared" si="982"/>
        <v>1274.5959795916842</v>
      </c>
    </row>
    <row r="2086" spans="1:16" s="3" customFormat="1" ht="12.75" customHeight="1">
      <c r="A2086" s="36" t="s">
        <v>206</v>
      </c>
      <c r="B2086" s="33" t="s">
        <v>505</v>
      </c>
      <c r="C2086" s="211" t="s">
        <v>2001</v>
      </c>
      <c r="D2086" s="63">
        <v>165700</v>
      </c>
      <c r="E2086" s="63">
        <v>2406603</v>
      </c>
      <c r="F2086" s="63">
        <f t="shared" si="981"/>
        <v>2572303</v>
      </c>
      <c r="G2086" s="38">
        <v>328700</v>
      </c>
      <c r="H2086" s="38">
        <v>2757694</v>
      </c>
      <c r="I2086" s="38">
        <f t="shared" si="980"/>
        <v>3086394</v>
      </c>
      <c r="J2086" s="63">
        <v>1673760</v>
      </c>
      <c r="K2086" s="63">
        <v>2680853</v>
      </c>
      <c r="L2086" s="63">
        <f t="shared" si="983"/>
        <v>4354613</v>
      </c>
      <c r="M2086" s="218">
        <f t="shared" si="966"/>
        <v>1010.1146650573324</v>
      </c>
      <c r="N2086" s="218">
        <f t="shared" si="967"/>
        <v>169.28849361836456</v>
      </c>
      <c r="O2086" s="218">
        <f t="shared" si="968"/>
        <v>509.20596288408888</v>
      </c>
      <c r="P2086" s="218">
        <f t="shared" si="982"/>
        <v>141.09063846028732</v>
      </c>
    </row>
    <row r="2087" spans="1:16" s="7" customFormat="1" ht="12.75" customHeight="1">
      <c r="A2087" s="46" t="s">
        <v>13</v>
      </c>
      <c r="B2087" s="33" t="s">
        <v>10</v>
      </c>
      <c r="C2087" s="211" t="s">
        <v>2004</v>
      </c>
      <c r="D2087" s="63">
        <v>134800</v>
      </c>
      <c r="E2087" s="63">
        <v>26159</v>
      </c>
      <c r="F2087" s="63">
        <f t="shared" ref="F2087:F2093" si="984">SUM(D2087:E2087)</f>
        <v>160959</v>
      </c>
      <c r="G2087" s="38">
        <v>134800</v>
      </c>
      <c r="H2087" s="38">
        <v>917</v>
      </c>
      <c r="I2087" s="38">
        <f t="shared" ref="I2087:I2100" si="985">SUM(G2087:H2087)</f>
        <v>135717</v>
      </c>
      <c r="J2087" s="63">
        <v>398047</v>
      </c>
      <c r="K2087" s="63">
        <v>27926</v>
      </c>
      <c r="L2087" s="63">
        <f t="shared" ref="L2087:L2100" si="986">SUM(J2087:K2087)</f>
        <v>425973</v>
      </c>
      <c r="M2087" s="218">
        <f t="shared" si="966"/>
        <v>295.28709198813056</v>
      </c>
      <c r="N2087" s="218">
        <f t="shared" si="967"/>
        <v>264.64689765716736</v>
      </c>
      <c r="O2087" s="218">
        <f t="shared" si="968"/>
        <v>295.28709198813056</v>
      </c>
      <c r="P2087" s="218">
        <f t="shared" si="982"/>
        <v>313.86856473396847</v>
      </c>
    </row>
    <row r="2088" spans="1:16" s="3" customFormat="1" ht="12" customHeight="1">
      <c r="A2088" s="36" t="s">
        <v>352</v>
      </c>
      <c r="B2088" s="33" t="s">
        <v>500</v>
      </c>
      <c r="C2088" s="211" t="s">
        <v>2007</v>
      </c>
      <c r="D2088" s="63">
        <f>47051851+300000</f>
        <v>47351851</v>
      </c>
      <c r="E2088" s="63">
        <v>35968246</v>
      </c>
      <c r="F2088" s="63">
        <f t="shared" si="984"/>
        <v>83320097</v>
      </c>
      <c r="G2088" s="38">
        <v>66219867</v>
      </c>
      <c r="H2088" s="270">
        <v>34867201</v>
      </c>
      <c r="I2088" s="38">
        <f t="shared" si="985"/>
        <v>101087068</v>
      </c>
      <c r="J2088" s="63">
        <f>57805932-1500000</f>
        <v>56305932</v>
      </c>
      <c r="K2088" s="63">
        <v>37707310</v>
      </c>
      <c r="L2088" s="63">
        <f t="shared" si="986"/>
        <v>94013242</v>
      </c>
      <c r="M2088" s="218">
        <f t="shared" si="966"/>
        <v>118.90967472422567</v>
      </c>
      <c r="N2088" s="218">
        <f t="shared" si="967"/>
        <v>112.83381247143771</v>
      </c>
      <c r="O2088" s="218">
        <f t="shared" si="968"/>
        <v>85.028760326564836</v>
      </c>
      <c r="P2088" s="218">
        <f t="shared" si="982"/>
        <v>93.002244362256121</v>
      </c>
    </row>
    <row r="2089" spans="1:16" s="7" customFormat="1" ht="12.75" customHeight="1">
      <c r="A2089" s="36" t="s">
        <v>871</v>
      </c>
      <c r="B2089" s="47" t="s">
        <v>868</v>
      </c>
      <c r="C2089" s="212" t="s">
        <v>2008</v>
      </c>
      <c r="D2089" s="63">
        <v>2104464</v>
      </c>
      <c r="E2089" s="63"/>
      <c r="F2089" s="63">
        <f t="shared" si="984"/>
        <v>2104464</v>
      </c>
      <c r="G2089" s="38">
        <v>2565705</v>
      </c>
      <c r="H2089" s="38">
        <v>176488</v>
      </c>
      <c r="I2089" s="38">
        <f t="shared" si="985"/>
        <v>2742193</v>
      </c>
      <c r="J2089" s="63">
        <v>1789874</v>
      </c>
      <c r="K2089" s="63"/>
      <c r="L2089" s="63">
        <f t="shared" si="986"/>
        <v>1789874</v>
      </c>
      <c r="M2089" s="218">
        <f t="shared" si="966"/>
        <v>85.051300473659794</v>
      </c>
      <c r="N2089" s="218">
        <f t="shared" si="967"/>
        <v>85.051300473659794</v>
      </c>
      <c r="O2089" s="218">
        <f t="shared" si="968"/>
        <v>69.761488557725855</v>
      </c>
      <c r="P2089" s="218">
        <f t="shared" si="982"/>
        <v>65.271627489385324</v>
      </c>
    </row>
    <row r="2090" spans="1:16" s="7" customFormat="1" ht="24">
      <c r="A2090" s="36" t="s">
        <v>896</v>
      </c>
      <c r="B2090" s="47" t="s">
        <v>888</v>
      </c>
      <c r="C2090" s="212" t="s">
        <v>2009</v>
      </c>
      <c r="D2090" s="63">
        <v>355082</v>
      </c>
      <c r="E2090" s="63"/>
      <c r="F2090" s="63">
        <f t="shared" si="984"/>
        <v>355082</v>
      </c>
      <c r="G2090" s="38">
        <v>364490</v>
      </c>
      <c r="H2090" s="38">
        <v>157220</v>
      </c>
      <c r="I2090" s="38">
        <f t="shared" si="985"/>
        <v>521710</v>
      </c>
      <c r="J2090" s="63">
        <v>236722</v>
      </c>
      <c r="K2090" s="63"/>
      <c r="L2090" s="63">
        <f t="shared" si="986"/>
        <v>236722</v>
      </c>
      <c r="M2090" s="218">
        <f t="shared" si="966"/>
        <v>66.666854416726267</v>
      </c>
      <c r="N2090" s="218">
        <f t="shared" si="967"/>
        <v>66.666854416726267</v>
      </c>
      <c r="O2090" s="218">
        <f t="shared" si="968"/>
        <v>64.946089055941187</v>
      </c>
      <c r="P2090" s="218">
        <f t="shared" si="982"/>
        <v>45.374250062295147</v>
      </c>
    </row>
    <row r="2091" spans="1:16" s="7" customFormat="1" ht="12.75" customHeight="1">
      <c r="A2091" s="46" t="s">
        <v>123</v>
      </c>
      <c r="B2091" s="33" t="s">
        <v>88</v>
      </c>
      <c r="C2091" s="211" t="s">
        <v>2010</v>
      </c>
      <c r="D2091" s="63">
        <v>585231</v>
      </c>
      <c r="E2091" s="63"/>
      <c r="F2091" s="63">
        <f t="shared" si="984"/>
        <v>585231</v>
      </c>
      <c r="G2091" s="38">
        <v>639556</v>
      </c>
      <c r="H2091" s="38">
        <v>89281</v>
      </c>
      <c r="I2091" s="38">
        <f t="shared" si="985"/>
        <v>728837</v>
      </c>
      <c r="J2091" s="63">
        <v>655599</v>
      </c>
      <c r="K2091" s="63"/>
      <c r="L2091" s="63">
        <f t="shared" si="986"/>
        <v>655599</v>
      </c>
      <c r="M2091" s="218">
        <f t="shared" si="966"/>
        <v>112.02397002209383</v>
      </c>
      <c r="N2091" s="218">
        <f t="shared" si="967"/>
        <v>112.02397002209383</v>
      </c>
      <c r="O2091" s="218">
        <f t="shared" si="968"/>
        <v>102.50845899342669</v>
      </c>
      <c r="P2091" s="218">
        <f t="shared" si="982"/>
        <v>89.951388307673724</v>
      </c>
    </row>
    <row r="2092" spans="1:16" s="7" customFormat="1" ht="12.75" customHeight="1">
      <c r="A2092" s="46" t="s">
        <v>160</v>
      </c>
      <c r="B2092" s="47" t="s">
        <v>506</v>
      </c>
      <c r="C2092" s="212" t="s">
        <v>2011</v>
      </c>
      <c r="D2092" s="63"/>
      <c r="E2092" s="63"/>
      <c r="F2092" s="63">
        <f t="shared" si="984"/>
        <v>0</v>
      </c>
      <c r="G2092" s="38"/>
      <c r="H2092" s="38"/>
      <c r="I2092" s="38">
        <f t="shared" si="985"/>
        <v>0</v>
      </c>
      <c r="J2092" s="63"/>
      <c r="K2092" s="63"/>
      <c r="L2092" s="63">
        <f t="shared" si="986"/>
        <v>0</v>
      </c>
      <c r="M2092" s="218" t="str">
        <f t="shared" si="966"/>
        <v/>
      </c>
      <c r="N2092" s="218" t="str">
        <f t="shared" si="967"/>
        <v/>
      </c>
      <c r="O2092" s="218" t="str">
        <f t="shared" si="968"/>
        <v/>
      </c>
      <c r="P2092" s="218" t="str">
        <f t="shared" si="982"/>
        <v/>
      </c>
    </row>
    <row r="2093" spans="1:16" s="7" customFormat="1" ht="12.75" customHeight="1">
      <c r="A2093" s="36" t="s">
        <v>819</v>
      </c>
      <c r="B2093" s="47" t="s">
        <v>647</v>
      </c>
      <c r="C2093" s="212" t="s">
        <v>2012</v>
      </c>
      <c r="D2093" s="63">
        <f>1209985-1209985</f>
        <v>0</v>
      </c>
      <c r="E2093" s="63"/>
      <c r="F2093" s="63">
        <f t="shared" si="984"/>
        <v>0</v>
      </c>
      <c r="G2093" s="38"/>
      <c r="H2093" s="38"/>
      <c r="I2093" s="38">
        <f t="shared" si="985"/>
        <v>0</v>
      </c>
      <c r="J2093" s="63">
        <v>1300</v>
      </c>
      <c r="K2093" s="63"/>
      <c r="L2093" s="63">
        <f t="shared" si="986"/>
        <v>1300</v>
      </c>
      <c r="M2093" s="218" t="str">
        <f t="shared" si="966"/>
        <v/>
      </c>
      <c r="N2093" s="218" t="str">
        <f t="shared" si="967"/>
        <v/>
      </c>
      <c r="O2093" s="218" t="str">
        <f t="shared" si="968"/>
        <v/>
      </c>
      <c r="P2093" s="218" t="str">
        <f t="shared" si="982"/>
        <v/>
      </c>
    </row>
    <row r="2094" spans="1:16" s="7" customFormat="1" ht="12.75" customHeight="1">
      <c r="A2094" s="36" t="s">
        <v>2069</v>
      </c>
      <c r="B2094" s="47" t="s">
        <v>2070</v>
      </c>
      <c r="C2094" s="212" t="s">
        <v>2216</v>
      </c>
      <c r="D2094" s="63"/>
      <c r="E2094" s="63"/>
      <c r="F2094" s="63"/>
      <c r="G2094" s="38">
        <v>22280043</v>
      </c>
      <c r="H2094" s="38">
        <v>3512479</v>
      </c>
      <c r="I2094" s="38">
        <f t="shared" si="985"/>
        <v>25792522</v>
      </c>
      <c r="J2094" s="63">
        <v>1000000</v>
      </c>
      <c r="K2094" s="63">
        <v>2499900</v>
      </c>
      <c r="L2094" s="63">
        <f t="shared" si="986"/>
        <v>3499900</v>
      </c>
      <c r="M2094" s="218" t="str">
        <f t="shared" si="966"/>
        <v/>
      </c>
      <c r="N2094" s="218" t="str">
        <f t="shared" si="967"/>
        <v/>
      </c>
      <c r="O2094" s="218">
        <f t="shared" si="968"/>
        <v>4.4883216787328459</v>
      </c>
      <c r="P2094" s="218">
        <f t="shared" si="982"/>
        <v>13.569436908883899</v>
      </c>
    </row>
    <row r="2095" spans="1:16" s="7" customFormat="1" ht="12.75" customHeight="1">
      <c r="A2095" s="46" t="s">
        <v>677</v>
      </c>
      <c r="B2095" s="47" t="s">
        <v>507</v>
      </c>
      <c r="C2095" s="212" t="s">
        <v>2002</v>
      </c>
      <c r="D2095" s="63">
        <v>949800</v>
      </c>
      <c r="E2095" s="63">
        <v>104635</v>
      </c>
      <c r="F2095" s="63">
        <f>SUM(D2095:E2095)</f>
        <v>1054435</v>
      </c>
      <c r="G2095" s="38">
        <v>1839802</v>
      </c>
      <c r="H2095" s="38">
        <v>63063</v>
      </c>
      <c r="I2095" s="38">
        <f>SUM(G2095:H2095)</f>
        <v>1902865</v>
      </c>
      <c r="J2095" s="63">
        <f>1000000+2500000+850000</f>
        <v>4350000</v>
      </c>
      <c r="K2095" s="63">
        <v>99415</v>
      </c>
      <c r="L2095" s="63">
        <f>SUM(J2095:K2095)</f>
        <v>4449415</v>
      </c>
      <c r="M2095" s="218">
        <f t="shared" si="966"/>
        <v>457.99115603284906</v>
      </c>
      <c r="N2095" s="218">
        <f t="shared" si="967"/>
        <v>421.97148235785039</v>
      </c>
      <c r="O2095" s="218">
        <f t="shared" si="968"/>
        <v>236.43848631537523</v>
      </c>
      <c r="P2095" s="218">
        <f t="shared" ref="P2095:P2098" si="987">IF(I2095&gt;0,IF(L2095&gt;=0,L2095/I2095*100,""),"")</f>
        <v>233.82715011311893</v>
      </c>
    </row>
    <row r="2096" spans="1:16" s="7" customFormat="1" ht="12.75" customHeight="1">
      <c r="A2096" s="46" t="s">
        <v>2347</v>
      </c>
      <c r="B2096" s="33" t="s">
        <v>2346</v>
      </c>
      <c r="C2096" s="211" t="s">
        <v>2318</v>
      </c>
      <c r="D2096" s="63"/>
      <c r="E2096" s="63"/>
      <c r="F2096" s="63"/>
      <c r="G2096" s="38">
        <v>4678998</v>
      </c>
      <c r="H2096" s="38">
        <v>98550</v>
      </c>
      <c r="I2096" s="38">
        <f>SUM(G2096:H2096)</f>
        <v>4777548</v>
      </c>
      <c r="J2096" s="63">
        <v>3741017</v>
      </c>
      <c r="K2096" s="63"/>
      <c r="L2096" s="63">
        <f t="shared" ref="L2096:L2098" si="988">SUM(J2096:K2096)</f>
        <v>3741017</v>
      </c>
      <c r="M2096" s="218" t="str">
        <f t="shared" si="966"/>
        <v/>
      </c>
      <c r="N2096" s="218" t="str">
        <f t="shared" si="967"/>
        <v/>
      </c>
      <c r="O2096" s="218">
        <f t="shared" si="968"/>
        <v>79.953378907193368</v>
      </c>
      <c r="P2096" s="218">
        <f t="shared" si="987"/>
        <v>78.304121695899227</v>
      </c>
    </row>
    <row r="2097" spans="1:16" s="7" customFormat="1" ht="24">
      <c r="A2097" s="359" t="s">
        <v>2464</v>
      </c>
      <c r="B2097" s="66" t="s">
        <v>2465</v>
      </c>
      <c r="C2097" s="311"/>
      <c r="D2097" s="67"/>
      <c r="E2097" s="67"/>
      <c r="F2097" s="67"/>
      <c r="G2097" s="61"/>
      <c r="H2097" s="61"/>
      <c r="I2097" s="61"/>
      <c r="J2097" s="67">
        <v>346314</v>
      </c>
      <c r="K2097" s="67"/>
      <c r="L2097" s="67">
        <f t="shared" si="988"/>
        <v>346314</v>
      </c>
      <c r="M2097" s="273" t="str">
        <f t="shared" si="966"/>
        <v/>
      </c>
      <c r="N2097" s="273" t="str">
        <f t="shared" si="967"/>
        <v/>
      </c>
      <c r="O2097" s="273" t="str">
        <f t="shared" si="968"/>
        <v/>
      </c>
      <c r="P2097" s="273" t="str">
        <f t="shared" si="987"/>
        <v/>
      </c>
    </row>
    <row r="2098" spans="1:16" s="7" customFormat="1" ht="24">
      <c r="A2098" s="43" t="s">
        <v>2461</v>
      </c>
      <c r="B2098" s="79" t="s">
        <v>2460</v>
      </c>
      <c r="C2098" s="302"/>
      <c r="D2098" s="76"/>
      <c r="E2098" s="76"/>
      <c r="F2098" s="76"/>
      <c r="G2098" s="116"/>
      <c r="H2098" s="116"/>
      <c r="I2098" s="116"/>
      <c r="J2098" s="76">
        <v>1761492</v>
      </c>
      <c r="K2098" s="76"/>
      <c r="L2098" s="76">
        <f t="shared" si="988"/>
        <v>1761492</v>
      </c>
      <c r="M2098" s="226" t="str">
        <f t="shared" si="966"/>
        <v/>
      </c>
      <c r="N2098" s="226" t="str">
        <f t="shared" si="967"/>
        <v/>
      </c>
      <c r="O2098" s="226" t="str">
        <f t="shared" si="968"/>
        <v/>
      </c>
      <c r="P2098" s="226" t="str">
        <f t="shared" si="987"/>
        <v/>
      </c>
    </row>
    <row r="2099" spans="1:16" s="7" customFormat="1" ht="12.75" customHeight="1">
      <c r="A2099" s="46" t="s">
        <v>14</v>
      </c>
      <c r="B2099" s="33" t="s">
        <v>9</v>
      </c>
      <c r="C2099" s="211" t="s">
        <v>2005</v>
      </c>
      <c r="D2099" s="63">
        <v>57580</v>
      </c>
      <c r="E2099" s="63"/>
      <c r="F2099" s="63">
        <f>SUM(D2099:E2099)</f>
        <v>57580</v>
      </c>
      <c r="G2099" s="38">
        <v>57580</v>
      </c>
      <c r="H2099" s="38"/>
      <c r="I2099" s="38">
        <f>SUM(G2099:H2099)</f>
        <v>57580</v>
      </c>
      <c r="J2099" s="63">
        <v>96000</v>
      </c>
      <c r="K2099" s="63"/>
      <c r="L2099" s="63">
        <f>SUM(J2099:K2099)</f>
        <v>96000</v>
      </c>
      <c r="M2099" s="218">
        <f t="shared" si="966"/>
        <v>166.72455713789512</v>
      </c>
      <c r="N2099" s="218">
        <f t="shared" si="967"/>
        <v>166.72455713789512</v>
      </c>
      <c r="O2099" s="218">
        <f t="shared" si="968"/>
        <v>166.72455713789512</v>
      </c>
      <c r="P2099" s="218">
        <f t="shared" si="982"/>
        <v>166.72455713789512</v>
      </c>
    </row>
    <row r="2100" spans="1:16" s="7" customFormat="1" ht="12.75" customHeight="1">
      <c r="A2100" s="46" t="s">
        <v>651</v>
      </c>
      <c r="B2100" s="33" t="s">
        <v>650</v>
      </c>
      <c r="C2100" s="211" t="s">
        <v>2006</v>
      </c>
      <c r="D2100" s="63">
        <v>305061</v>
      </c>
      <c r="E2100" s="63"/>
      <c r="F2100" s="63">
        <f>SUM(D2100:E2100)</f>
        <v>305061</v>
      </c>
      <c r="G2100" s="38">
        <v>336967</v>
      </c>
      <c r="H2100" s="38"/>
      <c r="I2100" s="38">
        <f t="shared" si="985"/>
        <v>336967</v>
      </c>
      <c r="J2100" s="63">
        <v>444796</v>
      </c>
      <c r="K2100" s="63"/>
      <c r="L2100" s="63">
        <f t="shared" si="986"/>
        <v>444796</v>
      </c>
      <c r="M2100" s="218">
        <f t="shared" si="966"/>
        <v>145.8055929797647</v>
      </c>
      <c r="N2100" s="218">
        <f t="shared" si="967"/>
        <v>145.8055929797647</v>
      </c>
      <c r="O2100" s="218">
        <f t="shared" si="968"/>
        <v>131.99986942341536</v>
      </c>
      <c r="P2100" s="218">
        <f t="shared" si="982"/>
        <v>131.99986942341536</v>
      </c>
    </row>
    <row r="2101" spans="1:16" s="7" customFormat="1" ht="12.75" customHeight="1">
      <c r="A2101" s="46" t="s">
        <v>12</v>
      </c>
      <c r="B2101" s="211" t="s">
        <v>11</v>
      </c>
      <c r="C2101" s="211" t="s">
        <v>2003</v>
      </c>
      <c r="D2101" s="63">
        <v>529972</v>
      </c>
      <c r="E2101" s="63"/>
      <c r="F2101" s="63">
        <f t="shared" si="981"/>
        <v>529972</v>
      </c>
      <c r="G2101" s="38">
        <v>869309</v>
      </c>
      <c r="H2101" s="38">
        <v>269145</v>
      </c>
      <c r="I2101" s="38">
        <f t="shared" si="980"/>
        <v>1138454</v>
      </c>
      <c r="J2101" s="63"/>
      <c r="K2101" s="63"/>
      <c r="L2101" s="63">
        <f t="shared" si="983"/>
        <v>0</v>
      </c>
      <c r="M2101" s="218">
        <f t="shared" si="966"/>
        <v>0</v>
      </c>
      <c r="N2101" s="218">
        <f t="shared" si="967"/>
        <v>0</v>
      </c>
      <c r="O2101" s="218">
        <f t="shared" si="968"/>
        <v>0</v>
      </c>
      <c r="P2101" s="218">
        <f t="shared" si="982"/>
        <v>0</v>
      </c>
    </row>
    <row r="2102" spans="1:16" s="3" customFormat="1" ht="12.75" customHeight="1">
      <c r="A2102" s="36" t="s">
        <v>5</v>
      </c>
      <c r="B2102" s="211" t="s">
        <v>151</v>
      </c>
      <c r="C2102" s="211" t="s">
        <v>2013</v>
      </c>
      <c r="D2102" s="63"/>
      <c r="E2102" s="63"/>
      <c r="F2102" s="63">
        <f t="shared" ref="F2102:F2106" si="989">SUM(D2102:E2102)</f>
        <v>0</v>
      </c>
      <c r="G2102" s="38">
        <v>21148714</v>
      </c>
      <c r="H2102" s="38"/>
      <c r="I2102" s="38">
        <f t="shared" si="980"/>
        <v>21148714</v>
      </c>
      <c r="J2102" s="63"/>
      <c r="K2102" s="63"/>
      <c r="L2102" s="63">
        <f t="shared" ref="L2102:L2111" si="990">SUM(J2102:K2102)</f>
        <v>0</v>
      </c>
      <c r="M2102" s="218" t="str">
        <f t="shared" si="966"/>
        <v/>
      </c>
      <c r="N2102" s="218" t="str">
        <f t="shared" si="967"/>
        <v/>
      </c>
      <c r="O2102" s="218">
        <f t="shared" si="968"/>
        <v>0</v>
      </c>
      <c r="P2102" s="218">
        <f t="shared" si="982"/>
        <v>0</v>
      </c>
    </row>
    <row r="2103" spans="1:16" s="7" customFormat="1" ht="6" customHeight="1">
      <c r="A2103" s="46"/>
      <c r="B2103" s="33"/>
      <c r="C2103" s="211" t="s">
        <v>268</v>
      </c>
      <c r="D2103" s="63"/>
      <c r="E2103" s="63"/>
      <c r="F2103" s="63">
        <f t="shared" si="989"/>
        <v>0</v>
      </c>
      <c r="G2103" s="38"/>
      <c r="H2103" s="38"/>
      <c r="I2103" s="38">
        <f t="shared" si="980"/>
        <v>0</v>
      </c>
      <c r="J2103" s="63"/>
      <c r="K2103" s="63"/>
      <c r="L2103" s="63">
        <f t="shared" si="990"/>
        <v>0</v>
      </c>
      <c r="M2103" s="218" t="str">
        <f t="shared" si="966"/>
        <v/>
      </c>
      <c r="N2103" s="218" t="str">
        <f t="shared" si="967"/>
        <v/>
      </c>
      <c r="O2103" s="218" t="str">
        <f t="shared" si="968"/>
        <v/>
      </c>
      <c r="P2103" s="218" t="str">
        <f t="shared" ref="P2103:P2113" si="991">IF(I2103&gt;0,IF(L2103&gt;=0,L2103/I2103*100,""),"")</f>
        <v/>
      </c>
    </row>
    <row r="2104" spans="1:16" s="11" customFormat="1" ht="12.75">
      <c r="A2104" s="58" t="s">
        <v>448</v>
      </c>
      <c r="B2104" s="65" t="s">
        <v>265</v>
      </c>
      <c r="C2104" s="308" t="s">
        <v>940</v>
      </c>
      <c r="D2104" s="42">
        <f>SUM(D2106:D2108)</f>
        <v>6892300</v>
      </c>
      <c r="E2104" s="42">
        <f>SUM(E2106:E2107)</f>
        <v>0</v>
      </c>
      <c r="F2104" s="42">
        <f t="shared" si="989"/>
        <v>6892300</v>
      </c>
      <c r="G2104" s="55">
        <f>SUM(G2106:G2107)</f>
        <v>7818400</v>
      </c>
      <c r="H2104" s="55">
        <f>SUM(H2106:H2107)</f>
        <v>0</v>
      </c>
      <c r="I2104" s="55">
        <f t="shared" si="980"/>
        <v>7818400</v>
      </c>
      <c r="J2104" s="42">
        <f>SUM(J2106:J2108)</f>
        <v>7782800</v>
      </c>
      <c r="K2104" s="42">
        <f>SUM(K2106:K2107)</f>
        <v>0</v>
      </c>
      <c r="L2104" s="42">
        <f t="shared" si="990"/>
        <v>7782800</v>
      </c>
      <c r="M2104" s="225">
        <f t="shared" si="966"/>
        <v>112.9202153127403</v>
      </c>
      <c r="N2104" s="225">
        <f t="shared" si="967"/>
        <v>112.9202153127403</v>
      </c>
      <c r="O2104" s="225">
        <f t="shared" si="968"/>
        <v>99.544663869845493</v>
      </c>
      <c r="P2104" s="225">
        <f t="shared" si="991"/>
        <v>99.544663869845493</v>
      </c>
    </row>
    <row r="2105" spans="1:16" s="3" customFormat="1" hidden="1">
      <c r="A2105" s="80" t="s">
        <v>267</v>
      </c>
      <c r="B2105" s="79"/>
      <c r="C2105" s="302" t="s">
        <v>268</v>
      </c>
      <c r="D2105" s="63">
        <f>SUM(D2106:D2106)</f>
        <v>6892300</v>
      </c>
      <c r="E2105" s="76">
        <f>SUM(E2106)</f>
        <v>0</v>
      </c>
      <c r="F2105" s="63">
        <f t="shared" si="989"/>
        <v>6892300</v>
      </c>
      <c r="G2105" s="116">
        <f>SUM(G2106:G2106)</f>
        <v>7818400</v>
      </c>
      <c r="H2105" s="116">
        <f>SUM(H2106)</f>
        <v>0</v>
      </c>
      <c r="I2105" s="38">
        <f t="shared" si="980"/>
        <v>7818400</v>
      </c>
      <c r="J2105" s="76">
        <f>SUM(J2106:J2106)</f>
        <v>7782800</v>
      </c>
      <c r="K2105" s="76">
        <f>SUM(K2106)</f>
        <v>0</v>
      </c>
      <c r="L2105" s="63">
        <f t="shared" si="990"/>
        <v>7782800</v>
      </c>
      <c r="M2105" s="218">
        <f t="shared" si="966"/>
        <v>112.9202153127403</v>
      </c>
      <c r="N2105" s="218">
        <f t="shared" si="967"/>
        <v>112.9202153127403</v>
      </c>
      <c r="O2105" s="218">
        <f t="shared" si="968"/>
        <v>99.544663869845493</v>
      </c>
      <c r="P2105" s="218">
        <f t="shared" si="991"/>
        <v>99.544663869845493</v>
      </c>
    </row>
    <row r="2106" spans="1:16" s="3" customFormat="1" ht="12.75" customHeight="1">
      <c r="A2106" s="46" t="s">
        <v>200</v>
      </c>
      <c r="B2106" s="47" t="s">
        <v>416</v>
      </c>
      <c r="C2106" s="212" t="s">
        <v>2014</v>
      </c>
      <c r="D2106" s="63">
        <f>6809300+83000</f>
        <v>6892300</v>
      </c>
      <c r="E2106" s="63"/>
      <c r="F2106" s="63">
        <f t="shared" si="989"/>
        <v>6892300</v>
      </c>
      <c r="G2106" s="38">
        <v>7818400</v>
      </c>
      <c r="H2106" s="38"/>
      <c r="I2106" s="38">
        <f t="shared" si="980"/>
        <v>7818400</v>
      </c>
      <c r="J2106" s="63">
        <v>7782800</v>
      </c>
      <c r="K2106" s="63"/>
      <c r="L2106" s="63">
        <f t="shared" si="990"/>
        <v>7782800</v>
      </c>
      <c r="M2106" s="218">
        <f t="shared" si="966"/>
        <v>112.9202153127403</v>
      </c>
      <c r="N2106" s="218">
        <f t="shared" si="967"/>
        <v>112.9202153127403</v>
      </c>
      <c r="O2106" s="218">
        <f t="shared" si="968"/>
        <v>99.544663869845493</v>
      </c>
      <c r="P2106" s="218">
        <f t="shared" si="991"/>
        <v>99.544663869845493</v>
      </c>
    </row>
    <row r="2107" spans="1:16" s="3" customFormat="1" hidden="1">
      <c r="A2107" s="46" t="s">
        <v>792</v>
      </c>
      <c r="B2107" s="47" t="s">
        <v>152</v>
      </c>
      <c r="C2107" s="212" t="s">
        <v>2015</v>
      </c>
      <c r="D2107" s="63"/>
      <c r="E2107" s="63"/>
      <c r="F2107" s="63">
        <f t="shared" ref="F2107" si="992">SUM(D2107:E2107)</f>
        <v>0</v>
      </c>
      <c r="G2107" s="38"/>
      <c r="H2107" s="38"/>
      <c r="I2107" s="38">
        <f>SUM(G2107:H2107)</f>
        <v>0</v>
      </c>
      <c r="J2107" s="63"/>
      <c r="K2107" s="63"/>
      <c r="L2107" s="63">
        <f t="shared" si="990"/>
        <v>0</v>
      </c>
      <c r="M2107" s="218" t="str">
        <f t="shared" si="966"/>
        <v/>
      </c>
      <c r="N2107" s="218" t="str">
        <f t="shared" si="967"/>
        <v/>
      </c>
      <c r="O2107" s="218" t="str">
        <f t="shared" si="968"/>
        <v/>
      </c>
      <c r="P2107" s="218" t="str">
        <f t="shared" si="991"/>
        <v/>
      </c>
    </row>
    <row r="2108" spans="1:16" s="3" customFormat="1" hidden="1">
      <c r="A2108" s="46" t="s">
        <v>5</v>
      </c>
      <c r="B2108" s="47" t="s">
        <v>151</v>
      </c>
      <c r="C2108" s="212" t="s">
        <v>2016</v>
      </c>
      <c r="D2108" s="63"/>
      <c r="E2108" s="63"/>
      <c r="F2108" s="63"/>
      <c r="G2108" s="38"/>
      <c r="H2108" s="38"/>
      <c r="I2108" s="38"/>
      <c r="J2108" s="63"/>
      <c r="K2108" s="63"/>
      <c r="L2108" s="63">
        <f t="shared" si="990"/>
        <v>0</v>
      </c>
      <c r="M2108" s="218" t="str">
        <f t="shared" si="966"/>
        <v/>
      </c>
      <c r="N2108" s="218" t="str">
        <f t="shared" si="967"/>
        <v/>
      </c>
      <c r="O2108" s="218" t="str">
        <f t="shared" si="968"/>
        <v/>
      </c>
      <c r="P2108" s="218" t="str">
        <f t="shared" si="991"/>
        <v/>
      </c>
    </row>
    <row r="2109" spans="1:16" s="13" customFormat="1" ht="6" customHeight="1">
      <c r="A2109" s="39"/>
      <c r="B2109" s="40"/>
      <c r="C2109" s="306" t="s">
        <v>268</v>
      </c>
      <c r="D2109" s="63"/>
      <c r="E2109" s="63"/>
      <c r="F2109" s="63">
        <f t="shared" ref="F2109:F2111" si="993">SUM(D2109:E2109)</f>
        <v>0</v>
      </c>
      <c r="G2109" s="38"/>
      <c r="H2109" s="38"/>
      <c r="I2109" s="38">
        <f t="shared" ref="I2109:I2115" si="994">SUM(G2109:H2109)</f>
        <v>0</v>
      </c>
      <c r="J2109" s="63"/>
      <c r="K2109" s="63"/>
      <c r="L2109" s="63">
        <f t="shared" si="990"/>
        <v>0</v>
      </c>
      <c r="M2109" s="218" t="str">
        <f t="shared" si="966"/>
        <v/>
      </c>
      <c r="N2109" s="218" t="str">
        <f t="shared" si="967"/>
        <v/>
      </c>
      <c r="O2109" s="218" t="str">
        <f t="shared" si="968"/>
        <v/>
      </c>
      <c r="P2109" s="218" t="str">
        <f t="shared" si="991"/>
        <v/>
      </c>
    </row>
    <row r="2110" spans="1:16" s="11" customFormat="1" ht="12.75">
      <c r="A2110" s="58" t="s">
        <v>449</v>
      </c>
      <c r="B2110" s="65" t="s">
        <v>265</v>
      </c>
      <c r="C2110" s="308" t="s">
        <v>940</v>
      </c>
      <c r="D2110" s="42">
        <f>SUM(D2112:D2115)</f>
        <v>29093100</v>
      </c>
      <c r="E2110" s="42">
        <f>SUM(E2112:E2115)</f>
        <v>0</v>
      </c>
      <c r="F2110" s="42">
        <f t="shared" si="993"/>
        <v>29093100</v>
      </c>
      <c r="G2110" s="55">
        <f>SUM(G2112:G2115)</f>
        <v>36395092</v>
      </c>
      <c r="H2110" s="55">
        <f>SUM(H2112:H2115)</f>
        <v>0</v>
      </c>
      <c r="I2110" s="55">
        <f t="shared" si="994"/>
        <v>36395092</v>
      </c>
      <c r="J2110" s="42">
        <f>SUM(J2112:J2115)</f>
        <v>32139800</v>
      </c>
      <c r="K2110" s="42">
        <f>SUM(K2112:K2115)</f>
        <v>0</v>
      </c>
      <c r="L2110" s="42">
        <f t="shared" si="990"/>
        <v>32139800</v>
      </c>
      <c r="M2110" s="225">
        <f t="shared" si="966"/>
        <v>110.47224255923224</v>
      </c>
      <c r="N2110" s="225">
        <f t="shared" si="967"/>
        <v>110.47224255923224</v>
      </c>
      <c r="O2110" s="225">
        <f t="shared" si="968"/>
        <v>88.308060878098615</v>
      </c>
      <c r="P2110" s="225">
        <f t="shared" si="991"/>
        <v>88.308060878098615</v>
      </c>
    </row>
    <row r="2111" spans="1:16" s="3" customFormat="1" ht="12.75" customHeight="1">
      <c r="A2111" s="80" t="s">
        <v>267</v>
      </c>
      <c r="B2111" s="79"/>
      <c r="C2111" s="302" t="s">
        <v>268</v>
      </c>
      <c r="D2111" s="63">
        <f>SUM(D2112:D2114)</f>
        <v>29093100</v>
      </c>
      <c r="E2111" s="76">
        <f>SUM(E2112:E2113)</f>
        <v>0</v>
      </c>
      <c r="F2111" s="63">
        <f t="shared" si="993"/>
        <v>29093100</v>
      </c>
      <c r="G2111" s="116">
        <f>SUM(G2112:G2114)</f>
        <v>32406546</v>
      </c>
      <c r="H2111" s="116">
        <f>SUM(H2112:H2113)</f>
        <v>0</v>
      </c>
      <c r="I2111" s="38">
        <f t="shared" si="994"/>
        <v>32406546</v>
      </c>
      <c r="J2111" s="76">
        <f>SUM(J2112:J2114)</f>
        <v>32139800</v>
      </c>
      <c r="K2111" s="76">
        <f>SUM(K2112:K2113)</f>
        <v>0</v>
      </c>
      <c r="L2111" s="63">
        <f t="shared" si="990"/>
        <v>32139800</v>
      </c>
      <c r="M2111" s="218">
        <f t="shared" si="966"/>
        <v>110.47224255923224</v>
      </c>
      <c r="N2111" s="218">
        <f t="shared" si="967"/>
        <v>110.47224255923224</v>
      </c>
      <c r="O2111" s="218">
        <f t="shared" si="968"/>
        <v>99.176876178041312</v>
      </c>
      <c r="P2111" s="218">
        <f t="shared" si="991"/>
        <v>99.176876178041312</v>
      </c>
    </row>
    <row r="2112" spans="1:16" s="7" customFormat="1" ht="12.75" customHeight="1">
      <c r="A2112" s="46" t="s">
        <v>200</v>
      </c>
      <c r="B2112" s="47" t="s">
        <v>416</v>
      </c>
      <c r="C2112" s="212" t="s">
        <v>2017</v>
      </c>
      <c r="D2112" s="63">
        <f>28630100+438000</f>
        <v>29068100</v>
      </c>
      <c r="E2112" s="63"/>
      <c r="F2112" s="63">
        <f t="shared" ref="F2112:F2113" si="995">SUM(D2112:E2112)</f>
        <v>29068100</v>
      </c>
      <c r="G2112" s="38">
        <v>32350084</v>
      </c>
      <c r="H2112" s="38"/>
      <c r="I2112" s="38">
        <f t="shared" si="994"/>
        <v>32350084</v>
      </c>
      <c r="J2112" s="63">
        <v>32110800</v>
      </c>
      <c r="K2112" s="63"/>
      <c r="L2112" s="63">
        <f t="shared" ref="L2112:L2113" si="996">SUM(J2112:K2112)</f>
        <v>32110800</v>
      </c>
      <c r="M2112" s="218">
        <f t="shared" si="966"/>
        <v>110.46748841513549</v>
      </c>
      <c r="N2112" s="218">
        <f t="shared" si="967"/>
        <v>110.46748841513549</v>
      </c>
      <c r="O2112" s="218">
        <f t="shared" si="968"/>
        <v>99.260329586779434</v>
      </c>
      <c r="P2112" s="218">
        <f t="shared" si="991"/>
        <v>99.260329586779434</v>
      </c>
    </row>
    <row r="2113" spans="1:16" s="7" customFormat="1" ht="12.75" customHeight="1">
      <c r="A2113" s="46" t="s">
        <v>651</v>
      </c>
      <c r="B2113" s="33" t="s">
        <v>650</v>
      </c>
      <c r="C2113" s="211" t="s">
        <v>2018</v>
      </c>
      <c r="D2113" s="63">
        <v>25000</v>
      </c>
      <c r="E2113" s="63"/>
      <c r="F2113" s="63">
        <f t="shared" si="995"/>
        <v>25000</v>
      </c>
      <c r="G2113" s="38">
        <v>31000</v>
      </c>
      <c r="H2113" s="38"/>
      <c r="I2113" s="38">
        <f t="shared" si="994"/>
        <v>31000</v>
      </c>
      <c r="J2113" s="63">
        <v>29000</v>
      </c>
      <c r="K2113" s="63"/>
      <c r="L2113" s="63">
        <f t="shared" si="996"/>
        <v>29000</v>
      </c>
      <c r="M2113" s="218">
        <f t="shared" si="966"/>
        <v>115.99999999999999</v>
      </c>
      <c r="N2113" s="218">
        <f t="shared" si="967"/>
        <v>115.99999999999999</v>
      </c>
      <c r="O2113" s="218">
        <f t="shared" si="968"/>
        <v>93.548387096774192</v>
      </c>
      <c r="P2113" s="218">
        <f t="shared" si="991"/>
        <v>93.548387096774192</v>
      </c>
    </row>
    <row r="2114" spans="1:16" s="7" customFormat="1" ht="12.75" customHeight="1">
      <c r="A2114" s="46" t="s">
        <v>2069</v>
      </c>
      <c r="B2114" s="211" t="s">
        <v>2070</v>
      </c>
      <c r="C2114" s="211" t="s">
        <v>2217</v>
      </c>
      <c r="D2114" s="63"/>
      <c r="E2114" s="63"/>
      <c r="F2114" s="63"/>
      <c r="G2114" s="38">
        <v>25462</v>
      </c>
      <c r="H2114" s="38"/>
      <c r="I2114" s="38">
        <f t="shared" si="994"/>
        <v>25462</v>
      </c>
      <c r="J2114" s="63"/>
      <c r="K2114" s="63"/>
      <c r="L2114" s="63"/>
      <c r="M2114" s="218" t="str">
        <f t="shared" si="966"/>
        <v/>
      </c>
      <c r="N2114" s="218" t="str">
        <f t="shared" si="967"/>
        <v/>
      </c>
      <c r="O2114" s="218">
        <f t="shared" si="968"/>
        <v>0</v>
      </c>
      <c r="P2114" s="218"/>
    </row>
    <row r="2115" spans="1:16" s="3" customFormat="1" ht="12.75" customHeight="1">
      <c r="A2115" s="36" t="s">
        <v>5</v>
      </c>
      <c r="B2115" s="211" t="s">
        <v>151</v>
      </c>
      <c r="C2115" s="211" t="s">
        <v>2019</v>
      </c>
      <c r="D2115" s="63"/>
      <c r="E2115" s="63"/>
      <c r="F2115" s="63">
        <f t="shared" ref="F2115" si="997">SUM(D2115:E2115)</f>
        <v>0</v>
      </c>
      <c r="G2115" s="38">
        <v>3988546</v>
      </c>
      <c r="H2115" s="38"/>
      <c r="I2115" s="38">
        <f t="shared" si="994"/>
        <v>3988546</v>
      </c>
      <c r="J2115" s="63"/>
      <c r="K2115" s="63"/>
      <c r="L2115" s="63">
        <f t="shared" ref="L2115" si="998">SUM(J2115:K2115)</f>
        <v>0</v>
      </c>
      <c r="M2115" s="218" t="str">
        <f t="shared" si="966"/>
        <v/>
      </c>
      <c r="N2115" s="218" t="str">
        <f t="shared" si="967"/>
        <v/>
      </c>
      <c r="O2115" s="218">
        <f t="shared" si="968"/>
        <v>0</v>
      </c>
      <c r="P2115" s="218">
        <f t="shared" ref="P2115:P2119" si="999">IF(I2115&gt;0,IF(L2115&gt;=0,L2115/I2115*100,""),"")</f>
        <v>0</v>
      </c>
    </row>
    <row r="2116" spans="1:16" s="3" customFormat="1" ht="6" customHeight="1">
      <c r="A2116" s="46"/>
      <c r="B2116" s="211"/>
      <c r="C2116" s="212" t="s">
        <v>268</v>
      </c>
      <c r="D2116" s="63"/>
      <c r="E2116" s="63"/>
      <c r="F2116" s="63"/>
      <c r="G2116" s="38"/>
      <c r="H2116" s="38"/>
      <c r="I2116" s="38"/>
      <c r="J2116" s="63"/>
      <c r="K2116" s="63"/>
      <c r="L2116" s="63"/>
      <c r="M2116" s="218" t="str">
        <f t="shared" si="966"/>
        <v/>
      </c>
      <c r="N2116" s="218" t="str">
        <f t="shared" si="967"/>
        <v/>
      </c>
      <c r="O2116" s="218" t="str">
        <f t="shared" si="968"/>
        <v/>
      </c>
      <c r="P2116" s="218" t="str">
        <f t="shared" si="999"/>
        <v/>
      </c>
    </row>
    <row r="2117" spans="1:16" s="11" customFormat="1" ht="12.75">
      <c r="A2117" s="58" t="s">
        <v>450</v>
      </c>
      <c r="B2117" s="65" t="s">
        <v>265</v>
      </c>
      <c r="C2117" s="308" t="s">
        <v>940</v>
      </c>
      <c r="D2117" s="42">
        <f>SUM(D2119:D2121)</f>
        <v>6145500</v>
      </c>
      <c r="E2117" s="42">
        <f>SUM(E2119:E2121)</f>
        <v>0</v>
      </c>
      <c r="F2117" s="42">
        <f t="shared" ref="F2117:F2121" si="1000">SUM(D2117:E2117)</f>
        <v>6145500</v>
      </c>
      <c r="G2117" s="55">
        <f>SUM(G2119:G2121)</f>
        <v>7169027</v>
      </c>
      <c r="H2117" s="55">
        <f>SUM(H2119:H2121)</f>
        <v>0</v>
      </c>
      <c r="I2117" s="55">
        <f t="shared" ref="I2117:I2121" si="1001">SUM(G2117:H2117)</f>
        <v>7169027</v>
      </c>
      <c r="J2117" s="42">
        <f>SUM(J2119:J2121)</f>
        <v>7300100</v>
      </c>
      <c r="K2117" s="42">
        <f>SUM(K2119:K2121)</f>
        <v>0</v>
      </c>
      <c r="L2117" s="42">
        <f t="shared" ref="L2117:L2118" si="1002">SUM(J2117:K2117)</f>
        <v>7300100</v>
      </c>
      <c r="M2117" s="225">
        <f t="shared" si="966"/>
        <v>118.78773085997885</v>
      </c>
      <c r="N2117" s="225">
        <f t="shared" si="967"/>
        <v>118.78773085997885</v>
      </c>
      <c r="O2117" s="225">
        <f t="shared" si="968"/>
        <v>101.82832342520121</v>
      </c>
      <c r="P2117" s="225">
        <f t="shared" si="999"/>
        <v>101.82832342520121</v>
      </c>
    </row>
    <row r="2118" spans="1:16" s="3" customFormat="1" hidden="1">
      <c r="A2118" s="80" t="s">
        <v>267</v>
      </c>
      <c r="B2118" s="79"/>
      <c r="C2118" s="302" t="s">
        <v>268</v>
      </c>
      <c r="D2118" s="76">
        <f>SUM(D2119:D2120)</f>
        <v>6145500</v>
      </c>
      <c r="E2118" s="76">
        <f>SUM(E2119:E2119)</f>
        <v>0</v>
      </c>
      <c r="F2118" s="76">
        <f t="shared" si="1000"/>
        <v>6145500</v>
      </c>
      <c r="G2118" s="116">
        <f>SUM(G2119:G2120)</f>
        <v>7169027</v>
      </c>
      <c r="H2118" s="116">
        <f>SUM(H2119:H2119)</f>
        <v>0</v>
      </c>
      <c r="I2118" s="116">
        <f t="shared" si="1001"/>
        <v>7169027</v>
      </c>
      <c r="J2118" s="76">
        <f>SUM(J2119:J2120)</f>
        <v>7300100</v>
      </c>
      <c r="K2118" s="76">
        <f>SUM(K2119:K2119)</f>
        <v>0</v>
      </c>
      <c r="L2118" s="76">
        <f t="shared" si="1002"/>
        <v>7300100</v>
      </c>
      <c r="M2118" s="226">
        <f t="shared" si="966"/>
        <v>118.78773085997885</v>
      </c>
      <c r="N2118" s="226">
        <f t="shared" si="967"/>
        <v>118.78773085997885</v>
      </c>
      <c r="O2118" s="226">
        <f t="shared" si="968"/>
        <v>101.82832342520121</v>
      </c>
      <c r="P2118" s="226">
        <f t="shared" si="999"/>
        <v>101.82832342520121</v>
      </c>
    </row>
    <row r="2119" spans="1:16" s="7" customFormat="1" ht="12.75" customHeight="1">
      <c r="A2119" s="46" t="s">
        <v>200</v>
      </c>
      <c r="B2119" s="47" t="s">
        <v>416</v>
      </c>
      <c r="C2119" s="212" t="s">
        <v>2020</v>
      </c>
      <c r="D2119" s="63">
        <f>6055500+90000</f>
        <v>6145500</v>
      </c>
      <c r="E2119" s="63"/>
      <c r="F2119" s="48">
        <f t="shared" si="1000"/>
        <v>6145500</v>
      </c>
      <c r="G2119" s="38">
        <v>7167427</v>
      </c>
      <c r="H2119" s="38"/>
      <c r="I2119" s="85">
        <f t="shared" si="1001"/>
        <v>7167427</v>
      </c>
      <c r="J2119" s="63">
        <v>7300100</v>
      </c>
      <c r="K2119" s="63"/>
      <c r="L2119" s="48">
        <f t="shared" ref="L2119:L2121" si="1003">SUM(J2119:K2119)</f>
        <v>7300100</v>
      </c>
      <c r="M2119" s="219">
        <f t="shared" si="966"/>
        <v>118.78773085997885</v>
      </c>
      <c r="N2119" s="219">
        <f t="shared" si="967"/>
        <v>118.78773085997885</v>
      </c>
      <c r="O2119" s="219">
        <f t="shared" si="968"/>
        <v>101.851054778793</v>
      </c>
      <c r="P2119" s="219">
        <f t="shared" si="999"/>
        <v>101.851054778793</v>
      </c>
    </row>
    <row r="2120" spans="1:16" s="7" customFormat="1" ht="12.75" customHeight="1">
      <c r="A2120" s="46" t="s">
        <v>2069</v>
      </c>
      <c r="B2120" s="212" t="s">
        <v>2070</v>
      </c>
      <c r="C2120" s="212" t="s">
        <v>2218</v>
      </c>
      <c r="D2120" s="63"/>
      <c r="E2120" s="63"/>
      <c r="F2120" s="48"/>
      <c r="G2120" s="38">
        <v>1600</v>
      </c>
      <c r="H2120" s="38"/>
      <c r="I2120" s="85">
        <f t="shared" si="1001"/>
        <v>1600</v>
      </c>
      <c r="J2120" s="63"/>
      <c r="K2120" s="63"/>
      <c r="L2120" s="48"/>
      <c r="M2120" s="219" t="str">
        <f t="shared" si="966"/>
        <v/>
      </c>
      <c r="N2120" s="219" t="str">
        <f t="shared" si="967"/>
        <v/>
      </c>
      <c r="O2120" s="219">
        <f t="shared" si="968"/>
        <v>0</v>
      </c>
      <c r="P2120" s="219"/>
    </row>
    <row r="2121" spans="1:16" s="3" customFormat="1" hidden="1">
      <c r="A2121" s="36" t="s">
        <v>5</v>
      </c>
      <c r="B2121" s="33" t="s">
        <v>151</v>
      </c>
      <c r="C2121" s="211" t="s">
        <v>2021</v>
      </c>
      <c r="D2121" s="63"/>
      <c r="E2121" s="63"/>
      <c r="F2121" s="63">
        <f t="shared" si="1000"/>
        <v>0</v>
      </c>
      <c r="G2121" s="38"/>
      <c r="H2121" s="38"/>
      <c r="I2121" s="38">
        <f t="shared" si="1001"/>
        <v>0</v>
      </c>
      <c r="J2121" s="63"/>
      <c r="K2121" s="63"/>
      <c r="L2121" s="63">
        <f t="shared" si="1003"/>
        <v>0</v>
      </c>
      <c r="M2121" s="218" t="str">
        <f t="shared" si="966"/>
        <v/>
      </c>
      <c r="N2121" s="218" t="str">
        <f t="shared" si="967"/>
        <v/>
      </c>
      <c r="O2121" s="218" t="str">
        <f t="shared" si="968"/>
        <v/>
      </c>
      <c r="P2121" s="218" t="str">
        <f t="shared" ref="P2121:P2126" si="1004">IF(I2121&gt;0,IF(L2121&gt;=0,L2121/I2121*100,""),"")</f>
        <v/>
      </c>
    </row>
    <row r="2122" spans="1:16" s="7" customFormat="1" ht="6" customHeight="1">
      <c r="A2122" s="46"/>
      <c r="B2122" s="47"/>
      <c r="C2122" s="212" t="s">
        <v>268</v>
      </c>
      <c r="D2122" s="63"/>
      <c r="E2122" s="63"/>
      <c r="F2122" s="63"/>
      <c r="G2122" s="38"/>
      <c r="H2122" s="38"/>
      <c r="I2122" s="38"/>
      <c r="J2122" s="63"/>
      <c r="K2122" s="63"/>
      <c r="L2122" s="63"/>
      <c r="M2122" s="218" t="str">
        <f t="shared" si="966"/>
        <v/>
      </c>
      <c r="N2122" s="218" t="str">
        <f t="shared" si="967"/>
        <v/>
      </c>
      <c r="O2122" s="218" t="str">
        <f t="shared" si="968"/>
        <v/>
      </c>
      <c r="P2122" s="218" t="str">
        <f t="shared" si="1004"/>
        <v/>
      </c>
    </row>
    <row r="2123" spans="1:16" s="11" customFormat="1" ht="12.75">
      <c r="A2123" s="58" t="s">
        <v>452</v>
      </c>
      <c r="B2123" s="65" t="s">
        <v>265</v>
      </c>
      <c r="C2123" s="308" t="s">
        <v>940</v>
      </c>
      <c r="D2123" s="42">
        <f>SUM(D2125:D2129)</f>
        <v>18720000</v>
      </c>
      <c r="E2123" s="42">
        <f>SUM(E2125:E2129)</f>
        <v>0</v>
      </c>
      <c r="F2123" s="42">
        <f t="shared" ref="F2123:F2124" si="1005">SUM(D2123:E2123)</f>
        <v>18720000</v>
      </c>
      <c r="G2123" s="55">
        <f>SUM(G2125:G2129)</f>
        <v>21774525</v>
      </c>
      <c r="H2123" s="55">
        <f>SUM(H2125:H2129)</f>
        <v>0</v>
      </c>
      <c r="I2123" s="55">
        <f t="shared" ref="I2123:I2129" si="1006">SUM(G2123:H2123)</f>
        <v>21774525</v>
      </c>
      <c r="J2123" s="42">
        <f>SUM(J2125:J2129)</f>
        <v>22012700</v>
      </c>
      <c r="K2123" s="42">
        <f>SUM(K2125:K2129)</f>
        <v>0</v>
      </c>
      <c r="L2123" s="42">
        <f t="shared" ref="L2123:L2124" si="1007">SUM(J2123:K2123)</f>
        <v>22012700</v>
      </c>
      <c r="M2123" s="225">
        <f t="shared" si="966"/>
        <v>117.58920940170941</v>
      </c>
      <c r="N2123" s="225">
        <f t="shared" si="967"/>
        <v>117.58920940170941</v>
      </c>
      <c r="O2123" s="225">
        <f t="shared" si="968"/>
        <v>101.09382409030736</v>
      </c>
      <c r="P2123" s="225">
        <f t="shared" si="1004"/>
        <v>101.09382409030736</v>
      </c>
    </row>
    <row r="2124" spans="1:16" s="3" customFormat="1" ht="12.75" customHeight="1">
      <c r="A2124" s="80" t="s">
        <v>267</v>
      </c>
      <c r="B2124" s="79"/>
      <c r="C2124" s="302" t="s">
        <v>268</v>
      </c>
      <c r="D2124" s="76">
        <f>SUM(D2125:D2127)</f>
        <v>18720000</v>
      </c>
      <c r="E2124" s="76">
        <f>SUM(E2125:E2126)</f>
        <v>0</v>
      </c>
      <c r="F2124" s="76">
        <f t="shared" si="1005"/>
        <v>18720000</v>
      </c>
      <c r="G2124" s="116">
        <f>SUM(G2125:G2127)</f>
        <v>21756525</v>
      </c>
      <c r="H2124" s="116">
        <f>SUM(H2125:H2126)</f>
        <v>0</v>
      </c>
      <c r="I2124" s="116">
        <f t="shared" si="1006"/>
        <v>21756525</v>
      </c>
      <c r="J2124" s="76">
        <f>SUM(J2125:J2127)</f>
        <v>22012700</v>
      </c>
      <c r="K2124" s="76">
        <f>SUM(K2125:K2126)</f>
        <v>0</v>
      </c>
      <c r="L2124" s="76">
        <f t="shared" si="1007"/>
        <v>22012700</v>
      </c>
      <c r="M2124" s="226">
        <f t="shared" si="966"/>
        <v>117.58920940170941</v>
      </c>
      <c r="N2124" s="226">
        <f t="shared" si="967"/>
        <v>117.58920940170941</v>
      </c>
      <c r="O2124" s="226">
        <f t="shared" si="968"/>
        <v>101.17746285309809</v>
      </c>
      <c r="P2124" s="226">
        <f t="shared" si="1004"/>
        <v>101.17746285309809</v>
      </c>
    </row>
    <row r="2125" spans="1:16" s="3" customFormat="1" ht="12.75" customHeight="1">
      <c r="A2125" s="46" t="s">
        <v>196</v>
      </c>
      <c r="B2125" s="47" t="s">
        <v>416</v>
      </c>
      <c r="C2125" s="212" t="s">
        <v>2022</v>
      </c>
      <c r="D2125" s="63">
        <f>18433000+257000</f>
        <v>18690000</v>
      </c>
      <c r="E2125" s="63"/>
      <c r="F2125" s="63">
        <f t="shared" ref="F2125:F2126" si="1008">SUM(D2125:E2125)</f>
        <v>18690000</v>
      </c>
      <c r="G2125" s="38">
        <v>21702722</v>
      </c>
      <c r="H2125" s="38"/>
      <c r="I2125" s="38">
        <f t="shared" si="1006"/>
        <v>21702722</v>
      </c>
      <c r="J2125" s="63">
        <v>21997700</v>
      </c>
      <c r="K2125" s="63"/>
      <c r="L2125" s="63">
        <f t="shared" ref="L2125:L2129" si="1009">SUM(J2125:K2125)</f>
        <v>21997700</v>
      </c>
      <c r="M2125" s="218">
        <f t="shared" si="966"/>
        <v>117.69769930444087</v>
      </c>
      <c r="N2125" s="218">
        <f t="shared" si="967"/>
        <v>117.69769930444087</v>
      </c>
      <c r="O2125" s="218">
        <f t="shared" si="968"/>
        <v>101.35917513019797</v>
      </c>
      <c r="P2125" s="218">
        <f t="shared" si="1004"/>
        <v>101.35917513019797</v>
      </c>
    </row>
    <row r="2126" spans="1:16" s="3" customFormat="1" ht="12.75" customHeight="1">
      <c r="A2126" s="46" t="s">
        <v>651</v>
      </c>
      <c r="B2126" s="33" t="s">
        <v>650</v>
      </c>
      <c r="C2126" s="211" t="s">
        <v>2023</v>
      </c>
      <c r="D2126" s="63">
        <v>30000</v>
      </c>
      <c r="E2126" s="63"/>
      <c r="F2126" s="63">
        <f t="shared" si="1008"/>
        <v>30000</v>
      </c>
      <c r="G2126" s="38">
        <v>45103</v>
      </c>
      <c r="H2126" s="38"/>
      <c r="I2126" s="38">
        <f t="shared" si="1006"/>
        <v>45103</v>
      </c>
      <c r="J2126" s="63">
        <v>15000</v>
      </c>
      <c r="K2126" s="63"/>
      <c r="L2126" s="63">
        <f t="shared" si="1009"/>
        <v>15000</v>
      </c>
      <c r="M2126" s="218">
        <f t="shared" si="966"/>
        <v>50</v>
      </c>
      <c r="N2126" s="218">
        <f t="shared" si="967"/>
        <v>50</v>
      </c>
      <c r="O2126" s="218">
        <f t="shared" si="968"/>
        <v>33.257211271977468</v>
      </c>
      <c r="P2126" s="218">
        <f t="shared" si="1004"/>
        <v>33.257211271977468</v>
      </c>
    </row>
    <row r="2127" spans="1:16" s="3" customFormat="1" ht="12.75" customHeight="1">
      <c r="A2127" s="46" t="s">
        <v>2069</v>
      </c>
      <c r="B2127" s="211" t="s">
        <v>2070</v>
      </c>
      <c r="C2127" s="211" t="s">
        <v>2219</v>
      </c>
      <c r="D2127" s="63"/>
      <c r="E2127" s="63"/>
      <c r="F2127" s="63"/>
      <c r="G2127" s="38">
        <v>8700</v>
      </c>
      <c r="H2127" s="38"/>
      <c r="I2127" s="38">
        <f t="shared" si="1006"/>
        <v>8700</v>
      </c>
      <c r="J2127" s="63"/>
      <c r="K2127" s="63"/>
      <c r="L2127" s="63"/>
      <c r="M2127" s="218" t="str">
        <f t="shared" ref="M2127:M2190" si="1010">IF(D2127&gt;0,IF(J2127&gt;=0,J2127/D2127*100,""),"")</f>
        <v/>
      </c>
      <c r="N2127" s="218" t="str">
        <f t="shared" ref="N2127:N2190" si="1011">IF(F2127&gt;0,IF(L2127&gt;=0,L2127/F2127*100,""),"")</f>
        <v/>
      </c>
      <c r="O2127" s="218">
        <f t="shared" ref="O2127:O2190" si="1012">IF(G2127&gt;0,IF(J2127&gt;=0,J2127/G2127*100,""),"")</f>
        <v>0</v>
      </c>
      <c r="P2127" s="218"/>
    </row>
    <row r="2128" spans="1:16" s="3" customFormat="1" ht="12.75" hidden="1" customHeight="1">
      <c r="A2128" s="46" t="s">
        <v>792</v>
      </c>
      <c r="B2128" s="211" t="s">
        <v>152</v>
      </c>
      <c r="C2128" s="211" t="s">
        <v>2024</v>
      </c>
      <c r="D2128" s="63"/>
      <c r="E2128" s="63"/>
      <c r="F2128" s="63">
        <f t="shared" ref="F2128:F2129" si="1013">SUM(D2128:E2128)</f>
        <v>0</v>
      </c>
      <c r="G2128" s="38"/>
      <c r="H2128" s="38"/>
      <c r="I2128" s="38">
        <f t="shared" si="1006"/>
        <v>0</v>
      </c>
      <c r="J2128" s="63"/>
      <c r="K2128" s="63"/>
      <c r="L2128" s="63">
        <f t="shared" si="1009"/>
        <v>0</v>
      </c>
      <c r="M2128" s="218" t="str">
        <f t="shared" si="1010"/>
        <v/>
      </c>
      <c r="N2128" s="218" t="str">
        <f t="shared" si="1011"/>
        <v/>
      </c>
      <c r="O2128" s="218" t="str">
        <f t="shared" si="1012"/>
        <v/>
      </c>
      <c r="P2128" s="218" t="str">
        <f t="shared" ref="P2128:P2134" si="1014">IF(I2128&gt;0,IF(L2128&gt;=0,L2128/I2128*100,""),"")</f>
        <v/>
      </c>
    </row>
    <row r="2129" spans="1:16" s="3" customFormat="1" ht="12.75" customHeight="1">
      <c r="A2129" s="46" t="s">
        <v>5</v>
      </c>
      <c r="B2129" s="211" t="s">
        <v>151</v>
      </c>
      <c r="C2129" s="211" t="s">
        <v>2025</v>
      </c>
      <c r="D2129" s="63"/>
      <c r="E2129" s="63"/>
      <c r="F2129" s="63">
        <f t="shared" si="1013"/>
        <v>0</v>
      </c>
      <c r="G2129" s="38">
        <v>18000</v>
      </c>
      <c r="H2129" s="38"/>
      <c r="I2129" s="38">
        <f t="shared" si="1006"/>
        <v>18000</v>
      </c>
      <c r="J2129" s="63"/>
      <c r="K2129" s="63"/>
      <c r="L2129" s="63">
        <f t="shared" si="1009"/>
        <v>0</v>
      </c>
      <c r="M2129" s="218" t="str">
        <f t="shared" si="1010"/>
        <v/>
      </c>
      <c r="N2129" s="218" t="str">
        <f t="shared" si="1011"/>
        <v/>
      </c>
      <c r="O2129" s="218">
        <f t="shared" si="1012"/>
        <v>0</v>
      </c>
      <c r="P2129" s="218">
        <f t="shared" si="1014"/>
        <v>0</v>
      </c>
    </row>
    <row r="2130" spans="1:16" s="7" customFormat="1" ht="6" customHeight="1">
      <c r="A2130" s="46"/>
      <c r="B2130" s="47"/>
      <c r="C2130" s="212" t="s">
        <v>268</v>
      </c>
      <c r="D2130" s="63"/>
      <c r="E2130" s="63"/>
      <c r="F2130" s="63"/>
      <c r="G2130" s="38"/>
      <c r="H2130" s="38"/>
      <c r="I2130" s="38"/>
      <c r="J2130" s="63"/>
      <c r="K2130" s="63"/>
      <c r="L2130" s="63"/>
      <c r="M2130" s="218" t="str">
        <f t="shared" si="1010"/>
        <v/>
      </c>
      <c r="N2130" s="218" t="str">
        <f t="shared" si="1011"/>
        <v/>
      </c>
      <c r="O2130" s="218" t="str">
        <f t="shared" si="1012"/>
        <v/>
      </c>
      <c r="P2130" s="218" t="str">
        <f t="shared" si="1014"/>
        <v/>
      </c>
    </row>
    <row r="2131" spans="1:16" s="11" customFormat="1" ht="12.75">
      <c r="A2131" s="58" t="s">
        <v>453</v>
      </c>
      <c r="B2131" s="65" t="s">
        <v>265</v>
      </c>
      <c r="C2131" s="308" t="s">
        <v>940</v>
      </c>
      <c r="D2131" s="42">
        <f>SUM(D2133:D2136)</f>
        <v>10764700</v>
      </c>
      <c r="E2131" s="42">
        <f>SUM(E2133)</f>
        <v>0</v>
      </c>
      <c r="F2131" s="42">
        <f t="shared" ref="F2131:F2132" si="1015">SUM(D2131:E2131)</f>
        <v>10764700</v>
      </c>
      <c r="G2131" s="55">
        <f>SUM(G2133:G2136)</f>
        <v>12096251</v>
      </c>
      <c r="H2131" s="55">
        <f>SUM(H2133)</f>
        <v>0</v>
      </c>
      <c r="I2131" s="55">
        <f t="shared" ref="I2131:I2152" si="1016">SUM(G2131:H2131)</f>
        <v>12096251</v>
      </c>
      <c r="J2131" s="42">
        <f>SUM(J2133:J2136)</f>
        <v>11938600</v>
      </c>
      <c r="K2131" s="42">
        <f>SUM(K2133)</f>
        <v>0</v>
      </c>
      <c r="L2131" s="42">
        <f t="shared" ref="L2131:L2132" si="1017">SUM(J2131:K2131)</f>
        <v>11938600</v>
      </c>
      <c r="M2131" s="225">
        <f t="shared" si="1010"/>
        <v>110.90508792627756</v>
      </c>
      <c r="N2131" s="225">
        <f t="shared" si="1011"/>
        <v>110.90508792627756</v>
      </c>
      <c r="O2131" s="225">
        <f t="shared" si="1012"/>
        <v>98.696695364538982</v>
      </c>
      <c r="P2131" s="225">
        <f t="shared" si="1014"/>
        <v>98.696695364538982</v>
      </c>
    </row>
    <row r="2132" spans="1:16" s="11" customFormat="1" hidden="1">
      <c r="A2132" s="80" t="s">
        <v>267</v>
      </c>
      <c r="B2132" s="92"/>
      <c r="C2132" s="312" t="s">
        <v>268</v>
      </c>
      <c r="D2132" s="63">
        <f>SUM(D2133:D2135)</f>
        <v>10764700</v>
      </c>
      <c r="E2132" s="77"/>
      <c r="F2132" s="63">
        <f t="shared" si="1015"/>
        <v>10764700</v>
      </c>
      <c r="G2132" s="38">
        <f>SUM(G2133:G2135)</f>
        <v>12096251</v>
      </c>
      <c r="H2132" s="109"/>
      <c r="I2132" s="38">
        <f t="shared" si="1016"/>
        <v>12096251</v>
      </c>
      <c r="J2132" s="38">
        <f>SUM(J2133:J2135)</f>
        <v>11938600</v>
      </c>
      <c r="K2132" s="77"/>
      <c r="L2132" s="63">
        <f t="shared" si="1017"/>
        <v>11938600</v>
      </c>
      <c r="M2132" s="218">
        <f t="shared" si="1010"/>
        <v>110.90508792627756</v>
      </c>
      <c r="N2132" s="218">
        <f t="shared" si="1011"/>
        <v>110.90508792627756</v>
      </c>
      <c r="O2132" s="218">
        <f t="shared" si="1012"/>
        <v>98.696695364538982</v>
      </c>
      <c r="P2132" s="218">
        <f t="shared" si="1014"/>
        <v>98.696695364538982</v>
      </c>
    </row>
    <row r="2133" spans="1:16" s="3" customFormat="1" ht="12.75" customHeight="1">
      <c r="A2133" s="46" t="s">
        <v>200</v>
      </c>
      <c r="B2133" s="47" t="s">
        <v>416</v>
      </c>
      <c r="C2133" s="212" t="s">
        <v>2026</v>
      </c>
      <c r="D2133" s="63">
        <f>10561700+158000</f>
        <v>10719700</v>
      </c>
      <c r="E2133" s="63"/>
      <c r="F2133" s="63">
        <f t="shared" ref="F2133:F2134" si="1018">SUM(D2133:E2133)</f>
        <v>10719700</v>
      </c>
      <c r="G2133" s="38">
        <v>12068620</v>
      </c>
      <c r="H2133" s="38"/>
      <c r="I2133" s="38">
        <f t="shared" si="1016"/>
        <v>12068620</v>
      </c>
      <c r="J2133" s="63">
        <v>11868600</v>
      </c>
      <c r="K2133" s="63"/>
      <c r="L2133" s="63">
        <f t="shared" ref="L2133:L2136" si="1019">SUM(J2133:K2133)</f>
        <v>11868600</v>
      </c>
      <c r="M2133" s="218">
        <f t="shared" si="1010"/>
        <v>110.71765068052277</v>
      </c>
      <c r="N2133" s="218">
        <f t="shared" si="1011"/>
        <v>110.71765068052277</v>
      </c>
      <c r="O2133" s="218">
        <f t="shared" si="1012"/>
        <v>98.342643980836257</v>
      </c>
      <c r="P2133" s="218">
        <f t="shared" si="1014"/>
        <v>98.342643980836257</v>
      </c>
    </row>
    <row r="2134" spans="1:16" s="3" customFormat="1" ht="12.75" customHeight="1">
      <c r="A2134" s="46" t="s">
        <v>651</v>
      </c>
      <c r="B2134" s="33" t="s">
        <v>650</v>
      </c>
      <c r="C2134" s="211" t="s">
        <v>2027</v>
      </c>
      <c r="D2134" s="63">
        <v>45000</v>
      </c>
      <c r="E2134" s="63"/>
      <c r="F2134" s="63">
        <f t="shared" si="1018"/>
        <v>45000</v>
      </c>
      <c r="G2134" s="38"/>
      <c r="H2134" s="38"/>
      <c r="I2134" s="38">
        <f t="shared" si="1016"/>
        <v>0</v>
      </c>
      <c r="J2134" s="63">
        <v>70000</v>
      </c>
      <c r="K2134" s="63"/>
      <c r="L2134" s="63">
        <f t="shared" si="1019"/>
        <v>70000</v>
      </c>
      <c r="M2134" s="218">
        <f t="shared" si="1010"/>
        <v>155.55555555555557</v>
      </c>
      <c r="N2134" s="218">
        <f t="shared" si="1011"/>
        <v>155.55555555555557</v>
      </c>
      <c r="O2134" s="218" t="str">
        <f t="shared" si="1012"/>
        <v/>
      </c>
      <c r="P2134" s="218" t="str">
        <f t="shared" si="1014"/>
        <v/>
      </c>
    </row>
    <row r="2135" spans="1:16" s="3" customFormat="1" ht="12.75" customHeight="1">
      <c r="A2135" s="46" t="s">
        <v>2069</v>
      </c>
      <c r="B2135" s="211" t="s">
        <v>2070</v>
      </c>
      <c r="C2135" s="211" t="s">
        <v>2220</v>
      </c>
      <c r="D2135" s="63"/>
      <c r="E2135" s="63"/>
      <c r="F2135" s="63"/>
      <c r="G2135" s="38">
        <v>27631</v>
      </c>
      <c r="H2135" s="38"/>
      <c r="I2135" s="38">
        <f t="shared" si="1016"/>
        <v>27631</v>
      </c>
      <c r="J2135" s="63"/>
      <c r="K2135" s="63"/>
      <c r="L2135" s="63"/>
      <c r="M2135" s="218" t="str">
        <f t="shared" si="1010"/>
        <v/>
      </c>
      <c r="N2135" s="218" t="str">
        <f t="shared" si="1011"/>
        <v/>
      </c>
      <c r="O2135" s="218">
        <f t="shared" si="1012"/>
        <v>0</v>
      </c>
      <c r="P2135" s="218"/>
    </row>
    <row r="2136" spans="1:16" s="3" customFormat="1" hidden="1">
      <c r="A2136" s="46" t="s">
        <v>5</v>
      </c>
      <c r="B2136" s="33" t="s">
        <v>151</v>
      </c>
      <c r="C2136" s="211" t="s">
        <v>2028</v>
      </c>
      <c r="D2136" s="63"/>
      <c r="E2136" s="63"/>
      <c r="F2136" s="63"/>
      <c r="G2136" s="38"/>
      <c r="H2136" s="38"/>
      <c r="I2136" s="38">
        <f t="shared" si="1016"/>
        <v>0</v>
      </c>
      <c r="J2136" s="63"/>
      <c r="K2136" s="63"/>
      <c r="L2136" s="63">
        <f t="shared" si="1019"/>
        <v>0</v>
      </c>
      <c r="M2136" s="218" t="str">
        <f t="shared" si="1010"/>
        <v/>
      </c>
      <c r="N2136" s="218" t="str">
        <f t="shared" si="1011"/>
        <v/>
      </c>
      <c r="O2136" s="218" t="str">
        <f t="shared" si="1012"/>
        <v/>
      </c>
      <c r="P2136" s="218" t="str">
        <f t="shared" ref="P2136:P2140" si="1020">IF(I2136&gt;0,IF(L2136&gt;=0,L2136/I2136*100,""),"")</f>
        <v/>
      </c>
    </row>
    <row r="2137" spans="1:16" s="3" customFormat="1" ht="6" customHeight="1">
      <c r="A2137" s="39"/>
      <c r="B2137" s="40"/>
      <c r="C2137" s="306" t="s">
        <v>268</v>
      </c>
      <c r="D2137" s="77"/>
      <c r="E2137" s="77"/>
      <c r="F2137" s="77">
        <f t="shared" ref="F2137:F2141" si="1021">SUM(D2137:E2137)</f>
        <v>0</v>
      </c>
      <c r="G2137" s="109"/>
      <c r="H2137" s="109"/>
      <c r="I2137" s="109">
        <f t="shared" si="1016"/>
        <v>0</v>
      </c>
      <c r="J2137" s="77"/>
      <c r="K2137" s="77"/>
      <c r="L2137" s="77">
        <f t="shared" ref="L2137:L2148" si="1022">SUM(J2137:K2137)</f>
        <v>0</v>
      </c>
      <c r="M2137" s="240" t="str">
        <f t="shared" si="1010"/>
        <v/>
      </c>
      <c r="N2137" s="240" t="str">
        <f t="shared" si="1011"/>
        <v/>
      </c>
      <c r="O2137" s="240" t="str">
        <f t="shared" si="1012"/>
        <v/>
      </c>
      <c r="P2137" s="240" t="str">
        <f t="shared" si="1020"/>
        <v/>
      </c>
    </row>
    <row r="2138" spans="1:16" s="11" customFormat="1" ht="12.75">
      <c r="A2138" s="58" t="s">
        <v>454</v>
      </c>
      <c r="B2138" s="65" t="s">
        <v>265</v>
      </c>
      <c r="C2138" s="308" t="s">
        <v>940</v>
      </c>
      <c r="D2138" s="42">
        <f>SUM(D2140:D2144)</f>
        <v>25281000</v>
      </c>
      <c r="E2138" s="42">
        <f>SUM(E2140:E2144)</f>
        <v>0</v>
      </c>
      <c r="F2138" s="42">
        <f t="shared" si="1021"/>
        <v>25281000</v>
      </c>
      <c r="G2138" s="55">
        <f>SUM(G2140:G2144)</f>
        <v>28902993</v>
      </c>
      <c r="H2138" s="55">
        <f>SUM(H2140:H2144)</f>
        <v>0</v>
      </c>
      <c r="I2138" s="55">
        <f t="shared" si="1016"/>
        <v>28902993</v>
      </c>
      <c r="J2138" s="42">
        <f>SUM(J2140:J2144)</f>
        <v>29258481</v>
      </c>
      <c r="K2138" s="42">
        <f>SUM(K2140:K2144)</f>
        <v>0</v>
      </c>
      <c r="L2138" s="42">
        <f t="shared" si="1022"/>
        <v>29258481</v>
      </c>
      <c r="M2138" s="225">
        <f t="shared" si="1010"/>
        <v>115.73308413433013</v>
      </c>
      <c r="N2138" s="225">
        <f t="shared" si="1011"/>
        <v>115.73308413433013</v>
      </c>
      <c r="O2138" s="225">
        <f t="shared" si="1012"/>
        <v>101.22993490674132</v>
      </c>
      <c r="P2138" s="225">
        <f t="shared" si="1020"/>
        <v>101.22993490674132</v>
      </c>
    </row>
    <row r="2139" spans="1:16" s="3" customFormat="1" ht="12.75" customHeight="1">
      <c r="A2139" s="80" t="s">
        <v>267</v>
      </c>
      <c r="B2139" s="79"/>
      <c r="C2139" s="302" t="s">
        <v>268</v>
      </c>
      <c r="D2139" s="76">
        <f>SUM(D2140:D2142)</f>
        <v>25281000</v>
      </c>
      <c r="E2139" s="76">
        <f>SUM(E2140:E2141)</f>
        <v>0</v>
      </c>
      <c r="F2139" s="76">
        <f t="shared" si="1021"/>
        <v>25281000</v>
      </c>
      <c r="G2139" s="116">
        <f>SUM(G2140:G2142)</f>
        <v>28782993</v>
      </c>
      <c r="H2139" s="116">
        <f>SUM(H2140:H2141)</f>
        <v>0</v>
      </c>
      <c r="I2139" s="116">
        <f t="shared" si="1016"/>
        <v>28782993</v>
      </c>
      <c r="J2139" s="76">
        <f>SUM(J2140:J2142)</f>
        <v>29258481</v>
      </c>
      <c r="K2139" s="76">
        <f>SUM(K2140:K2141)</f>
        <v>0</v>
      </c>
      <c r="L2139" s="76">
        <f t="shared" si="1022"/>
        <v>29258481</v>
      </c>
      <c r="M2139" s="226">
        <f t="shared" si="1010"/>
        <v>115.73308413433013</v>
      </c>
      <c r="N2139" s="226">
        <f t="shared" si="1011"/>
        <v>115.73308413433013</v>
      </c>
      <c r="O2139" s="226">
        <f t="shared" si="1012"/>
        <v>101.65197552596423</v>
      </c>
      <c r="P2139" s="226">
        <f t="shared" si="1020"/>
        <v>101.65197552596423</v>
      </c>
    </row>
    <row r="2140" spans="1:16" s="3" customFormat="1" ht="12.75" customHeight="1">
      <c r="A2140" s="46" t="s">
        <v>200</v>
      </c>
      <c r="B2140" s="47" t="s">
        <v>416</v>
      </c>
      <c r="C2140" s="212" t="s">
        <v>2029</v>
      </c>
      <c r="D2140" s="63">
        <f>24929000+322000</f>
        <v>25251000</v>
      </c>
      <c r="E2140" s="63"/>
      <c r="F2140" s="48">
        <f t="shared" si="1021"/>
        <v>25251000</v>
      </c>
      <c r="G2140" s="38">
        <v>28774296</v>
      </c>
      <c r="H2140" s="38"/>
      <c r="I2140" s="85">
        <f t="shared" si="1016"/>
        <v>28774296</v>
      </c>
      <c r="J2140" s="63">
        <v>29258481</v>
      </c>
      <c r="K2140" s="63"/>
      <c r="L2140" s="48">
        <f t="shared" si="1022"/>
        <v>29258481</v>
      </c>
      <c r="M2140" s="219">
        <f t="shared" si="1010"/>
        <v>115.87058334323392</v>
      </c>
      <c r="N2140" s="219">
        <f t="shared" si="1011"/>
        <v>115.87058334323392</v>
      </c>
      <c r="O2140" s="219">
        <f t="shared" si="1012"/>
        <v>101.68269972617227</v>
      </c>
      <c r="P2140" s="219">
        <f t="shared" si="1020"/>
        <v>101.68269972617227</v>
      </c>
    </row>
    <row r="2141" spans="1:16" s="3" customFormat="1" ht="12.75" customHeight="1">
      <c r="A2141" s="46" t="s">
        <v>651</v>
      </c>
      <c r="B2141" s="211" t="s">
        <v>650</v>
      </c>
      <c r="C2141" s="211" t="s">
        <v>2030</v>
      </c>
      <c r="D2141" s="63">
        <v>30000</v>
      </c>
      <c r="E2141" s="63"/>
      <c r="F2141" s="48">
        <f t="shared" si="1021"/>
        <v>30000</v>
      </c>
      <c r="G2141" s="38"/>
      <c r="H2141" s="38"/>
      <c r="I2141" s="85">
        <f t="shared" si="1016"/>
        <v>0</v>
      </c>
      <c r="J2141" s="63"/>
      <c r="K2141" s="63"/>
      <c r="L2141" s="48">
        <f t="shared" si="1022"/>
        <v>0</v>
      </c>
      <c r="M2141" s="219">
        <f t="shared" si="1010"/>
        <v>0</v>
      </c>
      <c r="N2141" s="219">
        <f t="shared" si="1011"/>
        <v>0</v>
      </c>
      <c r="O2141" s="219" t="str">
        <f t="shared" si="1012"/>
        <v/>
      </c>
      <c r="P2141" s="219" t="str">
        <f t="shared" ref="P2141:P2144" si="1023">IF(I2141&gt;0,IF(L2141&gt;=0,L2141/I2141*100,""),"")</f>
        <v/>
      </c>
    </row>
    <row r="2142" spans="1:16" s="3" customFormat="1" ht="12.75" customHeight="1">
      <c r="A2142" s="46" t="s">
        <v>2069</v>
      </c>
      <c r="B2142" s="211" t="s">
        <v>2070</v>
      </c>
      <c r="C2142" s="211" t="s">
        <v>2221</v>
      </c>
      <c r="D2142" s="63"/>
      <c r="E2142" s="63"/>
      <c r="F2142" s="48"/>
      <c r="G2142" s="38">
        <v>8697</v>
      </c>
      <c r="H2142" s="38"/>
      <c r="I2142" s="85">
        <f t="shared" si="1016"/>
        <v>8697</v>
      </c>
      <c r="J2142" s="63"/>
      <c r="K2142" s="63"/>
      <c r="L2142" s="48"/>
      <c r="M2142" s="219" t="str">
        <f t="shared" si="1010"/>
        <v/>
      </c>
      <c r="N2142" s="219" t="str">
        <f t="shared" si="1011"/>
        <v/>
      </c>
      <c r="O2142" s="219">
        <f t="shared" si="1012"/>
        <v>0</v>
      </c>
      <c r="P2142" s="219">
        <f t="shared" si="1023"/>
        <v>0</v>
      </c>
    </row>
    <row r="2143" spans="1:16" s="3" customFormat="1" ht="12.75" customHeight="1">
      <c r="A2143" s="46" t="s">
        <v>792</v>
      </c>
      <c r="B2143" s="211" t="s">
        <v>152</v>
      </c>
      <c r="C2143" s="211" t="s">
        <v>2031</v>
      </c>
      <c r="D2143" s="63"/>
      <c r="E2143" s="63"/>
      <c r="F2143" s="48">
        <f t="shared" ref="F2143:F2148" si="1024">SUM(D2143:E2143)</f>
        <v>0</v>
      </c>
      <c r="G2143" s="38">
        <v>120000</v>
      </c>
      <c r="H2143" s="38"/>
      <c r="I2143" s="85">
        <f t="shared" si="1016"/>
        <v>120000</v>
      </c>
      <c r="J2143" s="63"/>
      <c r="K2143" s="63"/>
      <c r="L2143" s="48">
        <f t="shared" si="1022"/>
        <v>0</v>
      </c>
      <c r="M2143" s="219" t="str">
        <f t="shared" si="1010"/>
        <v/>
      </c>
      <c r="N2143" s="219" t="str">
        <f t="shared" si="1011"/>
        <v/>
      </c>
      <c r="O2143" s="219">
        <f t="shared" si="1012"/>
        <v>0</v>
      </c>
      <c r="P2143" s="219">
        <f t="shared" si="1023"/>
        <v>0</v>
      </c>
    </row>
    <row r="2144" spans="1:16" s="3" customFormat="1" hidden="1">
      <c r="A2144" s="46" t="s">
        <v>5</v>
      </c>
      <c r="B2144" s="33" t="s">
        <v>151</v>
      </c>
      <c r="C2144" s="211" t="s">
        <v>2032</v>
      </c>
      <c r="D2144" s="63"/>
      <c r="E2144" s="63"/>
      <c r="F2144" s="48">
        <f t="shared" si="1024"/>
        <v>0</v>
      </c>
      <c r="G2144" s="38"/>
      <c r="H2144" s="38"/>
      <c r="I2144" s="85">
        <f t="shared" si="1016"/>
        <v>0</v>
      </c>
      <c r="J2144" s="63"/>
      <c r="K2144" s="63"/>
      <c r="L2144" s="48">
        <f t="shared" si="1022"/>
        <v>0</v>
      </c>
      <c r="M2144" s="219" t="str">
        <f t="shared" si="1010"/>
        <v/>
      </c>
      <c r="N2144" s="219" t="str">
        <f t="shared" si="1011"/>
        <v/>
      </c>
      <c r="O2144" s="219" t="str">
        <f t="shared" si="1012"/>
        <v/>
      </c>
      <c r="P2144" s="219" t="str">
        <f t="shared" si="1023"/>
        <v/>
      </c>
    </row>
    <row r="2145" spans="1:16" s="3" customFormat="1" ht="6" customHeight="1">
      <c r="A2145" s="39"/>
      <c r="B2145" s="40"/>
      <c r="C2145" s="306" t="s">
        <v>268</v>
      </c>
      <c r="D2145" s="77"/>
      <c r="E2145" s="77"/>
      <c r="F2145" s="77">
        <f t="shared" si="1024"/>
        <v>0</v>
      </c>
      <c r="G2145" s="109"/>
      <c r="H2145" s="109"/>
      <c r="I2145" s="109">
        <f t="shared" si="1016"/>
        <v>0</v>
      </c>
      <c r="J2145" s="77"/>
      <c r="K2145" s="77"/>
      <c r="L2145" s="77">
        <f t="shared" si="1022"/>
        <v>0</v>
      </c>
      <c r="M2145" s="240" t="str">
        <f t="shared" si="1010"/>
        <v/>
      </c>
      <c r="N2145" s="240" t="str">
        <f t="shared" si="1011"/>
        <v/>
      </c>
      <c r="O2145" s="240" t="str">
        <f t="shared" si="1012"/>
        <v/>
      </c>
      <c r="P2145" s="240" t="str">
        <f t="shared" ref="P2145:P2148" si="1025">IF(I2145&gt;0,IF(L2145&gt;=0,L2145/I2145*100,""),"")</f>
        <v/>
      </c>
    </row>
    <row r="2146" spans="1:16" s="11" customFormat="1" ht="12.75">
      <c r="A2146" s="58" t="s">
        <v>455</v>
      </c>
      <c r="B2146" s="65" t="s">
        <v>265</v>
      </c>
      <c r="C2146" s="308" t="s">
        <v>940</v>
      </c>
      <c r="D2146" s="42">
        <f>SUM(D2148:D2152)</f>
        <v>14137800</v>
      </c>
      <c r="E2146" s="90">
        <f>SUM(E2148:E2152)</f>
        <v>0</v>
      </c>
      <c r="F2146" s="42">
        <f t="shared" si="1024"/>
        <v>14137800</v>
      </c>
      <c r="G2146" s="60">
        <f>SUM(G2148:G2152)</f>
        <v>15992088</v>
      </c>
      <c r="H2146" s="60">
        <f>SUM(H2148:H2152)</f>
        <v>0</v>
      </c>
      <c r="I2146" s="55">
        <f t="shared" si="1016"/>
        <v>15992088</v>
      </c>
      <c r="J2146" s="90">
        <f>SUM(J2148:J2152)</f>
        <v>16295900</v>
      </c>
      <c r="K2146" s="90">
        <f>SUM(K2148:K2152)</f>
        <v>0</v>
      </c>
      <c r="L2146" s="42">
        <f t="shared" si="1022"/>
        <v>16295900</v>
      </c>
      <c r="M2146" s="225">
        <f t="shared" si="1010"/>
        <v>115.26475123427973</v>
      </c>
      <c r="N2146" s="225">
        <f t="shared" si="1011"/>
        <v>115.26475123427973</v>
      </c>
      <c r="O2146" s="225">
        <f t="shared" si="1012"/>
        <v>101.89976443351236</v>
      </c>
      <c r="P2146" s="225">
        <f t="shared" si="1025"/>
        <v>101.89976443351236</v>
      </c>
    </row>
    <row r="2147" spans="1:16" s="3" customFormat="1" hidden="1">
      <c r="A2147" s="80" t="s">
        <v>267</v>
      </c>
      <c r="B2147" s="79"/>
      <c r="C2147" s="302" t="s">
        <v>268</v>
      </c>
      <c r="D2147" s="76">
        <f>SUM(D2148:D2150)</f>
        <v>14137800</v>
      </c>
      <c r="E2147" s="76">
        <f>SUM(E2148:E2149)</f>
        <v>0</v>
      </c>
      <c r="F2147" s="76">
        <f t="shared" si="1024"/>
        <v>14137800</v>
      </c>
      <c r="G2147" s="116">
        <f>SUM(G2148:G2150)</f>
        <v>15992088</v>
      </c>
      <c r="H2147" s="116">
        <f>SUM(H2148:H2149)</f>
        <v>0</v>
      </c>
      <c r="I2147" s="116">
        <f t="shared" si="1016"/>
        <v>15992088</v>
      </c>
      <c r="J2147" s="76">
        <f>SUM(J2148:J2150)</f>
        <v>16295900</v>
      </c>
      <c r="K2147" s="76">
        <f>SUM(K2148:K2149)</f>
        <v>0</v>
      </c>
      <c r="L2147" s="76">
        <f t="shared" si="1022"/>
        <v>16295900</v>
      </c>
      <c r="M2147" s="226">
        <f t="shared" si="1010"/>
        <v>115.26475123427973</v>
      </c>
      <c r="N2147" s="226">
        <f t="shared" si="1011"/>
        <v>115.26475123427973</v>
      </c>
      <c r="O2147" s="226">
        <f t="shared" si="1012"/>
        <v>101.89976443351236</v>
      </c>
      <c r="P2147" s="226">
        <f t="shared" si="1025"/>
        <v>101.89976443351236</v>
      </c>
    </row>
    <row r="2148" spans="1:16" s="3" customFormat="1" ht="12.75" customHeight="1">
      <c r="A2148" s="46" t="s">
        <v>200</v>
      </c>
      <c r="B2148" s="47" t="s">
        <v>416</v>
      </c>
      <c r="C2148" s="212" t="s">
        <v>2033</v>
      </c>
      <c r="D2148" s="63">
        <f>13986800+151000</f>
        <v>14137800</v>
      </c>
      <c r="E2148" s="63"/>
      <c r="F2148" s="63">
        <f t="shared" si="1024"/>
        <v>14137800</v>
      </c>
      <c r="G2148" s="38">
        <v>15991588</v>
      </c>
      <c r="H2148" s="38"/>
      <c r="I2148" s="38">
        <f t="shared" si="1016"/>
        <v>15991588</v>
      </c>
      <c r="J2148" s="63">
        <v>16283400</v>
      </c>
      <c r="K2148" s="63"/>
      <c r="L2148" s="63">
        <f t="shared" si="1022"/>
        <v>16283400</v>
      </c>
      <c r="M2148" s="218">
        <f t="shared" si="1010"/>
        <v>115.17633578067307</v>
      </c>
      <c r="N2148" s="218">
        <f t="shared" si="1011"/>
        <v>115.17633578067307</v>
      </c>
      <c r="O2148" s="218">
        <f t="shared" si="1012"/>
        <v>101.82478438038798</v>
      </c>
      <c r="P2148" s="218">
        <f t="shared" si="1025"/>
        <v>101.82478438038798</v>
      </c>
    </row>
    <row r="2149" spans="1:16" s="3" customFormat="1" ht="12.75" customHeight="1">
      <c r="A2149" s="46" t="s">
        <v>651</v>
      </c>
      <c r="B2149" s="33" t="s">
        <v>650</v>
      </c>
      <c r="C2149" s="211" t="s">
        <v>2034</v>
      </c>
      <c r="D2149" s="63"/>
      <c r="E2149" s="63"/>
      <c r="F2149" s="63">
        <f>SUM(D2149:E2149)</f>
        <v>0</v>
      </c>
      <c r="G2149" s="38"/>
      <c r="H2149" s="38"/>
      <c r="I2149" s="38">
        <f t="shared" si="1016"/>
        <v>0</v>
      </c>
      <c r="J2149" s="63">
        <v>12500</v>
      </c>
      <c r="K2149" s="63"/>
      <c r="L2149" s="63">
        <f>SUM(J2149:K2149)</f>
        <v>12500</v>
      </c>
      <c r="M2149" s="218" t="str">
        <f t="shared" si="1010"/>
        <v/>
      </c>
      <c r="N2149" s="218" t="str">
        <f t="shared" si="1011"/>
        <v/>
      </c>
      <c r="O2149" s="218" t="str">
        <f t="shared" si="1012"/>
        <v/>
      </c>
      <c r="P2149" s="218" t="str">
        <f t="shared" ref="P2149" si="1026">IF(I2149&gt;0,IF(L2149&gt;=0,L2149/I2149*100,""),"")</f>
        <v/>
      </c>
    </row>
    <row r="2150" spans="1:16" s="3" customFormat="1" ht="12.75" customHeight="1">
      <c r="A2150" s="46" t="s">
        <v>2069</v>
      </c>
      <c r="B2150" s="211" t="s">
        <v>2070</v>
      </c>
      <c r="C2150" s="211" t="s">
        <v>2222</v>
      </c>
      <c r="D2150" s="63"/>
      <c r="E2150" s="63"/>
      <c r="F2150" s="63"/>
      <c r="G2150" s="38">
        <v>500</v>
      </c>
      <c r="H2150" s="38"/>
      <c r="I2150" s="38">
        <f t="shared" si="1016"/>
        <v>500</v>
      </c>
      <c r="J2150" s="63"/>
      <c r="K2150" s="63"/>
      <c r="L2150" s="63"/>
      <c r="M2150" s="218" t="str">
        <f t="shared" si="1010"/>
        <v/>
      </c>
      <c r="N2150" s="218" t="str">
        <f t="shared" si="1011"/>
        <v/>
      </c>
      <c r="O2150" s="218">
        <f t="shared" si="1012"/>
        <v>0</v>
      </c>
      <c r="P2150" s="218"/>
    </row>
    <row r="2151" spans="1:16" s="3" customFormat="1" ht="12.75" hidden="1" customHeight="1">
      <c r="A2151" s="46" t="s">
        <v>792</v>
      </c>
      <c r="B2151" s="33" t="s">
        <v>152</v>
      </c>
      <c r="C2151" s="211" t="s">
        <v>2035</v>
      </c>
      <c r="D2151" s="63"/>
      <c r="E2151" s="63"/>
      <c r="F2151" s="63">
        <f t="shared" ref="F2151:F2152" si="1027">SUM(D2151:E2151)</f>
        <v>0</v>
      </c>
      <c r="G2151" s="38"/>
      <c r="H2151" s="38"/>
      <c r="I2151" s="38">
        <f t="shared" si="1016"/>
        <v>0</v>
      </c>
      <c r="J2151" s="63"/>
      <c r="K2151" s="63"/>
      <c r="L2151" s="63">
        <f t="shared" ref="L2151:L2152" si="1028">SUM(J2151:K2151)</f>
        <v>0</v>
      </c>
      <c r="M2151" s="218" t="str">
        <f t="shared" si="1010"/>
        <v/>
      </c>
      <c r="N2151" s="218" t="str">
        <f t="shared" si="1011"/>
        <v/>
      </c>
      <c r="O2151" s="218" t="str">
        <f t="shared" si="1012"/>
        <v/>
      </c>
      <c r="P2151" s="218" t="str">
        <f t="shared" ref="P2151:P2161" si="1029">IF(I2151&gt;0,IF(L2151&gt;=0,L2151/I2151*100,""),"")</f>
        <v/>
      </c>
    </row>
    <row r="2152" spans="1:16" s="3" customFormat="1" hidden="1">
      <c r="A2152" s="46" t="s">
        <v>5</v>
      </c>
      <c r="B2152" s="33" t="s">
        <v>151</v>
      </c>
      <c r="C2152" s="211" t="s">
        <v>2036</v>
      </c>
      <c r="D2152" s="63"/>
      <c r="E2152" s="63"/>
      <c r="F2152" s="63">
        <f t="shared" si="1027"/>
        <v>0</v>
      </c>
      <c r="G2152" s="38"/>
      <c r="H2152" s="38"/>
      <c r="I2152" s="38">
        <f t="shared" si="1016"/>
        <v>0</v>
      </c>
      <c r="J2152" s="63"/>
      <c r="K2152" s="63"/>
      <c r="L2152" s="63">
        <f t="shared" si="1028"/>
        <v>0</v>
      </c>
      <c r="M2152" s="218" t="str">
        <f t="shared" si="1010"/>
        <v/>
      </c>
      <c r="N2152" s="218" t="str">
        <f t="shared" si="1011"/>
        <v/>
      </c>
      <c r="O2152" s="218" t="str">
        <f t="shared" si="1012"/>
        <v/>
      </c>
      <c r="P2152" s="218" t="str">
        <f t="shared" si="1029"/>
        <v/>
      </c>
    </row>
    <row r="2153" spans="1:16" s="3" customFormat="1" ht="6" customHeight="1">
      <c r="A2153" s="46"/>
      <c r="B2153" s="47"/>
      <c r="C2153" s="212" t="s">
        <v>268</v>
      </c>
      <c r="D2153" s="63"/>
      <c r="E2153" s="63"/>
      <c r="F2153" s="63"/>
      <c r="G2153" s="38"/>
      <c r="H2153" s="38"/>
      <c r="I2153" s="38"/>
      <c r="J2153" s="63"/>
      <c r="K2153" s="63"/>
      <c r="L2153" s="63"/>
      <c r="M2153" s="218" t="str">
        <f t="shared" si="1010"/>
        <v/>
      </c>
      <c r="N2153" s="218" t="str">
        <f t="shared" si="1011"/>
        <v/>
      </c>
      <c r="O2153" s="218" t="str">
        <f t="shared" si="1012"/>
        <v/>
      </c>
      <c r="P2153" s="218" t="str">
        <f t="shared" si="1029"/>
        <v/>
      </c>
    </row>
    <row r="2154" spans="1:16" s="11" customFormat="1" ht="12.75">
      <c r="A2154" s="58" t="s">
        <v>829</v>
      </c>
      <c r="B2154" s="65" t="s">
        <v>265</v>
      </c>
      <c r="C2154" s="308" t="s">
        <v>940</v>
      </c>
      <c r="D2154" s="42">
        <f>SUM(D2156:D2158)</f>
        <v>8505300</v>
      </c>
      <c r="E2154" s="42">
        <f>SUM(E2156:E2158)</f>
        <v>0</v>
      </c>
      <c r="F2154" s="42">
        <f>SUM(D2154:E2154)</f>
        <v>8505300</v>
      </c>
      <c r="G2154" s="55">
        <f>SUM(G2156:G2158)</f>
        <v>9596730</v>
      </c>
      <c r="H2154" s="55">
        <f>SUM(H2156:H2158)</f>
        <v>0</v>
      </c>
      <c r="I2154" s="55">
        <f>SUM(G2154:H2154)</f>
        <v>9596730</v>
      </c>
      <c r="J2154" s="42">
        <f>SUM(J2156:J2158)</f>
        <v>10030900</v>
      </c>
      <c r="K2154" s="42">
        <f>SUM(K2156:K2158)</f>
        <v>0</v>
      </c>
      <c r="L2154" s="42">
        <f>SUM(J2154:K2154)</f>
        <v>10030900</v>
      </c>
      <c r="M2154" s="225">
        <f t="shared" si="1010"/>
        <v>117.93705101524932</v>
      </c>
      <c r="N2154" s="225">
        <f t="shared" si="1011"/>
        <v>117.93705101524932</v>
      </c>
      <c r="O2154" s="225">
        <f t="shared" si="1012"/>
        <v>104.52414520362665</v>
      </c>
      <c r="P2154" s="225">
        <f t="shared" si="1029"/>
        <v>104.52414520362665</v>
      </c>
    </row>
    <row r="2155" spans="1:16" s="3" customFormat="1" hidden="1">
      <c r="A2155" s="80" t="s">
        <v>267</v>
      </c>
      <c r="B2155" s="79"/>
      <c r="C2155" s="302" t="s">
        <v>268</v>
      </c>
      <c r="D2155" s="76">
        <f>SUM(D2156:D2156)</f>
        <v>8505300</v>
      </c>
      <c r="E2155" s="76">
        <f>SUM(E2156:E2156)</f>
        <v>0</v>
      </c>
      <c r="F2155" s="76">
        <f>SUM(D2155:E2155)</f>
        <v>8505300</v>
      </c>
      <c r="G2155" s="116">
        <f>SUM(G2156:G2156)</f>
        <v>9596730</v>
      </c>
      <c r="H2155" s="116">
        <f>SUM(H2156:H2156)</f>
        <v>0</v>
      </c>
      <c r="I2155" s="116">
        <f>SUM(G2155:H2155)</f>
        <v>9596730</v>
      </c>
      <c r="J2155" s="76">
        <f>SUM(J2156:J2156)</f>
        <v>10030900</v>
      </c>
      <c r="K2155" s="76">
        <f>SUM(K2156:K2156)</f>
        <v>0</v>
      </c>
      <c r="L2155" s="76">
        <f>SUM(J2155:K2155)</f>
        <v>10030900</v>
      </c>
      <c r="M2155" s="226">
        <f t="shared" si="1010"/>
        <v>117.93705101524932</v>
      </c>
      <c r="N2155" s="226">
        <f t="shared" si="1011"/>
        <v>117.93705101524932</v>
      </c>
      <c r="O2155" s="226">
        <f t="shared" si="1012"/>
        <v>104.52414520362665</v>
      </c>
      <c r="P2155" s="226">
        <f t="shared" si="1029"/>
        <v>104.52414520362665</v>
      </c>
    </row>
    <row r="2156" spans="1:16" s="3" customFormat="1" ht="12.75" customHeight="1">
      <c r="A2156" s="46" t="s">
        <v>200</v>
      </c>
      <c r="B2156" s="47" t="s">
        <v>416</v>
      </c>
      <c r="C2156" s="212" t="s">
        <v>2037</v>
      </c>
      <c r="D2156" s="63">
        <f>8391300+114000</f>
        <v>8505300</v>
      </c>
      <c r="E2156" s="63"/>
      <c r="F2156" s="48">
        <f>SUM(D2156:E2156)</f>
        <v>8505300</v>
      </c>
      <c r="G2156" s="38">
        <v>9596730</v>
      </c>
      <c r="H2156" s="38"/>
      <c r="I2156" s="85">
        <f>SUM(G2156:H2156)</f>
        <v>9596730</v>
      </c>
      <c r="J2156" s="63">
        <v>10030900</v>
      </c>
      <c r="K2156" s="63"/>
      <c r="L2156" s="48">
        <f>SUM(J2156:K2156)</f>
        <v>10030900</v>
      </c>
      <c r="M2156" s="219">
        <f t="shared" si="1010"/>
        <v>117.93705101524932</v>
      </c>
      <c r="N2156" s="219">
        <f t="shared" si="1011"/>
        <v>117.93705101524932</v>
      </c>
      <c r="O2156" s="219">
        <f t="shared" si="1012"/>
        <v>104.52414520362665</v>
      </c>
      <c r="P2156" s="219">
        <f t="shared" si="1029"/>
        <v>104.52414520362665</v>
      </c>
    </row>
    <row r="2157" spans="1:16" s="7" customFormat="1" hidden="1">
      <c r="A2157" s="46" t="s">
        <v>5</v>
      </c>
      <c r="B2157" s="33" t="s">
        <v>151</v>
      </c>
      <c r="C2157" s="211" t="s">
        <v>2038</v>
      </c>
      <c r="D2157" s="63"/>
      <c r="E2157" s="63"/>
      <c r="F2157" s="63">
        <f>SUM(D2157:E2157)</f>
        <v>0</v>
      </c>
      <c r="G2157" s="38"/>
      <c r="H2157" s="38"/>
      <c r="I2157" s="38">
        <f>SUM(G2157:H2157)</f>
        <v>0</v>
      </c>
      <c r="J2157" s="63"/>
      <c r="K2157" s="63"/>
      <c r="L2157" s="63">
        <f>SUM(J2157:K2157)</f>
        <v>0</v>
      </c>
      <c r="M2157" s="218" t="str">
        <f t="shared" si="1010"/>
        <v/>
      </c>
      <c r="N2157" s="218" t="str">
        <f t="shared" si="1011"/>
        <v/>
      </c>
      <c r="O2157" s="218" t="str">
        <f t="shared" si="1012"/>
        <v/>
      </c>
      <c r="P2157" s="218" t="str">
        <f t="shared" si="1029"/>
        <v/>
      </c>
    </row>
    <row r="2158" spans="1:16" s="3" customFormat="1" ht="6" customHeight="1">
      <c r="A2158" s="46"/>
      <c r="B2158" s="47"/>
      <c r="C2158" s="212" t="s">
        <v>268</v>
      </c>
      <c r="D2158" s="63"/>
      <c r="E2158" s="63"/>
      <c r="F2158" s="63"/>
      <c r="G2158" s="38"/>
      <c r="H2158" s="38"/>
      <c r="I2158" s="38"/>
      <c r="J2158" s="63"/>
      <c r="K2158" s="63"/>
      <c r="L2158" s="63"/>
      <c r="M2158" s="218" t="str">
        <f t="shared" si="1010"/>
        <v/>
      </c>
      <c r="N2158" s="218" t="str">
        <f t="shared" si="1011"/>
        <v/>
      </c>
      <c r="O2158" s="218" t="str">
        <f t="shared" si="1012"/>
        <v/>
      </c>
      <c r="P2158" s="218" t="str">
        <f t="shared" si="1029"/>
        <v/>
      </c>
    </row>
    <row r="2159" spans="1:16" s="11" customFormat="1" ht="12.75">
      <c r="A2159" s="58" t="s">
        <v>456</v>
      </c>
      <c r="B2159" s="65" t="s">
        <v>265</v>
      </c>
      <c r="C2159" s="308" t="s">
        <v>940</v>
      </c>
      <c r="D2159" s="42">
        <f>SUM(D2161:D2165)</f>
        <v>13025539</v>
      </c>
      <c r="E2159" s="42">
        <f>SUM(E2161:E2164)</f>
        <v>0</v>
      </c>
      <c r="F2159" s="42">
        <f t="shared" ref="F2159:F2160" si="1030">SUM(D2159:E2159)</f>
        <v>13025539</v>
      </c>
      <c r="G2159" s="55">
        <f>SUM(G2161:G2165)</f>
        <v>15185014</v>
      </c>
      <c r="H2159" s="55">
        <f>SUM(H2161:H2164)</f>
        <v>0</v>
      </c>
      <c r="I2159" s="55">
        <f t="shared" ref="I2159:I2172" si="1031">SUM(G2159:H2159)</f>
        <v>15185014</v>
      </c>
      <c r="J2159" s="42">
        <f>SUM(J2161:J2165)</f>
        <v>15258900</v>
      </c>
      <c r="K2159" s="42">
        <f>SUM(K2161:K2164)</f>
        <v>0</v>
      </c>
      <c r="L2159" s="42">
        <f t="shared" ref="L2159:L2160" si="1032">SUM(J2159:K2159)</f>
        <v>15258900</v>
      </c>
      <c r="M2159" s="225">
        <f t="shared" si="1010"/>
        <v>117.14601599212133</v>
      </c>
      <c r="N2159" s="225">
        <f t="shared" si="1011"/>
        <v>117.14601599212133</v>
      </c>
      <c r="O2159" s="225">
        <f t="shared" si="1012"/>
        <v>100.48657182667068</v>
      </c>
      <c r="P2159" s="225">
        <f t="shared" si="1029"/>
        <v>100.48657182667068</v>
      </c>
    </row>
    <row r="2160" spans="1:16" s="3" customFormat="1" ht="12.75" customHeight="1">
      <c r="A2160" s="80" t="s">
        <v>267</v>
      </c>
      <c r="B2160" s="79"/>
      <c r="C2160" s="302" t="s">
        <v>268</v>
      </c>
      <c r="D2160" s="76">
        <f>SUM(D2161:D2164)</f>
        <v>13025539</v>
      </c>
      <c r="E2160" s="76">
        <f>SUM(E2161:E2161)</f>
        <v>0</v>
      </c>
      <c r="F2160" s="76">
        <f t="shared" si="1030"/>
        <v>13025539</v>
      </c>
      <c r="G2160" s="116">
        <f>SUM(G2161:G2164)</f>
        <v>15011014</v>
      </c>
      <c r="H2160" s="116">
        <f>SUM(H2161:H2161)</f>
        <v>0</v>
      </c>
      <c r="I2160" s="116">
        <f t="shared" si="1031"/>
        <v>15011014</v>
      </c>
      <c r="J2160" s="76">
        <f>SUM(J2161:J2164)</f>
        <v>15258900</v>
      </c>
      <c r="K2160" s="76">
        <f>SUM(K2161:K2161)</f>
        <v>0</v>
      </c>
      <c r="L2160" s="76">
        <f t="shared" si="1032"/>
        <v>15258900</v>
      </c>
      <c r="M2160" s="226">
        <f t="shared" si="1010"/>
        <v>117.14601599212133</v>
      </c>
      <c r="N2160" s="226">
        <f t="shared" si="1011"/>
        <v>117.14601599212133</v>
      </c>
      <c r="O2160" s="226">
        <f t="shared" si="1012"/>
        <v>101.65136079414756</v>
      </c>
      <c r="P2160" s="226">
        <f t="shared" si="1029"/>
        <v>101.65136079414756</v>
      </c>
    </row>
    <row r="2161" spans="1:16" s="7" customFormat="1" ht="12.75" customHeight="1">
      <c r="A2161" s="46" t="s">
        <v>200</v>
      </c>
      <c r="B2161" s="47" t="s">
        <v>416</v>
      </c>
      <c r="C2161" s="212" t="s">
        <v>2039</v>
      </c>
      <c r="D2161" s="63">
        <f>12819539+181000</f>
        <v>13000539</v>
      </c>
      <c r="E2161" s="63"/>
      <c r="F2161" s="63">
        <f t="shared" ref="F2161:F2163" si="1033">SUM(D2161:E2161)</f>
        <v>13000539</v>
      </c>
      <c r="G2161" s="38">
        <v>14921324</v>
      </c>
      <c r="H2161" s="38"/>
      <c r="I2161" s="38">
        <f t="shared" si="1031"/>
        <v>14921324</v>
      </c>
      <c r="J2161" s="63">
        <v>15255700</v>
      </c>
      <c r="K2161" s="63"/>
      <c r="L2161" s="63">
        <f t="shared" ref="L2161:L2165" si="1034">SUM(J2161:K2161)</f>
        <v>15255700</v>
      </c>
      <c r="M2161" s="218">
        <f t="shared" si="1010"/>
        <v>117.3466730879389</v>
      </c>
      <c r="N2161" s="218">
        <f t="shared" si="1011"/>
        <v>117.3466730879389</v>
      </c>
      <c r="O2161" s="218">
        <f t="shared" si="1012"/>
        <v>102.2409271456072</v>
      </c>
      <c r="P2161" s="218">
        <f t="shared" si="1029"/>
        <v>102.2409271456072</v>
      </c>
    </row>
    <row r="2162" spans="1:16" s="7" customFormat="1" ht="12.75" customHeight="1">
      <c r="A2162" s="46" t="s">
        <v>651</v>
      </c>
      <c r="B2162" s="33" t="s">
        <v>650</v>
      </c>
      <c r="C2162" s="211" t="s">
        <v>2041</v>
      </c>
      <c r="D2162" s="63"/>
      <c r="E2162" s="63"/>
      <c r="F2162" s="63">
        <f>SUM(D2162:E2162)</f>
        <v>0</v>
      </c>
      <c r="G2162" s="38"/>
      <c r="H2162" s="38"/>
      <c r="I2162" s="38">
        <f>SUM(G2162:H2162)</f>
        <v>0</v>
      </c>
      <c r="J2162" s="63">
        <v>3200</v>
      </c>
      <c r="K2162" s="63"/>
      <c r="L2162" s="63">
        <f>SUM(J2162:K2162)</f>
        <v>3200</v>
      </c>
      <c r="M2162" s="218" t="str">
        <f t="shared" si="1010"/>
        <v/>
      </c>
      <c r="N2162" s="218" t="str">
        <f t="shared" si="1011"/>
        <v/>
      </c>
      <c r="O2162" s="218" t="str">
        <f t="shared" si="1012"/>
        <v/>
      </c>
      <c r="P2162" s="218" t="str">
        <f>IF(I2162&gt;0,IF(L2162&gt;=0,L2162/I2162*100,""),"")</f>
        <v/>
      </c>
    </row>
    <row r="2163" spans="1:16" s="7" customFormat="1" ht="12.75" customHeight="1">
      <c r="A2163" s="46" t="s">
        <v>14</v>
      </c>
      <c r="B2163" s="211" t="s">
        <v>9</v>
      </c>
      <c r="C2163" s="212" t="s">
        <v>2040</v>
      </c>
      <c r="D2163" s="63">
        <v>25000</v>
      </c>
      <c r="E2163" s="63"/>
      <c r="F2163" s="63">
        <f t="shared" si="1033"/>
        <v>25000</v>
      </c>
      <c r="G2163" s="38">
        <v>25000</v>
      </c>
      <c r="H2163" s="38"/>
      <c r="I2163" s="38">
        <f t="shared" si="1031"/>
        <v>25000</v>
      </c>
      <c r="J2163" s="63"/>
      <c r="K2163" s="63"/>
      <c r="L2163" s="63"/>
      <c r="M2163" s="218">
        <f t="shared" si="1010"/>
        <v>0</v>
      </c>
      <c r="N2163" s="218">
        <f t="shared" si="1011"/>
        <v>0</v>
      </c>
      <c r="O2163" s="218">
        <f t="shared" si="1012"/>
        <v>0</v>
      </c>
      <c r="P2163" s="218">
        <f t="shared" ref="P2163:P2164" si="1035">IF(I2163&gt;0,IF(L2163&gt;=0,L2163/I2163*100,""),"")</f>
        <v>0</v>
      </c>
    </row>
    <row r="2164" spans="1:16" s="7" customFormat="1" ht="12.75" customHeight="1">
      <c r="A2164" s="46" t="s">
        <v>2069</v>
      </c>
      <c r="B2164" s="211" t="s">
        <v>2070</v>
      </c>
      <c r="C2164" s="211" t="s">
        <v>2223</v>
      </c>
      <c r="D2164" s="63"/>
      <c r="E2164" s="63"/>
      <c r="F2164" s="63"/>
      <c r="G2164" s="38">
        <v>64690</v>
      </c>
      <c r="H2164" s="38"/>
      <c r="I2164" s="38">
        <f t="shared" si="1031"/>
        <v>64690</v>
      </c>
      <c r="J2164" s="63"/>
      <c r="K2164" s="63"/>
      <c r="L2164" s="63"/>
      <c r="M2164" s="218" t="str">
        <f t="shared" si="1010"/>
        <v/>
      </c>
      <c r="N2164" s="218" t="str">
        <f t="shared" si="1011"/>
        <v/>
      </c>
      <c r="O2164" s="218">
        <f t="shared" si="1012"/>
        <v>0</v>
      </c>
      <c r="P2164" s="218">
        <f t="shared" si="1035"/>
        <v>0</v>
      </c>
    </row>
    <row r="2165" spans="1:16" s="3" customFormat="1" ht="12.75" customHeight="1">
      <c r="A2165" s="46" t="s">
        <v>5</v>
      </c>
      <c r="B2165" s="211" t="s">
        <v>151</v>
      </c>
      <c r="C2165" s="211" t="s">
        <v>2042</v>
      </c>
      <c r="D2165" s="63"/>
      <c r="E2165" s="63"/>
      <c r="F2165" s="63"/>
      <c r="G2165" s="38">
        <v>174000</v>
      </c>
      <c r="H2165" s="38"/>
      <c r="I2165" s="38">
        <f t="shared" si="1031"/>
        <v>174000</v>
      </c>
      <c r="J2165" s="63"/>
      <c r="K2165" s="63"/>
      <c r="L2165" s="63">
        <f t="shared" si="1034"/>
        <v>0</v>
      </c>
      <c r="M2165" s="218" t="str">
        <f t="shared" si="1010"/>
        <v/>
      </c>
      <c r="N2165" s="218" t="str">
        <f t="shared" si="1011"/>
        <v/>
      </c>
      <c r="O2165" s="218">
        <f t="shared" si="1012"/>
        <v>0</v>
      </c>
      <c r="P2165" s="218">
        <f t="shared" ref="P2165:P2169" si="1036">IF(I2165&gt;0,IF(L2165&gt;=0,L2165/I2165*100,""),"")</f>
        <v>0</v>
      </c>
    </row>
    <row r="2166" spans="1:16" s="7" customFormat="1" ht="6" customHeight="1">
      <c r="A2166" s="46"/>
      <c r="B2166" s="47"/>
      <c r="C2166" s="212" t="s">
        <v>268</v>
      </c>
      <c r="D2166" s="63"/>
      <c r="E2166" s="63"/>
      <c r="F2166" s="63">
        <f t="shared" ref="F2166:F2169" si="1037">SUM(D2166:E2166)</f>
        <v>0</v>
      </c>
      <c r="G2166" s="38"/>
      <c r="H2166" s="38"/>
      <c r="I2166" s="38">
        <f t="shared" si="1031"/>
        <v>0</v>
      </c>
      <c r="J2166" s="63"/>
      <c r="K2166" s="63"/>
      <c r="L2166" s="63">
        <f t="shared" ref="L2166:L2172" si="1038">SUM(J2166:K2166)</f>
        <v>0</v>
      </c>
      <c r="M2166" s="218" t="str">
        <f t="shared" si="1010"/>
        <v/>
      </c>
      <c r="N2166" s="218" t="str">
        <f t="shared" si="1011"/>
        <v/>
      </c>
      <c r="O2166" s="218" t="str">
        <f t="shared" si="1012"/>
        <v/>
      </c>
      <c r="P2166" s="218" t="str">
        <f t="shared" si="1036"/>
        <v/>
      </c>
    </row>
    <row r="2167" spans="1:16" s="11" customFormat="1" ht="12.75">
      <c r="A2167" s="58" t="s">
        <v>457</v>
      </c>
      <c r="B2167" s="65" t="s">
        <v>265</v>
      </c>
      <c r="C2167" s="308" t="s">
        <v>940</v>
      </c>
      <c r="D2167" s="42">
        <f>SUM(D2169:D2172)</f>
        <v>6431600</v>
      </c>
      <c r="E2167" s="42">
        <f>SUM(E2169:E2172)</f>
        <v>0</v>
      </c>
      <c r="F2167" s="42">
        <f t="shared" si="1037"/>
        <v>6431600</v>
      </c>
      <c r="G2167" s="55">
        <f>SUM(G2169:G2172)</f>
        <v>7387851</v>
      </c>
      <c r="H2167" s="55">
        <f>SUM(H2169:H2172)</f>
        <v>0</v>
      </c>
      <c r="I2167" s="55">
        <f t="shared" si="1031"/>
        <v>7387851</v>
      </c>
      <c r="J2167" s="42">
        <f>SUM(J2169:J2172)</f>
        <v>7607900</v>
      </c>
      <c r="K2167" s="42">
        <f>SUM(K2169:K2172)</f>
        <v>0</v>
      </c>
      <c r="L2167" s="42">
        <f t="shared" si="1038"/>
        <v>7607900</v>
      </c>
      <c r="M2167" s="225">
        <f t="shared" si="1010"/>
        <v>118.28938366813857</v>
      </c>
      <c r="N2167" s="225">
        <f t="shared" si="1011"/>
        <v>118.28938366813857</v>
      </c>
      <c r="O2167" s="225">
        <f t="shared" si="1012"/>
        <v>102.97852514892357</v>
      </c>
      <c r="P2167" s="225">
        <f t="shared" si="1036"/>
        <v>102.97852514892357</v>
      </c>
    </row>
    <row r="2168" spans="1:16" s="3" customFormat="1" hidden="1">
      <c r="A2168" s="80" t="s">
        <v>267</v>
      </c>
      <c r="B2168" s="79"/>
      <c r="C2168" s="302" t="s">
        <v>268</v>
      </c>
      <c r="D2168" s="76">
        <f>SUM(D2169:D2171)</f>
        <v>6431600</v>
      </c>
      <c r="E2168" s="76">
        <f>SUM(E2169:E2169)</f>
        <v>0</v>
      </c>
      <c r="F2168" s="76">
        <f t="shared" si="1037"/>
        <v>6431600</v>
      </c>
      <c r="G2168" s="116">
        <f>SUM(G2169:G2171)</f>
        <v>7387851</v>
      </c>
      <c r="H2168" s="116">
        <f>SUM(H2169:H2169)</f>
        <v>0</v>
      </c>
      <c r="I2168" s="116">
        <f t="shared" si="1031"/>
        <v>7387851</v>
      </c>
      <c r="J2168" s="76">
        <f>SUM(J2169:J2171)</f>
        <v>7607900</v>
      </c>
      <c r="K2168" s="76">
        <f>SUM(K2169:K2169)</f>
        <v>0</v>
      </c>
      <c r="L2168" s="76">
        <f t="shared" si="1038"/>
        <v>7607900</v>
      </c>
      <c r="M2168" s="226">
        <f t="shared" si="1010"/>
        <v>118.28938366813857</v>
      </c>
      <c r="N2168" s="226">
        <f t="shared" si="1011"/>
        <v>118.28938366813857</v>
      </c>
      <c r="O2168" s="226">
        <f t="shared" si="1012"/>
        <v>102.97852514892357</v>
      </c>
      <c r="P2168" s="226">
        <f t="shared" si="1036"/>
        <v>102.97852514892357</v>
      </c>
    </row>
    <row r="2169" spans="1:16" s="7" customFormat="1" ht="12.75" customHeight="1">
      <c r="A2169" s="46" t="s">
        <v>200</v>
      </c>
      <c r="B2169" s="47" t="s">
        <v>416</v>
      </c>
      <c r="C2169" s="212" t="s">
        <v>2043</v>
      </c>
      <c r="D2169" s="63">
        <f>6336600+95000</f>
        <v>6431600</v>
      </c>
      <c r="E2169" s="63"/>
      <c r="F2169" s="63">
        <f t="shared" si="1037"/>
        <v>6431600</v>
      </c>
      <c r="G2169" s="38">
        <v>7386851</v>
      </c>
      <c r="H2169" s="38"/>
      <c r="I2169" s="38">
        <f t="shared" si="1031"/>
        <v>7386851</v>
      </c>
      <c r="J2169" s="63">
        <v>7541900</v>
      </c>
      <c r="K2169" s="63"/>
      <c r="L2169" s="63">
        <f t="shared" si="1038"/>
        <v>7541900</v>
      </c>
      <c r="M2169" s="218">
        <f t="shared" si="1010"/>
        <v>117.26320044778905</v>
      </c>
      <c r="N2169" s="218">
        <f t="shared" si="1011"/>
        <v>117.26320044778905</v>
      </c>
      <c r="O2169" s="218">
        <f t="shared" si="1012"/>
        <v>102.09898642872315</v>
      </c>
      <c r="P2169" s="218">
        <f t="shared" si="1036"/>
        <v>102.09898642872315</v>
      </c>
    </row>
    <row r="2170" spans="1:16" s="7" customFormat="1" ht="12.75" customHeight="1">
      <c r="A2170" s="46" t="s">
        <v>2462</v>
      </c>
      <c r="B2170" s="47" t="s">
        <v>2463</v>
      </c>
      <c r="C2170" s="212"/>
      <c r="D2170" s="63"/>
      <c r="E2170" s="63"/>
      <c r="F2170" s="63"/>
      <c r="G2170" s="38"/>
      <c r="H2170" s="38"/>
      <c r="I2170" s="38"/>
      <c r="J2170" s="63">
        <v>66000</v>
      </c>
      <c r="K2170" s="63"/>
      <c r="L2170" s="63">
        <f t="shared" si="1038"/>
        <v>66000</v>
      </c>
      <c r="M2170" s="218" t="str">
        <f t="shared" si="1010"/>
        <v/>
      </c>
      <c r="N2170" s="218" t="str">
        <f t="shared" si="1011"/>
        <v/>
      </c>
      <c r="O2170" s="218" t="str">
        <f t="shared" si="1012"/>
        <v/>
      </c>
      <c r="P2170" s="218" t="str">
        <f t="shared" ref="P2170" si="1039">IF(I2170&gt;0,IF(L2170&gt;=0,L2170/I2170*100,""),"")</f>
        <v/>
      </c>
    </row>
    <row r="2171" spans="1:16" s="7" customFormat="1" ht="12.75" customHeight="1">
      <c r="A2171" s="46" t="s">
        <v>2069</v>
      </c>
      <c r="B2171" s="211" t="s">
        <v>2070</v>
      </c>
      <c r="C2171" s="211" t="s">
        <v>2224</v>
      </c>
      <c r="D2171" s="63"/>
      <c r="E2171" s="63"/>
      <c r="F2171" s="63"/>
      <c r="G2171" s="38">
        <v>1000</v>
      </c>
      <c r="H2171" s="38"/>
      <c r="I2171" s="38">
        <f t="shared" si="1031"/>
        <v>1000</v>
      </c>
      <c r="J2171" s="63"/>
      <c r="K2171" s="63"/>
      <c r="L2171" s="63"/>
      <c r="M2171" s="218" t="str">
        <f t="shared" si="1010"/>
        <v/>
      </c>
      <c r="N2171" s="218" t="str">
        <f t="shared" si="1011"/>
        <v/>
      </c>
      <c r="O2171" s="218">
        <f t="shared" si="1012"/>
        <v>0</v>
      </c>
      <c r="P2171" s="218"/>
    </row>
    <row r="2172" spans="1:16" s="7" customFormat="1" hidden="1">
      <c r="A2172" s="46" t="s">
        <v>5</v>
      </c>
      <c r="B2172" s="33" t="s">
        <v>151</v>
      </c>
      <c r="C2172" s="211" t="s">
        <v>2044</v>
      </c>
      <c r="D2172" s="63"/>
      <c r="E2172" s="63"/>
      <c r="F2172" s="63">
        <f t="shared" ref="F2172" si="1040">SUM(D2172:E2172)</f>
        <v>0</v>
      </c>
      <c r="G2172" s="38"/>
      <c r="H2172" s="38"/>
      <c r="I2172" s="38">
        <f t="shared" si="1031"/>
        <v>0</v>
      </c>
      <c r="J2172" s="63"/>
      <c r="K2172" s="63"/>
      <c r="L2172" s="63">
        <f t="shared" si="1038"/>
        <v>0</v>
      </c>
      <c r="M2172" s="218" t="str">
        <f t="shared" si="1010"/>
        <v/>
      </c>
      <c r="N2172" s="218" t="str">
        <f t="shared" si="1011"/>
        <v/>
      </c>
      <c r="O2172" s="218" t="str">
        <f t="shared" si="1012"/>
        <v/>
      </c>
      <c r="P2172" s="218" t="str">
        <f t="shared" ref="P2172:P2177" si="1041">IF(I2172&gt;0,IF(L2172&gt;=0,L2172/I2172*100,""),"")</f>
        <v/>
      </c>
    </row>
    <row r="2173" spans="1:16" s="7" customFormat="1" ht="6" customHeight="1">
      <c r="A2173" s="46"/>
      <c r="B2173" s="47"/>
      <c r="C2173" s="212" t="s">
        <v>268</v>
      </c>
      <c r="D2173" s="63"/>
      <c r="E2173" s="63"/>
      <c r="F2173" s="63"/>
      <c r="G2173" s="38"/>
      <c r="H2173" s="38"/>
      <c r="I2173" s="38"/>
      <c r="J2173" s="63"/>
      <c r="K2173" s="63"/>
      <c r="L2173" s="63"/>
      <c r="M2173" s="218" t="str">
        <f t="shared" si="1010"/>
        <v/>
      </c>
      <c r="N2173" s="218" t="str">
        <f t="shared" si="1011"/>
        <v/>
      </c>
      <c r="O2173" s="218" t="str">
        <f t="shared" si="1012"/>
        <v/>
      </c>
      <c r="P2173" s="218" t="str">
        <f t="shared" si="1041"/>
        <v/>
      </c>
    </row>
    <row r="2174" spans="1:16" s="11" customFormat="1" ht="12.75">
      <c r="A2174" s="58" t="s">
        <v>458</v>
      </c>
      <c r="B2174" s="65" t="s">
        <v>265</v>
      </c>
      <c r="C2174" s="308" t="s">
        <v>940</v>
      </c>
      <c r="D2174" s="86">
        <f>SUM(D2176:D2179)</f>
        <v>6235400</v>
      </c>
      <c r="E2174" s="86">
        <f>SUM(E2176:E2179)</f>
        <v>0</v>
      </c>
      <c r="F2174" s="86">
        <f t="shared" ref="F2174:F2175" si="1042">SUM(D2174:E2174)</f>
        <v>6235400</v>
      </c>
      <c r="G2174" s="262">
        <f>SUM(G2176:G2179)</f>
        <v>7385852</v>
      </c>
      <c r="H2174" s="262">
        <f>SUM(H2176:H2179)</f>
        <v>0</v>
      </c>
      <c r="I2174" s="262">
        <f t="shared" ref="I2174:I2179" si="1043">SUM(G2174:H2174)</f>
        <v>7385852</v>
      </c>
      <c r="J2174" s="86">
        <f>SUM(J2176:J2179)</f>
        <v>7893900</v>
      </c>
      <c r="K2174" s="86">
        <f>SUM(K2176:K2179)</f>
        <v>0</v>
      </c>
      <c r="L2174" s="86">
        <f t="shared" ref="L2174:L2175" si="1044">SUM(J2174:K2174)</f>
        <v>7893900</v>
      </c>
      <c r="M2174" s="236">
        <f t="shared" si="1010"/>
        <v>126.59813323924689</v>
      </c>
      <c r="N2174" s="236">
        <f t="shared" si="1011"/>
        <v>126.59813323924689</v>
      </c>
      <c r="O2174" s="236">
        <f t="shared" si="1012"/>
        <v>106.87866477692755</v>
      </c>
      <c r="P2174" s="236">
        <f t="shared" si="1041"/>
        <v>106.87866477692755</v>
      </c>
    </row>
    <row r="2175" spans="1:16" s="3" customFormat="1" hidden="1">
      <c r="A2175" s="80" t="s">
        <v>267</v>
      </c>
      <c r="B2175" s="79"/>
      <c r="C2175" s="302" t="s">
        <v>268</v>
      </c>
      <c r="D2175" s="45">
        <f>SUM(D2176:D2178)</f>
        <v>6235400</v>
      </c>
      <c r="E2175" s="76">
        <f>SUM(E2176:E2177)</f>
        <v>0</v>
      </c>
      <c r="F2175" s="45">
        <f t="shared" si="1042"/>
        <v>6235400</v>
      </c>
      <c r="G2175" s="116">
        <f>SUM(G2176:G2178)</f>
        <v>7385852</v>
      </c>
      <c r="H2175" s="116">
        <f>SUM(H2176:H2177)</f>
        <v>0</v>
      </c>
      <c r="I2175" s="88">
        <f t="shared" si="1043"/>
        <v>7385852</v>
      </c>
      <c r="J2175" s="76">
        <f>SUM(J2176:J2178)</f>
        <v>7893900</v>
      </c>
      <c r="K2175" s="76">
        <f>SUM(K2176:K2177)</f>
        <v>0</v>
      </c>
      <c r="L2175" s="45">
        <f t="shared" si="1044"/>
        <v>7893900</v>
      </c>
      <c r="M2175" s="229">
        <f t="shared" si="1010"/>
        <v>126.59813323924689</v>
      </c>
      <c r="N2175" s="229">
        <f t="shared" si="1011"/>
        <v>126.59813323924689</v>
      </c>
      <c r="O2175" s="229">
        <f t="shared" si="1012"/>
        <v>106.87866477692755</v>
      </c>
      <c r="P2175" s="229">
        <f t="shared" si="1041"/>
        <v>106.87866477692755</v>
      </c>
    </row>
    <row r="2176" spans="1:16" s="7" customFormat="1" ht="12.75" customHeight="1">
      <c r="A2176" s="46" t="s">
        <v>196</v>
      </c>
      <c r="B2176" s="47" t="s">
        <v>416</v>
      </c>
      <c r="C2176" s="212" t="s">
        <v>2045</v>
      </c>
      <c r="D2176" s="74">
        <f>6127400+94000</f>
        <v>6221400</v>
      </c>
      <c r="E2176" s="63"/>
      <c r="F2176" s="48">
        <f t="shared" ref="F2176" si="1045">SUM(D2176:E2176)</f>
        <v>6221400</v>
      </c>
      <c r="G2176" s="112">
        <v>7364034</v>
      </c>
      <c r="H2176" s="38"/>
      <c r="I2176" s="85">
        <f t="shared" si="1043"/>
        <v>7364034</v>
      </c>
      <c r="J2176" s="74">
        <v>7885900</v>
      </c>
      <c r="K2176" s="63"/>
      <c r="L2176" s="48">
        <f t="shared" ref="L2176" si="1046">SUM(J2176:K2176)</f>
        <v>7885900</v>
      </c>
      <c r="M2176" s="219">
        <f t="shared" si="1010"/>
        <v>126.75442826373484</v>
      </c>
      <c r="N2176" s="219">
        <f t="shared" si="1011"/>
        <v>126.75442826373484</v>
      </c>
      <c r="O2176" s="219">
        <f t="shared" si="1012"/>
        <v>107.08668645473392</v>
      </c>
      <c r="P2176" s="219">
        <f t="shared" si="1041"/>
        <v>107.08668645473392</v>
      </c>
    </row>
    <row r="2177" spans="1:16" s="7" customFormat="1" ht="12.75" customHeight="1">
      <c r="A2177" s="46" t="s">
        <v>651</v>
      </c>
      <c r="B2177" s="33" t="s">
        <v>650</v>
      </c>
      <c r="C2177" s="211" t="s">
        <v>2046</v>
      </c>
      <c r="D2177" s="70">
        <v>14000</v>
      </c>
      <c r="E2177" s="63"/>
      <c r="F2177" s="48">
        <f>SUM(D2177:E2177)</f>
        <v>14000</v>
      </c>
      <c r="G2177" s="84">
        <v>19318</v>
      </c>
      <c r="H2177" s="38"/>
      <c r="I2177" s="85">
        <f t="shared" si="1043"/>
        <v>19318</v>
      </c>
      <c r="J2177" s="48">
        <v>8000</v>
      </c>
      <c r="K2177" s="63"/>
      <c r="L2177" s="48">
        <f>SUM(J2177:K2177)</f>
        <v>8000</v>
      </c>
      <c r="M2177" s="219">
        <f t="shared" si="1010"/>
        <v>57.142857142857139</v>
      </c>
      <c r="N2177" s="219">
        <f t="shared" si="1011"/>
        <v>57.142857142857139</v>
      </c>
      <c r="O2177" s="219">
        <f t="shared" si="1012"/>
        <v>41.412154467336165</v>
      </c>
      <c r="P2177" s="219">
        <f t="shared" si="1041"/>
        <v>41.412154467336165</v>
      </c>
    </row>
    <row r="2178" spans="1:16" s="7" customFormat="1" ht="12.75" customHeight="1">
      <c r="A2178" s="359" t="s">
        <v>2069</v>
      </c>
      <c r="B2178" s="311" t="s">
        <v>2070</v>
      </c>
      <c r="C2178" s="311" t="s">
        <v>2225</v>
      </c>
      <c r="D2178" s="360"/>
      <c r="E2178" s="67"/>
      <c r="F2178" s="67"/>
      <c r="G2178" s="356">
        <v>2500</v>
      </c>
      <c r="H2178" s="61"/>
      <c r="I2178" s="365">
        <f t="shared" si="1043"/>
        <v>2500</v>
      </c>
      <c r="J2178" s="360"/>
      <c r="K2178" s="67"/>
      <c r="L2178" s="364"/>
      <c r="M2178" s="366" t="str">
        <f t="shared" si="1010"/>
        <v/>
      </c>
      <c r="N2178" s="366" t="str">
        <f t="shared" si="1011"/>
        <v/>
      </c>
      <c r="O2178" s="366">
        <f t="shared" si="1012"/>
        <v>0</v>
      </c>
      <c r="P2178" s="366"/>
    </row>
    <row r="2179" spans="1:16" s="7" customFormat="1" hidden="1">
      <c r="A2179" s="378" t="s">
        <v>5</v>
      </c>
      <c r="B2179" s="68" t="s">
        <v>151</v>
      </c>
      <c r="C2179" s="330" t="s">
        <v>2047</v>
      </c>
      <c r="D2179" s="368"/>
      <c r="E2179" s="368"/>
      <c r="F2179" s="368">
        <f t="shared" ref="F2179" si="1047">SUM(D2179:E2179)</f>
        <v>0</v>
      </c>
      <c r="G2179" s="370"/>
      <c r="H2179" s="370"/>
      <c r="I2179" s="371">
        <f t="shared" si="1043"/>
        <v>0</v>
      </c>
      <c r="J2179" s="368"/>
      <c r="K2179" s="368"/>
      <c r="L2179" s="369">
        <f t="shared" ref="L2179" si="1048">SUM(J2179:K2179)</f>
        <v>0</v>
      </c>
      <c r="M2179" s="372" t="str">
        <f t="shared" si="1010"/>
        <v/>
      </c>
      <c r="N2179" s="372" t="str">
        <f t="shared" si="1011"/>
        <v/>
      </c>
      <c r="O2179" s="372" t="str">
        <f t="shared" si="1012"/>
        <v/>
      </c>
      <c r="P2179" s="372" t="str">
        <f t="shared" ref="P2179:P2190" si="1049">IF(I2179&gt;0,IF(L2179&gt;=0,L2179/I2179*100,""),"")</f>
        <v/>
      </c>
    </row>
    <row r="2180" spans="1:16" s="7" customFormat="1" ht="6" customHeight="1">
      <c r="A2180" s="43"/>
      <c r="B2180" s="44"/>
      <c r="C2180" s="304" t="s">
        <v>268</v>
      </c>
      <c r="D2180" s="113"/>
      <c r="E2180" s="76"/>
      <c r="F2180" s="76"/>
      <c r="G2180" s="187"/>
      <c r="H2180" s="116"/>
      <c r="I2180" s="116"/>
      <c r="J2180" s="76"/>
      <c r="K2180" s="76"/>
      <c r="L2180" s="76"/>
      <c r="M2180" s="226" t="str">
        <f t="shared" si="1010"/>
        <v/>
      </c>
      <c r="N2180" s="226" t="str">
        <f t="shared" si="1011"/>
        <v/>
      </c>
      <c r="O2180" s="226" t="str">
        <f t="shared" si="1012"/>
        <v/>
      </c>
      <c r="P2180" s="226" t="str">
        <f t="shared" si="1049"/>
        <v/>
      </c>
    </row>
    <row r="2181" spans="1:16" s="7" customFormat="1" ht="12.75">
      <c r="A2181" s="58" t="s">
        <v>447</v>
      </c>
      <c r="B2181" s="65" t="s">
        <v>265</v>
      </c>
      <c r="C2181" s="308" t="s">
        <v>940</v>
      </c>
      <c r="D2181" s="86">
        <f>SUM(D2183:D2184)</f>
        <v>4166200</v>
      </c>
      <c r="E2181" s="86">
        <f>SUM(E2183:E2184)</f>
        <v>0</v>
      </c>
      <c r="F2181" s="86">
        <f t="shared" ref="F2181:F2183" si="1050">SUM(D2181:E2181)</f>
        <v>4166200</v>
      </c>
      <c r="G2181" s="262">
        <f>SUM(G2183:G2184)</f>
        <v>4955732</v>
      </c>
      <c r="H2181" s="262">
        <f>SUM(H2183:H2184)</f>
        <v>0</v>
      </c>
      <c r="I2181" s="262">
        <f t="shared" ref="I2181:I2183" si="1051">SUM(G2181:H2181)</f>
        <v>4955732</v>
      </c>
      <c r="J2181" s="86">
        <f>SUM(J2183:J2184)</f>
        <v>4891600</v>
      </c>
      <c r="K2181" s="86">
        <f>SUM(K2183:K2184)</f>
        <v>0</v>
      </c>
      <c r="L2181" s="86">
        <f t="shared" ref="L2181:L2182" si="1052">SUM(J2181:K2181)</f>
        <v>4891600</v>
      </c>
      <c r="M2181" s="236">
        <f t="shared" si="1010"/>
        <v>117.41155009361049</v>
      </c>
      <c r="N2181" s="236">
        <f t="shared" si="1011"/>
        <v>117.41155009361049</v>
      </c>
      <c r="O2181" s="236">
        <f t="shared" si="1012"/>
        <v>98.705902579074092</v>
      </c>
      <c r="P2181" s="236">
        <f t="shared" si="1049"/>
        <v>98.705902579074092</v>
      </c>
    </row>
    <row r="2182" spans="1:16" s="3" customFormat="1" ht="12.75" customHeight="1">
      <c r="A2182" s="80" t="s">
        <v>267</v>
      </c>
      <c r="B2182" s="79"/>
      <c r="C2182" s="302" t="s">
        <v>268</v>
      </c>
      <c r="D2182" s="76">
        <f>SUM(D2183:D2183)</f>
        <v>4166200</v>
      </c>
      <c r="E2182" s="76">
        <f>SUM(E2183)</f>
        <v>0</v>
      </c>
      <c r="F2182" s="76">
        <f t="shared" si="1050"/>
        <v>4166200</v>
      </c>
      <c r="G2182" s="116">
        <f>SUM(G2183:G2183)</f>
        <v>4857732</v>
      </c>
      <c r="H2182" s="116">
        <f>SUM(H2183)</f>
        <v>0</v>
      </c>
      <c r="I2182" s="116">
        <f t="shared" si="1051"/>
        <v>4857732</v>
      </c>
      <c r="J2182" s="76">
        <f>SUM(J2183:J2183)</f>
        <v>4891600</v>
      </c>
      <c r="K2182" s="76">
        <f>SUM(K2183)</f>
        <v>0</v>
      </c>
      <c r="L2182" s="76">
        <f t="shared" si="1052"/>
        <v>4891600</v>
      </c>
      <c r="M2182" s="226">
        <f t="shared" si="1010"/>
        <v>117.41155009361049</v>
      </c>
      <c r="N2182" s="226">
        <f t="shared" si="1011"/>
        <v>117.41155009361049</v>
      </c>
      <c r="O2182" s="226">
        <f t="shared" si="1012"/>
        <v>100.69719778695078</v>
      </c>
      <c r="P2182" s="226">
        <f t="shared" si="1049"/>
        <v>100.69719778695078</v>
      </c>
    </row>
    <row r="2183" spans="1:16" s="7" customFormat="1" ht="12.75" customHeight="1">
      <c r="A2183" s="46" t="s">
        <v>196</v>
      </c>
      <c r="B2183" s="47" t="s">
        <v>416</v>
      </c>
      <c r="C2183" s="212" t="s">
        <v>2048</v>
      </c>
      <c r="D2183" s="74">
        <f>4122200+44000</f>
        <v>4166200</v>
      </c>
      <c r="E2183" s="63"/>
      <c r="F2183" s="104">
        <f t="shared" si="1050"/>
        <v>4166200</v>
      </c>
      <c r="G2183" s="112">
        <v>4857732</v>
      </c>
      <c r="H2183" s="38"/>
      <c r="I2183" s="104">
        <f t="shared" si="1051"/>
        <v>4857732</v>
      </c>
      <c r="J2183" s="74">
        <v>4891600</v>
      </c>
      <c r="K2183" s="63"/>
      <c r="L2183" s="104">
        <f t="shared" ref="L2183:L2184" si="1053">SUM(J2183:K2183)</f>
        <v>4891600</v>
      </c>
      <c r="M2183" s="247">
        <f t="shared" si="1010"/>
        <v>117.41155009361049</v>
      </c>
      <c r="N2183" s="247">
        <f t="shared" si="1011"/>
        <v>117.41155009361049</v>
      </c>
      <c r="O2183" s="247">
        <f t="shared" si="1012"/>
        <v>100.69719778695078</v>
      </c>
      <c r="P2183" s="247">
        <f t="shared" si="1049"/>
        <v>100.69719778695078</v>
      </c>
    </row>
    <row r="2184" spans="1:16" s="7" customFormat="1" ht="12.75" customHeight="1">
      <c r="A2184" s="46" t="s">
        <v>5</v>
      </c>
      <c r="B2184" s="212" t="s">
        <v>151</v>
      </c>
      <c r="C2184" s="212" t="s">
        <v>2049</v>
      </c>
      <c r="D2184" s="74"/>
      <c r="E2184" s="63"/>
      <c r="F2184" s="104">
        <f t="shared" ref="F2184" si="1054">SUM(D2184:E2184)</f>
        <v>0</v>
      </c>
      <c r="G2184" s="112">
        <v>98000</v>
      </c>
      <c r="H2184" s="38"/>
      <c r="I2184" s="104">
        <f>SUM(G2184:H2184)</f>
        <v>98000</v>
      </c>
      <c r="J2184" s="104"/>
      <c r="K2184" s="63"/>
      <c r="L2184" s="104">
        <f t="shared" si="1053"/>
        <v>0</v>
      </c>
      <c r="M2184" s="247" t="str">
        <f t="shared" si="1010"/>
        <v/>
      </c>
      <c r="N2184" s="247" t="str">
        <f t="shared" si="1011"/>
        <v/>
      </c>
      <c r="O2184" s="247">
        <f t="shared" si="1012"/>
        <v>0</v>
      </c>
      <c r="P2184" s="247">
        <f t="shared" si="1049"/>
        <v>0</v>
      </c>
    </row>
    <row r="2185" spans="1:16" s="7" customFormat="1" ht="6" customHeight="1">
      <c r="A2185" s="46"/>
      <c r="B2185" s="47"/>
      <c r="C2185" s="212" t="s">
        <v>268</v>
      </c>
      <c r="D2185" s="63"/>
      <c r="E2185" s="63"/>
      <c r="F2185" s="48"/>
      <c r="G2185" s="38"/>
      <c r="H2185" s="38"/>
      <c r="I2185" s="85"/>
      <c r="J2185" s="48"/>
      <c r="K2185" s="63"/>
      <c r="L2185" s="48"/>
      <c r="M2185" s="219" t="str">
        <f t="shared" si="1010"/>
        <v/>
      </c>
      <c r="N2185" s="219" t="str">
        <f t="shared" si="1011"/>
        <v/>
      </c>
      <c r="O2185" s="219" t="str">
        <f t="shared" si="1012"/>
        <v/>
      </c>
      <c r="P2185" s="219" t="str">
        <f t="shared" si="1049"/>
        <v/>
      </c>
    </row>
    <row r="2186" spans="1:16" s="11" customFormat="1" ht="12.75">
      <c r="A2186" s="58" t="s">
        <v>204</v>
      </c>
      <c r="B2186" s="65" t="s">
        <v>265</v>
      </c>
      <c r="C2186" s="308" t="s">
        <v>940</v>
      </c>
      <c r="D2186" s="69">
        <f>SUM(D2188:D2193)</f>
        <v>12595185</v>
      </c>
      <c r="E2186" s="83">
        <f>SUM(E2188:E2192)</f>
        <v>0</v>
      </c>
      <c r="F2186" s="69">
        <f>SUM(D2186:E2186)</f>
        <v>12595185</v>
      </c>
      <c r="G2186" s="121">
        <f>SUM(G2188:G2193)</f>
        <v>16479191</v>
      </c>
      <c r="H2186" s="121">
        <f>SUM(H2188:H2192)</f>
        <v>0</v>
      </c>
      <c r="I2186" s="115">
        <f t="shared" ref="I2186:I2230" si="1055">SUM(G2186:H2186)</f>
        <v>16479191</v>
      </c>
      <c r="J2186" s="83">
        <f>SUM(J2188:J2193)</f>
        <v>15496725</v>
      </c>
      <c r="K2186" s="83">
        <f>SUM(K2188:K2192)</f>
        <v>0</v>
      </c>
      <c r="L2186" s="69">
        <f t="shared" ref="L2186:L2187" si="1056">SUM(J2186:K2186)</f>
        <v>15496725</v>
      </c>
      <c r="M2186" s="217">
        <f t="shared" si="1010"/>
        <v>123.03689862435525</v>
      </c>
      <c r="N2186" s="217">
        <f t="shared" si="1011"/>
        <v>123.03689862435525</v>
      </c>
      <c r="O2186" s="217">
        <f t="shared" si="1012"/>
        <v>94.038141799557991</v>
      </c>
      <c r="P2186" s="217">
        <f t="shared" si="1049"/>
        <v>94.038141799557991</v>
      </c>
    </row>
    <row r="2187" spans="1:16" s="11" customFormat="1" ht="12.75" customHeight="1">
      <c r="A2187" s="36" t="s">
        <v>267</v>
      </c>
      <c r="B2187" s="92"/>
      <c r="C2187" s="312" t="s">
        <v>268</v>
      </c>
      <c r="D2187" s="63">
        <f>SUM(D2188:D2192)</f>
        <v>12595185</v>
      </c>
      <c r="E2187" s="110"/>
      <c r="F2187" s="63">
        <f t="shared" ref="F2187" si="1057">SUM(D2187:E2187)</f>
        <v>12595185</v>
      </c>
      <c r="G2187" s="84">
        <f>SUM(G2188:G2192)</f>
        <v>16384191</v>
      </c>
      <c r="H2187" s="259"/>
      <c r="I2187" s="38">
        <f t="shared" si="1055"/>
        <v>16384191</v>
      </c>
      <c r="J2187" s="84">
        <f>SUM(J2188:J2192)</f>
        <v>15496725</v>
      </c>
      <c r="K2187" s="110"/>
      <c r="L2187" s="63">
        <f t="shared" si="1056"/>
        <v>15496725</v>
      </c>
      <c r="M2187" s="218">
        <f t="shared" si="1010"/>
        <v>123.03689862435525</v>
      </c>
      <c r="N2187" s="218">
        <f t="shared" si="1011"/>
        <v>123.03689862435525</v>
      </c>
      <c r="O2187" s="218">
        <f t="shared" si="1012"/>
        <v>94.583400547515595</v>
      </c>
      <c r="P2187" s="218">
        <f t="shared" si="1049"/>
        <v>94.583400547515595</v>
      </c>
    </row>
    <row r="2188" spans="1:16" s="3" customFormat="1" ht="12.75" customHeight="1">
      <c r="A2188" s="46" t="s">
        <v>200</v>
      </c>
      <c r="B2188" s="47" t="s">
        <v>416</v>
      </c>
      <c r="C2188" s="212" t="s">
        <v>2050</v>
      </c>
      <c r="D2188" s="63">
        <f>10990700+173000</f>
        <v>11163700</v>
      </c>
      <c r="E2188" s="63"/>
      <c r="F2188" s="63">
        <f t="shared" ref="F2188:F2190" si="1058">SUM(D2188:E2188)</f>
        <v>11163700</v>
      </c>
      <c r="G2188" s="38">
        <v>13988020</v>
      </c>
      <c r="H2188" s="38"/>
      <c r="I2188" s="38">
        <f t="shared" si="1055"/>
        <v>13988020</v>
      </c>
      <c r="J2188" s="63">
        <v>14194163</v>
      </c>
      <c r="K2188" s="63"/>
      <c r="L2188" s="63">
        <f t="shared" ref="L2188:L2198" si="1059">SUM(J2188:K2188)</f>
        <v>14194163</v>
      </c>
      <c r="M2188" s="218">
        <f t="shared" si="1010"/>
        <v>127.14568646595663</v>
      </c>
      <c r="N2188" s="218">
        <f t="shared" si="1011"/>
        <v>127.14568646595663</v>
      </c>
      <c r="O2188" s="218">
        <f t="shared" si="1012"/>
        <v>101.47371107562041</v>
      </c>
      <c r="P2188" s="218">
        <f t="shared" si="1049"/>
        <v>101.47371107562041</v>
      </c>
    </row>
    <row r="2189" spans="1:16" s="3" customFormat="1" ht="12.75" customHeight="1">
      <c r="A2189" s="46" t="s">
        <v>13</v>
      </c>
      <c r="B2189" s="33" t="s">
        <v>10</v>
      </c>
      <c r="C2189" s="211" t="s">
        <v>2052</v>
      </c>
      <c r="D2189" s="63">
        <v>12500</v>
      </c>
      <c r="E2189" s="63"/>
      <c r="F2189" s="63">
        <f t="shared" si="1058"/>
        <v>12500</v>
      </c>
      <c r="G2189" s="38">
        <v>12500</v>
      </c>
      <c r="H2189" s="38"/>
      <c r="I2189" s="38">
        <f t="shared" si="1055"/>
        <v>12500</v>
      </c>
      <c r="J2189" s="63">
        <v>76700</v>
      </c>
      <c r="K2189" s="63"/>
      <c r="L2189" s="63">
        <f t="shared" si="1059"/>
        <v>76700</v>
      </c>
      <c r="M2189" s="218">
        <f t="shared" si="1010"/>
        <v>613.6</v>
      </c>
      <c r="N2189" s="218">
        <f t="shared" si="1011"/>
        <v>613.6</v>
      </c>
      <c r="O2189" s="218">
        <f t="shared" si="1012"/>
        <v>613.6</v>
      </c>
      <c r="P2189" s="218">
        <f t="shared" si="1049"/>
        <v>613.6</v>
      </c>
    </row>
    <row r="2190" spans="1:16" s="3" customFormat="1" ht="12.75" customHeight="1">
      <c r="A2190" s="46" t="s">
        <v>819</v>
      </c>
      <c r="B2190" s="33" t="s">
        <v>647</v>
      </c>
      <c r="C2190" s="211" t="s">
        <v>2053</v>
      </c>
      <c r="D2190" s="63">
        <v>1209985</v>
      </c>
      <c r="E2190" s="63"/>
      <c r="F2190" s="63">
        <f t="shared" si="1058"/>
        <v>1209985</v>
      </c>
      <c r="G2190" s="38">
        <v>1781251</v>
      </c>
      <c r="H2190" s="38"/>
      <c r="I2190" s="38">
        <f t="shared" si="1055"/>
        <v>1781251</v>
      </c>
      <c r="J2190" s="63">
        <v>945090</v>
      </c>
      <c r="K2190" s="63"/>
      <c r="L2190" s="63">
        <f t="shared" si="1059"/>
        <v>945090</v>
      </c>
      <c r="M2190" s="218">
        <f t="shared" si="1010"/>
        <v>78.107579846031143</v>
      </c>
      <c r="N2190" s="218">
        <f t="shared" si="1011"/>
        <v>78.107579846031143</v>
      </c>
      <c r="O2190" s="218">
        <f t="shared" si="1012"/>
        <v>53.057654423772959</v>
      </c>
      <c r="P2190" s="218">
        <f t="shared" si="1049"/>
        <v>53.057654423772959</v>
      </c>
    </row>
    <row r="2191" spans="1:16" s="3" customFormat="1" ht="12.75" customHeight="1">
      <c r="A2191" s="46" t="s">
        <v>651</v>
      </c>
      <c r="B2191" s="33" t="s">
        <v>650</v>
      </c>
      <c r="C2191" s="211" t="s">
        <v>2051</v>
      </c>
      <c r="D2191" s="63">
        <v>209000</v>
      </c>
      <c r="E2191" s="63"/>
      <c r="F2191" s="63">
        <f>SUM(D2191:E2191)</f>
        <v>209000</v>
      </c>
      <c r="G2191" s="38">
        <v>266420</v>
      </c>
      <c r="H2191" s="38"/>
      <c r="I2191" s="38">
        <f>SUM(G2191:H2191)</f>
        <v>266420</v>
      </c>
      <c r="J2191" s="63">
        <v>280772</v>
      </c>
      <c r="K2191" s="63"/>
      <c r="L2191" s="63">
        <f>SUM(J2191:K2191)</f>
        <v>280772</v>
      </c>
      <c r="M2191" s="218">
        <f t="shared" ref="M2191:M2253" si="1060">IF(D2191&gt;0,IF(J2191&gt;=0,J2191/D2191*100,""),"")</f>
        <v>134.34066985645933</v>
      </c>
      <c r="N2191" s="218">
        <f t="shared" ref="N2191:N2253" si="1061">IF(F2191&gt;0,IF(L2191&gt;=0,L2191/F2191*100,""),"")</f>
        <v>134.34066985645933</v>
      </c>
      <c r="O2191" s="218">
        <f t="shared" ref="O2191:O2253" si="1062">IF(G2191&gt;0,IF(J2191&gt;=0,J2191/G2191*100,""),"")</f>
        <v>105.3869829592373</v>
      </c>
      <c r="P2191" s="218">
        <f>IF(I2191&gt;0,IF(L2191&gt;=0,L2191/I2191*100,""),"")</f>
        <v>105.3869829592373</v>
      </c>
    </row>
    <row r="2192" spans="1:16" s="3" customFormat="1" ht="12.75" customHeight="1">
      <c r="A2192" s="46" t="s">
        <v>2069</v>
      </c>
      <c r="B2192" s="211" t="s">
        <v>2070</v>
      </c>
      <c r="C2192" s="211" t="s">
        <v>2226</v>
      </c>
      <c r="D2192" s="63"/>
      <c r="E2192" s="63"/>
      <c r="F2192" s="63"/>
      <c r="G2192" s="38">
        <v>336000</v>
      </c>
      <c r="H2192" s="38"/>
      <c r="I2192" s="38">
        <f t="shared" si="1055"/>
        <v>336000</v>
      </c>
      <c r="J2192" s="63"/>
      <c r="K2192" s="63"/>
      <c r="L2192" s="63">
        <f t="shared" si="1059"/>
        <v>0</v>
      </c>
      <c r="M2192" s="218" t="str">
        <f t="shared" si="1060"/>
        <v/>
      </c>
      <c r="N2192" s="218" t="str">
        <f t="shared" si="1061"/>
        <v/>
      </c>
      <c r="O2192" s="218">
        <f t="shared" si="1062"/>
        <v>0</v>
      </c>
      <c r="P2192" s="218"/>
    </row>
    <row r="2193" spans="1:16" s="3" customFormat="1" ht="12.75" customHeight="1">
      <c r="A2193" s="46" t="s">
        <v>791</v>
      </c>
      <c r="B2193" s="211" t="s">
        <v>151</v>
      </c>
      <c r="C2193" s="211" t="s">
        <v>2054</v>
      </c>
      <c r="D2193" s="170"/>
      <c r="E2193" s="63"/>
      <c r="F2193" s="63"/>
      <c r="G2193" s="38">
        <v>95000</v>
      </c>
      <c r="H2193" s="38"/>
      <c r="I2193" s="38">
        <f t="shared" si="1055"/>
        <v>95000</v>
      </c>
      <c r="J2193" s="63"/>
      <c r="K2193" s="63"/>
      <c r="L2193" s="63">
        <f t="shared" si="1059"/>
        <v>0</v>
      </c>
      <c r="M2193" s="218" t="str">
        <f t="shared" si="1060"/>
        <v/>
      </c>
      <c r="N2193" s="218" t="str">
        <f t="shared" si="1061"/>
        <v/>
      </c>
      <c r="O2193" s="218">
        <f t="shared" si="1062"/>
        <v>0</v>
      </c>
      <c r="P2193" s="218">
        <f t="shared" ref="P2193:P2203" si="1063">IF(I2193&gt;0,IF(L2193&gt;=0,L2193/I2193*100,""),"")</f>
        <v>0</v>
      </c>
    </row>
    <row r="2194" spans="1:16" s="3" customFormat="1" ht="6" customHeight="1">
      <c r="A2194" s="105"/>
      <c r="B2194" s="47"/>
      <c r="C2194" s="212" t="s">
        <v>268</v>
      </c>
      <c r="D2194" s="63"/>
      <c r="E2194" s="63"/>
      <c r="F2194" s="63">
        <f t="shared" ref="F2194:F2199" si="1064">SUM(D2194:E2194)</f>
        <v>0</v>
      </c>
      <c r="G2194" s="38"/>
      <c r="H2194" s="38"/>
      <c r="I2194" s="38">
        <f t="shared" si="1055"/>
        <v>0</v>
      </c>
      <c r="J2194" s="63"/>
      <c r="K2194" s="63"/>
      <c r="L2194" s="63">
        <f t="shared" si="1059"/>
        <v>0</v>
      </c>
      <c r="M2194" s="218" t="str">
        <f t="shared" si="1060"/>
        <v/>
      </c>
      <c r="N2194" s="218" t="str">
        <f t="shared" si="1061"/>
        <v/>
      </c>
      <c r="O2194" s="218" t="str">
        <f t="shared" si="1062"/>
        <v/>
      </c>
      <c r="P2194" s="218" t="str">
        <f t="shared" si="1063"/>
        <v/>
      </c>
    </row>
    <row r="2195" spans="1:16" s="11" customFormat="1" ht="12.75">
      <c r="A2195" s="58" t="s">
        <v>225</v>
      </c>
      <c r="B2195" s="65" t="s">
        <v>265</v>
      </c>
      <c r="C2195" s="308" t="s">
        <v>940</v>
      </c>
      <c r="D2195" s="42">
        <f>SUM(D2197:D2198)</f>
        <v>1692400</v>
      </c>
      <c r="E2195" s="42">
        <f>SUM(E2197:E2198)</f>
        <v>0</v>
      </c>
      <c r="F2195" s="42">
        <f t="shared" si="1064"/>
        <v>1692400</v>
      </c>
      <c r="G2195" s="55">
        <f>SUM(G2197:G2198)</f>
        <v>1872400</v>
      </c>
      <c r="H2195" s="55">
        <f>SUM(H2197:H2198)</f>
        <v>0</v>
      </c>
      <c r="I2195" s="55">
        <f t="shared" si="1055"/>
        <v>1872400</v>
      </c>
      <c r="J2195" s="42">
        <f>SUM(J2197:J2198)</f>
        <v>1872400</v>
      </c>
      <c r="K2195" s="42">
        <f>SUM(K2197:K2198)</f>
        <v>0</v>
      </c>
      <c r="L2195" s="42">
        <f t="shared" si="1059"/>
        <v>1872400</v>
      </c>
      <c r="M2195" s="225">
        <f t="shared" si="1060"/>
        <v>110.63578350271803</v>
      </c>
      <c r="N2195" s="225">
        <f t="shared" si="1061"/>
        <v>110.63578350271803</v>
      </c>
      <c r="O2195" s="225">
        <f t="shared" si="1062"/>
        <v>100</v>
      </c>
      <c r="P2195" s="225">
        <f t="shared" si="1063"/>
        <v>100</v>
      </c>
    </row>
    <row r="2196" spans="1:16" s="11" customFormat="1" hidden="1">
      <c r="A2196" s="36" t="s">
        <v>267</v>
      </c>
      <c r="B2196" s="184"/>
      <c r="C2196" s="320" t="s">
        <v>268</v>
      </c>
      <c r="D2196" s="88">
        <f>SUM(D2197:D2198)</f>
        <v>1692400</v>
      </c>
      <c r="E2196" s="190"/>
      <c r="F2196" s="63">
        <f t="shared" si="1064"/>
        <v>1692400</v>
      </c>
      <c r="G2196" s="88">
        <f>SUM(G2197:G2198)</f>
        <v>1872400</v>
      </c>
      <c r="H2196" s="265"/>
      <c r="I2196" s="38">
        <f t="shared" si="1055"/>
        <v>1872400</v>
      </c>
      <c r="J2196" s="88">
        <f>SUM(J2197:J2198)</f>
        <v>1872400</v>
      </c>
      <c r="K2196" s="190"/>
      <c r="L2196" s="63">
        <f t="shared" si="1059"/>
        <v>1872400</v>
      </c>
      <c r="M2196" s="218">
        <f t="shared" si="1060"/>
        <v>110.63578350271803</v>
      </c>
      <c r="N2196" s="218">
        <f t="shared" si="1061"/>
        <v>110.63578350271803</v>
      </c>
      <c r="O2196" s="218">
        <f t="shared" si="1062"/>
        <v>100</v>
      </c>
      <c r="P2196" s="218">
        <f t="shared" si="1063"/>
        <v>100</v>
      </c>
    </row>
    <row r="2197" spans="1:16" s="3" customFormat="1" ht="12.75" customHeight="1">
      <c r="A2197" s="46" t="s">
        <v>200</v>
      </c>
      <c r="B2197" s="47" t="s">
        <v>416</v>
      </c>
      <c r="C2197" s="212" t="s">
        <v>2055</v>
      </c>
      <c r="D2197" s="63">
        <v>1682400</v>
      </c>
      <c r="E2197" s="63"/>
      <c r="F2197" s="63">
        <f t="shared" si="1064"/>
        <v>1682400</v>
      </c>
      <c r="G2197" s="38">
        <v>1862400</v>
      </c>
      <c r="H2197" s="38"/>
      <c r="I2197" s="38">
        <f t="shared" si="1055"/>
        <v>1862400</v>
      </c>
      <c r="J2197" s="63">
        <v>1862400</v>
      </c>
      <c r="K2197" s="63"/>
      <c r="L2197" s="63">
        <f t="shared" si="1059"/>
        <v>1862400</v>
      </c>
      <c r="M2197" s="218">
        <f t="shared" si="1060"/>
        <v>110.69900142653353</v>
      </c>
      <c r="N2197" s="218">
        <f t="shared" si="1061"/>
        <v>110.69900142653353</v>
      </c>
      <c r="O2197" s="218">
        <f t="shared" si="1062"/>
        <v>100</v>
      </c>
      <c r="P2197" s="218">
        <f t="shared" si="1063"/>
        <v>100</v>
      </c>
    </row>
    <row r="2198" spans="1:16" s="3" customFormat="1" ht="12.75" customHeight="1">
      <c r="A2198" s="46" t="s">
        <v>651</v>
      </c>
      <c r="B2198" s="33" t="s">
        <v>650</v>
      </c>
      <c r="C2198" s="211" t="s">
        <v>2056</v>
      </c>
      <c r="D2198" s="63">
        <v>10000</v>
      </c>
      <c r="E2198" s="63"/>
      <c r="F2198" s="48">
        <f t="shared" si="1064"/>
        <v>10000</v>
      </c>
      <c r="G2198" s="38">
        <v>10000</v>
      </c>
      <c r="H2198" s="38"/>
      <c r="I2198" s="85">
        <f t="shared" si="1055"/>
        <v>10000</v>
      </c>
      <c r="J2198" s="63">
        <v>10000</v>
      </c>
      <c r="K2198" s="63"/>
      <c r="L2198" s="48">
        <f t="shared" si="1059"/>
        <v>10000</v>
      </c>
      <c r="M2198" s="219">
        <f t="shared" si="1060"/>
        <v>100</v>
      </c>
      <c r="N2198" s="219">
        <f t="shared" si="1061"/>
        <v>100</v>
      </c>
      <c r="O2198" s="219">
        <f t="shared" si="1062"/>
        <v>100</v>
      </c>
      <c r="P2198" s="219">
        <f t="shared" si="1063"/>
        <v>100</v>
      </c>
    </row>
    <row r="2199" spans="1:16" s="3" customFormat="1" ht="6" customHeight="1">
      <c r="A2199" s="46"/>
      <c r="B2199" s="47"/>
      <c r="C2199" s="212" t="s">
        <v>268</v>
      </c>
      <c r="D2199" s="63"/>
      <c r="E2199" s="63"/>
      <c r="F2199" s="63">
        <f t="shared" si="1064"/>
        <v>0</v>
      </c>
      <c r="G2199" s="38"/>
      <c r="H2199" s="38"/>
      <c r="I2199" s="38">
        <f t="shared" si="1055"/>
        <v>0</v>
      </c>
      <c r="J2199" s="63"/>
      <c r="K2199" s="63"/>
      <c r="L2199" s="63">
        <f t="shared" ref="L2199:L2205" si="1065">SUM(J2199:K2199)</f>
        <v>0</v>
      </c>
      <c r="M2199" s="218" t="str">
        <f t="shared" si="1060"/>
        <v/>
      </c>
      <c r="N2199" s="218" t="str">
        <f t="shared" si="1061"/>
        <v/>
      </c>
      <c r="O2199" s="218" t="str">
        <f t="shared" si="1062"/>
        <v/>
      </c>
      <c r="P2199" s="218" t="str">
        <f t="shared" si="1063"/>
        <v/>
      </c>
    </row>
    <row r="2200" spans="1:16" s="11" customFormat="1" ht="12.75">
      <c r="A2200" s="58" t="s">
        <v>226</v>
      </c>
      <c r="B2200" s="65" t="s">
        <v>265</v>
      </c>
      <c r="C2200" s="308" t="s">
        <v>940</v>
      </c>
      <c r="D2200" s="42">
        <f>SUM(D2202:D2205)</f>
        <v>2800620</v>
      </c>
      <c r="E2200" s="90">
        <f>SUM(E2202:E2203)</f>
        <v>0</v>
      </c>
      <c r="F2200" s="42">
        <f t="shared" ref="F2200:F2201" si="1066">SUM(D2200:E2200)</f>
        <v>2800620</v>
      </c>
      <c r="G2200" s="55">
        <f>SUM(G2202:G2205)</f>
        <v>3379875</v>
      </c>
      <c r="H2200" s="60">
        <f>SUM(H2202:H2203)</f>
        <v>0</v>
      </c>
      <c r="I2200" s="55">
        <f t="shared" si="1055"/>
        <v>3379875</v>
      </c>
      <c r="J2200" s="42">
        <f>SUM(J2202:J2205)</f>
        <v>2907648</v>
      </c>
      <c r="K2200" s="90">
        <f>SUM(K2202:K2203)</f>
        <v>0</v>
      </c>
      <c r="L2200" s="42">
        <f t="shared" si="1065"/>
        <v>2907648</v>
      </c>
      <c r="M2200" s="225">
        <f t="shared" si="1060"/>
        <v>103.82158236390512</v>
      </c>
      <c r="N2200" s="225">
        <f t="shared" si="1061"/>
        <v>103.82158236390512</v>
      </c>
      <c r="O2200" s="225">
        <f t="shared" si="1062"/>
        <v>86.028270276267619</v>
      </c>
      <c r="P2200" s="225">
        <f t="shared" si="1063"/>
        <v>86.028270276267619</v>
      </c>
    </row>
    <row r="2201" spans="1:16" s="7" customFormat="1" hidden="1">
      <c r="A2201" s="43" t="s">
        <v>267</v>
      </c>
      <c r="B2201" s="44"/>
      <c r="C2201" s="304" t="s">
        <v>268</v>
      </c>
      <c r="D2201" s="48">
        <f>SUM(D2202:D2204)</f>
        <v>2800620</v>
      </c>
      <c r="E2201" s="76"/>
      <c r="F2201" s="48">
        <f t="shared" si="1066"/>
        <v>2800620</v>
      </c>
      <c r="G2201" s="85">
        <f>SUM(G2202:G2204)</f>
        <v>3379875</v>
      </c>
      <c r="H2201" s="116"/>
      <c r="I2201" s="85">
        <f t="shared" si="1055"/>
        <v>3379875</v>
      </c>
      <c r="J2201" s="48">
        <f>SUM(J2202:J2204)</f>
        <v>2907648</v>
      </c>
      <c r="K2201" s="76"/>
      <c r="L2201" s="48">
        <f t="shared" si="1065"/>
        <v>2907648</v>
      </c>
      <c r="M2201" s="219">
        <f t="shared" si="1060"/>
        <v>103.82158236390512</v>
      </c>
      <c r="N2201" s="219">
        <f t="shared" si="1061"/>
        <v>103.82158236390512</v>
      </c>
      <c r="O2201" s="219">
        <f t="shared" si="1062"/>
        <v>86.028270276267619</v>
      </c>
      <c r="P2201" s="219">
        <f t="shared" si="1063"/>
        <v>86.028270276267619</v>
      </c>
    </row>
    <row r="2202" spans="1:16" s="3" customFormat="1" ht="12.75" customHeight="1">
      <c r="A2202" s="46" t="s">
        <v>196</v>
      </c>
      <c r="B2202" s="47" t="s">
        <v>416</v>
      </c>
      <c r="C2202" s="212" t="s">
        <v>2057</v>
      </c>
      <c r="D2202" s="63">
        <f>2411200+20000</f>
        <v>2431200</v>
      </c>
      <c r="E2202" s="63"/>
      <c r="F2202" s="48">
        <f t="shared" ref="F2202:F2203" si="1067">SUM(D2202:E2202)</f>
        <v>2431200</v>
      </c>
      <c r="G2202" s="38">
        <v>2704200</v>
      </c>
      <c r="H2202" s="38"/>
      <c r="I2202" s="85">
        <f t="shared" si="1055"/>
        <v>2704200</v>
      </c>
      <c r="J2202" s="63">
        <v>2764505</v>
      </c>
      <c r="K2202" s="63"/>
      <c r="L2202" s="48">
        <f t="shared" si="1065"/>
        <v>2764505</v>
      </c>
      <c r="M2202" s="219">
        <f t="shared" si="1060"/>
        <v>113.70948502796973</v>
      </c>
      <c r="N2202" s="219">
        <f t="shared" si="1061"/>
        <v>113.70948502796973</v>
      </c>
      <c r="O2202" s="219">
        <f t="shared" si="1062"/>
        <v>102.23004955254788</v>
      </c>
      <c r="P2202" s="219">
        <f t="shared" si="1063"/>
        <v>102.23004955254788</v>
      </c>
    </row>
    <row r="2203" spans="1:16" s="3" customFormat="1" ht="24">
      <c r="A2203" s="46" t="s">
        <v>822</v>
      </c>
      <c r="B2203" s="47" t="s">
        <v>648</v>
      </c>
      <c r="C2203" s="212" t="s">
        <v>2058</v>
      </c>
      <c r="D2203" s="63">
        <v>369420</v>
      </c>
      <c r="E2203" s="63"/>
      <c r="F2203" s="48">
        <f t="shared" si="1067"/>
        <v>369420</v>
      </c>
      <c r="G2203" s="38">
        <v>539287</v>
      </c>
      <c r="H2203" s="38"/>
      <c r="I2203" s="85">
        <f t="shared" si="1055"/>
        <v>539287</v>
      </c>
      <c r="J2203" s="63">
        <v>143143</v>
      </c>
      <c r="K2203" s="63"/>
      <c r="L2203" s="48">
        <f t="shared" si="1065"/>
        <v>143143</v>
      </c>
      <c r="M2203" s="219">
        <f t="shared" si="1060"/>
        <v>38.74803746413297</v>
      </c>
      <c r="N2203" s="219">
        <f t="shared" si="1061"/>
        <v>38.74803746413297</v>
      </c>
      <c r="O2203" s="219">
        <f t="shared" si="1062"/>
        <v>26.543009566334806</v>
      </c>
      <c r="P2203" s="219">
        <f t="shared" si="1063"/>
        <v>26.543009566334806</v>
      </c>
    </row>
    <row r="2204" spans="1:16" s="3" customFormat="1" ht="12.75" customHeight="1">
      <c r="A2204" s="46" t="s">
        <v>2069</v>
      </c>
      <c r="B2204" s="212" t="s">
        <v>2070</v>
      </c>
      <c r="C2204" s="212" t="s">
        <v>2227</v>
      </c>
      <c r="D2204" s="63"/>
      <c r="E2204" s="63"/>
      <c r="F2204" s="48"/>
      <c r="G2204" s="38">
        <v>136388</v>
      </c>
      <c r="H2204" s="38"/>
      <c r="I2204" s="85">
        <f t="shared" si="1055"/>
        <v>136388</v>
      </c>
      <c r="J2204" s="63"/>
      <c r="K2204" s="63"/>
      <c r="L2204" s="48"/>
      <c r="M2204" s="219" t="str">
        <f t="shared" si="1060"/>
        <v/>
      </c>
      <c r="N2204" s="219" t="str">
        <f t="shared" si="1061"/>
        <v/>
      </c>
      <c r="O2204" s="219">
        <f t="shared" si="1062"/>
        <v>0</v>
      </c>
      <c r="P2204" s="219"/>
    </row>
    <row r="2205" spans="1:16" s="3" customFormat="1" hidden="1">
      <c r="A2205" s="46" t="s">
        <v>791</v>
      </c>
      <c r="B2205" s="47" t="s">
        <v>151</v>
      </c>
      <c r="C2205" s="212" t="s">
        <v>2059</v>
      </c>
      <c r="D2205" s="63"/>
      <c r="E2205" s="63"/>
      <c r="F2205" s="48"/>
      <c r="G2205" s="38"/>
      <c r="H2205" s="38"/>
      <c r="I2205" s="85">
        <f t="shared" si="1055"/>
        <v>0</v>
      </c>
      <c r="J2205" s="63"/>
      <c r="K2205" s="63"/>
      <c r="L2205" s="48">
        <f t="shared" si="1065"/>
        <v>0</v>
      </c>
      <c r="M2205" s="219" t="str">
        <f t="shared" si="1060"/>
        <v/>
      </c>
      <c r="N2205" s="219" t="str">
        <f t="shared" si="1061"/>
        <v/>
      </c>
      <c r="O2205" s="219" t="str">
        <f t="shared" si="1062"/>
        <v/>
      </c>
      <c r="P2205" s="219" t="str">
        <f>IF(I2205&gt;0,IF(L2205&gt;=0,L2205/I2205*100,""),"")</f>
        <v/>
      </c>
    </row>
    <row r="2206" spans="1:16" s="3" customFormat="1" ht="6" customHeight="1">
      <c r="A2206" s="46"/>
      <c r="B2206" s="47"/>
      <c r="C2206" s="212" t="s">
        <v>268</v>
      </c>
      <c r="D2206" s="48"/>
      <c r="E2206" s="48"/>
      <c r="F2206" s="48">
        <f t="shared" ref="F2206" si="1068">SUM(D2206:E2206)</f>
        <v>0</v>
      </c>
      <c r="G2206" s="85"/>
      <c r="H2206" s="85"/>
      <c r="I2206" s="85">
        <f t="shared" si="1055"/>
        <v>0</v>
      </c>
      <c r="J2206" s="48"/>
      <c r="K2206" s="48"/>
      <c r="L2206" s="48">
        <f t="shared" ref="L2206" si="1069">SUM(J2206:K2206)</f>
        <v>0</v>
      </c>
      <c r="M2206" s="219" t="str">
        <f t="shared" si="1060"/>
        <v/>
      </c>
      <c r="N2206" s="219" t="str">
        <f t="shared" si="1061"/>
        <v/>
      </c>
      <c r="O2206" s="219" t="str">
        <f t="shared" si="1062"/>
        <v/>
      </c>
      <c r="P2206" s="219" t="str">
        <f>IF(I2206&gt;0,IF(L2206&gt;=0,L2206/I2206*100,""),"")</f>
        <v/>
      </c>
    </row>
    <row r="2207" spans="1:16" s="11" customFormat="1" ht="25.5">
      <c r="A2207" s="58" t="s">
        <v>460</v>
      </c>
      <c r="B2207" s="65" t="s">
        <v>265</v>
      </c>
      <c r="C2207" s="308" t="s">
        <v>940</v>
      </c>
      <c r="D2207" s="42">
        <f>SUM(D2209:D2211)</f>
        <v>8169400</v>
      </c>
      <c r="E2207" s="42">
        <f>SUM(E2209:E2211)</f>
        <v>0</v>
      </c>
      <c r="F2207" s="42">
        <f>SUM(D2207:E2207)</f>
        <v>8169400</v>
      </c>
      <c r="G2207" s="55">
        <f>SUM(G2209:G2211)</f>
        <v>9975634</v>
      </c>
      <c r="H2207" s="55">
        <f>SUM(H2209:H2211)</f>
        <v>0</v>
      </c>
      <c r="I2207" s="55">
        <f t="shared" si="1055"/>
        <v>9975634</v>
      </c>
      <c r="J2207" s="42">
        <f>SUM(J2209:J2211)</f>
        <v>10022000</v>
      </c>
      <c r="K2207" s="42">
        <f>SUM(K2209:K2211)</f>
        <v>0</v>
      </c>
      <c r="L2207" s="42">
        <f>SUM(J2207:K2207)</f>
        <v>10022000</v>
      </c>
      <c r="M2207" s="225">
        <f t="shared" si="1060"/>
        <v>122.67730800303571</v>
      </c>
      <c r="N2207" s="225">
        <f t="shared" si="1061"/>
        <v>122.67730800303571</v>
      </c>
      <c r="O2207" s="225">
        <f t="shared" si="1062"/>
        <v>100.46479251343825</v>
      </c>
      <c r="P2207" s="225">
        <f>IF(I2207&gt;0,IF(L2207&gt;=0,L2207/I2207*100,""),"")</f>
        <v>100.46479251343825</v>
      </c>
    </row>
    <row r="2208" spans="1:16" s="3" customFormat="1" hidden="1">
      <c r="A2208" s="80" t="s">
        <v>267</v>
      </c>
      <c r="B2208" s="79"/>
      <c r="C2208" s="302" t="s">
        <v>268</v>
      </c>
      <c r="D2208" s="76">
        <f>SUM(D2209:D2210)</f>
        <v>8169400</v>
      </c>
      <c r="E2208" s="76">
        <f>SUM(E2209)</f>
        <v>0</v>
      </c>
      <c r="F2208" s="76">
        <f t="shared" ref="F2208:F2212" si="1070">SUM(D2208:E2208)</f>
        <v>8169400</v>
      </c>
      <c r="G2208" s="116">
        <f>SUM(G2209:G2210)</f>
        <v>9975634</v>
      </c>
      <c r="H2208" s="116">
        <f>SUM(H2209)</f>
        <v>0</v>
      </c>
      <c r="I2208" s="116">
        <f t="shared" si="1055"/>
        <v>9975634</v>
      </c>
      <c r="J2208" s="76">
        <f>SUM(J2209:J2210)</f>
        <v>10022000</v>
      </c>
      <c r="K2208" s="76">
        <f>SUM(K2209)</f>
        <v>0</v>
      </c>
      <c r="L2208" s="76">
        <f t="shared" ref="L2208" si="1071">SUM(J2208:K2208)</f>
        <v>10022000</v>
      </c>
      <c r="M2208" s="226">
        <f t="shared" si="1060"/>
        <v>122.67730800303571</v>
      </c>
      <c r="N2208" s="226">
        <f t="shared" si="1061"/>
        <v>122.67730800303571</v>
      </c>
      <c r="O2208" s="226">
        <f t="shared" si="1062"/>
        <v>100.46479251343825</v>
      </c>
      <c r="P2208" s="226">
        <f>IF(I2208&gt;0,IF(L2208&gt;=0,L2208/I2208*100,""),"")</f>
        <v>100.46479251343825</v>
      </c>
    </row>
    <row r="2209" spans="1:16" s="3" customFormat="1" ht="12.75" customHeight="1">
      <c r="A2209" s="46" t="s">
        <v>196</v>
      </c>
      <c r="B2209" s="47" t="s">
        <v>416</v>
      </c>
      <c r="C2209" s="212" t="s">
        <v>2060</v>
      </c>
      <c r="D2209" s="63">
        <f>8034400+135000</f>
        <v>8169400</v>
      </c>
      <c r="E2209" s="63"/>
      <c r="F2209" s="63">
        <f t="shared" si="1070"/>
        <v>8169400</v>
      </c>
      <c r="G2209" s="38">
        <v>9972200</v>
      </c>
      <c r="H2209" s="38"/>
      <c r="I2209" s="38">
        <f t="shared" si="1055"/>
        <v>9972200</v>
      </c>
      <c r="J2209" s="63">
        <v>10022000</v>
      </c>
      <c r="K2209" s="63"/>
      <c r="L2209" s="63">
        <f t="shared" ref="L2209:L2212" si="1072">SUM(J2209:K2209)</f>
        <v>10022000</v>
      </c>
      <c r="M2209" s="218">
        <f t="shared" si="1060"/>
        <v>122.67730800303571</v>
      </c>
      <c r="N2209" s="218">
        <f t="shared" si="1061"/>
        <v>122.67730800303571</v>
      </c>
      <c r="O2209" s="218">
        <f t="shared" si="1062"/>
        <v>100.49938829947254</v>
      </c>
      <c r="P2209" s="218">
        <f>IF(I2209&gt;0,IF(L2209&gt;=0,L2209/I2209*100,""),"")</f>
        <v>100.49938829947254</v>
      </c>
    </row>
    <row r="2210" spans="1:16" s="3" customFormat="1" ht="12.75" customHeight="1">
      <c r="A2210" s="46" t="s">
        <v>2069</v>
      </c>
      <c r="B2210" s="212" t="s">
        <v>2070</v>
      </c>
      <c r="C2210" s="212" t="s">
        <v>2228</v>
      </c>
      <c r="D2210" s="63"/>
      <c r="E2210" s="63"/>
      <c r="F2210" s="63"/>
      <c r="G2210" s="38">
        <v>3434</v>
      </c>
      <c r="H2210" s="38"/>
      <c r="I2210" s="38">
        <f t="shared" si="1055"/>
        <v>3434</v>
      </c>
      <c r="J2210" s="63"/>
      <c r="K2210" s="63"/>
      <c r="L2210" s="63"/>
      <c r="M2210" s="218" t="str">
        <f t="shared" si="1060"/>
        <v/>
      </c>
      <c r="N2210" s="218" t="str">
        <f t="shared" si="1061"/>
        <v/>
      </c>
      <c r="O2210" s="218">
        <f t="shared" si="1062"/>
        <v>0</v>
      </c>
      <c r="P2210" s="218"/>
    </row>
    <row r="2211" spans="1:16" s="3" customFormat="1" hidden="1">
      <c r="A2211" s="46" t="s">
        <v>791</v>
      </c>
      <c r="B2211" s="47" t="s">
        <v>151</v>
      </c>
      <c r="C2211" s="212" t="s">
        <v>2061</v>
      </c>
      <c r="D2211" s="63"/>
      <c r="E2211" s="63"/>
      <c r="F2211" s="63">
        <f t="shared" si="1070"/>
        <v>0</v>
      </c>
      <c r="G2211" s="38"/>
      <c r="H2211" s="38"/>
      <c r="I2211" s="38">
        <f t="shared" si="1055"/>
        <v>0</v>
      </c>
      <c r="J2211" s="63"/>
      <c r="K2211" s="63"/>
      <c r="L2211" s="63">
        <f t="shared" si="1072"/>
        <v>0</v>
      </c>
      <c r="M2211" s="218" t="str">
        <f t="shared" si="1060"/>
        <v/>
      </c>
      <c r="N2211" s="218" t="str">
        <f t="shared" si="1061"/>
        <v/>
      </c>
      <c r="O2211" s="218" t="str">
        <f t="shared" si="1062"/>
        <v/>
      </c>
      <c r="P2211" s="218" t="str">
        <f t="shared" ref="P2211:P2219" si="1073">IF(I2211&gt;0,IF(L2211&gt;=0,L2211/I2211*100,""),"")</f>
        <v/>
      </c>
    </row>
    <row r="2212" spans="1:16" s="3" customFormat="1" ht="6" customHeight="1">
      <c r="A2212" s="46"/>
      <c r="B2212" s="47"/>
      <c r="C2212" s="212" t="s">
        <v>268</v>
      </c>
      <c r="D2212" s="63"/>
      <c r="E2212" s="63"/>
      <c r="F2212" s="63">
        <f t="shared" si="1070"/>
        <v>0</v>
      </c>
      <c r="G2212" s="38"/>
      <c r="H2212" s="38"/>
      <c r="I2212" s="38">
        <f t="shared" si="1055"/>
        <v>0</v>
      </c>
      <c r="J2212" s="63"/>
      <c r="K2212" s="63"/>
      <c r="L2212" s="63">
        <f t="shared" si="1072"/>
        <v>0</v>
      </c>
      <c r="M2212" s="218" t="str">
        <f t="shared" si="1060"/>
        <v/>
      </c>
      <c r="N2212" s="218" t="str">
        <f t="shared" si="1061"/>
        <v/>
      </c>
      <c r="O2212" s="218" t="str">
        <f t="shared" si="1062"/>
        <v/>
      </c>
      <c r="P2212" s="218" t="str">
        <f t="shared" si="1073"/>
        <v/>
      </c>
    </row>
    <row r="2213" spans="1:16" s="11" customFormat="1" ht="12.75">
      <c r="A2213" s="58" t="s">
        <v>338</v>
      </c>
      <c r="B2213" s="65" t="s">
        <v>265</v>
      </c>
      <c r="C2213" s="308" t="s">
        <v>940</v>
      </c>
      <c r="D2213" s="83">
        <f>SUM(D2215:D2215)</f>
        <v>3461450</v>
      </c>
      <c r="E2213" s="83">
        <f>SUM(E2215)</f>
        <v>0</v>
      </c>
      <c r="F2213" s="83">
        <f t="shared" ref="F2213:F2218" si="1074">SUM(D2213:E2213)</f>
        <v>3461450</v>
      </c>
      <c r="G2213" s="121">
        <f>SUM(G2215:G2215)</f>
        <v>4085450</v>
      </c>
      <c r="H2213" s="121">
        <f>SUM(H2215)</f>
        <v>0</v>
      </c>
      <c r="I2213" s="121">
        <f t="shared" si="1055"/>
        <v>4085450</v>
      </c>
      <c r="J2213" s="83">
        <f>SUM(J2215:J2215)</f>
        <v>4130600</v>
      </c>
      <c r="K2213" s="83">
        <f>SUM(K2215)</f>
        <v>0</v>
      </c>
      <c r="L2213" s="83">
        <f t="shared" ref="L2213:L2218" si="1075">SUM(J2213:K2213)</f>
        <v>4130600</v>
      </c>
      <c r="M2213" s="237">
        <f t="shared" si="1060"/>
        <v>119.33149402706957</v>
      </c>
      <c r="N2213" s="237">
        <f t="shared" si="1061"/>
        <v>119.33149402706957</v>
      </c>
      <c r="O2213" s="237">
        <f t="shared" si="1062"/>
        <v>101.10514141649023</v>
      </c>
      <c r="P2213" s="237">
        <f t="shared" si="1073"/>
        <v>101.10514141649023</v>
      </c>
    </row>
    <row r="2214" spans="1:16" s="11" customFormat="1" hidden="1">
      <c r="A2214" s="80" t="s">
        <v>267</v>
      </c>
      <c r="B2214" s="92"/>
      <c r="C2214" s="312" t="s">
        <v>268</v>
      </c>
      <c r="D2214" s="194">
        <f>SUM(D2215:D2215)</f>
        <v>3461450</v>
      </c>
      <c r="E2214" s="191"/>
      <c r="F2214" s="74">
        <f t="shared" si="1074"/>
        <v>3461450</v>
      </c>
      <c r="G2214" s="194">
        <f>SUM(G2215:G2215)</f>
        <v>4085450</v>
      </c>
      <c r="H2214" s="271"/>
      <c r="I2214" s="112">
        <f t="shared" si="1055"/>
        <v>4085450</v>
      </c>
      <c r="J2214" s="74">
        <f>SUM(J2215:J2215)</f>
        <v>4130600</v>
      </c>
      <c r="K2214" s="191"/>
      <c r="L2214" s="74">
        <f t="shared" si="1075"/>
        <v>4130600</v>
      </c>
      <c r="M2214" s="223">
        <f t="shared" si="1060"/>
        <v>119.33149402706957</v>
      </c>
      <c r="N2214" s="223">
        <f t="shared" si="1061"/>
        <v>119.33149402706957</v>
      </c>
      <c r="O2214" s="223">
        <f t="shared" si="1062"/>
        <v>101.10514141649023</v>
      </c>
      <c r="P2214" s="223">
        <f t="shared" si="1073"/>
        <v>101.10514141649023</v>
      </c>
    </row>
    <row r="2215" spans="1:16" s="3" customFormat="1" ht="12.75" customHeight="1">
      <c r="A2215" s="46" t="s">
        <v>200</v>
      </c>
      <c r="B2215" s="47" t="s">
        <v>416</v>
      </c>
      <c r="C2215" s="212" t="s">
        <v>2062</v>
      </c>
      <c r="D2215" s="74">
        <f>3404450+57000</f>
        <v>3461450</v>
      </c>
      <c r="E2215" s="74"/>
      <c r="F2215" s="74">
        <f t="shared" si="1074"/>
        <v>3461450</v>
      </c>
      <c r="G2215" s="112">
        <v>4085450</v>
      </c>
      <c r="H2215" s="112"/>
      <c r="I2215" s="112">
        <f t="shared" si="1055"/>
        <v>4085450</v>
      </c>
      <c r="J2215" s="74">
        <v>4130600</v>
      </c>
      <c r="K2215" s="74"/>
      <c r="L2215" s="74">
        <f t="shared" si="1075"/>
        <v>4130600</v>
      </c>
      <c r="M2215" s="223">
        <f t="shared" si="1060"/>
        <v>119.33149402706957</v>
      </c>
      <c r="N2215" s="223">
        <f t="shared" si="1061"/>
        <v>119.33149402706957</v>
      </c>
      <c r="O2215" s="223">
        <f t="shared" si="1062"/>
        <v>101.10514141649023</v>
      </c>
      <c r="P2215" s="223">
        <f t="shared" si="1073"/>
        <v>101.10514141649023</v>
      </c>
    </row>
    <row r="2216" spans="1:16" s="3" customFormat="1" ht="6" customHeight="1">
      <c r="A2216" s="46"/>
      <c r="B2216" s="47"/>
      <c r="C2216" s="212" t="s">
        <v>268</v>
      </c>
      <c r="D2216" s="63"/>
      <c r="E2216" s="63"/>
      <c r="F2216" s="63">
        <f t="shared" si="1074"/>
        <v>0</v>
      </c>
      <c r="G2216" s="38"/>
      <c r="H2216" s="38"/>
      <c r="I2216" s="38">
        <f t="shared" si="1055"/>
        <v>0</v>
      </c>
      <c r="J2216" s="63"/>
      <c r="K2216" s="63"/>
      <c r="L2216" s="63">
        <f t="shared" si="1075"/>
        <v>0</v>
      </c>
      <c r="M2216" s="218" t="str">
        <f t="shared" si="1060"/>
        <v/>
      </c>
      <c r="N2216" s="218" t="str">
        <f t="shared" si="1061"/>
        <v/>
      </c>
      <c r="O2216" s="218" t="str">
        <f t="shared" si="1062"/>
        <v/>
      </c>
      <c r="P2216" s="218" t="str">
        <f t="shared" si="1073"/>
        <v/>
      </c>
    </row>
    <row r="2217" spans="1:16" s="11" customFormat="1" ht="12.75">
      <c r="A2217" s="58" t="s">
        <v>181</v>
      </c>
      <c r="B2217" s="65" t="s">
        <v>265</v>
      </c>
      <c r="C2217" s="308" t="s">
        <v>940</v>
      </c>
      <c r="D2217" s="42">
        <f>SUM(D2219:D2221)</f>
        <v>6375350</v>
      </c>
      <c r="E2217" s="42">
        <f>SUM(E2219)</f>
        <v>0</v>
      </c>
      <c r="F2217" s="42">
        <f t="shared" si="1074"/>
        <v>6375350</v>
      </c>
      <c r="G2217" s="55">
        <f>SUM(G2219:G2221)</f>
        <v>7848145</v>
      </c>
      <c r="H2217" s="55">
        <f>SUM(H2219)</f>
        <v>0</v>
      </c>
      <c r="I2217" s="55">
        <f t="shared" si="1055"/>
        <v>7848145</v>
      </c>
      <c r="J2217" s="42">
        <f>SUM(J2219:J2221)</f>
        <v>7146000</v>
      </c>
      <c r="K2217" s="42">
        <f>SUM(K2219)</f>
        <v>0</v>
      </c>
      <c r="L2217" s="42">
        <f t="shared" si="1075"/>
        <v>7146000</v>
      </c>
      <c r="M2217" s="225">
        <f t="shared" si="1060"/>
        <v>112.08796379806599</v>
      </c>
      <c r="N2217" s="225">
        <f t="shared" si="1061"/>
        <v>112.08796379806599</v>
      </c>
      <c r="O2217" s="225">
        <f t="shared" si="1062"/>
        <v>91.053363565530461</v>
      </c>
      <c r="P2217" s="225">
        <f t="shared" si="1073"/>
        <v>91.053363565530461</v>
      </c>
    </row>
    <row r="2218" spans="1:16" s="11" customFormat="1" hidden="1">
      <c r="A2218" s="36" t="s">
        <v>267</v>
      </c>
      <c r="B2218" s="92"/>
      <c r="C2218" s="312" t="s">
        <v>268</v>
      </c>
      <c r="D2218" s="63">
        <f>SUM(D2219:D2220)</f>
        <v>6375350</v>
      </c>
      <c r="E2218" s="77"/>
      <c r="F2218" s="63">
        <f t="shared" si="1074"/>
        <v>6375350</v>
      </c>
      <c r="G2218" s="38">
        <f>SUM(G2219:G2220)</f>
        <v>7848145</v>
      </c>
      <c r="H2218" s="109"/>
      <c r="I2218" s="38">
        <f t="shared" si="1055"/>
        <v>7848145</v>
      </c>
      <c r="J2218" s="63">
        <f>SUM(J2219:J2220)</f>
        <v>7146000</v>
      </c>
      <c r="K2218" s="77"/>
      <c r="L2218" s="63">
        <f t="shared" si="1075"/>
        <v>7146000</v>
      </c>
      <c r="M2218" s="218">
        <f t="shared" si="1060"/>
        <v>112.08796379806599</v>
      </c>
      <c r="N2218" s="218">
        <f t="shared" si="1061"/>
        <v>112.08796379806599</v>
      </c>
      <c r="O2218" s="218">
        <f t="shared" si="1062"/>
        <v>91.053363565530461</v>
      </c>
      <c r="P2218" s="218">
        <f t="shared" si="1073"/>
        <v>91.053363565530461</v>
      </c>
    </row>
    <row r="2219" spans="1:16" s="3" customFormat="1" ht="12.75" customHeight="1">
      <c r="A2219" s="46" t="s">
        <v>196</v>
      </c>
      <c r="B2219" s="47" t="s">
        <v>416</v>
      </c>
      <c r="C2219" s="212" t="s">
        <v>2063</v>
      </c>
      <c r="D2219" s="63">
        <f>6269350+106000</f>
        <v>6375350</v>
      </c>
      <c r="E2219" s="63"/>
      <c r="F2219" s="63">
        <f t="shared" ref="F2219" si="1076">SUM(D2219:E2219)</f>
        <v>6375350</v>
      </c>
      <c r="G2219" s="38">
        <v>7455901</v>
      </c>
      <c r="H2219" s="38"/>
      <c r="I2219" s="38">
        <f t="shared" si="1055"/>
        <v>7455901</v>
      </c>
      <c r="J2219" s="63">
        <v>7146000</v>
      </c>
      <c r="K2219" s="63"/>
      <c r="L2219" s="63">
        <f t="shared" ref="L2219:L2224" si="1077">SUM(J2219:K2219)</f>
        <v>7146000</v>
      </c>
      <c r="M2219" s="218">
        <f t="shared" si="1060"/>
        <v>112.08796379806599</v>
      </c>
      <c r="N2219" s="218">
        <f t="shared" si="1061"/>
        <v>112.08796379806599</v>
      </c>
      <c r="O2219" s="218">
        <f t="shared" si="1062"/>
        <v>95.843547278860058</v>
      </c>
      <c r="P2219" s="218">
        <f t="shared" si="1073"/>
        <v>95.843547278860058</v>
      </c>
    </row>
    <row r="2220" spans="1:16" s="3" customFormat="1" ht="12.75" customHeight="1">
      <c r="A2220" s="46" t="s">
        <v>2069</v>
      </c>
      <c r="B2220" s="212" t="s">
        <v>2070</v>
      </c>
      <c r="C2220" s="212" t="s">
        <v>2229</v>
      </c>
      <c r="D2220" s="63"/>
      <c r="E2220" s="63"/>
      <c r="F2220" s="63"/>
      <c r="G2220" s="38">
        <v>392244</v>
      </c>
      <c r="H2220" s="38"/>
      <c r="I2220" s="38">
        <f t="shared" si="1055"/>
        <v>392244</v>
      </c>
      <c r="J2220" s="63"/>
      <c r="K2220" s="63"/>
      <c r="L2220" s="63"/>
      <c r="M2220" s="218" t="str">
        <f t="shared" si="1060"/>
        <v/>
      </c>
      <c r="N2220" s="218" t="str">
        <f t="shared" si="1061"/>
        <v/>
      </c>
      <c r="O2220" s="218">
        <f t="shared" si="1062"/>
        <v>0</v>
      </c>
      <c r="P2220" s="218">
        <f t="shared" ref="P2220" si="1078">IF(I2220&gt;0,IF(L2220&gt;=0,L2220/I2220*100,""),"")</f>
        <v>0</v>
      </c>
    </row>
    <row r="2221" spans="1:16" s="3" customFormat="1" hidden="1">
      <c r="A2221" s="46" t="s">
        <v>791</v>
      </c>
      <c r="B2221" s="47" t="s">
        <v>151</v>
      </c>
      <c r="C2221" s="212" t="s">
        <v>2064</v>
      </c>
      <c r="D2221" s="63"/>
      <c r="E2221" s="63"/>
      <c r="F2221" s="63"/>
      <c r="G2221" s="38"/>
      <c r="H2221" s="38"/>
      <c r="I2221" s="38">
        <f t="shared" si="1055"/>
        <v>0</v>
      </c>
      <c r="J2221" s="63"/>
      <c r="K2221" s="63"/>
      <c r="L2221" s="63">
        <f t="shared" si="1077"/>
        <v>0</v>
      </c>
      <c r="M2221" s="218" t="str">
        <f t="shared" si="1060"/>
        <v/>
      </c>
      <c r="N2221" s="218" t="str">
        <f t="shared" si="1061"/>
        <v/>
      </c>
      <c r="O2221" s="218" t="str">
        <f t="shared" si="1062"/>
        <v/>
      </c>
      <c r="P2221" s="218" t="str">
        <f t="shared" ref="P2221:P2252" si="1079">IF(I2221&gt;0,IF(L2221&gt;=0,L2221/I2221*100,""),"")</f>
        <v/>
      </c>
    </row>
    <row r="2222" spans="1:16" s="3" customFormat="1" ht="6" customHeight="1">
      <c r="A2222" s="46"/>
      <c r="B2222" s="47"/>
      <c r="C2222" s="212" t="s">
        <v>268</v>
      </c>
      <c r="D2222" s="64"/>
      <c r="E2222" s="64"/>
      <c r="F2222" s="64">
        <f t="shared" ref="F2222:F2227" si="1080">SUM(D2222:E2222)</f>
        <v>0</v>
      </c>
      <c r="G2222" s="272"/>
      <c r="H2222" s="272"/>
      <c r="I2222" s="272">
        <f t="shared" si="1055"/>
        <v>0</v>
      </c>
      <c r="J2222" s="64"/>
      <c r="K2222" s="64"/>
      <c r="L2222" s="64">
        <f t="shared" si="1077"/>
        <v>0</v>
      </c>
      <c r="M2222" s="248" t="str">
        <f t="shared" si="1060"/>
        <v/>
      </c>
      <c r="N2222" s="248" t="str">
        <f t="shared" si="1061"/>
        <v/>
      </c>
      <c r="O2222" s="248" t="str">
        <f t="shared" si="1062"/>
        <v/>
      </c>
      <c r="P2222" s="248" t="str">
        <f t="shared" si="1079"/>
        <v/>
      </c>
    </row>
    <row r="2223" spans="1:16" s="11" customFormat="1" ht="12.75">
      <c r="A2223" s="58" t="s">
        <v>197</v>
      </c>
      <c r="B2223" s="65" t="s">
        <v>265</v>
      </c>
      <c r="C2223" s="308" t="s">
        <v>940</v>
      </c>
      <c r="D2223" s="86">
        <f>SUM(D2225:D2226)</f>
        <v>4938479</v>
      </c>
      <c r="E2223" s="86">
        <f>SUM(E2225:E2225)</f>
        <v>0</v>
      </c>
      <c r="F2223" s="86">
        <f t="shared" si="1080"/>
        <v>4938479</v>
      </c>
      <c r="G2223" s="262">
        <f>SUM(G2225:G2226)</f>
        <v>6585834</v>
      </c>
      <c r="H2223" s="262">
        <f>SUM(H2225:H2225)</f>
        <v>0</v>
      </c>
      <c r="I2223" s="262">
        <f t="shared" si="1055"/>
        <v>6585834</v>
      </c>
      <c r="J2223" s="86">
        <f>SUM(J2225:J2226)</f>
        <v>7043706</v>
      </c>
      <c r="K2223" s="86">
        <f>SUM(K2225:K2225)</f>
        <v>0</v>
      </c>
      <c r="L2223" s="86">
        <f t="shared" si="1077"/>
        <v>7043706</v>
      </c>
      <c r="M2223" s="236">
        <f t="shared" si="1060"/>
        <v>142.62905643620232</v>
      </c>
      <c r="N2223" s="236">
        <f t="shared" si="1061"/>
        <v>142.62905643620232</v>
      </c>
      <c r="O2223" s="236">
        <f t="shared" si="1062"/>
        <v>106.95237687436399</v>
      </c>
      <c r="P2223" s="236">
        <f t="shared" si="1079"/>
        <v>106.95237687436399</v>
      </c>
    </row>
    <row r="2224" spans="1:16" s="11" customFormat="1" hidden="1">
      <c r="A2224" s="36" t="s">
        <v>267</v>
      </c>
      <c r="B2224" s="159"/>
      <c r="C2224" s="325" t="s">
        <v>268</v>
      </c>
      <c r="D2224" s="160">
        <f>SUM(D2225)</f>
        <v>4938479</v>
      </c>
      <c r="E2224" s="160">
        <f>SUM(E2225:E2227)</f>
        <v>0</v>
      </c>
      <c r="F2224" s="160">
        <f t="shared" si="1080"/>
        <v>4938479</v>
      </c>
      <c r="G2224" s="268">
        <f>SUM(G2225)</f>
        <v>6585834</v>
      </c>
      <c r="H2224" s="268">
        <f>SUM(H2225:H2227)</f>
        <v>0</v>
      </c>
      <c r="I2224" s="268">
        <f t="shared" si="1055"/>
        <v>6585834</v>
      </c>
      <c r="J2224" s="160">
        <f>SUM(J2225)</f>
        <v>7043706</v>
      </c>
      <c r="K2224" s="160">
        <f>SUM(K2225:K2227)</f>
        <v>0</v>
      </c>
      <c r="L2224" s="160">
        <f t="shared" si="1077"/>
        <v>7043706</v>
      </c>
      <c r="M2224" s="249">
        <f t="shared" si="1060"/>
        <v>142.62905643620232</v>
      </c>
      <c r="N2224" s="249">
        <f t="shared" si="1061"/>
        <v>142.62905643620232</v>
      </c>
      <c r="O2224" s="249">
        <f t="shared" si="1062"/>
        <v>106.95237687436399</v>
      </c>
      <c r="P2224" s="249">
        <f t="shared" si="1079"/>
        <v>106.95237687436399</v>
      </c>
    </row>
    <row r="2225" spans="1:17" s="3" customFormat="1" ht="12.75" customHeight="1">
      <c r="A2225" s="46" t="s">
        <v>196</v>
      </c>
      <c r="B2225" s="47" t="s">
        <v>416</v>
      </c>
      <c r="C2225" s="212" t="s">
        <v>2065</v>
      </c>
      <c r="D2225" s="48">
        <v>4938479</v>
      </c>
      <c r="E2225" s="48"/>
      <c r="F2225" s="48">
        <f t="shared" si="1080"/>
        <v>4938479</v>
      </c>
      <c r="G2225" s="85">
        <v>6585834</v>
      </c>
      <c r="H2225" s="85"/>
      <c r="I2225" s="85">
        <f t="shared" si="1055"/>
        <v>6585834</v>
      </c>
      <c r="J2225" s="48">
        <v>7043706</v>
      </c>
      <c r="K2225" s="48"/>
      <c r="L2225" s="48">
        <f t="shared" ref="L2225:L2227" si="1081">SUM(J2225:K2225)</f>
        <v>7043706</v>
      </c>
      <c r="M2225" s="219">
        <f t="shared" si="1060"/>
        <v>142.62905643620232</v>
      </c>
      <c r="N2225" s="219">
        <f t="shared" si="1061"/>
        <v>142.62905643620232</v>
      </c>
      <c r="O2225" s="219">
        <f t="shared" si="1062"/>
        <v>106.95237687436399</v>
      </c>
      <c r="P2225" s="219">
        <f t="shared" si="1079"/>
        <v>106.95237687436399</v>
      </c>
    </row>
    <row r="2226" spans="1:17" s="3" customFormat="1" hidden="1">
      <c r="A2226" s="46" t="s">
        <v>791</v>
      </c>
      <c r="B2226" s="33" t="s">
        <v>151</v>
      </c>
      <c r="C2226" s="211" t="s">
        <v>2066</v>
      </c>
      <c r="D2226" s="63"/>
      <c r="E2226" s="63"/>
      <c r="F2226" s="63">
        <f t="shared" si="1080"/>
        <v>0</v>
      </c>
      <c r="G2226" s="38"/>
      <c r="H2226" s="38"/>
      <c r="I2226" s="38">
        <f t="shared" si="1055"/>
        <v>0</v>
      </c>
      <c r="J2226" s="63"/>
      <c r="K2226" s="63"/>
      <c r="L2226" s="63">
        <f t="shared" si="1081"/>
        <v>0</v>
      </c>
      <c r="M2226" s="218" t="str">
        <f t="shared" si="1060"/>
        <v/>
      </c>
      <c r="N2226" s="218" t="str">
        <f t="shared" si="1061"/>
        <v/>
      </c>
      <c r="O2226" s="218" t="str">
        <f t="shared" si="1062"/>
        <v/>
      </c>
      <c r="P2226" s="218" t="str">
        <f t="shared" si="1079"/>
        <v/>
      </c>
    </row>
    <row r="2227" spans="1:17" s="3" customFormat="1" ht="6" customHeight="1">
      <c r="A2227" s="46"/>
      <c r="B2227" s="47"/>
      <c r="C2227" s="212" t="s">
        <v>268</v>
      </c>
      <c r="D2227" s="63"/>
      <c r="E2227" s="63"/>
      <c r="F2227" s="63">
        <f t="shared" si="1080"/>
        <v>0</v>
      </c>
      <c r="G2227" s="38"/>
      <c r="H2227" s="38"/>
      <c r="I2227" s="38">
        <f t="shared" si="1055"/>
        <v>0</v>
      </c>
      <c r="J2227" s="63"/>
      <c r="K2227" s="63"/>
      <c r="L2227" s="63">
        <f t="shared" si="1081"/>
        <v>0</v>
      </c>
      <c r="M2227" s="218" t="str">
        <f t="shared" si="1060"/>
        <v/>
      </c>
      <c r="N2227" s="218" t="str">
        <f t="shared" si="1061"/>
        <v/>
      </c>
      <c r="O2227" s="218" t="str">
        <f t="shared" si="1062"/>
        <v/>
      </c>
      <c r="P2227" s="218" t="str">
        <f t="shared" si="1079"/>
        <v/>
      </c>
    </row>
    <row r="2228" spans="1:17" s="3" customFormat="1" ht="12.75">
      <c r="A2228" s="58" t="s">
        <v>199</v>
      </c>
      <c r="B2228" s="65" t="s">
        <v>265</v>
      </c>
      <c r="C2228" s="308" t="s">
        <v>940</v>
      </c>
      <c r="D2228" s="90">
        <f>SUM(D2230:D2230)</f>
        <v>34183320</v>
      </c>
      <c r="E2228" s="42">
        <f>SUM(E2230)</f>
        <v>0</v>
      </c>
      <c r="F2228" s="42">
        <f>SUM(D2228:E2228)</f>
        <v>34183320</v>
      </c>
      <c r="G2228" s="60">
        <f>SUM(G2230:G2230)</f>
        <v>35154294</v>
      </c>
      <c r="H2228" s="55">
        <f>SUM(H2230)</f>
        <v>0</v>
      </c>
      <c r="I2228" s="55">
        <f t="shared" si="1055"/>
        <v>35154294</v>
      </c>
      <c r="J2228" s="42">
        <f>SUM(J2230:J2230)</f>
        <v>19611000</v>
      </c>
      <c r="K2228" s="42">
        <f>SUM(K2230)</f>
        <v>0</v>
      </c>
      <c r="L2228" s="42">
        <f>SUM(J2228:K2228)</f>
        <v>19611000</v>
      </c>
      <c r="M2228" s="225">
        <f t="shared" si="1060"/>
        <v>57.370085761125601</v>
      </c>
      <c r="N2228" s="225">
        <f t="shared" si="1061"/>
        <v>57.370085761125601</v>
      </c>
      <c r="O2228" s="225">
        <f t="shared" si="1062"/>
        <v>55.785503756667673</v>
      </c>
      <c r="P2228" s="225">
        <f t="shared" si="1079"/>
        <v>55.785503756667673</v>
      </c>
    </row>
    <row r="2229" spans="1:17" s="3" customFormat="1" hidden="1">
      <c r="A2229" s="36" t="s">
        <v>267</v>
      </c>
      <c r="B2229" s="101"/>
      <c r="C2229" s="326" t="s">
        <v>268</v>
      </c>
      <c r="D2229" s="88">
        <f>SUM(D2230)</f>
        <v>34183320</v>
      </c>
      <c r="E2229" s="111"/>
      <c r="F2229" s="63">
        <f>SUM(D2229:E2229)</f>
        <v>34183320</v>
      </c>
      <c r="G2229" s="88">
        <f>SUM(G2230)</f>
        <v>35154294</v>
      </c>
      <c r="H2229" s="193"/>
      <c r="I2229" s="38">
        <f t="shared" si="1055"/>
        <v>35154294</v>
      </c>
      <c r="J2229" s="63">
        <f>SUM(J2230)</f>
        <v>19611000</v>
      </c>
      <c r="K2229" s="111"/>
      <c r="L2229" s="63">
        <f>SUM(J2229:K2229)</f>
        <v>19611000</v>
      </c>
      <c r="M2229" s="218">
        <f t="shared" si="1060"/>
        <v>57.370085761125601</v>
      </c>
      <c r="N2229" s="218">
        <f t="shared" si="1061"/>
        <v>57.370085761125601</v>
      </c>
      <c r="O2229" s="218">
        <f t="shared" si="1062"/>
        <v>55.785503756667673</v>
      </c>
      <c r="P2229" s="218">
        <f t="shared" si="1079"/>
        <v>55.785503756667673</v>
      </c>
    </row>
    <row r="2230" spans="1:17" s="3" customFormat="1" ht="12.75" customHeight="1">
      <c r="A2230" s="46" t="s">
        <v>200</v>
      </c>
      <c r="B2230" s="47" t="s">
        <v>416</v>
      </c>
      <c r="C2230" s="212" t="s">
        <v>2067</v>
      </c>
      <c r="D2230" s="63">
        <v>34183320</v>
      </c>
      <c r="E2230" s="63"/>
      <c r="F2230" s="63">
        <f>SUM(D2230:E2230)</f>
        <v>34183320</v>
      </c>
      <c r="G2230" s="38">
        <v>35154294</v>
      </c>
      <c r="H2230" s="38"/>
      <c r="I2230" s="38">
        <f t="shared" si="1055"/>
        <v>35154294</v>
      </c>
      <c r="J2230" s="63">
        <v>19611000</v>
      </c>
      <c r="K2230" s="63"/>
      <c r="L2230" s="63">
        <f>SUM(J2230:K2230)</f>
        <v>19611000</v>
      </c>
      <c r="M2230" s="218">
        <f t="shared" si="1060"/>
        <v>57.370085761125601</v>
      </c>
      <c r="N2230" s="218">
        <f t="shared" si="1061"/>
        <v>57.370085761125601</v>
      </c>
      <c r="O2230" s="218">
        <f t="shared" si="1062"/>
        <v>55.785503756667673</v>
      </c>
      <c r="P2230" s="218">
        <f t="shared" si="1079"/>
        <v>55.785503756667673</v>
      </c>
    </row>
    <row r="2231" spans="1:17" s="3" customFormat="1" ht="6" customHeight="1">
      <c r="A2231" s="46"/>
      <c r="B2231" s="47"/>
      <c r="C2231" s="212" t="s">
        <v>268</v>
      </c>
      <c r="D2231" s="63"/>
      <c r="E2231" s="63"/>
      <c r="F2231" s="63"/>
      <c r="G2231" s="63"/>
      <c r="H2231" s="63"/>
      <c r="I2231" s="63"/>
      <c r="J2231" s="63"/>
      <c r="K2231" s="63"/>
      <c r="L2231" s="63"/>
      <c r="M2231" s="218" t="str">
        <f t="shared" si="1060"/>
        <v/>
      </c>
      <c r="N2231" s="218" t="str">
        <f t="shared" si="1061"/>
        <v/>
      </c>
      <c r="O2231" s="218" t="str">
        <f t="shared" si="1062"/>
        <v/>
      </c>
      <c r="P2231" s="218" t="str">
        <f t="shared" si="1079"/>
        <v/>
      </c>
    </row>
    <row r="2232" spans="1:17" s="3" customFormat="1" ht="12" customHeight="1">
      <c r="A2232" s="36"/>
      <c r="B2232" s="33"/>
      <c r="C2232" s="211" t="s">
        <v>268</v>
      </c>
      <c r="D2232" s="140"/>
      <c r="E2232" s="140"/>
      <c r="F2232" s="140">
        <f>SUM(D2232:E2232)</f>
        <v>0</v>
      </c>
      <c r="G2232" s="140"/>
      <c r="H2232" s="140"/>
      <c r="I2232" s="140">
        <f>SUM(G2232:H2232)</f>
        <v>0</v>
      </c>
      <c r="J2232" s="140"/>
      <c r="K2232" s="140"/>
      <c r="L2232" s="140">
        <f>SUM(J2232:K2232)</f>
        <v>0</v>
      </c>
      <c r="M2232" s="218" t="str">
        <f t="shared" si="1060"/>
        <v/>
      </c>
      <c r="N2232" s="218" t="str">
        <f t="shared" si="1061"/>
        <v/>
      </c>
      <c r="O2232" s="218" t="str">
        <f t="shared" si="1062"/>
        <v/>
      </c>
      <c r="P2232" s="218" t="str">
        <f t="shared" si="1079"/>
        <v/>
      </c>
    </row>
    <row r="2233" spans="1:17" s="3" customFormat="1" ht="11.25" customHeight="1">
      <c r="A2233" s="36"/>
      <c r="B2233" s="33"/>
      <c r="C2233" s="211" t="s">
        <v>268</v>
      </c>
      <c r="D2233" s="140"/>
      <c r="E2233" s="140"/>
      <c r="F2233" s="140"/>
      <c r="G2233" s="140"/>
      <c r="H2233" s="140"/>
      <c r="I2233" s="140"/>
      <c r="J2233" s="140"/>
      <c r="K2233" s="140"/>
      <c r="L2233" s="140"/>
      <c r="M2233" s="218" t="str">
        <f t="shared" si="1060"/>
        <v/>
      </c>
      <c r="N2233" s="218" t="str">
        <f t="shared" si="1061"/>
        <v/>
      </c>
      <c r="O2233" s="218" t="str">
        <f t="shared" si="1062"/>
        <v/>
      </c>
      <c r="P2233" s="218" t="str">
        <f t="shared" si="1079"/>
        <v/>
      </c>
    </row>
    <row r="2234" spans="1:17" s="3" customFormat="1" ht="27.95" customHeight="1">
      <c r="A2234" s="141" t="s">
        <v>2359</v>
      </c>
      <c r="B2234" s="177"/>
      <c r="C2234" s="327" t="s">
        <v>268</v>
      </c>
      <c r="D2234" s="142">
        <f>D2283</f>
        <v>4949311777</v>
      </c>
      <c r="E2234" s="142">
        <f>E2283</f>
        <v>697617121</v>
      </c>
      <c r="F2234" s="142">
        <f>SUM(D2234:E2234)</f>
        <v>5646928898</v>
      </c>
      <c r="G2234" s="142">
        <f>G2283</f>
        <v>5574030431</v>
      </c>
      <c r="H2234" s="142">
        <f>H2283</f>
        <v>743347225</v>
      </c>
      <c r="I2234" s="142">
        <f>SUM(G2234:H2234)</f>
        <v>6317377656</v>
      </c>
      <c r="J2234" s="142">
        <f>J2283</f>
        <v>5482463973</v>
      </c>
      <c r="K2234" s="142">
        <f>K2283</f>
        <v>785007460</v>
      </c>
      <c r="L2234" s="142">
        <f>SUM(J2234:K2234)</f>
        <v>6267471433</v>
      </c>
      <c r="M2234" s="250">
        <f t="shared" si="1060"/>
        <v>110.77224915346042</v>
      </c>
      <c r="N2234" s="250">
        <f t="shared" si="1061"/>
        <v>110.98902688893037</v>
      </c>
      <c r="O2234" s="250">
        <f t="shared" si="1062"/>
        <v>98.357266628995205</v>
      </c>
      <c r="P2234" s="250">
        <f t="shared" si="1079"/>
        <v>99.210016786750103</v>
      </c>
      <c r="Q2234" s="27"/>
    </row>
    <row r="2235" spans="1:17" s="3" customFormat="1" ht="27.95" customHeight="1">
      <c r="A2235" s="143" t="s">
        <v>2360</v>
      </c>
      <c r="B2235" s="59"/>
      <c r="C2235" s="310" t="s">
        <v>268</v>
      </c>
      <c r="D2235" s="144">
        <f>D2236+D2237+D2242</f>
        <v>1428017342</v>
      </c>
      <c r="E2235" s="144">
        <f>SUM(E2236,E2237,E2242)</f>
        <v>0</v>
      </c>
      <c r="F2235" s="144">
        <f>SUM(D2235:E2235)</f>
        <v>1428017342</v>
      </c>
      <c r="G2235" s="144">
        <f>G2236+G2237+G2242</f>
        <v>1774937678</v>
      </c>
      <c r="H2235" s="144">
        <f>SUM(H2236,H2237,H2242)</f>
        <v>0</v>
      </c>
      <c r="I2235" s="144">
        <f>SUM(G2235:H2235)</f>
        <v>1774937678</v>
      </c>
      <c r="J2235" s="144">
        <f>SUM(J2236,J2237,J2242)</f>
        <v>1711771739</v>
      </c>
      <c r="K2235" s="144">
        <f>SUM(K2236,K2237,K2242)</f>
        <v>0</v>
      </c>
      <c r="L2235" s="144">
        <f>SUM(L2236,L2237,L2242)</f>
        <v>1711771739</v>
      </c>
      <c r="M2235" s="251">
        <f t="shared" si="1060"/>
        <v>119.87051477978478</v>
      </c>
      <c r="N2235" s="251">
        <f t="shared" si="1061"/>
        <v>119.87051477978478</v>
      </c>
      <c r="O2235" s="251">
        <f t="shared" si="1062"/>
        <v>96.4412305973934</v>
      </c>
      <c r="P2235" s="251">
        <f t="shared" si="1079"/>
        <v>96.4412305973934</v>
      </c>
      <c r="Q2235" s="14"/>
    </row>
    <row r="2236" spans="1:17" s="3" customFormat="1" ht="19.5" customHeight="1">
      <c r="A2236" s="205" t="s">
        <v>247</v>
      </c>
      <c r="B2236" s="59"/>
      <c r="C2236" s="310" t="s">
        <v>268</v>
      </c>
      <c r="D2236" s="145">
        <v>119718000</v>
      </c>
      <c r="E2236" s="145"/>
      <c r="F2236" s="145">
        <f>SUM(D2236:E2236)</f>
        <v>119718000</v>
      </c>
      <c r="G2236" s="145">
        <v>188388000</v>
      </c>
      <c r="H2236" s="145"/>
      <c r="I2236" s="145">
        <f>SUM(G2236:H2236)</f>
        <v>188388000</v>
      </c>
      <c r="J2236" s="145">
        <v>148039615</v>
      </c>
      <c r="K2236" s="145"/>
      <c r="L2236" s="145">
        <f>J2236</f>
        <v>148039615</v>
      </c>
      <c r="M2236" s="252">
        <f t="shared" si="1060"/>
        <v>123.65693964149082</v>
      </c>
      <c r="N2236" s="252">
        <f t="shared" si="1061"/>
        <v>123.65693964149082</v>
      </c>
      <c r="O2236" s="252">
        <f t="shared" si="1062"/>
        <v>78.582295581459533</v>
      </c>
      <c r="P2236" s="252">
        <f t="shared" si="1079"/>
        <v>78.582295581459533</v>
      </c>
      <c r="Q2236" s="14"/>
    </row>
    <row r="2237" spans="1:17" s="3" customFormat="1" ht="19.5" customHeight="1">
      <c r="A2237" s="206" t="s">
        <v>2357</v>
      </c>
      <c r="B2237" s="47"/>
      <c r="C2237" s="212"/>
      <c r="D2237" s="148">
        <f>SUM(D2238,D2241)</f>
        <v>1308299342</v>
      </c>
      <c r="E2237" s="148"/>
      <c r="F2237" s="148">
        <f>SUM(D2237:E2237)</f>
        <v>1308299342</v>
      </c>
      <c r="G2237" s="148">
        <f>SUM(G2238,G2241)</f>
        <v>1586543697</v>
      </c>
      <c r="H2237" s="148"/>
      <c r="I2237" s="148">
        <f>SUM(G2237:H2237)</f>
        <v>1586543697</v>
      </c>
      <c r="J2237" s="148">
        <f>SUM(J2238,J2241)</f>
        <v>1563732124</v>
      </c>
      <c r="K2237" s="148"/>
      <c r="L2237" s="148">
        <f>SUM(L2238,L2241)</f>
        <v>1563732124</v>
      </c>
      <c r="M2237" s="224">
        <f t="shared" si="1060"/>
        <v>119.52403198564019</v>
      </c>
      <c r="N2237" s="224">
        <f t="shared" si="1061"/>
        <v>119.52403198564019</v>
      </c>
      <c r="O2237" s="224">
        <f t="shared" si="1062"/>
        <v>98.562184385899073</v>
      </c>
      <c r="P2237" s="224">
        <f t="shared" si="1079"/>
        <v>98.562184385899073</v>
      </c>
      <c r="Q2237" s="14"/>
    </row>
    <row r="2238" spans="1:17" s="3" customFormat="1" ht="19.5" customHeight="1">
      <c r="A2238" s="208" t="s">
        <v>2358</v>
      </c>
      <c r="B2238" s="44"/>
      <c r="C2238" s="304" t="s">
        <v>268</v>
      </c>
      <c r="D2238" s="146">
        <v>1297217524</v>
      </c>
      <c r="E2238" s="146"/>
      <c r="F2238" s="147">
        <f>D2238</f>
        <v>1297217524</v>
      </c>
      <c r="G2238" s="146">
        <v>1575482530</v>
      </c>
      <c r="H2238" s="146"/>
      <c r="I2238" s="147">
        <f>SUM(G2238:H2238)</f>
        <v>1575482530</v>
      </c>
      <c r="J2238" s="147">
        <v>1551644138</v>
      </c>
      <c r="K2238" s="146"/>
      <c r="L2238" s="147">
        <f>SUM(J2238:K2238)</f>
        <v>1551644138</v>
      </c>
      <c r="M2238" s="220">
        <f t="shared" si="1060"/>
        <v>119.61325755263232</v>
      </c>
      <c r="N2238" s="220">
        <f t="shared" si="1061"/>
        <v>119.61325755263232</v>
      </c>
      <c r="O2238" s="220">
        <f t="shared" si="1062"/>
        <v>98.486914862838887</v>
      </c>
      <c r="P2238" s="220">
        <f t="shared" ref="P2238:P2241" si="1082">IF(I2238&gt;0,IF(L2238&gt;=0,L2238/I2238*100,""),"")</f>
        <v>98.486914862838887</v>
      </c>
    </row>
    <row r="2239" spans="1:17" s="3" customFormat="1" ht="12" customHeight="1">
      <c r="A2239" s="207" t="s">
        <v>246</v>
      </c>
      <c r="B2239" s="47"/>
      <c r="C2239" s="212" t="s">
        <v>268</v>
      </c>
      <c r="D2239" s="140"/>
      <c r="E2239" s="140"/>
      <c r="F2239" s="148"/>
      <c r="G2239" s="140"/>
      <c r="H2239" s="140"/>
      <c r="I2239" s="148"/>
      <c r="J2239" s="148"/>
      <c r="K2239" s="140"/>
      <c r="L2239" s="148">
        <f t="shared" ref="L2239:L2242" si="1083">SUM(J2239:K2239)</f>
        <v>0</v>
      </c>
      <c r="M2239" s="224" t="str">
        <f t="shared" si="1060"/>
        <v/>
      </c>
      <c r="N2239" s="224" t="str">
        <f t="shared" si="1061"/>
        <v/>
      </c>
      <c r="O2239" s="224" t="str">
        <f t="shared" si="1062"/>
        <v/>
      </c>
      <c r="P2239" s="224" t="str">
        <f t="shared" si="1082"/>
        <v/>
      </c>
      <c r="Q2239" s="28"/>
    </row>
    <row r="2240" spans="1:17" s="3" customFormat="1" ht="16.5" customHeight="1">
      <c r="A2240" s="216" t="s">
        <v>331</v>
      </c>
      <c r="B2240" s="213"/>
      <c r="C2240" s="328" t="s">
        <v>268</v>
      </c>
      <c r="D2240" s="214">
        <v>261188299</v>
      </c>
      <c r="E2240" s="214"/>
      <c r="F2240" s="215">
        <f>D2240</f>
        <v>261188299</v>
      </c>
      <c r="G2240" s="214">
        <v>248000487</v>
      </c>
      <c r="H2240" s="214"/>
      <c r="I2240" s="215">
        <f>SUM(G2240:H2240)</f>
        <v>248000487</v>
      </c>
      <c r="J2240" s="215">
        <v>208890263</v>
      </c>
      <c r="K2240" s="214"/>
      <c r="L2240" s="215">
        <f>SUM(J2240:K2240)</f>
        <v>208890263</v>
      </c>
      <c r="M2240" s="224">
        <f t="shared" si="1060"/>
        <v>79.976884033384664</v>
      </c>
      <c r="N2240" s="224">
        <f t="shared" si="1061"/>
        <v>79.976884033384664</v>
      </c>
      <c r="O2240" s="224">
        <f t="shared" si="1062"/>
        <v>84.22977935523167</v>
      </c>
      <c r="P2240" s="224">
        <f t="shared" si="1082"/>
        <v>84.22977935523167</v>
      </c>
    </row>
    <row r="2241" spans="1:17" s="3" customFormat="1" ht="19.5" customHeight="1">
      <c r="A2241" s="209" t="s">
        <v>330</v>
      </c>
      <c r="B2241" s="59"/>
      <c r="C2241" s="310" t="s">
        <v>268</v>
      </c>
      <c r="D2241" s="145">
        <v>11081818</v>
      </c>
      <c r="E2241" s="145"/>
      <c r="F2241" s="145">
        <f>D2241</f>
        <v>11081818</v>
      </c>
      <c r="G2241" s="145">
        <v>11061167</v>
      </c>
      <c r="H2241" s="145"/>
      <c r="I2241" s="145">
        <f>SUM(G2241:H2241)</f>
        <v>11061167</v>
      </c>
      <c r="J2241" s="145">
        <v>12087986</v>
      </c>
      <c r="K2241" s="145"/>
      <c r="L2241" s="145">
        <f>SUM(J2241:K2241)</f>
        <v>12087986</v>
      </c>
      <c r="M2241" s="252">
        <f t="shared" si="1060"/>
        <v>109.07944887743149</v>
      </c>
      <c r="N2241" s="252">
        <f t="shared" si="1061"/>
        <v>109.07944887743149</v>
      </c>
      <c r="O2241" s="252">
        <f t="shared" si="1062"/>
        <v>109.2830982481324</v>
      </c>
      <c r="P2241" s="252">
        <f t="shared" si="1082"/>
        <v>109.2830982481324</v>
      </c>
    </row>
    <row r="2242" spans="1:17" s="3" customFormat="1" ht="53.25" customHeight="1">
      <c r="A2242" s="205" t="s">
        <v>149</v>
      </c>
      <c r="B2242" s="59"/>
      <c r="C2242" s="310" t="s">
        <v>268</v>
      </c>
      <c r="D2242" s="145">
        <v>0</v>
      </c>
      <c r="E2242" s="145"/>
      <c r="F2242" s="145">
        <f>F2270</f>
        <v>0</v>
      </c>
      <c r="G2242" s="145">
        <v>5981</v>
      </c>
      <c r="H2242" s="145"/>
      <c r="I2242" s="145">
        <f>SUM(G2242:H2242)</f>
        <v>5981</v>
      </c>
      <c r="J2242" s="145"/>
      <c r="K2242" s="145"/>
      <c r="L2242" s="145">
        <f t="shared" si="1083"/>
        <v>0</v>
      </c>
      <c r="M2242" s="252" t="str">
        <f t="shared" si="1060"/>
        <v/>
      </c>
      <c r="N2242" s="252" t="str">
        <f t="shared" si="1061"/>
        <v/>
      </c>
      <c r="O2242" s="252">
        <f t="shared" si="1062"/>
        <v>0</v>
      </c>
      <c r="P2242" s="252">
        <f t="shared" si="1079"/>
        <v>0</v>
      </c>
      <c r="Q2242" s="14"/>
    </row>
    <row r="2243" spans="1:17" s="3" customFormat="1" ht="27.95" customHeight="1">
      <c r="A2243" s="141" t="s">
        <v>2361</v>
      </c>
      <c r="B2243" s="149"/>
      <c r="C2243" s="329" t="s">
        <v>268</v>
      </c>
      <c r="D2243" s="142">
        <f>D2234+D2235</f>
        <v>6377329119</v>
      </c>
      <c r="E2243" s="142">
        <f>E2234+E2235</f>
        <v>697617121</v>
      </c>
      <c r="F2243" s="142">
        <f>SUM(F2234:F2235)</f>
        <v>7074946240</v>
      </c>
      <c r="G2243" s="142">
        <f>G2234+G2235</f>
        <v>7348968109</v>
      </c>
      <c r="H2243" s="142">
        <f>H2234+H2235</f>
        <v>743347225</v>
      </c>
      <c r="I2243" s="142">
        <f>SUM(I2234:I2235)</f>
        <v>8092315334</v>
      </c>
      <c r="J2243" s="142">
        <f>J2234+J2235</f>
        <v>7194235712</v>
      </c>
      <c r="K2243" s="142">
        <f>K2234+K2235</f>
        <v>785007460</v>
      </c>
      <c r="L2243" s="142">
        <f>SUM(L2234:L2235)</f>
        <v>7979243172</v>
      </c>
      <c r="M2243" s="250">
        <f t="shared" si="1060"/>
        <v>112.80954107521575</v>
      </c>
      <c r="N2243" s="250">
        <f t="shared" si="1061"/>
        <v>112.78167920043447</v>
      </c>
      <c r="O2243" s="250">
        <f t="shared" si="1062"/>
        <v>97.894501721806293</v>
      </c>
      <c r="P2243" s="250">
        <f t="shared" si="1079"/>
        <v>98.602721751030558</v>
      </c>
    </row>
    <row r="2244" spans="1:17" s="3" customFormat="1" ht="22.15" customHeight="1">
      <c r="A2244" s="62" t="s">
        <v>2362</v>
      </c>
      <c r="B2244" s="68"/>
      <c r="C2244" s="330" t="s">
        <v>268</v>
      </c>
      <c r="D2244" s="150"/>
      <c r="E2244" s="150"/>
      <c r="F2244" s="150">
        <f>SUM(F2245,F2246,F2255)</f>
        <v>41524621</v>
      </c>
      <c r="G2244" s="150"/>
      <c r="H2244" s="150"/>
      <c r="I2244" s="150">
        <f>SUM(I2245,I2246,I2255)</f>
        <v>8940478</v>
      </c>
      <c r="J2244" s="150"/>
      <c r="K2244" s="150"/>
      <c r="L2244" s="150">
        <f>SUM(L2245,L2246,L2255)</f>
        <v>43070270</v>
      </c>
      <c r="M2244" s="253" t="str">
        <f t="shared" si="1060"/>
        <v/>
      </c>
      <c r="N2244" s="253">
        <f t="shared" si="1061"/>
        <v>103.72224709769175</v>
      </c>
      <c r="O2244" s="253" t="str">
        <f t="shared" si="1062"/>
        <v/>
      </c>
      <c r="P2244" s="253">
        <f t="shared" si="1079"/>
        <v>481.74460023278397</v>
      </c>
      <c r="Q2244" s="3" t="s">
        <v>290</v>
      </c>
    </row>
    <row r="2245" spans="1:17" s="3" customFormat="1" ht="16.899999999999999" customHeight="1">
      <c r="A2245" s="151" t="s">
        <v>248</v>
      </c>
      <c r="B2245" s="47"/>
      <c r="C2245" s="212" t="s">
        <v>268</v>
      </c>
      <c r="D2245" s="152"/>
      <c r="E2245" s="152"/>
      <c r="F2245" s="152">
        <v>8000000</v>
      </c>
      <c r="G2245" s="152"/>
      <c r="H2245" s="152"/>
      <c r="I2245" s="152">
        <v>2734521</v>
      </c>
      <c r="J2245" s="152"/>
      <c r="K2245" s="152"/>
      <c r="L2245" s="152">
        <f>8000000+500000</f>
        <v>8500000</v>
      </c>
      <c r="M2245" s="254" t="str">
        <f t="shared" si="1060"/>
        <v/>
      </c>
      <c r="N2245" s="254">
        <f t="shared" si="1061"/>
        <v>106.25</v>
      </c>
      <c r="O2245" s="254" t="str">
        <f t="shared" si="1062"/>
        <v/>
      </c>
      <c r="P2245" s="254">
        <f t="shared" si="1079"/>
        <v>310.84054574823159</v>
      </c>
    </row>
    <row r="2246" spans="1:17" s="3" customFormat="1" ht="16.899999999999999" customHeight="1">
      <c r="A2246" s="151" t="s">
        <v>279</v>
      </c>
      <c r="B2246" s="47"/>
      <c r="C2246" s="212" t="s">
        <v>268</v>
      </c>
      <c r="D2246" s="152"/>
      <c r="E2246" s="152"/>
      <c r="F2246" s="152">
        <f>SUM(F2248:F2252)</f>
        <v>33524621</v>
      </c>
      <c r="G2246" s="152"/>
      <c r="H2246" s="152"/>
      <c r="I2246" s="152">
        <f>SUM(I2248:I2252)</f>
        <v>6205957</v>
      </c>
      <c r="J2246" s="152"/>
      <c r="K2246" s="152"/>
      <c r="L2246" s="152">
        <f>SUM(L2248:L2252)</f>
        <v>34570270</v>
      </c>
      <c r="M2246" s="254" t="str">
        <f t="shared" si="1060"/>
        <v/>
      </c>
      <c r="N2246" s="254">
        <f t="shared" si="1061"/>
        <v>103.11904793793194</v>
      </c>
      <c r="O2246" s="254" t="str">
        <f t="shared" si="1062"/>
        <v/>
      </c>
      <c r="P2246" s="254">
        <f t="shared" si="1079"/>
        <v>557.04978297464834</v>
      </c>
    </row>
    <row r="2247" spans="1:17" s="3" customFormat="1" ht="6" customHeight="1">
      <c r="A2247" s="153"/>
      <c r="B2247" s="47"/>
      <c r="C2247" s="212" t="s">
        <v>268</v>
      </c>
      <c r="D2247" s="152"/>
      <c r="E2247" s="152"/>
      <c r="F2247" s="148"/>
      <c r="G2247" s="152"/>
      <c r="H2247" s="152"/>
      <c r="I2247" s="148"/>
      <c r="J2247" s="148"/>
      <c r="K2247" s="152"/>
      <c r="L2247" s="148"/>
      <c r="M2247" s="224" t="str">
        <f t="shared" si="1060"/>
        <v/>
      </c>
      <c r="N2247" s="224" t="str">
        <f t="shared" si="1061"/>
        <v/>
      </c>
      <c r="O2247" s="224" t="str">
        <f t="shared" si="1062"/>
        <v/>
      </c>
      <c r="P2247" s="224" t="str">
        <f t="shared" si="1079"/>
        <v/>
      </c>
    </row>
    <row r="2248" spans="1:17" s="3" customFormat="1">
      <c r="A2248" s="153" t="s">
        <v>174</v>
      </c>
      <c r="B2248" s="47"/>
      <c r="C2248" s="212" t="s">
        <v>268</v>
      </c>
      <c r="D2248" s="152"/>
      <c r="E2248" s="152"/>
      <c r="F2248" s="148">
        <v>2297200</v>
      </c>
      <c r="G2248" s="152"/>
      <c r="H2248" s="152"/>
      <c r="I2248" s="148">
        <v>2224200</v>
      </c>
      <c r="J2248" s="148"/>
      <c r="K2248" s="152"/>
      <c r="L2248" s="148">
        <v>2448800</v>
      </c>
      <c r="M2248" s="224" t="str">
        <f t="shared" si="1060"/>
        <v/>
      </c>
      <c r="N2248" s="224">
        <f t="shared" si="1061"/>
        <v>106.59933832491728</v>
      </c>
      <c r="O2248" s="224" t="str">
        <f t="shared" si="1062"/>
        <v/>
      </c>
      <c r="P2248" s="224">
        <f t="shared" si="1079"/>
        <v>110.09801276863591</v>
      </c>
    </row>
    <row r="2249" spans="1:17" s="3" customFormat="1">
      <c r="A2249" s="154" t="s">
        <v>649</v>
      </c>
      <c r="B2249" s="51"/>
      <c r="C2249" s="313" t="s">
        <v>268</v>
      </c>
      <c r="D2249" s="148"/>
      <c r="E2249" s="148"/>
      <c r="F2249" s="148">
        <v>20000000</v>
      </c>
      <c r="G2249" s="148"/>
      <c r="H2249" s="148"/>
      <c r="I2249" s="148">
        <v>3817580</v>
      </c>
      <c r="J2249" s="148"/>
      <c r="K2249" s="148"/>
      <c r="L2249" s="148">
        <v>20000000</v>
      </c>
      <c r="M2249" s="224" t="str">
        <f t="shared" si="1060"/>
        <v/>
      </c>
      <c r="N2249" s="224">
        <f t="shared" si="1061"/>
        <v>100</v>
      </c>
      <c r="O2249" s="224" t="str">
        <f t="shared" si="1062"/>
        <v/>
      </c>
      <c r="P2249" s="224">
        <f t="shared" si="1079"/>
        <v>523.89209918325218</v>
      </c>
    </row>
    <row r="2250" spans="1:17" s="3" customFormat="1">
      <c r="A2250" s="153" t="s">
        <v>643</v>
      </c>
      <c r="B2250" s="47"/>
      <c r="C2250" s="212" t="s">
        <v>268</v>
      </c>
      <c r="D2250" s="148"/>
      <c r="E2250" s="148"/>
      <c r="F2250" s="155">
        <v>11227421</v>
      </c>
      <c r="G2250" s="148"/>
      <c r="H2250" s="148"/>
      <c r="I2250" s="155">
        <v>164177</v>
      </c>
      <c r="J2250" s="155"/>
      <c r="K2250" s="148"/>
      <c r="L2250" s="155">
        <f>2087470+34000+10000000</f>
        <v>12121470</v>
      </c>
      <c r="M2250" s="255" t="str">
        <f t="shared" si="1060"/>
        <v/>
      </c>
      <c r="N2250" s="255">
        <f t="shared" si="1061"/>
        <v>107.96308430938859</v>
      </c>
      <c r="O2250" s="255" t="str">
        <f t="shared" si="1062"/>
        <v/>
      </c>
      <c r="P2250" s="255">
        <f t="shared" si="1079"/>
        <v>7383.1718206569731</v>
      </c>
    </row>
    <row r="2251" spans="1:17" s="3" customFormat="1" hidden="1">
      <c r="A2251" s="153" t="s">
        <v>786</v>
      </c>
      <c r="B2251" s="51"/>
      <c r="C2251" s="313" t="s">
        <v>268</v>
      </c>
      <c r="D2251" s="148"/>
      <c r="E2251" s="148"/>
      <c r="F2251" s="148"/>
      <c r="G2251" s="148"/>
      <c r="H2251" s="148"/>
      <c r="I2251" s="148"/>
      <c r="J2251" s="148"/>
      <c r="K2251" s="148"/>
      <c r="L2251" s="148"/>
      <c r="M2251" s="224" t="str">
        <f t="shared" si="1060"/>
        <v/>
      </c>
      <c r="N2251" s="224" t="str">
        <f t="shared" si="1061"/>
        <v/>
      </c>
      <c r="O2251" s="224" t="str">
        <f t="shared" si="1062"/>
        <v/>
      </c>
      <c r="P2251" s="224" t="str">
        <f t="shared" si="1079"/>
        <v/>
      </c>
    </row>
    <row r="2252" spans="1:17" s="3" customFormat="1">
      <c r="A2252" s="153"/>
      <c r="B2252" s="51"/>
      <c r="C2252" s="313" t="s">
        <v>268</v>
      </c>
      <c r="D2252" s="148"/>
      <c r="E2252" s="148"/>
      <c r="F2252" s="148"/>
      <c r="G2252" s="148"/>
      <c r="H2252" s="148"/>
      <c r="I2252" s="148"/>
      <c r="J2252" s="148"/>
      <c r="K2252" s="148"/>
      <c r="L2252" s="148"/>
      <c r="M2252" s="224" t="str">
        <f t="shared" si="1060"/>
        <v/>
      </c>
      <c r="N2252" s="224" t="str">
        <f t="shared" si="1061"/>
        <v/>
      </c>
      <c r="O2252" s="224" t="str">
        <f t="shared" si="1062"/>
        <v/>
      </c>
      <c r="P2252" s="224" t="str">
        <f t="shared" si="1079"/>
        <v/>
      </c>
      <c r="Q2252" s="28"/>
    </row>
    <row r="2253" spans="1:17" s="3" customFormat="1" ht="12.75" thickBot="1">
      <c r="A2253" s="153"/>
      <c r="B2253" s="51"/>
      <c r="C2253" s="313" t="s">
        <v>268</v>
      </c>
      <c r="D2253" s="148"/>
      <c r="E2253" s="148"/>
      <c r="F2253" s="148"/>
      <c r="G2253" s="148"/>
      <c r="H2253" s="148"/>
      <c r="I2253" s="148"/>
      <c r="J2253" s="148"/>
      <c r="K2253" s="148"/>
      <c r="L2253" s="148"/>
      <c r="M2253" s="224" t="str">
        <f t="shared" si="1060"/>
        <v/>
      </c>
      <c r="N2253" s="224" t="str">
        <f t="shared" si="1061"/>
        <v/>
      </c>
      <c r="O2253" s="224" t="str">
        <f t="shared" si="1062"/>
        <v/>
      </c>
      <c r="P2253" s="224" t="str">
        <f t="shared" ref="P2253:P2259" si="1084">IF(I2253&gt;0,IF(L2253&gt;=0,L2253/I2253*100,""),"")</f>
        <v/>
      </c>
    </row>
    <row r="2254" spans="1:17" s="3" customFormat="1" ht="9.75" hidden="1" customHeight="1">
      <c r="A2254" s="153"/>
      <c r="B2254" s="51"/>
      <c r="C2254" s="313" t="s">
        <v>268</v>
      </c>
      <c r="D2254" s="148"/>
      <c r="E2254" s="148"/>
      <c r="F2254" s="148"/>
      <c r="G2254" s="148"/>
      <c r="H2254" s="148"/>
      <c r="I2254" s="148"/>
      <c r="J2254" s="148"/>
      <c r="K2254" s="148"/>
      <c r="L2254" s="148"/>
      <c r="M2254" s="224" t="str">
        <f t="shared" ref="M2254:M2259" si="1085">IF(D2254&gt;0,IF(J2254&gt;=0,J2254/D2254*100,""),"")</f>
        <v/>
      </c>
      <c r="N2254" s="224" t="str">
        <f t="shared" ref="N2254:N2259" si="1086">IF(F2254&gt;0,IF(L2254&gt;=0,L2254/F2254*100,""),"")</f>
        <v/>
      </c>
      <c r="O2254" s="224" t="str">
        <f t="shared" ref="O2254:O2259" si="1087">IF(G2254&gt;0,IF(J2254&gt;=0,J2254/G2254*100,""),"")</f>
        <v/>
      </c>
      <c r="P2254" s="224" t="str">
        <f t="shared" si="1084"/>
        <v/>
      </c>
    </row>
    <row r="2255" spans="1:17" s="3" customFormat="1" ht="12.75" hidden="1" thickBot="1">
      <c r="A2255" s="346" t="s">
        <v>254</v>
      </c>
      <c r="B2255" s="51"/>
      <c r="C2255" s="313" t="s">
        <v>268</v>
      </c>
      <c r="D2255" s="152"/>
      <c r="E2255" s="152"/>
      <c r="F2255" s="152">
        <f>SUM(F2256:F2256)</f>
        <v>0</v>
      </c>
      <c r="G2255" s="152"/>
      <c r="H2255" s="152"/>
      <c r="I2255" s="152">
        <f>SUM(I2256:I2256)</f>
        <v>0</v>
      </c>
      <c r="J2255" s="152"/>
      <c r="K2255" s="152"/>
      <c r="L2255" s="152">
        <f>SUM(L2256:L2256)</f>
        <v>0</v>
      </c>
      <c r="M2255" s="254" t="str">
        <f t="shared" si="1085"/>
        <v/>
      </c>
      <c r="N2255" s="254" t="str">
        <f t="shared" si="1086"/>
        <v/>
      </c>
      <c r="O2255" s="254" t="str">
        <f t="shared" si="1087"/>
        <v/>
      </c>
      <c r="P2255" s="254" t="str">
        <f t="shared" si="1084"/>
        <v/>
      </c>
    </row>
    <row r="2256" spans="1:17" s="3" customFormat="1" ht="24.75" hidden="1" thickBot="1">
      <c r="A2256" s="347" t="s">
        <v>645</v>
      </c>
      <c r="B2256" s="51"/>
      <c r="C2256" s="313" t="s">
        <v>268</v>
      </c>
      <c r="D2256" s="152"/>
      <c r="E2256" s="152"/>
      <c r="F2256" s="148"/>
      <c r="G2256" s="152"/>
      <c r="H2256" s="152"/>
      <c r="I2256" s="148"/>
      <c r="J2256" s="148"/>
      <c r="K2256" s="152"/>
      <c r="L2256" s="148"/>
      <c r="M2256" s="224" t="str">
        <f t="shared" si="1085"/>
        <v/>
      </c>
      <c r="N2256" s="224" t="str">
        <f t="shared" si="1086"/>
        <v/>
      </c>
      <c r="O2256" s="224" t="str">
        <f t="shared" si="1087"/>
        <v/>
      </c>
      <c r="P2256" s="224" t="str">
        <f t="shared" si="1084"/>
        <v/>
      </c>
    </row>
    <row r="2257" spans="1:17" s="3" customFormat="1" ht="38.450000000000003" customHeight="1" thickBot="1">
      <c r="A2257" s="197" t="s">
        <v>2363</v>
      </c>
      <c r="B2257" s="198"/>
      <c r="C2257" s="331" t="s">
        <v>268</v>
      </c>
      <c r="D2257" s="199"/>
      <c r="E2257" s="199"/>
      <c r="F2257" s="200">
        <f>SUM(F2244,F2243)</f>
        <v>7116470861</v>
      </c>
      <c r="G2257" s="199"/>
      <c r="H2257" s="199"/>
      <c r="I2257" s="200">
        <f>SUM(I2244,I2243)</f>
        <v>8101255812</v>
      </c>
      <c r="J2257" s="200"/>
      <c r="K2257" s="199"/>
      <c r="L2257" s="200">
        <f>SUM(L2244,L2243)</f>
        <v>8022313442</v>
      </c>
      <c r="M2257" s="256" t="str">
        <f t="shared" si="1085"/>
        <v/>
      </c>
      <c r="N2257" s="256">
        <f t="shared" si="1086"/>
        <v>112.72881739689598</v>
      </c>
      <c r="O2257" s="256" t="str">
        <f t="shared" si="1087"/>
        <v/>
      </c>
      <c r="P2257" s="256">
        <f t="shared" si="1084"/>
        <v>99.025553916183384</v>
      </c>
      <c r="Q2257" s="14"/>
    </row>
    <row r="2258" spans="1:17" s="3" customFormat="1" ht="21.75" customHeight="1">
      <c r="A2258" s="210" t="s">
        <v>2364</v>
      </c>
      <c r="B2258" s="156"/>
      <c r="C2258" s="332" t="s">
        <v>268</v>
      </c>
      <c r="D2258" s="157"/>
      <c r="E2258" s="157"/>
      <c r="F2258" s="157">
        <f>SUM(F2257-F2259)</f>
        <v>5688453519</v>
      </c>
      <c r="G2258" s="157"/>
      <c r="H2258" s="157"/>
      <c r="I2258" s="157">
        <f>SUM(I2257-I2259)</f>
        <v>6326318134</v>
      </c>
      <c r="J2258" s="157"/>
      <c r="K2258" s="157"/>
      <c r="L2258" s="157">
        <f>L2234+L2244</f>
        <v>6310541703</v>
      </c>
      <c r="M2258" s="257" t="str">
        <f t="shared" si="1085"/>
        <v/>
      </c>
      <c r="N2258" s="257">
        <f t="shared" si="1086"/>
        <v>110.93598078848959</v>
      </c>
      <c r="O2258" s="257" t="str">
        <f t="shared" si="1087"/>
        <v/>
      </c>
      <c r="P2258" s="257">
        <f t="shared" si="1084"/>
        <v>99.750622231354257</v>
      </c>
    </row>
    <row r="2259" spans="1:17" s="3" customFormat="1" ht="21.75" customHeight="1">
      <c r="A2259" s="274" t="s">
        <v>2360</v>
      </c>
      <c r="B2259" s="275"/>
      <c r="C2259" s="333" t="s">
        <v>268</v>
      </c>
      <c r="D2259" s="144"/>
      <c r="E2259" s="144"/>
      <c r="F2259" s="144">
        <f>F2235</f>
        <v>1428017342</v>
      </c>
      <c r="G2259" s="144"/>
      <c r="H2259" s="144"/>
      <c r="I2259" s="144">
        <v>1774937678</v>
      </c>
      <c r="J2259" s="144"/>
      <c r="K2259" s="144"/>
      <c r="L2259" s="144">
        <f>L2235</f>
        <v>1711771739</v>
      </c>
      <c r="M2259" s="251" t="str">
        <f t="shared" si="1085"/>
        <v/>
      </c>
      <c r="N2259" s="251">
        <f t="shared" si="1086"/>
        <v>119.87051477978478</v>
      </c>
      <c r="O2259" s="251" t="str">
        <f t="shared" si="1087"/>
        <v/>
      </c>
      <c r="P2259" s="251">
        <f t="shared" si="1084"/>
        <v>96.4412305973934</v>
      </c>
    </row>
    <row r="2260" spans="1:17" s="30" customFormat="1" ht="11.25" customHeight="1">
      <c r="A2260" s="276"/>
      <c r="B2260" s="277"/>
      <c r="C2260" s="334"/>
      <c r="D2260" s="278"/>
      <c r="E2260" s="278"/>
      <c r="F2260" s="278"/>
      <c r="G2260" s="278"/>
      <c r="H2260" s="278"/>
      <c r="I2260" s="278"/>
      <c r="J2260" s="278"/>
      <c r="K2260" s="278"/>
      <c r="L2260" s="278"/>
      <c r="M2260" s="279"/>
      <c r="N2260" s="279"/>
      <c r="O2260" s="279"/>
      <c r="P2260" s="279"/>
    </row>
    <row r="2261" spans="1:17" s="3" customFormat="1" ht="18" customHeight="1">
      <c r="A2261" s="280"/>
      <c r="B2261" s="281"/>
      <c r="C2261" s="335"/>
      <c r="D2261" s="282"/>
      <c r="E2261" s="282"/>
      <c r="F2261" s="282"/>
      <c r="G2261" s="282"/>
      <c r="H2261" s="282"/>
      <c r="I2261" s="282"/>
      <c r="J2261" s="282"/>
      <c r="K2261" s="282"/>
      <c r="L2261" s="282"/>
      <c r="M2261" s="283"/>
      <c r="N2261" s="283"/>
      <c r="O2261" s="283"/>
      <c r="P2261" s="283"/>
    </row>
    <row r="2262" spans="1:17" s="3" customFormat="1" ht="18" customHeight="1">
      <c r="A2262" s="280"/>
      <c r="B2262" s="281"/>
      <c r="C2262" s="335"/>
      <c r="D2262" s="282"/>
      <c r="E2262" s="282"/>
      <c r="F2262" s="282"/>
      <c r="G2262" s="282"/>
      <c r="H2262" s="282"/>
      <c r="I2262" s="282"/>
      <c r="J2262" s="282"/>
      <c r="K2262" s="282"/>
      <c r="L2262" s="282"/>
      <c r="M2262" s="283"/>
      <c r="N2262" s="283"/>
      <c r="O2262" s="283"/>
      <c r="P2262" s="283"/>
    </row>
    <row r="2263" spans="1:17" s="15" customFormat="1" ht="15.75" customHeight="1">
      <c r="A2263" s="284"/>
      <c r="B2263" s="285"/>
      <c r="C2263" s="336"/>
      <c r="D2263" s="28"/>
      <c r="E2263" s="28"/>
      <c r="F2263" s="28"/>
      <c r="G2263" s="28"/>
      <c r="H2263" s="28"/>
      <c r="I2263" s="28"/>
      <c r="J2263" s="28"/>
      <c r="K2263" s="28"/>
      <c r="L2263" s="28"/>
      <c r="M2263" s="283"/>
      <c r="N2263" s="283"/>
      <c r="O2263" s="283"/>
      <c r="P2263" s="283"/>
    </row>
    <row r="2264" spans="1:17" s="29" customFormat="1" ht="11.25">
      <c r="A2264" s="286"/>
      <c r="B2264" s="287"/>
      <c r="C2264" s="337"/>
      <c r="D2264" s="288"/>
      <c r="E2264" s="288"/>
      <c r="F2264" s="288"/>
      <c r="G2264" s="288"/>
      <c r="H2264" s="288"/>
      <c r="I2264" s="288"/>
      <c r="J2264" s="288"/>
      <c r="K2264" s="288"/>
      <c r="L2264" s="288"/>
      <c r="M2264" s="289"/>
      <c r="N2264" s="289"/>
      <c r="O2264" s="289"/>
      <c r="P2264" s="289"/>
    </row>
    <row r="2265" spans="1:17" s="15" customFormat="1" ht="13.5">
      <c r="A2265" s="290"/>
      <c r="B2265" s="285"/>
      <c r="C2265" s="336"/>
      <c r="D2265" s="291"/>
      <c r="E2265" s="291"/>
      <c r="F2265" s="291"/>
      <c r="G2265" s="291"/>
      <c r="H2265" s="291"/>
      <c r="I2265" s="291"/>
      <c r="J2265" s="291"/>
      <c r="K2265" s="291"/>
      <c r="L2265" s="291"/>
      <c r="M2265" s="289"/>
      <c r="N2265" s="289"/>
      <c r="O2265" s="289"/>
      <c r="P2265" s="289"/>
    </row>
    <row r="2266" spans="1:17" s="15" customFormat="1" ht="16.5" customHeight="1">
      <c r="A2266" s="284"/>
      <c r="B2266" s="285"/>
      <c r="C2266" s="336"/>
      <c r="D2266" s="28"/>
      <c r="E2266" s="28"/>
      <c r="F2266" s="28"/>
      <c r="G2266" s="28"/>
      <c r="H2266" s="28"/>
      <c r="I2266" s="28"/>
      <c r="J2266" s="28"/>
      <c r="K2266" s="28"/>
      <c r="L2266" s="28"/>
      <c r="M2266" s="283"/>
      <c r="N2266" s="283"/>
      <c r="O2266" s="283"/>
      <c r="P2266" s="283"/>
    </row>
    <row r="2267" spans="1:17" s="29" customFormat="1" ht="11.25">
      <c r="A2267" s="286"/>
      <c r="B2267" s="287"/>
      <c r="C2267" s="337"/>
      <c r="D2267" s="288"/>
      <c r="E2267" s="288"/>
      <c r="F2267" s="288"/>
      <c r="G2267" s="288"/>
      <c r="H2267" s="288"/>
      <c r="I2267" s="288"/>
      <c r="J2267" s="288"/>
      <c r="K2267" s="288"/>
      <c r="L2267" s="288"/>
      <c r="M2267" s="289"/>
      <c r="N2267" s="289"/>
      <c r="O2267" s="289"/>
      <c r="P2267" s="289"/>
    </row>
    <row r="2268" spans="1:17" s="15" customFormat="1" ht="13.5">
      <c r="A2268" s="290"/>
      <c r="B2268" s="285"/>
      <c r="C2268" s="336"/>
      <c r="D2268" s="291"/>
      <c r="E2268" s="291"/>
      <c r="F2268" s="291"/>
      <c r="G2268" s="291"/>
      <c r="H2268" s="291"/>
      <c r="I2268" s="291"/>
      <c r="J2268" s="291"/>
      <c r="K2268" s="291"/>
      <c r="L2268" s="291"/>
      <c r="M2268" s="289"/>
      <c r="N2268" s="289"/>
      <c r="O2268" s="289"/>
      <c r="P2268" s="289"/>
    </row>
    <row r="2269" spans="1:17" s="15" customFormat="1" ht="16.5" customHeight="1">
      <c r="A2269" s="284"/>
      <c r="B2269" s="285"/>
      <c r="C2269" s="336"/>
      <c r="D2269" s="28"/>
      <c r="E2269" s="28"/>
      <c r="F2269" s="28"/>
      <c r="G2269" s="28"/>
      <c r="H2269" s="28"/>
      <c r="I2269" s="28"/>
      <c r="J2269" s="28"/>
      <c r="K2269" s="28"/>
      <c r="L2269" s="28"/>
      <c r="M2269" s="283"/>
      <c r="N2269" s="283"/>
      <c r="O2269" s="283"/>
      <c r="P2269" s="283"/>
    </row>
    <row r="2270" spans="1:17" s="3" customFormat="1" ht="13.5">
      <c r="A2270" s="292"/>
      <c r="B2270" s="281"/>
      <c r="C2270" s="335"/>
      <c r="D2270" s="282"/>
      <c r="E2270" s="282"/>
      <c r="F2270" s="282"/>
      <c r="G2270" s="282"/>
      <c r="H2270" s="282"/>
      <c r="I2270" s="282"/>
      <c r="J2270" s="282"/>
      <c r="K2270" s="282"/>
      <c r="L2270" s="282"/>
      <c r="M2270" s="283"/>
      <c r="N2270" s="283"/>
      <c r="O2270" s="283"/>
      <c r="P2270" s="283"/>
    </row>
    <row r="2271" spans="1:17" s="17" customFormat="1" ht="12.75">
      <c r="A2271" s="12"/>
      <c r="B2271" s="16"/>
      <c r="C2271" s="338"/>
    </row>
    <row r="2272" spans="1:17" s="395" customFormat="1" ht="13.5" hidden="1">
      <c r="A2272" s="387"/>
      <c r="B2272" s="388" t="s">
        <v>40</v>
      </c>
      <c r="C2272" s="388"/>
      <c r="D2272" s="389">
        <v>344631528</v>
      </c>
      <c r="E2272" s="390">
        <f>E20+E13+E30+E41+E25+E65+E70+E82+E88+E106+E111+E118+E135+E176+E193+E201+E209+E143+E216+E229+E269+E259+E250+E165+E50+E286+E308+E303+E317+E331+E441+E365+E409+E428+E360+E372+E418+E154+E453+E460</f>
        <v>344631528</v>
      </c>
      <c r="F2272" s="391">
        <f>D2272-E2272</f>
        <v>0</v>
      </c>
      <c r="G2272" s="389">
        <v>361106197</v>
      </c>
      <c r="H2272" s="390">
        <f>H20+H13+H30+H41+H25+H65+H70+H82+H88+H106+H111+H118+H135+H176+H193+H201+H209+H143+H216+H229+H269+H259+H250+H165+H50+H286+H308+H303+H317+H331+H441+H365+H409+H428+H360+H372+H418+H154+H453+H460</f>
        <v>361106197</v>
      </c>
      <c r="I2272" s="392">
        <f>G2272-H2272</f>
        <v>0</v>
      </c>
      <c r="J2272" s="393">
        <v>387082348</v>
      </c>
      <c r="K2272" s="390">
        <f>K20+K13+K30+K41+K25+K65+K70+K82+K88+K106+K111+K118+K135+K176+K193+K201+K209+K143+K216+K229+K269+K259+K250+K165+K50+K286+K308+K303+K317+K331+K441+K365+K409+K428+K360+K372+K418+K154+K453+K460</f>
        <v>387082348</v>
      </c>
      <c r="L2272" s="391">
        <f>J2272-K2272</f>
        <v>0</v>
      </c>
      <c r="M2272" s="394"/>
      <c r="N2272" s="394"/>
      <c r="O2272" s="394"/>
      <c r="P2272" s="394"/>
    </row>
    <row r="2273" spans="1:16" s="395" customFormat="1" ht="13.5" hidden="1">
      <c r="A2273" s="387"/>
      <c r="B2273" s="388" t="s">
        <v>101</v>
      </c>
      <c r="C2273" s="388"/>
      <c r="D2273" s="396"/>
      <c r="E2273" s="397">
        <f>E2079+E1994+E2057+E1933+E1985+E1948+E2026+E1917+E2012+E1958</f>
        <v>352985593</v>
      </c>
      <c r="F2273" s="398"/>
      <c r="G2273" s="396"/>
      <c r="H2273" s="397">
        <f>H2079+H1994+H2057+H1933+H1985+H1948+H2026+H1917+H2012+H1958</f>
        <v>382241028</v>
      </c>
      <c r="J2273" s="399"/>
      <c r="K2273" s="397">
        <f>K2079+K1994+K2057+K1933+K1985+K1948+K2026+K1917+K2012+K1958</f>
        <v>397925112</v>
      </c>
      <c r="L2273" s="398"/>
    </row>
    <row r="2274" spans="1:16" s="395" customFormat="1" ht="12.75" hidden="1">
      <c r="A2274" s="387"/>
      <c r="B2274" s="400" t="s">
        <v>141</v>
      </c>
      <c r="C2274" s="400"/>
      <c r="D2274" s="401"/>
      <c r="E2274" s="402">
        <f>SUM(E2272:E2273)</f>
        <v>697617121</v>
      </c>
      <c r="F2274" s="403"/>
      <c r="G2274" s="401"/>
      <c r="H2274" s="402">
        <f>SUM(H2272:H2273)</f>
        <v>743347225</v>
      </c>
      <c r="I2274" s="402"/>
      <c r="J2274" s="404"/>
      <c r="K2274" s="402">
        <f>SUM(K2272:K2273)</f>
        <v>785007460</v>
      </c>
      <c r="L2274" s="403"/>
      <c r="M2274" s="402"/>
      <c r="N2274" s="402"/>
      <c r="O2274" s="402"/>
      <c r="P2274" s="402"/>
    </row>
    <row r="2275" spans="1:16" s="395" customFormat="1" ht="20.25" hidden="1">
      <c r="A2275" s="405"/>
      <c r="B2275" s="406"/>
      <c r="C2275" s="406"/>
      <c r="D2275" s="401"/>
      <c r="E2275" s="402">
        <f>E2274-E2273-D2272</f>
        <v>0</v>
      </c>
      <c r="F2275" s="407"/>
      <c r="G2275" s="401"/>
      <c r="H2275" s="402">
        <f>H2274-H2273-G2272</f>
        <v>0</v>
      </c>
      <c r="I2275" s="408"/>
      <c r="J2275" s="409"/>
      <c r="K2275" s="402">
        <f>K2274-K2273-J2272</f>
        <v>0</v>
      </c>
      <c r="L2275" s="407"/>
      <c r="M2275" s="408"/>
      <c r="N2275" s="408"/>
      <c r="O2275" s="408"/>
      <c r="P2275" s="408"/>
    </row>
    <row r="2276" spans="1:16" s="410" customFormat="1" hidden="1">
      <c r="D2276" s="401"/>
      <c r="E2276" s="402"/>
      <c r="F2276" s="403"/>
      <c r="G2276" s="401"/>
      <c r="H2276" s="402"/>
      <c r="I2276" s="402"/>
      <c r="J2276" s="404"/>
      <c r="K2276" s="402"/>
      <c r="L2276" s="403"/>
      <c r="M2276" s="402"/>
      <c r="N2276" s="402"/>
      <c r="O2276" s="402"/>
      <c r="P2276" s="402"/>
    </row>
    <row r="2277" spans="1:16" s="410" customFormat="1" hidden="1">
      <c r="D2277" s="402"/>
      <c r="E2277" s="402"/>
      <c r="F2277" s="403"/>
      <c r="G2277" s="402"/>
      <c r="H2277" s="402"/>
      <c r="I2277" s="402"/>
      <c r="J2277" s="404"/>
      <c r="K2277" s="402"/>
      <c r="L2277" s="403"/>
      <c r="M2277" s="402"/>
      <c r="N2277" s="402"/>
      <c r="O2277" s="402"/>
      <c r="P2277" s="402"/>
    </row>
    <row r="2278" spans="1:16" s="410" customFormat="1" hidden="1">
      <c r="D2278" s="402"/>
      <c r="E2278" s="402"/>
      <c r="F2278" s="403"/>
      <c r="G2278" s="402"/>
      <c r="H2278" s="402"/>
      <c r="I2278" s="402"/>
      <c r="J2278" s="404"/>
      <c r="K2278" s="402"/>
      <c r="L2278" s="403"/>
      <c r="M2278" s="402"/>
      <c r="N2278" s="402"/>
      <c r="O2278" s="402"/>
      <c r="P2278" s="402"/>
    </row>
    <row r="2279" spans="1:16" s="410" customFormat="1" hidden="1">
      <c r="D2279" s="402"/>
      <c r="E2279" s="402"/>
      <c r="F2279" s="403"/>
      <c r="G2279" s="402"/>
      <c r="H2279" s="402"/>
      <c r="I2279" s="402"/>
      <c r="J2279" s="404"/>
      <c r="K2279" s="402"/>
      <c r="L2279" s="403"/>
      <c r="M2279" s="402"/>
      <c r="N2279" s="402"/>
      <c r="O2279" s="402"/>
      <c r="P2279" s="402"/>
    </row>
    <row r="2280" spans="1:16" s="410" customFormat="1" hidden="1">
      <c r="B2280" s="411" t="s">
        <v>2483</v>
      </c>
      <c r="C2280" s="411"/>
      <c r="D2280" s="412">
        <f>SUMIF($B$13:$B$2233,"ogółem",D$13:D$2233)</f>
        <v>4949311777</v>
      </c>
      <c r="E2280" s="413">
        <f>SUMIF($B$13:$B$2233,"ogółem",E$13:E$2233)</f>
        <v>697617121</v>
      </c>
      <c r="F2280" s="414">
        <f>SUMIF($B$13:$B$2233,"ogółem",F$13:F$2233)</f>
        <v>5646928898</v>
      </c>
      <c r="G2280" s="413">
        <f>SUMIF($B$13:$B$2233,"ogółem",$G$13:$G$2233)</f>
        <v>7348968109</v>
      </c>
      <c r="H2280" s="413">
        <f>SUMIF($B$13:$B$2233,"ogółem",$H$13:$H$2233)</f>
        <v>743347225</v>
      </c>
      <c r="I2280" s="413">
        <f>SUMIF($B$13:$B$2233,"ogółem",$I$13:$I$2233)</f>
        <v>8092315334</v>
      </c>
      <c r="J2280" s="412">
        <f>SUMIF($B$13:$B$2233,"ogółem",J$13:J$2233)</f>
        <v>5482463973</v>
      </c>
      <c r="K2280" s="413">
        <f>SUMIF($B$13:$B$2233,"ogółem",K$13:K$2233)</f>
        <v>785007460</v>
      </c>
      <c r="L2280" s="414">
        <f>SUMIF($B$13:$B$2233,"ogółem",L$13:L$2233)</f>
        <v>6267471433</v>
      </c>
      <c r="M2280" s="402" t="s">
        <v>2404</v>
      </c>
      <c r="N2280" s="402"/>
      <c r="O2280" s="402"/>
      <c r="P2280" s="402"/>
    </row>
    <row r="2281" spans="1:16" s="410" customFormat="1" ht="12.75" hidden="1">
      <c r="D2281" s="404">
        <f>7116470861-D2280-E2280-F2244-D2286</f>
        <v>0</v>
      </c>
      <c r="E2281" s="413"/>
      <c r="F2281" s="403">
        <f>7116470861-F2280-F2244-F2286</f>
        <v>0</v>
      </c>
      <c r="G2281" s="402">
        <f>8101255812-G2280-I2244-H2280</f>
        <v>0</v>
      </c>
      <c r="H2281" s="402">
        <f>H2274-H2280</f>
        <v>0</v>
      </c>
      <c r="I2281" s="402">
        <f>8101255812-I2280-I2244</f>
        <v>0</v>
      </c>
      <c r="J2281" s="401">
        <f>6310541703-J2280-L2244-K2280</f>
        <v>0</v>
      </c>
      <c r="K2281" s="402">
        <f>K2274-K2280</f>
        <v>0</v>
      </c>
      <c r="L2281" s="403">
        <f>6310541703-L2280-L2244</f>
        <v>0</v>
      </c>
      <c r="M2281" s="415"/>
      <c r="N2281" s="415"/>
      <c r="O2281" s="415"/>
      <c r="P2281" s="415"/>
    </row>
    <row r="2282" spans="1:16" s="410" customFormat="1" hidden="1">
      <c r="D2282" s="404"/>
      <c r="E2282" s="402"/>
      <c r="F2282" s="403">
        <f>F2280-D2280-E2280</f>
        <v>0</v>
      </c>
      <c r="G2282" s="402"/>
      <c r="H2282" s="402"/>
      <c r="I2282" s="402">
        <f>I2280-G2280-H2280</f>
        <v>0</v>
      </c>
      <c r="J2282" s="401"/>
      <c r="K2282" s="402"/>
      <c r="L2282" s="403">
        <f>L2280-J2280-K2280</f>
        <v>0</v>
      </c>
      <c r="M2282" s="402"/>
      <c r="N2282" s="402"/>
      <c r="O2282" s="402"/>
      <c r="P2282" s="402"/>
    </row>
    <row r="2283" spans="1:16" s="410" customFormat="1" hidden="1">
      <c r="B2283" s="411" t="s">
        <v>2484</v>
      </c>
      <c r="C2283" s="411"/>
      <c r="D2283" s="416">
        <f>SUMIF($A$13:$A$2233,"Wydatki bieżące",D$13:D$2233)</f>
        <v>4949311777</v>
      </c>
      <c r="E2283" s="417">
        <f>SUMIF($A$13:$A$2233,"Wydatki bieżące",E$13:E$2233)</f>
        <v>697617121</v>
      </c>
      <c r="F2283" s="418">
        <f>SUMIF($A$13:$A$2233,"Wydatki bieżące",F$13:F$2233)</f>
        <v>5646928898</v>
      </c>
      <c r="G2283" s="419">
        <f>SUMIF($A$13:$A$2233,"Wydatki bieżące",$G$13:$G$2233)</f>
        <v>5574030431</v>
      </c>
      <c r="H2283" s="419">
        <f>SUMIF($A$13:$A$2233,"Wydatki bieżące",$H$13:$H$2233)</f>
        <v>743347225</v>
      </c>
      <c r="I2283" s="419">
        <f>SUMIF($A$13:$A$2233,"Wydatki bieżące",$I$13:$I$2233)</f>
        <v>6317377656</v>
      </c>
      <c r="J2283" s="420">
        <f>SUMIF($A$13:$A$2233,"Wydatki bieżące",J$13:J$2233)</f>
        <v>5482463973</v>
      </c>
      <c r="K2283" s="417">
        <f>SUMIF($A$13:$A$2233,"Wydatki bieżące",K$13:K$2233)</f>
        <v>785007460</v>
      </c>
      <c r="L2283" s="418">
        <f>SUMIF($A$13:$A$2233,"Wydatki bieżące",L$13:L$2233)</f>
        <v>6267471433</v>
      </c>
      <c r="M2283" s="421"/>
      <c r="N2283" s="421"/>
      <c r="O2283" s="421"/>
      <c r="P2283" s="421"/>
    </row>
    <row r="2284" spans="1:16" s="410" customFormat="1" hidden="1">
      <c r="D2284" s="404">
        <f>5688453519-D2283-E2283-F2244</f>
        <v>0</v>
      </c>
      <c r="E2284" s="402"/>
      <c r="F2284" s="403">
        <f>5688453519-F2283-F2244</f>
        <v>0</v>
      </c>
      <c r="G2284" s="402">
        <f>6326318134-G2283-I2244-H2283</f>
        <v>0</v>
      </c>
      <c r="H2284" s="402">
        <f>H2274-H2283</f>
        <v>0</v>
      </c>
      <c r="I2284" s="402">
        <f>6326318134-I2283-I2244</f>
        <v>0</v>
      </c>
      <c r="J2284" s="401">
        <f>6310541703-J2283-L2244-K2283</f>
        <v>0</v>
      </c>
      <c r="K2284" s="402">
        <f>K2274-K2283</f>
        <v>0</v>
      </c>
      <c r="L2284" s="403">
        <f>6310541703-L2283-L2244</f>
        <v>0</v>
      </c>
      <c r="M2284" s="402"/>
      <c r="N2284" s="402"/>
      <c r="O2284" s="402"/>
      <c r="P2284" s="402"/>
    </row>
    <row r="2285" spans="1:16" s="410" customFormat="1" hidden="1">
      <c r="D2285" s="412"/>
      <c r="E2285" s="413"/>
      <c r="F2285" s="403">
        <f>F2283-D2283-E2283</f>
        <v>0</v>
      </c>
      <c r="G2285" s="422"/>
      <c r="H2285" s="422"/>
      <c r="I2285" s="423">
        <f>I2283-G2283-H2283</f>
        <v>0</v>
      </c>
      <c r="J2285" s="424"/>
      <c r="K2285" s="413"/>
      <c r="L2285" s="403">
        <f>L2283-J2283-K2283</f>
        <v>0</v>
      </c>
      <c r="M2285" s="422"/>
      <c r="N2285" s="422"/>
      <c r="O2285" s="422"/>
      <c r="P2285" s="422"/>
    </row>
    <row r="2286" spans="1:16" s="410" customFormat="1" ht="12.75" hidden="1">
      <c r="B2286" s="411" t="s">
        <v>874</v>
      </c>
      <c r="C2286" s="411"/>
      <c r="D2286" s="425">
        <v>1428017342</v>
      </c>
      <c r="E2286" s="426"/>
      <c r="F2286" s="427">
        <v>1428017342</v>
      </c>
      <c r="G2286" s="428">
        <f>SUM(G2287:G2290)</f>
        <v>1774937678</v>
      </c>
      <c r="H2286" s="429"/>
      <c r="I2286" s="428">
        <f>SUM(I2287:I2290)</f>
        <v>1774937678</v>
      </c>
      <c r="J2286" s="430">
        <v>1711771739</v>
      </c>
      <c r="K2286" s="426"/>
      <c r="L2286" s="427">
        <v>1711771739</v>
      </c>
      <c r="M2286" s="429"/>
      <c r="N2286" s="429"/>
      <c r="O2286" s="429"/>
      <c r="P2286" s="429"/>
    </row>
    <row r="2287" spans="1:16" s="410" customFormat="1" hidden="1">
      <c r="B2287" s="410" t="s">
        <v>151</v>
      </c>
      <c r="D2287" s="404">
        <f>SUMIF($B$20:$B$2233,"ZIN",D$20:D$2233)</f>
        <v>0</v>
      </c>
      <c r="E2287" s="402"/>
      <c r="F2287" s="403">
        <f>SUMIF($B$20:$B$2233,"ZIN",F$20:F$2233)</f>
        <v>0</v>
      </c>
      <c r="G2287" s="423">
        <f>SUMIF($B$13:$B$2233,"ZIN",G$13:G$2233)</f>
        <v>1575482530</v>
      </c>
      <c r="H2287" s="423"/>
      <c r="I2287" s="423">
        <f>SUMIF($B$13:$B$2233,"ZIN",$I$13:$I$2233)</f>
        <v>1575482530</v>
      </c>
      <c r="J2287" s="404">
        <f>SUMIF($B$13:$B$2233,"ZIN",J$13:J$2233)</f>
        <v>0</v>
      </c>
      <c r="K2287" s="402"/>
      <c r="L2287" s="431">
        <f>SUMIF($B$13:$B$2233,"ZIN",L$13:L$2233)</f>
        <v>0</v>
      </c>
      <c r="M2287" s="423"/>
      <c r="N2287" s="423"/>
      <c r="O2287" s="423"/>
      <c r="P2287" s="423"/>
    </row>
    <row r="2288" spans="1:16" s="410" customFormat="1" hidden="1">
      <c r="B2288" s="410" t="s">
        <v>152</v>
      </c>
      <c r="D2288" s="404">
        <f>SUMIF($B$20:$B$2233,"DIR, DIW",D$20:D$2233)</f>
        <v>0</v>
      </c>
      <c r="E2288" s="432"/>
      <c r="F2288" s="403">
        <f>SUMIF($B$20:$B$2233,"DIR, DIW",F$20:F$2233)</f>
        <v>0</v>
      </c>
      <c r="G2288" s="423">
        <f>SUMIF($B$13:$B$2233,"DIR, DIW",G$13:G$2233)</f>
        <v>11061167</v>
      </c>
      <c r="H2288" s="433"/>
      <c r="I2288" s="423">
        <f>SUMIF($B$13:$B$2233,"DIR, DIW",I$13:I$2233)</f>
        <v>11061167</v>
      </c>
      <c r="J2288" s="404">
        <f>SUMIF($B$13:$B$2233,"DIR, DIW",J$13:J$2233)</f>
        <v>0</v>
      </c>
      <c r="K2288" s="432"/>
      <c r="L2288" s="431">
        <f>SUMIF($B$13:$B$2233,"DIR, DIW",L$13:L$2233)</f>
        <v>0</v>
      </c>
      <c r="M2288" s="433"/>
      <c r="N2288" s="433"/>
      <c r="O2288" s="433"/>
      <c r="P2288" s="433"/>
    </row>
    <row r="2289" spans="1:16" s="410" customFormat="1" hidden="1">
      <c r="B2289" s="410" t="s">
        <v>809</v>
      </c>
      <c r="D2289" s="404">
        <f>SUMIF($B$20:$B$2233,"RWM",$J$20:$J$2233)</f>
        <v>0</v>
      </c>
      <c r="E2289" s="432"/>
      <c r="F2289" s="403">
        <f>SUMIF($B$20:$B$2233,"RWM",$L$20:$L$2233)</f>
        <v>0</v>
      </c>
      <c r="G2289" s="423">
        <f>SUMIF($B$13:$B$2233,"RWM",G$13:G$2233)</f>
        <v>5981</v>
      </c>
      <c r="H2289" s="433"/>
      <c r="I2289" s="423">
        <f>SUMIF($B$13:$B$2233,"RWM",I$13:I$2233)</f>
        <v>5981</v>
      </c>
      <c r="J2289" s="404">
        <f>SUMIF($B$13:$B$2233,"RWM",J$13:J$2233)</f>
        <v>0</v>
      </c>
      <c r="K2289" s="432"/>
      <c r="L2289" s="431">
        <f>SUMIF($B$13:$B$2233,"RWM",L$13:L$2233)</f>
        <v>0</v>
      </c>
      <c r="M2289" s="433"/>
      <c r="N2289" s="433"/>
      <c r="O2289" s="433"/>
      <c r="P2289" s="433"/>
    </row>
    <row r="2290" spans="1:16" s="410" customFormat="1" hidden="1">
      <c r="B2290" s="410" t="s">
        <v>805</v>
      </c>
      <c r="D2290" s="404">
        <f>SUMIF($B$20:$B$2233,"MAS",D$20:D$2233)</f>
        <v>0</v>
      </c>
      <c r="E2290" s="434"/>
      <c r="F2290" s="403">
        <f>SUMIF($B$20:$B$2233,"MAS",F$20:F$2233)</f>
        <v>0</v>
      </c>
      <c r="G2290" s="423">
        <f>SUMIF($B$13:$B$2233,"MAS",G$13:G$2233)</f>
        <v>188388000</v>
      </c>
      <c r="H2290" s="435"/>
      <c r="I2290" s="423">
        <f>SUMIF($B$13:$B$2233,"MAS",I$13:I$2233)</f>
        <v>188388000</v>
      </c>
      <c r="J2290" s="404">
        <f>SUMIF($B$13:$B$2233,"MAS",J$13:J$2233)</f>
        <v>0</v>
      </c>
      <c r="K2290" s="434"/>
      <c r="L2290" s="431">
        <f>SUMIF($B$13:$B$2233,"MAS",L$13:L$2233)</f>
        <v>0</v>
      </c>
      <c r="M2290" s="435"/>
      <c r="N2290" s="435"/>
      <c r="O2290" s="435"/>
      <c r="P2290" s="435"/>
    </row>
    <row r="2291" spans="1:16" s="410" customFormat="1" hidden="1">
      <c r="A2291" s="436"/>
      <c r="B2291" s="437"/>
      <c r="C2291" s="437"/>
      <c r="D2291" s="438">
        <f>$F2235-D2286</f>
        <v>0</v>
      </c>
      <c r="E2291" s="439"/>
      <c r="F2291" s="440">
        <f>F2235-F2286</f>
        <v>0</v>
      </c>
      <c r="G2291" s="441">
        <f>$I2259-G2286</f>
        <v>0</v>
      </c>
      <c r="H2291" s="441"/>
      <c r="I2291" s="441">
        <f>I2259-I2286</f>
        <v>0</v>
      </c>
      <c r="J2291" s="442">
        <f>L2235-J2286</f>
        <v>0</v>
      </c>
      <c r="K2291" s="439"/>
      <c r="L2291" s="443">
        <f>L2235-L2286</f>
        <v>0</v>
      </c>
    </row>
    <row r="2292" spans="1:16" s="410" customFormat="1" hidden="1">
      <c r="D2292" s="444"/>
      <c r="E2292" s="445">
        <f>E2280-E2283-E2286</f>
        <v>0</v>
      </c>
      <c r="F2292" s="446"/>
      <c r="G2292" s="447">
        <f t="shared" ref="G2292:K2292" si="1088">G2280-G2283-G2286</f>
        <v>0</v>
      </c>
      <c r="H2292" s="448">
        <f t="shared" si="1088"/>
        <v>0</v>
      </c>
      <c r="I2292" s="448">
        <f t="shared" si="1088"/>
        <v>0</v>
      </c>
      <c r="J2292" s="449"/>
      <c r="K2292" s="445">
        <f t="shared" si="1088"/>
        <v>0</v>
      </c>
      <c r="L2292" s="446"/>
      <c r="M2292" s="450"/>
      <c r="N2292" s="450"/>
      <c r="O2292" s="450"/>
      <c r="P2292" s="450"/>
    </row>
    <row r="2293" spans="1:16" s="410" customFormat="1" hidden="1">
      <c r="D2293" s="451"/>
      <c r="E2293" s="432"/>
      <c r="F2293" s="452"/>
      <c r="G2293" s="451"/>
      <c r="H2293" s="432"/>
      <c r="I2293" s="452"/>
      <c r="J2293" s="451"/>
      <c r="K2293" s="402"/>
      <c r="L2293" s="452"/>
      <c r="M2293" s="433"/>
      <c r="N2293" s="433"/>
      <c r="O2293" s="433"/>
      <c r="P2293" s="433"/>
    </row>
    <row r="2294" spans="1:16" s="410" customFormat="1" hidden="1">
      <c r="D2294" s="451"/>
      <c r="E2294" s="432">
        <f>SUM(E14,E21,E26,E31,E42,E51,E66,E71,E83,E89,E107,E112,E119,E136,E144,E155,E166,E177,E194,E202,E210,E217,E230,E251,E260,E270,E287,E304,E309,E318,E332,E361,E366,E373,E410,E419,E429,E442,E454,E461)</f>
        <v>344631528</v>
      </c>
      <c r="F2294" s="452"/>
      <c r="G2294" s="451"/>
      <c r="H2294" s="432">
        <f>SUM(H14,H21,H26,H31,H42,H51,H66,H71,H83,H89,H107,H112,H119,H136,H144,H155,H166,H177,H194,H202,H210,H217,H230,H251,H260,H270,H287,H304,H309,H318,H332,H361,H366,H373,H410,H419,H429,H442,H454,H461)</f>
        <v>361106197</v>
      </c>
      <c r="I2294" s="452"/>
      <c r="J2294" s="451"/>
      <c r="K2294" s="402">
        <f>SUM(K14,K21,K26,K31,K42,K51,K66,K71,K83,K89,K107,K112,K119,K136,K144,K155,K166,K177,K194,K202,K210,K217,K230,K251,K260,K270,K287,K304,K309,K318,K332,K361,K366,K373,K410,K419,K429,K442,K454,K461)</f>
        <v>387082348</v>
      </c>
      <c r="L2294" s="452"/>
      <c r="M2294" s="433"/>
      <c r="N2294" s="433"/>
      <c r="O2294" s="433"/>
      <c r="P2294" s="433"/>
    </row>
    <row r="2295" spans="1:16" s="410" customFormat="1" ht="15" hidden="1">
      <c r="D2295" s="453"/>
      <c r="E2295" s="432">
        <f>E1918+E1934+E1949+E1959+E1986+E1995+E2013+E2027+E2058+E2080</f>
        <v>352985593</v>
      </c>
      <c r="F2295" s="454"/>
      <c r="G2295" s="453"/>
      <c r="H2295" s="402">
        <f>H1918+H1934+H1949+H1959+H1986+H1995+H2013+H2027+H2058+H2080</f>
        <v>382241028</v>
      </c>
      <c r="I2295" s="454"/>
      <c r="J2295" s="453"/>
      <c r="K2295" s="402">
        <f>K1918+K1934+K1949+K1959+K1986+K1995+K2013+K2027+K2058+K2080</f>
        <v>397925112</v>
      </c>
      <c r="L2295" s="454"/>
      <c r="M2295" s="455"/>
      <c r="N2295" s="455"/>
      <c r="O2295" s="455"/>
      <c r="P2295" s="455"/>
    </row>
    <row r="2296" spans="1:16" s="410" customFormat="1" hidden="1">
      <c r="D2296" s="456"/>
      <c r="E2296" s="439">
        <f>E2294-E2272</f>
        <v>0</v>
      </c>
      <c r="F2296" s="457"/>
      <c r="G2296" s="456"/>
      <c r="H2296" s="402">
        <f>H2294-H2272</f>
        <v>0</v>
      </c>
      <c r="I2296" s="457"/>
      <c r="J2296" s="456"/>
      <c r="K2296" s="402">
        <f>K2294-K2272</f>
        <v>0</v>
      </c>
      <c r="L2296" s="457"/>
    </row>
    <row r="2297" spans="1:16" s="410" customFormat="1" hidden="1">
      <c r="D2297" s="451"/>
      <c r="E2297" s="402">
        <f>E2295-E2273</f>
        <v>0</v>
      </c>
      <c r="F2297" s="452"/>
      <c r="G2297" s="451"/>
      <c r="H2297" s="402">
        <f>H2295-H2273</f>
        <v>0</v>
      </c>
      <c r="I2297" s="452"/>
      <c r="J2297" s="451"/>
      <c r="K2297" s="402">
        <f>K2295-K2273</f>
        <v>0</v>
      </c>
      <c r="L2297" s="452"/>
      <c r="M2297" s="433"/>
      <c r="N2297" s="433"/>
      <c r="O2297" s="433"/>
      <c r="P2297" s="433"/>
    </row>
    <row r="2298" spans="1:16">
      <c r="A2298" s="1"/>
      <c r="B2298" s="1"/>
      <c r="C2298" s="339"/>
      <c r="D2298" s="14"/>
      <c r="E2298" s="14"/>
      <c r="F2298" s="14"/>
      <c r="G2298" s="14"/>
      <c r="H2298" s="14"/>
      <c r="I2298" s="14"/>
      <c r="J2298" s="14"/>
      <c r="K2298" s="20"/>
      <c r="L2298" s="14"/>
      <c r="M2298" s="14"/>
      <c r="N2298" s="14"/>
      <c r="O2298" s="14"/>
      <c r="P2298" s="14"/>
    </row>
    <row r="2299" spans="1:16">
      <c r="A2299" s="1"/>
      <c r="B2299" s="1"/>
      <c r="C2299" s="339"/>
      <c r="D2299" s="22"/>
      <c r="E2299" s="22"/>
      <c r="F2299" s="22"/>
      <c r="G2299" s="204"/>
      <c r="H2299" s="22"/>
      <c r="I2299" s="22"/>
      <c r="J2299" s="22"/>
      <c r="K2299" s="22"/>
      <c r="L2299" s="22"/>
      <c r="M2299" s="22"/>
      <c r="N2299" s="22"/>
      <c r="O2299" s="22"/>
      <c r="P2299" s="22"/>
    </row>
  </sheetData>
  <customSheetViews>
    <customSheetView guid="{9E509C2D-EEE6-45E2-AAF7-6C159166801B}" scale="110" showPageBreaks="1" showGridLines="0" fitToPage="1" printArea="1" showRuler="0">
      <pane xSplit="2" ySplit="12" topLeftCell="F1689" activePane="bottomRight" state="frozen"/>
      <selection pane="bottomRight" activeCell="F1694" sqref="F1694"/>
      <rowBreaks count="39" manualBreakCount="39">
        <brk id="63" max="17" man="1"/>
        <brk id="118" max="17" man="1"/>
        <brk id="176" max="17" man="1"/>
        <brk id="232" max="17" man="1"/>
        <brk id="291" max="17" man="1"/>
        <brk id="344" max="17" man="1"/>
        <brk id="378" max="14" man="1"/>
        <brk id="402" max="17" man="1"/>
        <brk id="466" max="17" man="1"/>
        <brk id="534" max="17" man="1"/>
        <brk id="592" max="17" man="1"/>
        <brk id="654" max="17" man="1"/>
        <brk id="718" max="17" man="1"/>
        <brk id="782" max="17" man="1"/>
        <brk id="783" max="14" man="1"/>
        <brk id="784" max="14" man="1"/>
        <brk id="847" max="17" man="1"/>
        <brk id="912" max="17" man="1"/>
        <brk id="975" max="17" man="1"/>
        <brk id="1040" max="17" man="1"/>
        <brk id="1095" max="17" man="1"/>
        <brk id="1155" max="17" man="1"/>
        <brk id="1193" max="14" man="1"/>
        <brk id="1194" max="14" man="1"/>
        <brk id="1195" max="14" man="1"/>
        <brk id="1221" max="17" man="1"/>
        <brk id="1283" max="17" man="1"/>
        <brk id="1343" max="17" man="1"/>
        <brk id="1416" max="17" man="1"/>
        <brk id="1475" max="17" man="1"/>
        <brk id="1534" max="17" man="1"/>
        <brk id="1597" max="14" man="1"/>
        <brk id="1598" max="14" man="1"/>
        <brk id="1599" max="17" man="1"/>
        <brk id="1660" max="17" man="1"/>
        <brk id="1717" max="17" man="1"/>
        <brk id="1782" max="17" man="1"/>
        <brk id="1849" max="17" man="1"/>
        <brk id="1906" max="17" man="1"/>
      </rowBreaks>
      <pageMargins left="0.19685039370078741" right="0.19685039370078741" top="0.47244094488188981" bottom="0.59055118110236227" header="0.19685039370078741" footer="0.19685039370078741"/>
      <printOptions horizontalCentered="1"/>
      <pageSetup paperSize="9" scale="10" fitToWidth="0" orientation="landscape" r:id="rId1"/>
      <headerFooter alignWithMargins="0"/>
    </customSheetView>
    <customSheetView guid="{1BFA8141-987B-4BBB-8D11-118EDFCB7FD5}" showPageBreaks="1" showGridLines="0" printArea="1" hiddenRows="1" hiddenColumns="1" topLeftCell="A4">
      <pane xSplit="2" ySplit="9" topLeftCell="C1963" activePane="bottomRight" state="frozen"/>
      <selection pane="bottomRight" activeCell="A1294" sqref="A1294:IV1294"/>
      <rowBreaks count="29" manualBreakCount="29">
        <brk id="66" max="17" man="1"/>
        <brk id="123" max="17" man="1"/>
        <brk id="184" max="17" man="1"/>
        <brk id="234" max="17" man="1"/>
        <brk id="297" max="17" man="1"/>
        <brk id="348" max="17" man="1"/>
        <brk id="404" max="17" man="1"/>
        <brk id="486" max="17" man="1"/>
        <brk id="551" max="17" man="1"/>
        <brk id="592" max="17" man="1"/>
        <brk id="656" max="17" man="1"/>
        <brk id="715" max="17" man="1"/>
        <brk id="780" max="17" man="1"/>
        <brk id="858" max="17" man="1"/>
        <brk id="932" max="17" man="1"/>
        <brk id="1002" max="17" man="1"/>
        <brk id="1063" max="17" man="1"/>
        <brk id="1132" max="17" man="1"/>
        <brk id="1192" max="17" man="1"/>
        <brk id="1260" max="17" man="1"/>
        <brk id="1328" max="17" man="1"/>
        <brk id="1390" max="17" man="1"/>
        <brk id="1464" max="17" man="1"/>
        <brk id="1528" max="17" man="1"/>
        <brk id="1604" max="17" man="1"/>
        <brk id="1668" max="17" man="1"/>
        <brk id="1728" max="17" man="1"/>
        <brk id="1789" max="17" man="1"/>
        <brk id="1855" max="17" man="1"/>
      </rowBreaks>
      <pageMargins left="0.19685039370078741" right="0.19685039370078741" top="0.38" bottom="0.26" header="0.19685039370078741" footer="0.19685039370078741"/>
      <printOptions horizontalCentered="1"/>
      <pageSetup paperSize="9" scale="64" fitToWidth="0" fitToHeight="0" orientation="landscape" r:id="rId2"/>
      <headerFooter alignWithMargins="0"/>
    </customSheetView>
    <customSheetView guid="{7EC7CDD5-A286-4B60-BA8F-4CDAD9D2557F}" showPageBreaks="1" showGridLines="0" printArea="1" hiddenRows="1" showRuler="0" topLeftCell="A9">
      <pane xSplit="2" ySplit="7" topLeftCell="E73" activePane="bottomRight" state="frozen"/>
      <selection pane="bottomRight" activeCell="H123" sqref="H123"/>
      <rowBreaks count="20" manualBreakCount="20">
        <brk id="58" max="13" man="1"/>
        <brk id="105" max="13" man="1"/>
        <brk id="404" max="13" man="1"/>
        <brk id="572" max="13" man="1"/>
        <brk id="635" max="13" man="1"/>
        <brk id="697" max="13" man="1"/>
        <brk id="757" max="13" man="1"/>
        <brk id="816" max="13" man="1"/>
        <brk id="877" max="13" man="1"/>
        <brk id="938" max="13" man="1"/>
        <brk id="986" max="13" man="1"/>
        <brk id="1037" max="13" man="1"/>
        <brk id="1089" max="13" man="1"/>
        <brk id="1152" max="13" man="1"/>
        <brk id="1208" max="13" man="1"/>
        <brk id="1285" max="13" man="1"/>
        <brk id="1375" max="13" man="1"/>
        <brk id="1427" max="13" man="1"/>
        <brk id="1496" max="13" man="1"/>
        <brk id="1552" max="13" man="1"/>
      </rowBreaks>
      <pageMargins left="0.59" right="0.57999999999999996" top="0.47244094488188981" bottom="0.59055118110236227" header="0.19685039370078741" footer="0.19685039370078741"/>
      <printOptions horizontalCentered="1"/>
      <pageSetup paperSize="8" fitToHeight="9" orientation="landscape" r:id="rId3"/>
      <headerFooter alignWithMargins="0">
        <oddHeader xml:space="preserve">&amp;L&amp;P z &amp;N&amp;R&amp;D  &amp;T  </oddHeader>
      </headerFooter>
    </customSheetView>
    <customSheetView guid="{107F05B0-32C4-418F-8E9E-A6ECB0ADB407}" showPageBreaks="1" showGridLines="0" printArea="1" hiddenRows="1" showRuler="0" topLeftCell="A9">
      <pane xSplit="2" ySplit="7" topLeftCell="F1532" activePane="bottomRight" state="frozen"/>
      <selection pane="bottomRight" activeCell="K1553" sqref="K1553"/>
      <pageMargins left="0.59" right="0.57999999999999996" top="0.47244094488188981" bottom="0.59055118110236227" header="0.19685039370078741" footer="0.19685039370078741"/>
      <printOptions horizontalCentered="1"/>
      <pageSetup paperSize="8" fitToHeight="9" orientation="landscape" r:id="rId4"/>
      <headerFooter alignWithMargins="0"/>
    </customSheetView>
    <customSheetView guid="{1B5A1303-2240-4A1F-9EEE-F7D22BA97DFF}" showPageBreaks="1" showGridLines="0" printArea="1" hiddenRows="1" hiddenColumns="1" topLeftCell="A4">
      <pane xSplit="2" ySplit="9" topLeftCell="C362" activePane="bottomRight" state="frozen"/>
      <selection pane="bottomRight" activeCell="I392" sqref="I392"/>
      <rowBreaks count="29" manualBreakCount="29">
        <brk id="66" max="17" man="1"/>
        <brk id="123" max="17" man="1"/>
        <brk id="184" max="17" man="1"/>
        <brk id="234" max="17" man="1"/>
        <brk id="297" max="17" man="1"/>
        <brk id="348" max="17" man="1"/>
        <brk id="404" max="17" man="1"/>
        <brk id="486" max="17" man="1"/>
        <brk id="551" max="17" man="1"/>
        <brk id="592" max="17" man="1"/>
        <brk id="656" max="17" man="1"/>
        <brk id="715" max="17" man="1"/>
        <brk id="780" max="17" man="1"/>
        <brk id="858" max="17" man="1"/>
        <brk id="932" max="17" man="1"/>
        <brk id="1002" max="17" man="1"/>
        <brk id="1063" max="17" man="1"/>
        <brk id="1132" max="17" man="1"/>
        <brk id="1192" max="17" man="1"/>
        <brk id="1260" max="17" man="1"/>
        <brk id="1328" max="17" man="1"/>
        <brk id="1390" max="17" man="1"/>
        <brk id="1464" max="17" man="1"/>
        <brk id="1528" max="17" man="1"/>
        <brk id="1604" max="17" man="1"/>
        <brk id="1668" max="17" man="1"/>
        <brk id="1728" max="17" man="1"/>
        <brk id="1789" max="17" man="1"/>
        <brk id="1855" max="17" man="1"/>
      </rowBreaks>
      <pageMargins left="0.19685039370078741" right="0.19685039370078741" top="0.38" bottom="0.26" header="0.19685039370078741" footer="0.19685039370078741"/>
      <printOptions horizontalCentered="1"/>
      <pageSetup paperSize="9" scale="64" fitToWidth="0" fitToHeight="0" orientation="landscape" r:id="rId5"/>
      <headerFooter alignWithMargins="0"/>
    </customSheetView>
    <customSheetView guid="{5D1228A6-5986-4FF1-8958-6B30877E07E2}" scale="110" showPageBreaks="1" showGridLines="0" fitToPage="1" printArea="1">
      <pane xSplit="2" ySplit="12" topLeftCell="C1776" activePane="bottomRight" state="frozen"/>
      <selection pane="bottomRight" activeCell="K1773" sqref="K1773"/>
      <rowBreaks count="36" manualBreakCount="36">
        <brk id="63" max="17" man="1"/>
        <brk id="118" max="17" man="1"/>
        <brk id="176" max="17" man="1"/>
        <brk id="232" max="17" man="1"/>
        <brk id="291" max="17" man="1"/>
        <brk id="344" max="17" man="1"/>
        <brk id="378" max="14" man="1"/>
        <brk id="402" max="17" man="1"/>
        <brk id="466" max="17" man="1"/>
        <brk id="534" max="17" man="1"/>
        <brk id="593" max="17" man="1"/>
        <brk id="655" max="17" man="1"/>
        <brk id="719" max="17" man="1"/>
        <brk id="783" max="17" man="1"/>
        <brk id="784" max="14" man="1"/>
        <brk id="848" max="17" man="1"/>
        <brk id="913" max="17" man="1"/>
        <brk id="976" max="17" man="1"/>
        <brk id="1041" max="17" man="1"/>
        <brk id="1096" max="17" man="1"/>
        <brk id="1156" max="17" man="1"/>
        <brk id="1194" max="14" man="1"/>
        <brk id="1222" max="17" man="1"/>
        <brk id="1284" max="17" man="1"/>
        <brk id="1344" max="17" man="1"/>
        <brk id="1417" max="17" man="1"/>
        <brk id="1476" max="17" man="1"/>
        <brk id="1535" max="17" man="1"/>
        <brk id="1596" max="14" man="1"/>
        <brk id="1598" max="14" man="1"/>
        <brk id="1600" max="17" man="1"/>
        <brk id="1661" max="17" man="1"/>
        <brk id="1719" max="17" man="1"/>
        <brk id="1781" max="17" man="1"/>
        <brk id="1846" max="17" man="1"/>
        <brk id="1901" max="17" man="1"/>
      </rowBreaks>
      <pageMargins left="0.19685039370078741" right="0.19685039370078741" top="0.47244094488188981" bottom="0.59055118110236227" header="0.19685039370078741" footer="0.19685039370078741"/>
      <printOptions horizontalCentered="1"/>
      <pageSetup paperSize="9" scale="10" fitToWidth="0" orientation="landscape" r:id="rId6"/>
      <headerFooter alignWithMargins="0"/>
    </customSheetView>
  </customSheetViews>
  <mergeCells count="3">
    <mergeCell ref="A9:A10"/>
    <mergeCell ref="B9:B10"/>
    <mergeCell ref="C9:C10"/>
  </mergeCells>
  <phoneticPr fontId="26" type="noConversion"/>
  <conditionalFormatting sqref="B1:C64 B69:C1048576">
    <cfRule type="cellIs" dxfId="13" priority="22" operator="equal">
      <formula>"ogółem"</formula>
    </cfRule>
  </conditionalFormatting>
  <conditionalFormatting sqref="B2067 A1:A64 A2068:A1048576 A69:A2066">
    <cfRule type="cellIs" dxfId="12" priority="21" operator="equal">
      <formula>"Wydatki bieżące"</formula>
    </cfRule>
  </conditionalFormatting>
  <conditionalFormatting sqref="B1:C64 B69:C1048576">
    <cfRule type="cellIs" dxfId="11" priority="16" operator="equal">
      <formula>"ogółem"</formula>
    </cfRule>
  </conditionalFormatting>
  <conditionalFormatting sqref="B2067 A1:A64 A2068:A1048576 A69:A2066">
    <cfRule type="cellIs" dxfId="10" priority="15" operator="equal">
      <formula>"Wydatki bieżące"</formula>
    </cfRule>
  </conditionalFormatting>
  <conditionalFormatting sqref="B1:C64 B69:C1048576">
    <cfRule type="cellIs" dxfId="9" priority="9" operator="equal">
      <formula>"ogółem"</formula>
    </cfRule>
    <cfRule type="cellIs" dxfId="8" priority="10" operator="equal">
      <formula>"ogółem"</formula>
    </cfRule>
  </conditionalFormatting>
  <conditionalFormatting sqref="B2067 A1:A64 A2068:A1048576 A69:A2066">
    <cfRule type="cellIs" dxfId="7" priority="8" operator="equal">
      <formula>"Wydatki bieżące"</formula>
    </cfRule>
  </conditionalFormatting>
  <conditionalFormatting sqref="B65:C68">
    <cfRule type="cellIs" dxfId="6" priority="7" operator="equal">
      <formula>"ogółem"</formula>
    </cfRule>
  </conditionalFormatting>
  <conditionalFormatting sqref="A65:A68">
    <cfRule type="cellIs" dxfId="5" priority="6" operator="equal">
      <formula>"Wydatki bieżące"</formula>
    </cfRule>
  </conditionalFormatting>
  <conditionalFormatting sqref="B65:C68">
    <cfRule type="cellIs" dxfId="4" priority="5" operator="equal">
      <formula>"ogółem"</formula>
    </cfRule>
  </conditionalFormatting>
  <conditionalFormatting sqref="A65:A68">
    <cfRule type="cellIs" dxfId="3" priority="4" operator="equal">
      <formula>"Wydatki bieżące"</formula>
    </cfRule>
  </conditionalFormatting>
  <conditionalFormatting sqref="B65:C68">
    <cfRule type="cellIs" dxfId="2" priority="2" operator="equal">
      <formula>"ogółem"</formula>
    </cfRule>
    <cfRule type="cellIs" dxfId="1" priority="3" operator="equal">
      <formula>"ogółem"</formula>
    </cfRule>
  </conditionalFormatting>
  <conditionalFormatting sqref="A65:A68">
    <cfRule type="cellIs" dxfId="0" priority="1" operator="equal">
      <formula>"Wydatki bieżące"</formula>
    </cfRule>
  </conditionalFormatting>
  <printOptions horizontalCentered="1"/>
  <pageMargins left="0.59055118110236227" right="0.35433070866141736" top="0.47244094488188981" bottom="0.6692913385826772" header="0.19685039370078741" footer="0.19685039370078741"/>
  <pageSetup paperSize="9" scale="59" fitToHeight="0" orientation="landscape" r:id="rId7"/>
  <headerFooter alignWithMargins="0"/>
  <rowBreaks count="15" manualBreakCount="15">
    <brk id="133" max="15" man="1"/>
    <brk id="248" max="15" man="1"/>
    <brk id="306" max="15" man="1"/>
    <brk id="363" max="15" man="1"/>
    <brk id="421" max="15" man="1"/>
    <brk id="489" max="15" man="1"/>
    <brk id="760" max="15" man="1"/>
    <brk id="968" max="15" man="1"/>
    <brk id="1039" max="15" man="1"/>
    <brk id="1244" max="15" man="1"/>
    <brk id="1506" max="15" man="1"/>
    <brk id="1641" max="15" man="1"/>
    <brk id="1714" max="15" man="1"/>
    <brk id="1774" max="15" man="1"/>
    <brk id="185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2</vt:i4>
      </vt:variant>
    </vt:vector>
  </HeadingPairs>
  <TitlesOfParts>
    <vt:vector size="3" baseType="lpstr">
      <vt:lpstr>tabela nr 5</vt:lpstr>
      <vt:lpstr>'tabela nr 5'!Obszar_wydruku</vt:lpstr>
      <vt:lpstr>'tabela nr 5'!Tytuły_wydruku</vt:lpstr>
    </vt:vector>
  </TitlesOfParts>
  <Company>umk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Okołowicz</dc:creator>
  <cp:lastModifiedBy>Żulik Zbigniew</cp:lastModifiedBy>
  <cp:lastPrinted>2022-12-29T10:20:17Z</cp:lastPrinted>
  <dcterms:created xsi:type="dcterms:W3CDTF">2004-01-23T12:07:53Z</dcterms:created>
  <dcterms:modified xsi:type="dcterms:W3CDTF">2022-12-29T10:20:38Z</dcterms:modified>
</cp:coreProperties>
</file>