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D12F74F4-089F-4A62-8B02-52BA8D54CC59}" xr6:coauthVersionLast="36" xr6:coauthVersionMax="36" xr10:uidLastSave="{00000000-0000-0000-0000-000000000000}"/>
  <bookViews>
    <workbookView xWindow="32760" yWindow="32760" windowWidth="18705" windowHeight="12495" tabRatio="297" xr2:uid="{00000000-000D-0000-FFFF-FFFF00000000}"/>
  </bookViews>
  <sheets>
    <sheet name="zał. nr 11" sheetId="3" r:id="rId1"/>
  </sheets>
  <definedNames>
    <definedName name="_xlnm._FilterDatabase" localSheetId="0" hidden="1">'zał. nr 11'!$A$13:$D$639</definedName>
    <definedName name="_xlnm.Print_Area" localSheetId="0">'zał. nr 11'!$A$1:$D$639</definedName>
  </definedNames>
  <calcPr calcId="191029"/>
</workbook>
</file>

<file path=xl/calcChain.xml><?xml version="1.0" encoding="utf-8"?>
<calcChain xmlns="http://schemas.openxmlformats.org/spreadsheetml/2006/main">
  <c r="D617" i="3" l="1"/>
  <c r="D589" i="3"/>
  <c r="D559" i="3"/>
  <c r="D526" i="3"/>
  <c r="D493" i="3"/>
  <c r="D462" i="3"/>
  <c r="D424" i="3"/>
  <c r="D393" i="3"/>
  <c r="D364" i="3"/>
  <c r="D339" i="3"/>
  <c r="D305" i="3"/>
  <c r="D271" i="3"/>
  <c r="D237" i="3"/>
  <c r="D205" i="3"/>
  <c r="D177" i="3"/>
  <c r="D145" i="3"/>
  <c r="D108" i="3"/>
  <c r="D78" i="3"/>
  <c r="D30" i="3" l="1"/>
  <c r="D338" i="3"/>
  <c r="D329" i="3" l="1"/>
  <c r="D561" i="3"/>
  <c r="D495" i="3"/>
  <c r="D366" i="3"/>
  <c r="D307" i="3"/>
  <c r="D28" i="3" l="1"/>
  <c r="D20" i="3"/>
  <c r="D82" i="3"/>
  <c r="D27" i="3" l="1"/>
  <c r="D130" i="3"/>
  <c r="D164" i="3"/>
  <c r="D198" i="3"/>
  <c r="D224" i="3"/>
  <c r="D258" i="3"/>
  <c r="D348" i="3"/>
  <c r="D407" i="3"/>
  <c r="D478" i="3"/>
  <c r="D540" i="3"/>
  <c r="D545" i="3"/>
  <c r="D631" i="3"/>
  <c r="D312" i="3" l="1"/>
  <c r="D401" i="3"/>
  <c r="D353" i="3"/>
  <c r="D406" i="3"/>
  <c r="D621" i="3"/>
  <c r="D620" i="3" s="1"/>
  <c r="D428" i="3"/>
  <c r="D35" i="3" s="1"/>
  <c r="D309" i="3"/>
  <c r="D308" i="3" s="1"/>
  <c r="D519" i="3"/>
  <c r="D486" i="3"/>
  <c r="D418" i="3"/>
  <c r="D386" i="3"/>
  <c r="D371" i="3"/>
  <c r="D230" i="3"/>
  <c r="D170" i="3"/>
  <c r="D138" i="3"/>
  <c r="D101" i="3"/>
  <c r="D100" i="3" s="1"/>
  <c r="D71" i="3"/>
  <c r="D614" i="3"/>
  <c r="D612" i="3" s="1"/>
  <c r="D586" i="3"/>
  <c r="D556" i="3"/>
  <c r="D554" i="3" s="1"/>
  <c r="D523" i="3"/>
  <c r="D521" i="3" s="1"/>
  <c r="D490" i="3"/>
  <c r="D488" i="3" s="1"/>
  <c r="D459" i="3"/>
  <c r="D421" i="3"/>
  <c r="D390" i="3"/>
  <c r="D362" i="3"/>
  <c r="D361" i="3" s="1"/>
  <c r="D336" i="3"/>
  <c r="D301" i="3"/>
  <c r="D268" i="3"/>
  <c r="D234" i="3"/>
  <c r="D202" i="3"/>
  <c r="D174" i="3"/>
  <c r="D142" i="3"/>
  <c r="D105" i="3"/>
  <c r="D75" i="3"/>
  <c r="D186" i="3"/>
  <c r="D156" i="3"/>
  <c r="D155" i="3" s="1"/>
  <c r="D572" i="3"/>
  <c r="D26" i="3" l="1"/>
  <c r="D628" i="3"/>
  <c r="D619" i="3"/>
  <c r="D630" i="3"/>
  <c r="D595" i="3"/>
  <c r="D591" i="3"/>
  <c r="D597" i="3"/>
  <c r="D568" i="3"/>
  <c r="D570" i="3"/>
  <c r="D528" i="3"/>
  <c r="D537" i="3"/>
  <c r="D505" i="3"/>
  <c r="D464" i="3"/>
  <c r="D469" i="3"/>
  <c r="D436" i="3"/>
  <c r="D426" i="3"/>
  <c r="D438" i="3"/>
  <c r="D395" i="3"/>
  <c r="D402" i="3"/>
  <c r="D404" i="3"/>
  <c r="D314" i="3"/>
  <c r="D273" i="3"/>
  <c r="D282" i="3"/>
  <c r="D280" i="3"/>
  <c r="D239" i="3"/>
  <c r="D249" i="3"/>
  <c r="D213" i="3"/>
  <c r="D207" i="3"/>
  <c r="D215" i="3" l="1"/>
  <c r="D638" i="3"/>
  <c r="D636" i="3"/>
  <c r="D635" i="3"/>
  <c r="D634" i="3" s="1"/>
  <c r="D629" i="3"/>
  <c r="D627" i="3"/>
  <c r="D626" i="3" s="1"/>
  <c r="D623" i="3"/>
  <c r="D622" i="3" s="1"/>
  <c r="D618" i="3"/>
  <c r="D611" i="3"/>
  <c r="D610" i="3" s="1"/>
  <c r="D609" i="3"/>
  <c r="D608" i="3"/>
  <c r="D604" i="3"/>
  <c r="D603" i="3"/>
  <c r="D602" i="3"/>
  <c r="D599" i="3"/>
  <c r="D598" i="3" s="1"/>
  <c r="D596" i="3"/>
  <c r="D594" i="3"/>
  <c r="D592" i="3"/>
  <c r="D590" i="3"/>
  <c r="D584" i="3"/>
  <c r="D583" i="3"/>
  <c r="D582" i="3" s="1"/>
  <c r="D581" i="3"/>
  <c r="D580" i="3" s="1"/>
  <c r="D578" i="3"/>
  <c r="D577" i="3"/>
  <c r="D575" i="3"/>
  <c r="D573" i="3" s="1"/>
  <c r="D571" i="3"/>
  <c r="D569" i="3"/>
  <c r="D567" i="3"/>
  <c r="D565" i="3"/>
  <c r="D564" i="3" s="1"/>
  <c r="D563" i="3"/>
  <c r="D562" i="3" s="1"/>
  <c r="D560" i="3"/>
  <c r="D552" i="3"/>
  <c r="D551" i="3" s="1"/>
  <c r="D550" i="3"/>
  <c r="D549" i="3"/>
  <c r="D544" i="3"/>
  <c r="D543" i="3"/>
  <c r="D539" i="3"/>
  <c r="D538" i="3" s="1"/>
  <c r="D536" i="3"/>
  <c r="D535" i="3"/>
  <c r="D534" i="3" s="1"/>
  <c r="D533" i="3"/>
  <c r="D531" i="3" s="1"/>
  <c r="D530" i="3"/>
  <c r="D529" i="3" s="1"/>
  <c r="D527" i="3"/>
  <c r="D518" i="3"/>
  <c r="D517" i="3"/>
  <c r="D516" i="3" s="1"/>
  <c r="D514" i="3"/>
  <c r="D513" i="3"/>
  <c r="D511" i="3"/>
  <c r="D510" i="3"/>
  <c r="D506" i="3"/>
  <c r="D504" i="3"/>
  <c r="D503" i="3"/>
  <c r="D502" i="3"/>
  <c r="D498" i="3"/>
  <c r="D497" i="3"/>
  <c r="D496" i="3" s="1"/>
  <c r="D494" i="3"/>
  <c r="D487" i="3"/>
  <c r="D484" i="3"/>
  <c r="D483" i="3"/>
  <c r="D482" i="3"/>
  <c r="D477" i="3"/>
  <c r="D476" i="3"/>
  <c r="D475" i="3"/>
  <c r="D472" i="3"/>
  <c r="D471" i="3"/>
  <c r="D468" i="3"/>
  <c r="D466" i="3"/>
  <c r="D463" i="3"/>
  <c r="D457" i="3"/>
  <c r="D455" i="3"/>
  <c r="D454" i="3"/>
  <c r="D453" i="3"/>
  <c r="D450" i="3"/>
  <c r="D449" i="3"/>
  <c r="D447" i="3"/>
  <c r="D446" i="3"/>
  <c r="D443" i="3"/>
  <c r="D441" i="3" s="1"/>
  <c r="D440" i="3"/>
  <c r="D439" i="3" s="1"/>
  <c r="D437" i="3"/>
  <c r="D435" i="3"/>
  <c r="D434" i="3" s="1"/>
  <c r="D431" i="3"/>
  <c r="D430" i="3" s="1"/>
  <c r="D427" i="3"/>
  <c r="D425" i="3"/>
  <c r="D420" i="3"/>
  <c r="D417" i="3"/>
  <c r="D416" i="3"/>
  <c r="D415" i="3" s="1"/>
  <c r="D413" i="3"/>
  <c r="D412" i="3" s="1"/>
  <c r="D411" i="3"/>
  <c r="D410" i="3"/>
  <c r="D405" i="3"/>
  <c r="D403" i="3"/>
  <c r="D400" i="3"/>
  <c r="D397" i="3"/>
  <c r="D396" i="3" s="1"/>
  <c r="D394" i="3"/>
  <c r="D389" i="3"/>
  <c r="D388" i="3" s="1"/>
  <c r="D385" i="3"/>
  <c r="D384" i="3"/>
  <c r="D383" i="3" s="1"/>
  <c r="D381" i="3"/>
  <c r="D380" i="3"/>
  <c r="D378" i="3"/>
  <c r="D377" i="3"/>
  <c r="D375" i="3"/>
  <c r="D374" i="3"/>
  <c r="D370" i="3"/>
  <c r="D369" i="3" s="1"/>
  <c r="D367" i="3"/>
  <c r="D365" i="3"/>
  <c r="D359" i="3"/>
  <c r="D358" i="3"/>
  <c r="D357" i="3"/>
  <c r="D352" i="3"/>
  <c r="D351" i="3"/>
  <c r="D347" i="3"/>
  <c r="D346" i="3" s="1"/>
  <c r="D345" i="3"/>
  <c r="D344" i="3" s="1"/>
  <c r="D342" i="3"/>
  <c r="D341" i="3"/>
  <c r="D340" i="3" s="1"/>
  <c r="D334" i="3"/>
  <c r="D332" i="3"/>
  <c r="D331" i="3"/>
  <c r="D330" i="3" s="1"/>
  <c r="D328" i="3"/>
  <c r="D327" i="3"/>
  <c r="D325" i="3"/>
  <c r="D324" i="3"/>
  <c r="D323" i="3"/>
  <c r="D321" i="3"/>
  <c r="D320" i="3"/>
  <c r="D318" i="3"/>
  <c r="D51" i="3" s="1"/>
  <c r="D316" i="3"/>
  <c r="D315" i="3" s="1"/>
  <c r="D313" i="3"/>
  <c r="D311" i="3"/>
  <c r="D306" i="3"/>
  <c r="D299" i="3"/>
  <c r="D298" i="3"/>
  <c r="D297" i="3" s="1"/>
  <c r="D296" i="3"/>
  <c r="D295" i="3" s="1"/>
  <c r="D292" i="3"/>
  <c r="D290" i="3"/>
  <c r="D288" i="3"/>
  <c r="D57" i="3" s="1"/>
  <c r="D287" i="3"/>
  <c r="D284" i="3"/>
  <c r="D283" i="3" s="1"/>
  <c r="D281" i="3"/>
  <c r="D279" i="3"/>
  <c r="D278" i="3" s="1"/>
  <c r="D275" i="3"/>
  <c r="D274" i="3" s="1"/>
  <c r="D272" i="3"/>
  <c r="D267" i="3"/>
  <c r="D266" i="3" s="1"/>
  <c r="D265" i="3"/>
  <c r="D264" i="3"/>
  <c r="D22" i="3" s="1"/>
  <c r="D262" i="3"/>
  <c r="D261" i="3" s="1"/>
  <c r="D257" i="3"/>
  <c r="D256" i="3"/>
  <c r="D255" i="3"/>
  <c r="D252" i="3"/>
  <c r="D250" i="3" s="1"/>
  <c r="D248" i="3"/>
  <c r="D247" i="3"/>
  <c r="D246" i="3" s="1"/>
  <c r="D242" i="3"/>
  <c r="D241" i="3"/>
  <c r="D238" i="3"/>
  <c r="D233" i="3"/>
  <c r="D232" i="3" s="1"/>
  <c r="D229" i="3"/>
  <c r="D228" i="3"/>
  <c r="D227" i="3" s="1"/>
  <c r="D223" i="3"/>
  <c r="D222" i="3"/>
  <c r="D221" i="3"/>
  <c r="D218" i="3"/>
  <c r="D216" i="3" s="1"/>
  <c r="D214" i="3"/>
  <c r="D212" i="3"/>
  <c r="D211" i="3" s="1"/>
  <c r="D210" i="3"/>
  <c r="D209" i="3"/>
  <c r="D41" i="3" s="1"/>
  <c r="D206" i="3"/>
  <c r="D201" i="3"/>
  <c r="D200" i="3" s="1"/>
  <c r="D197" i="3"/>
  <c r="D196" i="3" s="1"/>
  <c r="D193" i="3"/>
  <c r="D192" i="3"/>
  <c r="D191" i="3"/>
  <c r="D188" i="3"/>
  <c r="D185" i="3"/>
  <c r="D184" i="3"/>
  <c r="D183" i="3" s="1"/>
  <c r="D182" i="3"/>
  <c r="D180" i="3" s="1"/>
  <c r="D179" i="3"/>
  <c r="D178" i="3" s="1"/>
  <c r="D173" i="3"/>
  <c r="D172" i="3" s="1"/>
  <c r="D171" i="3"/>
  <c r="D169" i="3" s="1"/>
  <c r="D168" i="3"/>
  <c r="D163" i="3"/>
  <c r="D162" i="3"/>
  <c r="D161" i="3"/>
  <c r="D158" i="3"/>
  <c r="D154" i="3"/>
  <c r="D153" i="3" s="1"/>
  <c r="D152" i="3"/>
  <c r="D151" i="3" s="1"/>
  <c r="D150" i="3"/>
  <c r="D147" i="3"/>
  <c r="D146" i="3" s="1"/>
  <c r="D141" i="3"/>
  <c r="D140" i="3" s="1"/>
  <c r="D139" i="3"/>
  <c r="D137" i="3" s="1"/>
  <c r="D135" i="3"/>
  <c r="D133" i="3"/>
  <c r="D129" i="3"/>
  <c r="D128" i="3"/>
  <c r="D127" i="3"/>
  <c r="D125" i="3"/>
  <c r="D122" i="3"/>
  <c r="D120" i="3"/>
  <c r="D119" i="3" s="1"/>
  <c r="D118" i="3"/>
  <c r="D117" i="3"/>
  <c r="D115" i="3"/>
  <c r="D113" i="3" s="1"/>
  <c r="D112" i="3"/>
  <c r="D110" i="3"/>
  <c r="D109" i="3" s="1"/>
  <c r="D104" i="3"/>
  <c r="D103" i="3" s="1"/>
  <c r="D98" i="3"/>
  <c r="D96" i="3"/>
  <c r="D94" i="3"/>
  <c r="D93" i="3"/>
  <c r="D92" i="3"/>
  <c r="D89" i="3"/>
  <c r="D88" i="3"/>
  <c r="D86" i="3"/>
  <c r="D84" i="3"/>
  <c r="D83" i="3"/>
  <c r="D80" i="3"/>
  <c r="D74" i="3"/>
  <c r="D72" i="3"/>
  <c r="D68" i="3"/>
  <c r="D66" i="3"/>
  <c r="D34" i="3"/>
  <c r="D19" i="3"/>
  <c r="D548" i="3" l="1"/>
  <c r="D601" i="3"/>
  <c r="D588" i="3" s="1"/>
  <c r="D59" i="3"/>
  <c r="D160" i="3"/>
  <c r="D62" i="3"/>
  <c r="D148" i="3"/>
  <c r="D144" i="3" s="1"/>
  <c r="D42" i="3"/>
  <c r="D70" i="3"/>
  <c r="D23" i="3"/>
  <c r="D21" i="3" s="1"/>
  <c r="D91" i="3"/>
  <c r="D56" i="3"/>
  <c r="D49" i="3"/>
  <c r="D187" i="3"/>
  <c r="D52" i="3"/>
  <c r="D25" i="3"/>
  <c r="D24" i="3" s="1"/>
  <c r="D73" i="3"/>
  <c r="D85" i="3"/>
  <c r="D45" i="3"/>
  <c r="D58" i="3"/>
  <c r="D44" i="3"/>
  <c r="D123" i="3"/>
  <c r="D54" i="3"/>
  <c r="D157" i="3"/>
  <c r="D53" i="3"/>
  <c r="D167" i="3"/>
  <c r="D17" i="3"/>
  <c r="D79" i="3"/>
  <c r="D32" i="3"/>
  <c r="D31" i="3" s="1"/>
  <c r="D87" i="3"/>
  <c r="D47" i="3"/>
  <c r="D46" i="3" s="1"/>
  <c r="D465" i="3"/>
  <c r="D39" i="3"/>
  <c r="D81" i="3"/>
  <c r="D40" i="3"/>
  <c r="D36" i="3"/>
  <c r="D291" i="3"/>
  <c r="D61" i="3"/>
  <c r="D18" i="3"/>
  <c r="D121" i="3"/>
  <c r="D48" i="3"/>
  <c r="D111" i="3"/>
  <c r="D37" i="3"/>
  <c r="D240" i="3"/>
  <c r="D474" i="3"/>
  <c r="D16" i="3"/>
  <c r="D116" i="3"/>
  <c r="D286" i="3"/>
  <c r="D372" i="3"/>
  <c r="D322" i="3"/>
  <c r="D350" i="3"/>
  <c r="D445" i="3"/>
  <c r="D470" i="3"/>
  <c r="D508" i="3"/>
  <c r="D576" i="3"/>
  <c r="D126" i="3"/>
  <c r="D326" i="3"/>
  <c r="D356" i="3"/>
  <c r="D448" i="3"/>
  <c r="D208" i="3"/>
  <c r="D317" i="3"/>
  <c r="D190" i="3"/>
  <c r="D409" i="3"/>
  <c r="D392" i="3" s="1"/>
  <c r="D607" i="3"/>
  <c r="D616" i="3" s="1"/>
  <c r="D254" i="3"/>
  <c r="D501" i="3"/>
  <c r="D452" i="3"/>
  <c r="D220" i="3"/>
  <c r="D263" i="3"/>
  <c r="D376" i="3"/>
  <c r="D481" i="3"/>
  <c r="D512" i="3"/>
  <c r="D542" i="3"/>
  <c r="D525" i="3" s="1"/>
  <c r="D379" i="3"/>
  <c r="D485" i="3"/>
  <c r="D606" i="3" l="1"/>
  <c r="D579" i="3"/>
  <c r="D515" i="3"/>
  <c r="D382" i="3"/>
  <c r="D132" i="3"/>
  <c r="D107" i="3"/>
  <c r="D43" i="3"/>
  <c r="D55" i="3"/>
  <c r="D33" i="3"/>
  <c r="D60" i="3"/>
  <c r="D50" i="3"/>
  <c r="D38" i="3"/>
  <c r="D176" i="3"/>
  <c r="D15" i="3"/>
  <c r="D304" i="3"/>
  <c r="D236" i="3"/>
  <c r="D204" i="3"/>
  <c r="D270" i="3"/>
  <c r="D461" i="3"/>
  <c r="D423" i="3"/>
  <c r="D558" i="3"/>
  <c r="D363" i="3"/>
  <c r="D492" i="3"/>
  <c r="D547" i="3" l="1"/>
  <c r="D480" i="3"/>
  <c r="D451" i="3"/>
  <c r="D414" i="3"/>
  <c r="D355" i="3"/>
  <c r="D294" i="3"/>
  <c r="D260" i="3"/>
  <c r="D226" i="3"/>
  <c r="D195" i="3"/>
  <c r="D166" i="3"/>
  <c r="D95" i="3"/>
  <c r="D29" i="3"/>
  <c r="D77" i="3"/>
  <c r="D65" i="3" l="1"/>
  <c r="D63" i="3"/>
</calcChain>
</file>

<file path=xl/sharedStrings.xml><?xml version="1.0" encoding="utf-8"?>
<sst xmlns="http://schemas.openxmlformats.org/spreadsheetml/2006/main" count="637" uniqueCount="76">
  <si>
    <t xml:space="preserve">Dział </t>
  </si>
  <si>
    <t>Rozdział</t>
  </si>
  <si>
    <t>Wyszczególnienie</t>
  </si>
  <si>
    <t>Transport i łączność</t>
  </si>
  <si>
    <t>Drogi publiczne gminne</t>
  </si>
  <si>
    <t>Pozostała działalność</t>
  </si>
  <si>
    <t>Ogółem</t>
  </si>
  <si>
    <t>DZIELNICA I STARE MIASTO</t>
  </si>
  <si>
    <t>DZIELNICA II GRZEGÓRZKI</t>
  </si>
  <si>
    <t>DZIELNICA III PRĄDNIK CZERWONY</t>
  </si>
  <si>
    <t>DZIELNICA IV PRĄDNIK BIAŁY</t>
  </si>
  <si>
    <t>DZIELNICA V KROWODRZA</t>
  </si>
  <si>
    <t>DZIELNICA VI BRONOWICE</t>
  </si>
  <si>
    <t>DZIELNICA VII ZWIERZYNIEC</t>
  </si>
  <si>
    <t>DZIELNICA VIII DĘBNIKI</t>
  </si>
  <si>
    <t>DZIELNICA IX ŁAGIEWNIKI-BOREK FAŁĘCKI</t>
  </si>
  <si>
    <t>DZIELNICA X SWOSZOWICE</t>
  </si>
  <si>
    <t>DZIELNICA XI PODGÓRZE DUCHACKIE</t>
  </si>
  <si>
    <t>DZIELNICA XII BIEŻANÓW-PROKOCIM</t>
  </si>
  <si>
    <t>DZIELNICA XIII PODGÓRZE</t>
  </si>
  <si>
    <t>DZIELNICA XIV CZYŻYNY</t>
  </si>
  <si>
    <t>DZIELNICA XV MISTRZEJOWICE</t>
  </si>
  <si>
    <t>DZIELNICA XVI BIEŃCZYCE</t>
  </si>
  <si>
    <t>DZIELNICA XVII WZGÓRZA KRZESŁAWICKIE</t>
  </si>
  <si>
    <t>DZIELNICA XVIII NOWA HUTA</t>
  </si>
  <si>
    <t>Różne rozliczenia</t>
  </si>
  <si>
    <t>Rezerwy ogólne i celowe</t>
  </si>
  <si>
    <t>Oświata i wychowanie</t>
  </si>
  <si>
    <t>Gospodarka komunalna i ochrona środowiska</t>
  </si>
  <si>
    <t>Oświetlenie ulic, placów i dróg</t>
  </si>
  <si>
    <t xml:space="preserve">Kultura fizyczna </t>
  </si>
  <si>
    <t>Obiekty sportowe</t>
  </si>
  <si>
    <t xml:space="preserve">   Zadania w zakresie kultury fizycznej</t>
  </si>
  <si>
    <t>Utrzymanie zieleni w miastach i gminach</t>
  </si>
  <si>
    <t>Pozostałe zadania w zakresie polityki społecznej</t>
  </si>
  <si>
    <t>w zł</t>
  </si>
  <si>
    <t>ZBIORCZO</t>
  </si>
  <si>
    <t>w tym:</t>
  </si>
  <si>
    <t>Edukacyjna opieka wychowawcza</t>
  </si>
  <si>
    <t>Bezpieczeństwo publiczne i ochrona przeciwpożarowa</t>
  </si>
  <si>
    <t>Komendy powiatowe Policji</t>
  </si>
  <si>
    <t>Straż gminna (miejska)</t>
  </si>
  <si>
    <t>Kultura i ochrona dziedzictwa narodowego</t>
  </si>
  <si>
    <t>Domy i ośrodki kultury, świetlice i kluby</t>
  </si>
  <si>
    <t>Biblioteki</t>
  </si>
  <si>
    <t>Muzea</t>
  </si>
  <si>
    <t>Ochrona zdrowia</t>
  </si>
  <si>
    <t>Zakłady opiekuńczo-lecznicze i pielęgnacyjno-opiekuńcze</t>
  </si>
  <si>
    <t>Programy polityki zdrowotnej</t>
  </si>
  <si>
    <t>Szpitale ogólne</t>
  </si>
  <si>
    <t>Administracja publiczna</t>
  </si>
  <si>
    <t>Rady gmin (miast i miast na prawach powiatu)</t>
  </si>
  <si>
    <t>Pomoc społeczna</t>
  </si>
  <si>
    <t>Domy pomocy społecznej</t>
  </si>
  <si>
    <t>Ośrodki wsparcia</t>
  </si>
  <si>
    <t>Komendy powiatowe Państwowej Straży Pożarnej</t>
  </si>
  <si>
    <t>Rehabilitacja zawodowa i społeczna osób niepełnosprawnych</t>
  </si>
  <si>
    <t>Działalność usługowa</t>
  </si>
  <si>
    <t>Cmentarze</t>
  </si>
  <si>
    <t>Rodzina</t>
  </si>
  <si>
    <t>Drogi wewnętrzne</t>
  </si>
  <si>
    <t>System opieki nad dziećmi w wieku do lat 3</t>
  </si>
  <si>
    <t>Zasiłki okresowe, celowe i pomoc w naturze oraz składki na ubezpieczenia emerytalne i rentowe</t>
  </si>
  <si>
    <t>Centra kultury i sztuki</t>
  </si>
  <si>
    <t>Drogi publiczne w miastach na prawach powiatu</t>
  </si>
  <si>
    <t>Ochotnicze straże pożarne</t>
  </si>
  <si>
    <t>Załącznik Nr 11</t>
  </si>
  <si>
    <t xml:space="preserve"> </t>
  </si>
  <si>
    <t>Rady Miasta Krakowa</t>
  </si>
  <si>
    <t>Plan wydatków na rok 2023</t>
  </si>
  <si>
    <t xml:space="preserve"> ŚRODKI WYDZIELONE DO DYSPOZYCJI DZIELNIC NA ROK 2023</t>
  </si>
  <si>
    <t xml:space="preserve">Gospodarka ściekowa i ochrona wód </t>
  </si>
  <si>
    <t xml:space="preserve">Drogi publiczne w miastach na prawach powiatu </t>
  </si>
  <si>
    <t xml:space="preserve">Ochotnicze straże pożarne 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</si>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</sst>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###,###,###"/>
    <numFmt numFmtId="165" formatCode="_-* #,##0\ _z_ł_-;\-* #,##0\ _z_ł_-;_-* &quot;-&quot;??\ _z_ł_-;_-@_-"/>
    <numFmt numFmtId="166" formatCode="_-* #,##0.000\ _z_ł_-;\-* #,##0.000\ _z_ł_-;_-* &quot;-&quot;??\ _z_ł_-;_-@_-"/>
  </numFmts>
  <fonts count="23" x14ac:knownFonts="1">
    <font>
      <sz val="10"/>
      <name val="Arial CE"/>
      <charset val="238"/>
    </font>
    <font>
      <sz val="10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i/>
      <sz val="8"/>
      <name val="Arial CE"/>
      <charset val="238"/>
    </font>
    <font>
      <b/>
      <i/>
      <sz val="8"/>
      <name val="Arial CE"/>
      <charset val="238"/>
    </font>
    <font>
      <sz val="9"/>
      <name val="Arial CE"/>
      <family val="2"/>
      <charset val="238"/>
    </font>
    <font>
      <i/>
      <sz val="9"/>
      <name val="Arial CE"/>
      <family val="2"/>
      <charset val="238"/>
    </font>
    <font>
      <b/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9"/>
      <name val="Arial"/>
      <family val="2"/>
      <charset val="238"/>
    </font>
    <font>
      <b/>
      <sz val="10"/>
      <name val="Arial CE"/>
      <charset val="238"/>
    </font>
    <font>
      <b/>
      <sz val="8"/>
      <name val="Arial CE"/>
      <charset val="238"/>
    </font>
    <font>
      <sz val="10"/>
      <name val="Arial CE"/>
      <charset val="238"/>
    </font>
    <font>
      <sz val="10"/>
      <color rgb="FFFF0000"/>
      <name val="Arial CE"/>
      <family val="2"/>
      <charset val="238"/>
    </font>
    <font>
      <b/>
      <sz val="10"/>
      <color rgb="FFFF0000"/>
      <name val="Arial CE"/>
      <family val="2"/>
      <charset val="238"/>
    </font>
    <font>
      <b/>
      <sz val="10"/>
      <name val="Arial CE"/>
      <family val="2"/>
      <charset val="238"/>
    </font>
    <font>
      <i/>
      <sz val="9"/>
      <name val="Arial CE"/>
      <charset val="238"/>
    </font>
    <font>
      <sz val="8"/>
      <color rgb="FFFF0000"/>
      <name val="Arial CE"/>
      <charset val="238"/>
    </font>
    <font>
      <i/>
      <sz val="8"/>
      <color rgb="FFFF000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3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indent="1"/>
    </xf>
    <xf numFmtId="0" fontId="1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 indent="1"/>
    </xf>
    <xf numFmtId="0" fontId="12" fillId="0" borderId="7" xfId="0" applyFont="1" applyFill="1" applyBorder="1" applyAlignment="1">
      <alignment horizontal="left" vertical="center" wrapText="1" indent="1"/>
    </xf>
    <xf numFmtId="0" fontId="10" fillId="0" borderId="7" xfId="0" applyFont="1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 indent="1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 indent="1"/>
    </xf>
    <xf numFmtId="0" fontId="10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wrapText="1" indent="1"/>
    </xf>
    <xf numFmtId="1" fontId="10" fillId="0" borderId="6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indent="1"/>
    </xf>
    <xf numFmtId="0" fontId="10" fillId="0" borderId="1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1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indent="1"/>
    </xf>
    <xf numFmtId="0" fontId="8" fillId="0" borderId="9" xfId="0" applyFont="1" applyFill="1" applyBorder="1" applyAlignment="1">
      <alignment horizontal="left" vertical="center" wrapText="1" indent="1"/>
    </xf>
    <xf numFmtId="0" fontId="12" fillId="0" borderId="6" xfId="0" applyFont="1" applyFill="1" applyBorder="1" applyAlignment="1">
      <alignment horizontal="left" vertical="center" indent="1"/>
    </xf>
    <xf numFmtId="0" fontId="12" fillId="0" borderId="6" xfId="0" applyFont="1" applyFill="1" applyBorder="1" applyAlignment="1">
      <alignment horizontal="left" vertical="center" wrapText="1" indent="1"/>
    </xf>
    <xf numFmtId="0" fontId="8" fillId="0" borderId="4" xfId="0" applyFont="1" applyFill="1" applyBorder="1" applyAlignment="1">
      <alignment horizontal="left" vertical="center" wrapText="1" indent="1"/>
    </xf>
    <xf numFmtId="1" fontId="10" fillId="0" borderId="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 indent="1"/>
    </xf>
    <xf numFmtId="0" fontId="8" fillId="0" borderId="4" xfId="0" applyFont="1" applyFill="1" applyBorder="1" applyAlignment="1">
      <alignment horizontal="left" vertical="center" indent="1"/>
    </xf>
    <xf numFmtId="0" fontId="13" fillId="0" borderId="12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vertical="center" wrapText="1" indent="1"/>
    </xf>
    <xf numFmtId="0" fontId="13" fillId="0" borderId="14" xfId="0" applyFont="1" applyFill="1" applyBorder="1" applyAlignment="1">
      <alignment horizontal="left" vertical="center" indent="1"/>
    </xf>
    <xf numFmtId="0" fontId="13" fillId="0" borderId="6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left" vertical="center" indent="1"/>
    </xf>
    <xf numFmtId="0" fontId="12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43" fontId="1" fillId="0" borderId="0" xfId="1" applyFont="1" applyFill="1" applyBorder="1"/>
    <xf numFmtId="43" fontId="2" fillId="0" borderId="0" xfId="1" applyFont="1" applyFill="1" applyBorder="1"/>
    <xf numFmtId="43" fontId="3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vertical="center"/>
    </xf>
    <xf numFmtId="43" fontId="2" fillId="0" borderId="0" xfId="1" applyFont="1" applyFill="1" applyBorder="1" applyAlignment="1"/>
    <xf numFmtId="43" fontId="4" fillId="0" borderId="0" xfId="1" applyFont="1" applyFill="1" applyBorder="1" applyAlignment="1">
      <alignment vertical="center"/>
    </xf>
    <xf numFmtId="43" fontId="4" fillId="0" borderId="0" xfId="1" applyFont="1" applyFill="1" applyBorder="1" applyAlignment="1"/>
    <xf numFmtId="43" fontId="5" fillId="0" borderId="0" xfId="1" applyFont="1" applyFill="1" applyBorder="1" applyAlignment="1">
      <alignment vertical="center"/>
    </xf>
    <xf numFmtId="43" fontId="2" fillId="0" borderId="0" xfId="0" applyNumberFormat="1" applyFont="1" applyFill="1" applyBorder="1" applyAlignment="1"/>
    <xf numFmtId="165" fontId="17" fillId="0" borderId="0" xfId="1" applyNumberFormat="1" applyFont="1" applyFill="1" applyBorder="1"/>
    <xf numFmtId="4" fontId="2" fillId="0" borderId="0" xfId="0" applyNumberFormat="1" applyFont="1" applyFill="1" applyBorder="1" applyAlignment="1">
      <alignment vertical="center"/>
    </xf>
    <xf numFmtId="166" fontId="1" fillId="0" borderId="0" xfId="1" applyNumberFormat="1" applyFont="1" applyFill="1" applyBorder="1"/>
    <xf numFmtId="165" fontId="17" fillId="0" borderId="0" xfId="1" applyNumberFormat="1" applyFont="1" applyFill="1" applyBorder="1" applyAlignment="1"/>
    <xf numFmtId="43" fontId="7" fillId="0" borderId="0" xfId="1" applyFont="1" applyFill="1" applyBorder="1" applyAlignment="1">
      <alignment horizontal="center" vertical="center"/>
    </xf>
    <xf numFmtId="43" fontId="15" fillId="0" borderId="0" xfId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vertical="center"/>
    </xf>
    <xf numFmtId="165" fontId="1" fillId="0" borderId="0" xfId="1" applyNumberFormat="1" applyFont="1" applyFill="1" applyBorder="1"/>
    <xf numFmtId="4" fontId="0" fillId="0" borderId="0" xfId="0" applyNumberFormat="1" applyFont="1" applyFill="1"/>
    <xf numFmtId="3" fontId="6" fillId="0" borderId="3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center" wrapText="1" indent="1"/>
    </xf>
    <xf numFmtId="0" fontId="12" fillId="0" borderId="2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left" vertical="center" wrapText="1" indent="1"/>
    </xf>
    <xf numFmtId="0" fontId="8" fillId="0" borderId="7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3" fontId="12" fillId="0" borderId="2" xfId="0" applyNumberFormat="1" applyFont="1" applyFill="1" applyBorder="1" applyAlignment="1">
      <alignment horizontal="right" vertical="center"/>
    </xf>
    <xf numFmtId="3" fontId="11" fillId="0" borderId="4" xfId="0" applyNumberFormat="1" applyFont="1" applyFill="1" applyBorder="1" applyAlignment="1">
      <alignment horizontal="right" vertical="center"/>
    </xf>
    <xf numFmtId="3" fontId="12" fillId="0" borderId="6" xfId="0" applyNumberFormat="1" applyFont="1" applyFill="1" applyBorder="1" applyAlignment="1">
      <alignment horizontal="right" vertical="center"/>
    </xf>
    <xf numFmtId="3" fontId="12" fillId="0" borderId="6" xfId="0" applyNumberFormat="1" applyFont="1" applyFill="1" applyBorder="1" applyAlignment="1">
      <alignment vertical="center"/>
    </xf>
    <xf numFmtId="3" fontId="11" fillId="0" borderId="8" xfId="0" applyNumberFormat="1" applyFont="1" applyFill="1" applyBorder="1" applyAlignment="1">
      <alignment vertical="center"/>
    </xf>
    <xf numFmtId="3" fontId="11" fillId="0" borderId="4" xfId="0" applyNumberFormat="1" applyFont="1" applyFill="1" applyBorder="1" applyAlignment="1">
      <alignment vertical="center"/>
    </xf>
    <xf numFmtId="3" fontId="11" fillId="0" borderId="6" xfId="0" applyNumberFormat="1" applyFont="1" applyFill="1" applyBorder="1" applyAlignment="1">
      <alignment horizontal="right" vertical="center"/>
    </xf>
    <xf numFmtId="3" fontId="11" fillId="0" borderId="8" xfId="0" applyNumberFormat="1" applyFont="1" applyFill="1" applyBorder="1" applyAlignment="1">
      <alignment horizontal="right" vertical="center"/>
    </xf>
    <xf numFmtId="3" fontId="12" fillId="0" borderId="7" xfId="0" applyNumberFormat="1" applyFont="1" applyFill="1" applyBorder="1" applyAlignment="1">
      <alignment horizontal="right" vertical="center"/>
    </xf>
    <xf numFmtId="3" fontId="12" fillId="0" borderId="3" xfId="0" applyNumberFormat="1" applyFont="1" applyFill="1" applyBorder="1" applyAlignment="1">
      <alignment horizontal="right" vertical="center"/>
    </xf>
    <xf numFmtId="3" fontId="11" fillId="0" borderId="9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vertical="center"/>
    </xf>
    <xf numFmtId="3" fontId="11" fillId="0" borderId="2" xfId="0" applyNumberFormat="1" applyFont="1" applyFill="1" applyBorder="1" applyAlignment="1">
      <alignment horizontal="right" vertical="center"/>
    </xf>
    <xf numFmtId="3" fontId="11" fillId="0" borderId="5" xfId="0" applyNumberFormat="1" applyFont="1" applyFill="1" applyBorder="1" applyAlignment="1">
      <alignment horizontal="right" vertical="center"/>
    </xf>
    <xf numFmtId="3" fontId="12" fillId="0" borderId="5" xfId="0" applyNumberFormat="1" applyFont="1" applyFill="1" applyBorder="1" applyAlignment="1">
      <alignment horizontal="right" vertical="center"/>
    </xf>
    <xf numFmtId="3" fontId="11" fillId="0" borderId="3" xfId="0" applyNumberFormat="1" applyFont="1" applyFill="1" applyBorder="1" applyAlignment="1">
      <alignment horizontal="right" vertical="center"/>
    </xf>
    <xf numFmtId="3" fontId="11" fillId="0" borderId="7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ont="1" applyFill="1" applyBorder="1"/>
    <xf numFmtId="0" fontId="1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5" fillId="0" borderId="1" xfId="0" applyNumberFormat="1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 wrapText="1" indent="1"/>
    </xf>
    <xf numFmtId="43" fontId="21" fillId="0" borderId="0" xfId="1" applyFont="1" applyFill="1" applyBorder="1" applyAlignment="1"/>
    <xf numFmtId="43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vertical="center"/>
    </xf>
    <xf numFmtId="43" fontId="22" fillId="0" borderId="0" xfId="1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E255-505F-4962-95CE-B65CF45A8B7D}">
  <sheetPr>
    <pageSetUpPr fitToPage="1"/>
  </sheetPr>
  <dimension ref="A1:J639"/>
  <sheetViews>
    <sheetView showGridLines="0" tabSelected="1" zoomScaleNormal="100" zoomScaleSheetLayoutView="106" workbookViewId="0">
      <selection activeCell="C10" sqref="C10:C12"/>
    </sheetView>
  </sheetViews>
  <sheetFormatPr defaultColWidth="9.140625" defaultRowHeight="12.75" x14ac:dyDescent="0.2"/>
  <cols>
    <col min="1" max="1" width="10.42578125" style="1" customWidth="1"/>
    <col min="2" max="2" width="10.140625" style="2" customWidth="1"/>
    <col min="3" max="3" width="54.28515625" style="2" customWidth="1"/>
    <col min="4" max="4" width="23.85546875" style="89" customWidth="1"/>
    <col min="5" max="5" width="22.140625" style="71" customWidth="1"/>
    <col min="6" max="6" width="13" style="80" customWidth="1"/>
    <col min="7" max="7" width="11.7109375" style="3" customWidth="1"/>
    <col min="8" max="8" width="13.28515625" style="3" customWidth="1"/>
    <col min="9" max="9" width="11.85546875" style="71" customWidth="1"/>
    <col min="10" max="10" width="10.28515625" style="3" customWidth="1"/>
    <col min="11" max="16384" width="9.140625" style="3"/>
  </cols>
  <sheetData>
    <row r="1" spans="1:9" ht="9.75" customHeight="1" x14ac:dyDescent="0.2">
      <c r="A1" s="125"/>
      <c r="B1" s="126"/>
      <c r="C1" s="126"/>
      <c r="D1" s="127"/>
    </row>
    <row r="2" spans="1:9" x14ac:dyDescent="0.2">
      <c r="A2" s="125" t="s">
        <v>67</v>
      </c>
      <c r="B2" s="126"/>
      <c r="C2" s="126"/>
      <c r="D2" s="128" t="s">
        <v>66</v>
      </c>
    </row>
    <row r="3" spans="1:9" x14ac:dyDescent="0.2">
      <c r="A3" s="125"/>
      <c r="B3" s="126"/>
      <c r="C3" s="126"/>
      <c r="D3" s="129" t="s">
        <v>74</v>
      </c>
    </row>
    <row r="4" spans="1:9" ht="15.6" customHeight="1" x14ac:dyDescent="0.2">
      <c r="A4" s="125"/>
      <c r="B4" s="126"/>
      <c r="C4" s="126"/>
      <c r="D4" s="129" t="s">
        <v>68</v>
      </c>
    </row>
    <row r="5" spans="1:9" ht="15.6" customHeight="1" x14ac:dyDescent="0.2">
      <c r="A5" s="125"/>
      <c r="B5" s="126"/>
      <c r="C5" s="126"/>
      <c r="D5" s="129" t="s">
        <v>75</v>
      </c>
    </row>
    <row r="6" spans="1:9" ht="15.6" customHeight="1" x14ac:dyDescent="0.2">
      <c r="A6" s="125"/>
      <c r="B6" s="126"/>
      <c r="C6" s="126"/>
      <c r="D6" s="127"/>
    </row>
    <row r="7" spans="1:9" x14ac:dyDescent="0.2">
      <c r="A7" s="125"/>
      <c r="B7" s="126"/>
      <c r="C7" s="126"/>
      <c r="D7" s="127"/>
      <c r="E7" s="82"/>
    </row>
    <row r="8" spans="1:9" x14ac:dyDescent="0.2">
      <c r="A8" s="141" t="s">
        <v>70</v>
      </c>
      <c r="B8" s="141"/>
      <c r="C8" s="141"/>
      <c r="D8" s="141"/>
    </row>
    <row r="9" spans="1:9" ht="18.75" customHeight="1" x14ac:dyDescent="0.2">
      <c r="A9" s="130"/>
      <c r="B9" s="131"/>
      <c r="C9" s="131"/>
      <c r="D9" s="132" t="s">
        <v>35</v>
      </c>
      <c r="I9" s="88"/>
    </row>
    <row r="10" spans="1:9" s="4" customFormat="1" ht="21" customHeight="1" x14ac:dyDescent="0.2">
      <c r="A10" s="142" t="s">
        <v>0</v>
      </c>
      <c r="B10" s="142" t="s">
        <v>1</v>
      </c>
      <c r="C10" s="145" t="s">
        <v>2</v>
      </c>
      <c r="D10" s="145" t="s">
        <v>69</v>
      </c>
      <c r="E10" s="72"/>
      <c r="F10" s="80"/>
      <c r="I10" s="72"/>
    </row>
    <row r="11" spans="1:9" s="95" customFormat="1" ht="40.15" customHeight="1" x14ac:dyDescent="0.2">
      <c r="A11" s="143"/>
      <c r="B11" s="143"/>
      <c r="C11" s="146"/>
      <c r="D11" s="146"/>
      <c r="F11" s="139"/>
      <c r="G11" s="140"/>
      <c r="I11" s="86"/>
    </row>
    <row r="12" spans="1:9" s="95" customFormat="1" ht="12" customHeight="1" x14ac:dyDescent="0.2">
      <c r="A12" s="144"/>
      <c r="B12" s="144"/>
      <c r="C12" s="147"/>
      <c r="D12" s="147"/>
      <c r="E12" s="73"/>
      <c r="F12" s="139"/>
      <c r="G12" s="140"/>
      <c r="I12" s="73"/>
    </row>
    <row r="13" spans="1:9" s="5" customFormat="1" ht="12" customHeight="1" x14ac:dyDescent="0.2">
      <c r="A13" s="66">
        <v>1</v>
      </c>
      <c r="B13" s="67">
        <v>2</v>
      </c>
      <c r="C13" s="66">
        <v>3</v>
      </c>
      <c r="D13" s="90">
        <v>4</v>
      </c>
      <c r="E13" s="74"/>
      <c r="F13" s="139"/>
      <c r="G13" s="140"/>
      <c r="I13" s="87"/>
    </row>
    <row r="14" spans="1:9" s="5" customFormat="1" ht="24.95" customHeight="1" x14ac:dyDescent="0.2">
      <c r="A14" s="66"/>
      <c r="B14" s="67"/>
      <c r="C14" s="68" t="s">
        <v>36</v>
      </c>
      <c r="D14" s="91"/>
      <c r="E14" s="73"/>
      <c r="F14" s="139"/>
      <c r="G14" s="140"/>
      <c r="I14" s="74"/>
    </row>
    <row r="15" spans="1:9" s="7" customFormat="1" ht="16.5" customHeight="1" x14ac:dyDescent="0.2">
      <c r="A15" s="11">
        <v>600</v>
      </c>
      <c r="B15" s="12"/>
      <c r="C15" s="13" t="s">
        <v>3</v>
      </c>
      <c r="D15" s="107">
        <f>D17+D18+D16</f>
        <v>17075922</v>
      </c>
      <c r="E15" s="74"/>
      <c r="F15" s="83"/>
      <c r="G15" s="79"/>
      <c r="I15" s="75"/>
    </row>
    <row r="16" spans="1:9" s="7" customFormat="1" ht="16.5" customHeight="1" x14ac:dyDescent="0.2">
      <c r="A16" s="22"/>
      <c r="B16" s="58">
        <v>60015</v>
      </c>
      <c r="C16" s="59" t="s">
        <v>64</v>
      </c>
      <c r="D16" s="108">
        <f>D357+D482</f>
        <v>122000</v>
      </c>
      <c r="E16" s="74"/>
      <c r="F16" s="83"/>
      <c r="G16" s="79"/>
      <c r="I16" s="75"/>
    </row>
    <row r="17" spans="1:9" s="5" customFormat="1" ht="16.5" customHeight="1" x14ac:dyDescent="0.2">
      <c r="A17" s="14"/>
      <c r="B17" s="15">
        <v>60016</v>
      </c>
      <c r="C17" s="16" t="s">
        <v>4</v>
      </c>
      <c r="D17" s="108">
        <f>D67+D97+D134+D168+D197+D228+D262+D296+D331+D358+D384+D416+D453+D483+D517+D549+D581+D608</f>
        <v>16060410</v>
      </c>
      <c r="E17" s="74"/>
      <c r="F17" s="83"/>
      <c r="G17" s="79"/>
      <c r="I17" s="74"/>
    </row>
    <row r="18" spans="1:9" s="5" customFormat="1" ht="16.5" customHeight="1" x14ac:dyDescent="0.2">
      <c r="A18" s="14"/>
      <c r="B18" s="15">
        <v>60017</v>
      </c>
      <c r="C18" s="16" t="s">
        <v>60</v>
      </c>
      <c r="D18" s="108">
        <f>D484+D609+D454+D550</f>
        <v>893512</v>
      </c>
      <c r="E18" s="74"/>
      <c r="F18" s="83"/>
      <c r="G18" s="79"/>
      <c r="I18" s="74"/>
    </row>
    <row r="19" spans="1:9" s="5" customFormat="1" ht="16.5" customHeight="1" x14ac:dyDescent="0.2">
      <c r="A19" s="17">
        <v>710</v>
      </c>
      <c r="B19" s="18"/>
      <c r="C19" s="19" t="s">
        <v>57</v>
      </c>
      <c r="D19" s="109">
        <f>D20</f>
        <v>18000</v>
      </c>
      <c r="E19" s="74"/>
      <c r="F19" s="83"/>
      <c r="G19" s="79"/>
      <c r="I19" s="74"/>
    </row>
    <row r="20" spans="1:9" s="5" customFormat="1" ht="16.5" customHeight="1" x14ac:dyDescent="0.2">
      <c r="A20" s="14"/>
      <c r="B20" s="15">
        <v>71035</v>
      </c>
      <c r="C20" s="16" t="s">
        <v>58</v>
      </c>
      <c r="D20" s="108">
        <f>D69+D99+D136</f>
        <v>18000</v>
      </c>
      <c r="E20" s="74"/>
      <c r="F20" s="83"/>
      <c r="G20" s="79"/>
      <c r="I20" s="74"/>
    </row>
    <row r="21" spans="1:9" s="5" customFormat="1" ht="16.5" customHeight="1" x14ac:dyDescent="0.2">
      <c r="A21" s="17">
        <v>750</v>
      </c>
      <c r="B21" s="18"/>
      <c r="C21" s="19" t="s">
        <v>50</v>
      </c>
      <c r="D21" s="109">
        <f>D22+D23</f>
        <v>1132643</v>
      </c>
      <c r="E21" s="74"/>
      <c r="F21" s="83"/>
      <c r="G21" s="79"/>
      <c r="I21" s="74"/>
    </row>
    <row r="22" spans="1:9" s="5" customFormat="1" ht="16.5" customHeight="1" x14ac:dyDescent="0.2">
      <c r="A22" s="14"/>
      <c r="B22" s="15">
        <v>75022</v>
      </c>
      <c r="C22" s="16" t="s">
        <v>51</v>
      </c>
      <c r="D22" s="108">
        <f>D71+D101+D170+D230+D264+D418+D486+D519+D552+D386+D138</f>
        <v>279450</v>
      </c>
      <c r="E22" s="74"/>
      <c r="F22" s="83"/>
      <c r="G22" s="79"/>
      <c r="I22" s="74"/>
    </row>
    <row r="23" spans="1:9" s="5" customFormat="1" ht="16.5" customHeight="1" x14ac:dyDescent="0.2">
      <c r="A23" s="14"/>
      <c r="B23" s="15">
        <v>75095</v>
      </c>
      <c r="C23" s="16" t="s">
        <v>5</v>
      </c>
      <c r="D23" s="108">
        <f>D72+D102+D139+D171+D199+D231+D265+D298+D333+D360+D387+D419+D456+D487+D520+D553+D583+D611</f>
        <v>853193</v>
      </c>
      <c r="E23" s="74"/>
      <c r="F23" s="83"/>
      <c r="G23" s="79"/>
      <c r="I23" s="74"/>
    </row>
    <row r="24" spans="1:9" s="5" customFormat="1" ht="16.5" customHeight="1" x14ac:dyDescent="0.2">
      <c r="A24" s="17">
        <v>754</v>
      </c>
      <c r="B24" s="18"/>
      <c r="C24" s="20" t="s">
        <v>39</v>
      </c>
      <c r="D24" s="109">
        <f>D25+D26+D28+D27</f>
        <v>1280550</v>
      </c>
      <c r="E24" s="74"/>
      <c r="F24" s="83"/>
      <c r="G24" s="79"/>
      <c r="I24" s="74"/>
    </row>
    <row r="25" spans="1:9" s="5" customFormat="1" ht="16.5" customHeight="1" x14ac:dyDescent="0.2">
      <c r="A25" s="14"/>
      <c r="B25" s="15">
        <v>75405</v>
      </c>
      <c r="C25" s="16" t="s">
        <v>40</v>
      </c>
      <c r="D25" s="108">
        <f>D74+D104+D141+D173+D201+D233+D267+D300+D389++D489+D522+D555+D585+D613+D458+D335</f>
        <v>495250</v>
      </c>
      <c r="E25" s="74"/>
      <c r="F25" s="83"/>
      <c r="G25" s="79"/>
      <c r="I25" s="74"/>
    </row>
    <row r="26" spans="1:9" s="5" customFormat="1" ht="16.5" customHeight="1" x14ac:dyDescent="0.2">
      <c r="A26" s="14"/>
      <c r="B26" s="15">
        <v>75411</v>
      </c>
      <c r="C26" s="16" t="s">
        <v>55</v>
      </c>
      <c r="D26" s="108">
        <f>D75+D105+D142+D174+D234+D268+D301+D336+D362+D390+D421+D459+D490+D523+D556+D586+D614+D202</f>
        <v>394000</v>
      </c>
      <c r="E26" s="76"/>
      <c r="F26" s="83"/>
      <c r="G26" s="79"/>
      <c r="I26" s="74"/>
    </row>
    <row r="27" spans="1:9" s="5" customFormat="1" ht="16.5" customHeight="1" x14ac:dyDescent="0.2">
      <c r="A27" s="14"/>
      <c r="B27" s="15">
        <v>75412</v>
      </c>
      <c r="C27" s="60" t="s">
        <v>65</v>
      </c>
      <c r="D27" s="108">
        <f>D302</f>
        <v>30000</v>
      </c>
      <c r="E27" s="76"/>
      <c r="F27" s="83"/>
      <c r="G27" s="79"/>
      <c r="I27" s="74"/>
    </row>
    <row r="28" spans="1:9" s="6" customFormat="1" ht="16.5" customHeight="1" x14ac:dyDescent="0.2">
      <c r="A28" s="14"/>
      <c r="B28" s="15">
        <v>75416</v>
      </c>
      <c r="C28" s="16" t="s">
        <v>41</v>
      </c>
      <c r="D28" s="108">
        <f>D76+D106+D143+D175+D203+D235+D269+D303+D337+D391+D422+D460+D491+D524+D557+D587+D615</f>
        <v>361300</v>
      </c>
      <c r="E28" s="75"/>
      <c r="F28" s="83"/>
      <c r="G28" s="79"/>
      <c r="I28" s="76"/>
    </row>
    <row r="29" spans="1:9" s="6" customFormat="1" ht="16.5" customHeight="1" x14ac:dyDescent="0.2">
      <c r="A29" s="17">
        <v>758</v>
      </c>
      <c r="B29" s="18"/>
      <c r="C29" s="21" t="s">
        <v>25</v>
      </c>
      <c r="D29" s="110">
        <f>D30</f>
        <v>12121470</v>
      </c>
      <c r="E29" s="75"/>
      <c r="F29" s="83"/>
      <c r="G29" s="79"/>
      <c r="I29" s="76"/>
    </row>
    <row r="30" spans="1:9" s="7" customFormat="1" ht="16.5" customHeight="1" x14ac:dyDescent="0.2">
      <c r="A30" s="22"/>
      <c r="B30" s="15">
        <v>75818</v>
      </c>
      <c r="C30" s="23" t="s">
        <v>26</v>
      </c>
      <c r="D30" s="111">
        <f>D78+D177+D205+D237+D271+D305+D364+D393+D424+D462+D493+D526+D559+D589+D617+D108+D145+D339</f>
        <v>12121470</v>
      </c>
      <c r="E30" s="75"/>
      <c r="F30" s="83"/>
      <c r="G30" s="79"/>
      <c r="I30" s="75"/>
    </row>
    <row r="31" spans="1:9" s="7" customFormat="1" ht="16.5" customHeight="1" x14ac:dyDescent="0.2">
      <c r="A31" s="17">
        <v>801</v>
      </c>
      <c r="B31" s="18"/>
      <c r="C31" s="21" t="s">
        <v>27</v>
      </c>
      <c r="D31" s="110">
        <f>D32</f>
        <v>13561239</v>
      </c>
      <c r="E31" s="75"/>
      <c r="F31" s="83"/>
      <c r="G31" s="79"/>
      <c r="I31" s="75"/>
    </row>
    <row r="32" spans="1:9" s="7" customFormat="1" ht="16.5" customHeight="1" x14ac:dyDescent="0.2">
      <c r="A32" s="22"/>
      <c r="B32" s="24">
        <v>80195</v>
      </c>
      <c r="C32" s="23" t="s">
        <v>5</v>
      </c>
      <c r="D32" s="112">
        <f>D80+D110+D147+D179+D207+D239+D273+D307+D341+D366+D395+D426+D464+D495+D528+D561+D591+D619</f>
        <v>13561239</v>
      </c>
      <c r="E32" s="75"/>
      <c r="F32" s="83"/>
      <c r="G32" s="79"/>
      <c r="I32" s="75"/>
    </row>
    <row r="33" spans="1:9" s="7" customFormat="1" ht="16.5" customHeight="1" x14ac:dyDescent="0.2">
      <c r="A33" s="17">
        <v>851</v>
      </c>
      <c r="B33" s="25"/>
      <c r="C33" s="20" t="s">
        <v>46</v>
      </c>
      <c r="D33" s="110">
        <f>D34+D35+D36+D37</f>
        <v>210000</v>
      </c>
      <c r="E33" s="75"/>
      <c r="F33" s="83"/>
      <c r="G33" s="79"/>
      <c r="I33" s="75"/>
    </row>
    <row r="34" spans="1:9" s="7" customFormat="1" ht="16.5" customHeight="1" x14ac:dyDescent="0.2">
      <c r="A34" s="22"/>
      <c r="B34" s="24">
        <v>85111</v>
      </c>
      <c r="C34" s="26" t="s">
        <v>49</v>
      </c>
      <c r="D34" s="112">
        <f>D621</f>
        <v>100000</v>
      </c>
      <c r="E34" s="75"/>
      <c r="F34" s="83"/>
      <c r="G34" s="79"/>
      <c r="I34" s="75"/>
    </row>
    <row r="35" spans="1:9" s="7" customFormat="1" ht="16.5" customHeight="1" x14ac:dyDescent="0.2">
      <c r="A35" s="22"/>
      <c r="B35" s="24">
        <v>85117</v>
      </c>
      <c r="C35" s="23" t="s">
        <v>47</v>
      </c>
      <c r="D35" s="112">
        <f>D428</f>
        <v>25000</v>
      </c>
      <c r="E35" s="75"/>
      <c r="F35" s="83"/>
      <c r="G35" s="79"/>
      <c r="I35" s="75"/>
    </row>
    <row r="36" spans="1:9" s="7" customFormat="1" ht="16.5" customHeight="1" x14ac:dyDescent="0.2">
      <c r="A36" s="22"/>
      <c r="B36" s="24">
        <v>85149</v>
      </c>
      <c r="C36" s="47" t="s">
        <v>48</v>
      </c>
      <c r="D36" s="112">
        <f>+D241+D429+D497+D530+D563</f>
        <v>82000</v>
      </c>
      <c r="E36" s="75"/>
      <c r="F36" s="83"/>
      <c r="G36" s="79"/>
      <c r="I36" s="75"/>
    </row>
    <row r="37" spans="1:9" s="7" customFormat="1" ht="16.5" customHeight="1" x14ac:dyDescent="0.2">
      <c r="A37" s="22"/>
      <c r="B37" s="24">
        <v>85195</v>
      </c>
      <c r="C37" s="16" t="s">
        <v>5</v>
      </c>
      <c r="D37" s="112">
        <f>D112</f>
        <v>3000</v>
      </c>
      <c r="E37" s="75"/>
      <c r="F37" s="83"/>
      <c r="G37" s="79"/>
      <c r="I37" s="75"/>
    </row>
    <row r="38" spans="1:9" s="7" customFormat="1" ht="16.5" customHeight="1" x14ac:dyDescent="0.2">
      <c r="A38" s="17">
        <v>852</v>
      </c>
      <c r="B38" s="25"/>
      <c r="C38" s="20" t="s">
        <v>52</v>
      </c>
      <c r="D38" s="110">
        <f>D39+D40+D41+D42</f>
        <v>910768</v>
      </c>
      <c r="E38" s="75"/>
      <c r="F38" s="83"/>
      <c r="G38" s="79"/>
      <c r="I38" s="75"/>
    </row>
    <row r="39" spans="1:9" s="7" customFormat="1" ht="16.5" customHeight="1" x14ac:dyDescent="0.2">
      <c r="A39" s="22"/>
      <c r="B39" s="24">
        <v>85202</v>
      </c>
      <c r="C39" s="23" t="s">
        <v>53</v>
      </c>
      <c r="D39" s="112">
        <f>D82+D466+D309</f>
        <v>175200</v>
      </c>
      <c r="E39" s="75"/>
      <c r="F39" s="83"/>
      <c r="G39" s="79"/>
      <c r="I39" s="75"/>
    </row>
    <row r="40" spans="1:9" s="7" customFormat="1" ht="16.5" customHeight="1" x14ac:dyDescent="0.2">
      <c r="A40" s="22"/>
      <c r="B40" s="24">
        <v>85203</v>
      </c>
      <c r="C40" s="23" t="s">
        <v>54</v>
      </c>
      <c r="D40" s="112">
        <f>D83+D114+D149+D181+D243+D275+D397+D431+D623+D565</f>
        <v>290772</v>
      </c>
      <c r="E40" s="75"/>
      <c r="F40" s="83"/>
      <c r="G40" s="79"/>
      <c r="I40" s="75"/>
    </row>
    <row r="41" spans="1:9" s="7" customFormat="1" ht="24" x14ac:dyDescent="0.2">
      <c r="A41" s="22"/>
      <c r="B41" s="24">
        <v>85214</v>
      </c>
      <c r="C41" s="23" t="s">
        <v>62</v>
      </c>
      <c r="D41" s="112">
        <f>D244+D276+D398+D432+D499+D532+D624+D209</f>
        <v>185000</v>
      </c>
      <c r="E41" s="75"/>
      <c r="F41" s="83"/>
      <c r="G41" s="79"/>
      <c r="I41" s="75"/>
    </row>
    <row r="42" spans="1:9" s="7" customFormat="1" ht="16.5" customHeight="1" x14ac:dyDescent="0.2">
      <c r="A42" s="22"/>
      <c r="B42" s="24">
        <v>85295</v>
      </c>
      <c r="C42" s="23" t="s">
        <v>5</v>
      </c>
      <c r="D42" s="112">
        <f>D150+D182+D210+D245+D277+D310+D343+D368+D399+D433+D467+D500+D533+D566+D593+D625+D84+D115</f>
        <v>259796</v>
      </c>
      <c r="E42" s="74"/>
      <c r="F42" s="83"/>
      <c r="G42" s="79"/>
      <c r="I42" s="75"/>
    </row>
    <row r="43" spans="1:9" s="7" customFormat="1" ht="16.5" customHeight="1" x14ac:dyDescent="0.2">
      <c r="A43" s="17">
        <v>853</v>
      </c>
      <c r="B43" s="18"/>
      <c r="C43" s="19" t="s">
        <v>34</v>
      </c>
      <c r="D43" s="110">
        <f>D44+D45</f>
        <v>2457903</v>
      </c>
      <c r="E43" s="74"/>
      <c r="F43" s="83"/>
      <c r="G43" s="79"/>
      <c r="I43" s="75"/>
    </row>
    <row r="44" spans="1:9" s="5" customFormat="1" ht="16.5" customHeight="1" x14ac:dyDescent="0.2">
      <c r="A44" s="27"/>
      <c r="B44" s="28">
        <v>85311</v>
      </c>
      <c r="C44" s="29" t="s">
        <v>56</v>
      </c>
      <c r="D44" s="111">
        <f>D117+D247+D401+D435+D502+D627+D279+D370+D212</f>
        <v>252700</v>
      </c>
      <c r="E44" s="74"/>
      <c r="F44" s="83"/>
      <c r="G44" s="79"/>
      <c r="I44" s="74"/>
    </row>
    <row r="45" spans="1:9" s="5" customFormat="1" ht="16.5" customHeight="1" x14ac:dyDescent="0.2">
      <c r="A45" s="22"/>
      <c r="B45" s="24">
        <v>85395</v>
      </c>
      <c r="C45" s="47" t="s">
        <v>5</v>
      </c>
      <c r="D45" s="108">
        <f>D86+D118+D152+D184+D213+D280+D312+D345+D371+D402+D436+D469+D503+D535+D568+D595+D628</f>
        <v>2205203</v>
      </c>
      <c r="E45" s="75"/>
      <c r="F45" s="83"/>
      <c r="G45" s="79"/>
      <c r="I45" s="74"/>
    </row>
    <row r="46" spans="1:9" s="5" customFormat="1" ht="16.5" customHeight="1" x14ac:dyDescent="0.2">
      <c r="A46" s="17">
        <v>854</v>
      </c>
      <c r="B46" s="18"/>
      <c r="C46" s="20" t="s">
        <v>38</v>
      </c>
      <c r="D46" s="109">
        <f>D47</f>
        <v>1675700</v>
      </c>
      <c r="E46" s="76"/>
      <c r="F46" s="83"/>
      <c r="G46" s="79"/>
      <c r="I46" s="74"/>
    </row>
    <row r="47" spans="1:9" s="7" customFormat="1" ht="16.5" customHeight="1" x14ac:dyDescent="0.2">
      <c r="A47" s="11"/>
      <c r="B47" s="104">
        <v>85495</v>
      </c>
      <c r="C47" s="133" t="s">
        <v>5</v>
      </c>
      <c r="D47" s="120">
        <f>D88+D120+D154+D215+D249+D282+D314+D404+D438+D505+D537+D570+D597+D630+D347</f>
        <v>1675700</v>
      </c>
      <c r="E47" s="76"/>
      <c r="F47" s="83"/>
      <c r="G47" s="79"/>
      <c r="I47" s="75"/>
    </row>
    <row r="48" spans="1:9" s="6" customFormat="1" ht="16.5" customHeight="1" x14ac:dyDescent="0.2">
      <c r="A48" s="105">
        <v>855</v>
      </c>
      <c r="B48" s="104"/>
      <c r="C48" s="102" t="s">
        <v>59</v>
      </c>
      <c r="D48" s="107">
        <f>D49</f>
        <v>853000</v>
      </c>
      <c r="E48" s="76"/>
      <c r="F48" s="83"/>
      <c r="G48" s="79"/>
      <c r="I48" s="76"/>
    </row>
    <row r="49" spans="1:10" s="6" customFormat="1" ht="16.5" customHeight="1" x14ac:dyDescent="0.2">
      <c r="A49" s="22"/>
      <c r="B49" s="15">
        <v>85516</v>
      </c>
      <c r="C49" s="23" t="s">
        <v>61</v>
      </c>
      <c r="D49" s="112">
        <f>D122+D186+D316+D406+D440+D507+D539+D572+D156</f>
        <v>853000</v>
      </c>
      <c r="E49" s="74"/>
      <c r="F49" s="83"/>
      <c r="G49" s="79"/>
      <c r="I49" s="76"/>
    </row>
    <row r="50" spans="1:10" s="6" customFormat="1" ht="16.5" customHeight="1" x14ac:dyDescent="0.2">
      <c r="A50" s="30">
        <v>900</v>
      </c>
      <c r="B50" s="25"/>
      <c r="C50" s="20" t="s">
        <v>28</v>
      </c>
      <c r="D50" s="109">
        <f>D51+D52+D53+D54</f>
        <v>8267228</v>
      </c>
      <c r="E50" s="74"/>
      <c r="F50" s="83"/>
      <c r="G50" s="79"/>
      <c r="I50" s="76"/>
    </row>
    <row r="51" spans="1:10" s="6" customFormat="1" ht="16.5" customHeight="1" x14ac:dyDescent="0.2">
      <c r="A51" s="48"/>
      <c r="B51" s="42">
        <v>90001</v>
      </c>
      <c r="C51" s="29" t="s">
        <v>71</v>
      </c>
      <c r="D51" s="114">
        <f>D318</f>
        <v>50000</v>
      </c>
      <c r="E51" s="76"/>
      <c r="F51" s="83"/>
      <c r="G51" s="79"/>
      <c r="I51" s="76"/>
    </row>
    <row r="52" spans="1:10" s="5" customFormat="1" ht="16.5" customHeight="1" x14ac:dyDescent="0.2">
      <c r="A52" s="22"/>
      <c r="B52" s="15">
        <v>90004</v>
      </c>
      <c r="C52" s="23" t="s">
        <v>33</v>
      </c>
      <c r="D52" s="112">
        <f>D90+D124+D188+D217+D319+D373+D442+D471+D509+D574+D632+D251</f>
        <v>1296850</v>
      </c>
      <c r="E52" s="74"/>
      <c r="F52" s="83"/>
      <c r="G52" s="79"/>
      <c r="I52" s="74"/>
    </row>
    <row r="53" spans="1:10" s="5" customFormat="1" ht="16.5" customHeight="1" x14ac:dyDescent="0.2">
      <c r="A53" s="22"/>
      <c r="B53" s="15">
        <v>90015</v>
      </c>
      <c r="C53" s="23" t="s">
        <v>29</v>
      </c>
      <c r="D53" s="112">
        <f>D158+D218+D252+D284+D320+D374+D443+D472+D599+D510</f>
        <v>2484853</v>
      </c>
      <c r="E53" s="74"/>
      <c r="F53" s="83"/>
      <c r="G53" s="79"/>
      <c r="I53" s="74"/>
    </row>
    <row r="54" spans="1:10" s="5" customFormat="1" ht="16.5" customHeight="1" x14ac:dyDescent="0.2">
      <c r="A54" s="22"/>
      <c r="B54" s="24">
        <v>90095</v>
      </c>
      <c r="C54" s="23" t="s">
        <v>5</v>
      </c>
      <c r="D54" s="108">
        <f>D125+D159+D189+D219+D253+D285+D321+D349+D375+D408+D444+D473+D511+D541+D575+D600+D633</f>
        <v>4435525</v>
      </c>
      <c r="E54" s="74"/>
      <c r="F54" s="83"/>
      <c r="G54" s="79"/>
      <c r="I54" s="74"/>
    </row>
    <row r="55" spans="1:10" s="5" customFormat="1" ht="16.5" customHeight="1" x14ac:dyDescent="0.2">
      <c r="A55" s="17">
        <v>921</v>
      </c>
      <c r="B55" s="25"/>
      <c r="C55" s="20" t="s">
        <v>42</v>
      </c>
      <c r="D55" s="109">
        <f>D56+D57+D58+D59</f>
        <v>3330627</v>
      </c>
      <c r="E55" s="74"/>
      <c r="F55" s="83"/>
      <c r="G55" s="79"/>
      <c r="I55" s="74"/>
    </row>
    <row r="56" spans="1:10" s="5" customFormat="1" ht="16.5" customHeight="1" x14ac:dyDescent="0.2">
      <c r="A56" s="22"/>
      <c r="B56" s="24">
        <v>92109</v>
      </c>
      <c r="C56" s="23" t="s">
        <v>43</v>
      </c>
      <c r="D56" s="108">
        <f>D92+D127+D161+D191+D221+D255+D287+D323+D351+D377+D410+D446+D475+D513+D543+D577+D602+D635</f>
        <v>2725627</v>
      </c>
      <c r="E56" s="74"/>
      <c r="F56" s="83"/>
      <c r="G56" s="79"/>
      <c r="I56" s="74"/>
    </row>
    <row r="57" spans="1:10" s="5" customFormat="1" ht="16.5" customHeight="1" x14ac:dyDescent="0.2">
      <c r="A57" s="22"/>
      <c r="B57" s="24">
        <v>92113</v>
      </c>
      <c r="C57" s="23" t="s">
        <v>63</v>
      </c>
      <c r="D57" s="108">
        <f>D288</f>
        <v>20000</v>
      </c>
      <c r="E57" s="74"/>
      <c r="F57" s="83"/>
      <c r="G57" s="79"/>
      <c r="I57" s="74"/>
    </row>
    <row r="58" spans="1:10" s="5" customFormat="1" ht="16.5" customHeight="1" x14ac:dyDescent="0.2">
      <c r="A58" s="22"/>
      <c r="B58" s="24">
        <v>92116</v>
      </c>
      <c r="C58" s="23" t="s">
        <v>44</v>
      </c>
      <c r="D58" s="108">
        <f>D93+D128+D162+D192+D222+D256+D289+D324+D352+D378+D411+D447+D476+D514+D544+D578+D603+D636</f>
        <v>268500</v>
      </c>
      <c r="E58" s="74"/>
      <c r="F58" s="83"/>
      <c r="G58" s="79"/>
      <c r="I58" s="74"/>
    </row>
    <row r="59" spans="1:10" s="5" customFormat="1" ht="16.5" customHeight="1" x14ac:dyDescent="0.2">
      <c r="A59" s="22"/>
      <c r="B59" s="24">
        <v>92118</v>
      </c>
      <c r="C59" s="23" t="s">
        <v>45</v>
      </c>
      <c r="D59" s="108">
        <f>D94+D163+D223+D257+D290+D477+D637+D129+D325</f>
        <v>316500</v>
      </c>
      <c r="E59" s="74"/>
      <c r="F59" s="83"/>
      <c r="G59" s="79"/>
      <c r="I59" s="74"/>
    </row>
    <row r="60" spans="1:10" s="5" customFormat="1" ht="16.5" customHeight="1" x14ac:dyDescent="0.2">
      <c r="A60" s="17">
        <v>926</v>
      </c>
      <c r="B60" s="18"/>
      <c r="C60" s="21" t="s">
        <v>30</v>
      </c>
      <c r="D60" s="110">
        <f>D61+D62</f>
        <v>1330950</v>
      </c>
      <c r="E60" s="77"/>
      <c r="F60" s="83"/>
      <c r="G60" s="79"/>
      <c r="I60" s="74"/>
    </row>
    <row r="61" spans="1:10" s="8" customFormat="1" ht="16.5" customHeight="1" x14ac:dyDescent="0.2">
      <c r="A61" s="22"/>
      <c r="B61" s="15">
        <v>92601</v>
      </c>
      <c r="C61" s="31" t="s">
        <v>31</v>
      </c>
      <c r="D61" s="108">
        <f>D131+D165+D194+D259+D292+D327+D380+D413+D449+D479+D605+D639+D354+D225</f>
        <v>1194200</v>
      </c>
      <c r="E61" s="74"/>
      <c r="F61" s="83"/>
      <c r="G61" s="79"/>
      <c r="H61" s="9"/>
      <c r="I61" s="84"/>
      <c r="J61" s="10"/>
    </row>
    <row r="62" spans="1:10" s="8" customFormat="1" ht="16.5" customHeight="1" x14ac:dyDescent="0.2">
      <c r="A62" s="22"/>
      <c r="B62" s="15">
        <v>92605</v>
      </c>
      <c r="C62" s="32" t="s">
        <v>32</v>
      </c>
      <c r="D62" s="108">
        <f>+D328+D381+D450+D546+D293</f>
        <v>136750</v>
      </c>
      <c r="E62" s="74"/>
      <c r="F62" s="83"/>
      <c r="G62" s="79"/>
      <c r="I62" s="77"/>
    </row>
    <row r="63" spans="1:10" s="5" customFormat="1" ht="18.75" customHeight="1" x14ac:dyDescent="0.2">
      <c r="A63" s="11"/>
      <c r="B63" s="33"/>
      <c r="C63" s="34" t="s">
        <v>6</v>
      </c>
      <c r="D63" s="107">
        <f>D15+D19+D21+D24+D29+D31+D33+D38+D43+D46+D48+D50+D55+D60</f>
        <v>64226000</v>
      </c>
      <c r="E63" s="74"/>
      <c r="F63" s="83"/>
      <c r="G63" s="79"/>
      <c r="I63" s="74"/>
    </row>
    <row r="64" spans="1:10" s="5" customFormat="1" ht="18.75" customHeight="1" x14ac:dyDescent="0.2">
      <c r="A64" s="35"/>
      <c r="B64" s="36"/>
      <c r="C64" s="37" t="s">
        <v>37</v>
      </c>
      <c r="D64" s="115"/>
      <c r="E64" s="74"/>
      <c r="F64" s="83"/>
      <c r="G64" s="79"/>
      <c r="I64" s="74"/>
    </row>
    <row r="65" spans="1:9" s="5" customFormat="1" ht="18.75" customHeight="1" x14ac:dyDescent="0.2">
      <c r="A65" s="38"/>
      <c r="B65" s="39"/>
      <c r="C65" s="40" t="s">
        <v>7</v>
      </c>
      <c r="D65" s="116">
        <f>D66+D68+D70+D73+D77+D79+D81+D85+D87+D89+D91</f>
        <v>2920325</v>
      </c>
      <c r="E65" s="76"/>
      <c r="F65" s="83"/>
      <c r="G65" s="79"/>
      <c r="I65" s="74"/>
    </row>
    <row r="66" spans="1:9" s="5" customFormat="1" ht="16.5" customHeight="1" x14ac:dyDescent="0.2">
      <c r="A66" s="11">
        <v>600</v>
      </c>
      <c r="B66" s="12"/>
      <c r="C66" s="13" t="s">
        <v>3</v>
      </c>
      <c r="D66" s="115">
        <f>D67</f>
        <v>940630</v>
      </c>
      <c r="E66" s="76"/>
      <c r="F66" s="83"/>
      <c r="G66" s="79"/>
      <c r="I66" s="74"/>
    </row>
    <row r="67" spans="1:9" s="6" customFormat="1" ht="16.5" customHeight="1" x14ac:dyDescent="0.2">
      <c r="A67" s="41"/>
      <c r="B67" s="42">
        <v>60016</v>
      </c>
      <c r="C67" s="43" t="s">
        <v>4</v>
      </c>
      <c r="D67" s="117">
        <v>940630</v>
      </c>
      <c r="E67" s="76"/>
      <c r="F67" s="83"/>
      <c r="G67" s="79"/>
      <c r="I67" s="76"/>
    </row>
    <row r="68" spans="1:9" s="6" customFormat="1" ht="16.5" customHeight="1" x14ac:dyDescent="0.2">
      <c r="A68" s="17">
        <v>710</v>
      </c>
      <c r="B68" s="18"/>
      <c r="C68" s="19" t="s">
        <v>57</v>
      </c>
      <c r="D68" s="109">
        <f>D69</f>
        <v>5000</v>
      </c>
      <c r="E68" s="76"/>
      <c r="F68" s="83"/>
      <c r="G68" s="79"/>
      <c r="I68" s="76"/>
    </row>
    <row r="69" spans="1:9" s="6" customFormat="1" ht="16.5" customHeight="1" x14ac:dyDescent="0.2">
      <c r="A69" s="14"/>
      <c r="B69" s="15">
        <v>71035</v>
      </c>
      <c r="C69" s="16" t="s">
        <v>58</v>
      </c>
      <c r="D69" s="108">
        <v>5000</v>
      </c>
      <c r="E69" s="76"/>
      <c r="F69" s="83"/>
      <c r="G69" s="79"/>
      <c r="I69" s="76"/>
    </row>
    <row r="70" spans="1:9" s="6" customFormat="1" ht="16.5" customHeight="1" x14ac:dyDescent="0.2">
      <c r="A70" s="17">
        <v>750</v>
      </c>
      <c r="B70" s="18"/>
      <c r="C70" s="19" t="s">
        <v>50</v>
      </c>
      <c r="D70" s="110">
        <f>D71+D72</f>
        <v>98000</v>
      </c>
      <c r="E70" s="76"/>
      <c r="F70" s="83"/>
      <c r="G70" s="79"/>
      <c r="I70" s="76"/>
    </row>
    <row r="71" spans="1:9" s="6" customFormat="1" ht="16.5" customHeight="1" x14ac:dyDescent="0.2">
      <c r="A71" s="22"/>
      <c r="B71" s="15">
        <v>75022</v>
      </c>
      <c r="C71" s="16" t="s">
        <v>51</v>
      </c>
      <c r="D71" s="112">
        <f>7300+1100+40000+600</f>
        <v>49000</v>
      </c>
      <c r="E71" s="76"/>
      <c r="F71" s="83"/>
      <c r="G71" s="79"/>
      <c r="I71" s="76"/>
    </row>
    <row r="72" spans="1:9" s="6" customFormat="1" ht="16.5" customHeight="1" x14ac:dyDescent="0.2">
      <c r="A72" s="22"/>
      <c r="B72" s="15">
        <v>75095</v>
      </c>
      <c r="C72" s="16" t="s">
        <v>5</v>
      </c>
      <c r="D72" s="112">
        <f>1300+200+13500+34000</f>
        <v>49000</v>
      </c>
      <c r="E72" s="75"/>
      <c r="F72" s="83"/>
      <c r="G72" s="79"/>
      <c r="I72" s="76"/>
    </row>
    <row r="73" spans="1:9" s="6" customFormat="1" ht="16.5" customHeight="1" x14ac:dyDescent="0.2">
      <c r="A73" s="17">
        <v>754</v>
      </c>
      <c r="B73" s="18"/>
      <c r="C73" s="20" t="s">
        <v>39</v>
      </c>
      <c r="D73" s="110">
        <f>D74+D75+D76</f>
        <v>107800</v>
      </c>
      <c r="E73" s="74"/>
      <c r="F73" s="83"/>
      <c r="G73" s="79"/>
      <c r="I73" s="76"/>
    </row>
    <row r="74" spans="1:9" s="7" customFormat="1" ht="16.5" customHeight="1" x14ac:dyDescent="0.2">
      <c r="A74" s="22"/>
      <c r="B74" s="15">
        <v>75405</v>
      </c>
      <c r="C74" s="16" t="s">
        <v>40</v>
      </c>
      <c r="D74" s="112">
        <f>14800</f>
        <v>14800</v>
      </c>
      <c r="E74" s="74"/>
      <c r="F74" s="83"/>
      <c r="G74" s="79"/>
      <c r="I74" s="75"/>
    </row>
    <row r="75" spans="1:9" s="5" customFormat="1" ht="16.5" customHeight="1" x14ac:dyDescent="0.2">
      <c r="A75" s="14"/>
      <c r="B75" s="15">
        <v>75411</v>
      </c>
      <c r="C75" s="16" t="s">
        <v>55</v>
      </c>
      <c r="D75" s="108">
        <f>15000</f>
        <v>15000</v>
      </c>
      <c r="E75" s="76"/>
      <c r="F75" s="83"/>
      <c r="G75" s="79"/>
      <c r="I75" s="74"/>
    </row>
    <row r="76" spans="1:9" s="6" customFormat="1" ht="16.5" customHeight="1" x14ac:dyDescent="0.2">
      <c r="A76" s="22"/>
      <c r="B76" s="15">
        <v>75416</v>
      </c>
      <c r="C76" s="16" t="s">
        <v>41</v>
      </c>
      <c r="D76" s="112">
        <v>78000</v>
      </c>
      <c r="E76" s="76"/>
      <c r="F76" s="83"/>
      <c r="G76" s="79"/>
      <c r="I76" s="76"/>
    </row>
    <row r="77" spans="1:9" s="6" customFormat="1" ht="16.5" customHeight="1" x14ac:dyDescent="0.2">
      <c r="A77" s="17">
        <v>758</v>
      </c>
      <c r="B77" s="18"/>
      <c r="C77" s="21" t="s">
        <v>25</v>
      </c>
      <c r="D77" s="110">
        <f>D78</f>
        <v>587695</v>
      </c>
      <c r="E77" s="75"/>
      <c r="F77" s="83"/>
      <c r="G77" s="79"/>
      <c r="I77" s="76"/>
    </row>
    <row r="78" spans="1:9" s="6" customFormat="1" ht="16.5" customHeight="1" x14ac:dyDescent="0.2">
      <c r="A78" s="22"/>
      <c r="B78" s="15">
        <v>75818</v>
      </c>
      <c r="C78" s="23" t="s">
        <v>26</v>
      </c>
      <c r="D78" s="111">
        <f>2465630-D66-D68-D70-D73-D79-D81-D85-D87-D89-D91+454695</f>
        <v>587695</v>
      </c>
      <c r="E78" s="75"/>
      <c r="F78" s="83"/>
      <c r="G78" s="79"/>
      <c r="I78" s="76"/>
    </row>
    <row r="79" spans="1:9" s="7" customFormat="1" ht="16.5" customHeight="1" x14ac:dyDescent="0.2">
      <c r="A79" s="17">
        <v>801</v>
      </c>
      <c r="B79" s="18"/>
      <c r="C79" s="21" t="s">
        <v>27</v>
      </c>
      <c r="D79" s="110">
        <f>D80</f>
        <v>483500</v>
      </c>
      <c r="E79" s="74"/>
      <c r="F79" s="83"/>
      <c r="G79" s="79"/>
      <c r="I79" s="75"/>
    </row>
    <row r="80" spans="1:9" s="7" customFormat="1" ht="16.5" customHeight="1" x14ac:dyDescent="0.2">
      <c r="A80" s="27"/>
      <c r="B80" s="28">
        <v>80195</v>
      </c>
      <c r="C80" s="44" t="s">
        <v>5</v>
      </c>
      <c r="D80" s="111">
        <f>5500+30000+20000+25000+15000+8000+60000+65000+60000+45000+25000+25000+2000+2000+17000+77000+2000</f>
        <v>483500</v>
      </c>
      <c r="E80" s="74"/>
      <c r="F80" s="83"/>
      <c r="G80" s="79"/>
      <c r="I80" s="75"/>
    </row>
    <row r="81" spans="1:9" s="5" customFormat="1" ht="16.5" customHeight="1" x14ac:dyDescent="0.2">
      <c r="A81" s="17">
        <v>852</v>
      </c>
      <c r="B81" s="25"/>
      <c r="C81" s="20" t="s">
        <v>52</v>
      </c>
      <c r="D81" s="110">
        <f>D82+D83+D84</f>
        <v>66000</v>
      </c>
      <c r="E81" s="75"/>
      <c r="F81" s="83"/>
      <c r="G81" s="79"/>
      <c r="I81" s="74"/>
    </row>
    <row r="82" spans="1:9" s="5" customFormat="1" ht="16.5" customHeight="1" x14ac:dyDescent="0.2">
      <c r="A82" s="27"/>
      <c r="B82" s="28">
        <v>85202</v>
      </c>
      <c r="C82" s="44" t="s">
        <v>53</v>
      </c>
      <c r="D82" s="111">
        <f>8000+29000+15000</f>
        <v>52000</v>
      </c>
      <c r="E82" s="75"/>
      <c r="F82" s="83"/>
      <c r="G82" s="79"/>
      <c r="I82" s="74"/>
    </row>
    <row r="83" spans="1:9" s="7" customFormat="1" ht="16.5" customHeight="1" x14ac:dyDescent="0.2">
      <c r="A83" s="22"/>
      <c r="B83" s="24">
        <v>85203</v>
      </c>
      <c r="C83" s="23" t="s">
        <v>54</v>
      </c>
      <c r="D83" s="112">
        <f>9000</f>
        <v>9000</v>
      </c>
      <c r="E83" s="76"/>
      <c r="F83" s="83"/>
      <c r="G83" s="79"/>
      <c r="I83" s="75"/>
    </row>
    <row r="84" spans="1:9" s="7" customFormat="1" ht="16.5" customHeight="1" x14ac:dyDescent="0.2">
      <c r="A84" s="22"/>
      <c r="B84" s="24">
        <v>85295</v>
      </c>
      <c r="C84" s="47" t="s">
        <v>5</v>
      </c>
      <c r="D84" s="112">
        <f>5000</f>
        <v>5000</v>
      </c>
      <c r="E84" s="74"/>
      <c r="F84" s="83"/>
      <c r="G84" s="79"/>
      <c r="I84" s="75"/>
    </row>
    <row r="85" spans="1:9" s="6" customFormat="1" ht="16.5" customHeight="1" x14ac:dyDescent="0.2">
      <c r="A85" s="17">
        <v>853</v>
      </c>
      <c r="B85" s="18"/>
      <c r="C85" s="45" t="s">
        <v>34</v>
      </c>
      <c r="D85" s="110">
        <f>D86</f>
        <v>80000</v>
      </c>
      <c r="E85" s="74"/>
      <c r="F85" s="83"/>
      <c r="G85" s="79"/>
      <c r="I85" s="76"/>
    </row>
    <row r="86" spans="1:9" s="5" customFormat="1" ht="16.5" customHeight="1" x14ac:dyDescent="0.2">
      <c r="A86" s="22"/>
      <c r="B86" s="24">
        <v>85395</v>
      </c>
      <c r="C86" s="23" t="s">
        <v>5</v>
      </c>
      <c r="D86" s="108">
        <f>65000+15000</f>
        <v>80000</v>
      </c>
      <c r="E86" s="74"/>
      <c r="F86" s="83"/>
      <c r="G86" s="79"/>
      <c r="I86" s="74"/>
    </row>
    <row r="87" spans="1:9" s="5" customFormat="1" ht="16.5" customHeight="1" x14ac:dyDescent="0.2">
      <c r="A87" s="17">
        <v>854</v>
      </c>
      <c r="B87" s="25"/>
      <c r="C87" s="20" t="s">
        <v>38</v>
      </c>
      <c r="D87" s="109">
        <f>D88</f>
        <v>223200</v>
      </c>
      <c r="E87" s="74"/>
      <c r="F87" s="83"/>
      <c r="G87" s="79"/>
      <c r="I87" s="74"/>
    </row>
    <row r="88" spans="1:9" s="5" customFormat="1" ht="16.5" customHeight="1" x14ac:dyDescent="0.2">
      <c r="A88" s="27"/>
      <c r="B88" s="28">
        <v>85495</v>
      </c>
      <c r="C88" s="44" t="s">
        <v>5</v>
      </c>
      <c r="D88" s="114">
        <f>178200+7000+38000</f>
        <v>223200</v>
      </c>
      <c r="E88" s="74"/>
      <c r="F88" s="83"/>
      <c r="G88" s="79"/>
      <c r="I88" s="74"/>
    </row>
    <row r="89" spans="1:9" s="5" customFormat="1" ht="16.5" customHeight="1" x14ac:dyDescent="0.2">
      <c r="A89" s="30">
        <v>900</v>
      </c>
      <c r="B89" s="25"/>
      <c r="C89" s="20" t="s">
        <v>28</v>
      </c>
      <c r="D89" s="109">
        <f>D90</f>
        <v>225000</v>
      </c>
      <c r="E89" s="75"/>
      <c r="F89" s="83"/>
      <c r="G89" s="79"/>
      <c r="I89" s="74"/>
    </row>
    <row r="90" spans="1:9" s="6" customFormat="1" ht="16.5" customHeight="1" x14ac:dyDescent="0.2">
      <c r="A90" s="27"/>
      <c r="B90" s="42">
        <v>90004</v>
      </c>
      <c r="C90" s="44" t="s">
        <v>33</v>
      </c>
      <c r="D90" s="114">
        <v>225000</v>
      </c>
      <c r="E90" s="74"/>
      <c r="F90" s="83"/>
      <c r="G90" s="79"/>
      <c r="I90" s="76"/>
    </row>
    <row r="91" spans="1:9" s="7" customFormat="1" ht="16.5" customHeight="1" x14ac:dyDescent="0.2">
      <c r="A91" s="17">
        <v>921</v>
      </c>
      <c r="B91" s="25"/>
      <c r="C91" s="20" t="s">
        <v>42</v>
      </c>
      <c r="D91" s="109">
        <f>D92+D93+D94</f>
        <v>103500</v>
      </c>
      <c r="E91" s="75"/>
      <c r="F91" s="83"/>
      <c r="G91" s="79"/>
      <c r="I91" s="75"/>
    </row>
    <row r="92" spans="1:9" s="5" customFormat="1" ht="16.5" customHeight="1" x14ac:dyDescent="0.2">
      <c r="A92" s="22"/>
      <c r="B92" s="24">
        <v>92109</v>
      </c>
      <c r="C92" s="23" t="s">
        <v>43</v>
      </c>
      <c r="D92" s="108">
        <f>25000+25000</f>
        <v>50000</v>
      </c>
      <c r="E92" s="74"/>
      <c r="F92" s="83"/>
      <c r="G92" s="79"/>
      <c r="I92" s="74"/>
    </row>
    <row r="93" spans="1:9" s="7" customFormat="1" ht="16.5" customHeight="1" x14ac:dyDescent="0.2">
      <c r="A93" s="22"/>
      <c r="B93" s="24">
        <v>92116</v>
      </c>
      <c r="C93" s="23" t="s">
        <v>44</v>
      </c>
      <c r="D93" s="108">
        <f>15000</f>
        <v>15000</v>
      </c>
      <c r="E93" s="78"/>
      <c r="F93" s="83"/>
      <c r="G93" s="79"/>
      <c r="I93" s="75"/>
    </row>
    <row r="94" spans="1:9" s="5" customFormat="1" ht="18" customHeight="1" x14ac:dyDescent="0.2">
      <c r="A94" s="17"/>
      <c r="B94" s="25">
        <v>92118</v>
      </c>
      <c r="C94" s="100" t="s">
        <v>45</v>
      </c>
      <c r="D94" s="113">
        <f>8500+15000+15000</f>
        <v>38500</v>
      </c>
      <c r="E94" s="74"/>
      <c r="F94" s="83"/>
      <c r="G94" s="79"/>
      <c r="I94" s="74"/>
    </row>
    <row r="95" spans="1:9" s="6" customFormat="1" ht="18.75" customHeight="1" x14ac:dyDescent="0.2">
      <c r="A95" s="38"/>
      <c r="B95" s="39"/>
      <c r="C95" s="40" t="s">
        <v>8</v>
      </c>
      <c r="D95" s="116">
        <f>D96+D98+D100+D103+D109+D111+D113+D116+D119+D121+D123+D126+D130+D107</f>
        <v>2765134</v>
      </c>
      <c r="E95" s="74"/>
      <c r="F95" s="83"/>
      <c r="G95" s="79"/>
      <c r="I95" s="76"/>
    </row>
    <row r="96" spans="1:9" s="6" customFormat="1" ht="16.5" customHeight="1" x14ac:dyDescent="0.2">
      <c r="A96" s="11">
        <v>600</v>
      </c>
      <c r="B96" s="12"/>
      <c r="C96" s="13" t="s">
        <v>3</v>
      </c>
      <c r="D96" s="107">
        <f>D97</f>
        <v>500000</v>
      </c>
      <c r="E96" s="74"/>
      <c r="F96" s="83"/>
      <c r="G96" s="79"/>
      <c r="I96" s="76"/>
    </row>
    <row r="97" spans="1:9" s="6" customFormat="1" ht="16.5" customHeight="1" x14ac:dyDescent="0.2">
      <c r="A97" s="14"/>
      <c r="B97" s="15">
        <v>60016</v>
      </c>
      <c r="C97" s="16" t="s">
        <v>4</v>
      </c>
      <c r="D97" s="108">
        <v>500000</v>
      </c>
      <c r="E97" s="76"/>
      <c r="F97" s="83"/>
      <c r="G97" s="79"/>
      <c r="I97" s="76"/>
    </row>
    <row r="98" spans="1:9" s="6" customFormat="1" ht="16.5" customHeight="1" x14ac:dyDescent="0.2">
      <c r="A98" s="17">
        <v>710</v>
      </c>
      <c r="B98" s="18"/>
      <c r="C98" s="19" t="s">
        <v>57</v>
      </c>
      <c r="D98" s="109">
        <f>D99</f>
        <v>9000</v>
      </c>
      <c r="E98" s="76"/>
      <c r="F98" s="83"/>
      <c r="G98" s="79"/>
      <c r="I98" s="76"/>
    </row>
    <row r="99" spans="1:9" s="6" customFormat="1" ht="16.5" customHeight="1" x14ac:dyDescent="0.2">
      <c r="A99" s="14"/>
      <c r="B99" s="15">
        <v>71035</v>
      </c>
      <c r="C99" s="16" t="s">
        <v>58</v>
      </c>
      <c r="D99" s="108">
        <v>9000</v>
      </c>
      <c r="E99" s="76"/>
      <c r="F99" s="83"/>
      <c r="G99" s="79"/>
      <c r="I99" s="76"/>
    </row>
    <row r="100" spans="1:9" s="6" customFormat="1" ht="16.5" customHeight="1" x14ac:dyDescent="0.2">
      <c r="A100" s="17">
        <v>750</v>
      </c>
      <c r="B100" s="18"/>
      <c r="C100" s="19" t="s">
        <v>50</v>
      </c>
      <c r="D100" s="110">
        <f>D101+D102</f>
        <v>44000</v>
      </c>
      <c r="E100" s="76"/>
      <c r="F100" s="83"/>
      <c r="G100" s="79"/>
      <c r="I100" s="76"/>
    </row>
    <row r="101" spans="1:9" s="6" customFormat="1" ht="16.5" customHeight="1" x14ac:dyDescent="0.2">
      <c r="A101" s="22"/>
      <c r="B101" s="15">
        <v>75022</v>
      </c>
      <c r="C101" s="16" t="s">
        <v>51</v>
      </c>
      <c r="D101" s="112">
        <f>8000</f>
        <v>8000</v>
      </c>
      <c r="E101" s="76"/>
      <c r="F101" s="83"/>
      <c r="G101" s="79"/>
      <c r="I101" s="76"/>
    </row>
    <row r="102" spans="1:9" s="6" customFormat="1" ht="16.5" customHeight="1" x14ac:dyDescent="0.2">
      <c r="A102" s="22"/>
      <c r="B102" s="15">
        <v>75095</v>
      </c>
      <c r="C102" s="16" t="s">
        <v>5</v>
      </c>
      <c r="D102" s="112">
        <v>36000</v>
      </c>
      <c r="E102" s="76"/>
      <c r="F102" s="83"/>
      <c r="G102" s="79"/>
      <c r="I102" s="76"/>
    </row>
    <row r="103" spans="1:9" s="7" customFormat="1" ht="16.5" customHeight="1" x14ac:dyDescent="0.2">
      <c r="A103" s="17">
        <v>754</v>
      </c>
      <c r="B103" s="18"/>
      <c r="C103" s="20" t="s">
        <v>39</v>
      </c>
      <c r="D103" s="110">
        <f>D104+D105+D106</f>
        <v>60000</v>
      </c>
      <c r="E103" s="75"/>
      <c r="F103" s="83"/>
      <c r="G103" s="79"/>
      <c r="I103" s="75"/>
    </row>
    <row r="104" spans="1:9" s="7" customFormat="1" ht="16.5" customHeight="1" x14ac:dyDescent="0.2">
      <c r="A104" s="22"/>
      <c r="B104" s="15">
        <v>75405</v>
      </c>
      <c r="C104" s="16" t="s">
        <v>40</v>
      </c>
      <c r="D104" s="112">
        <f>30000</f>
        <v>30000</v>
      </c>
      <c r="E104" s="75"/>
      <c r="F104" s="83"/>
      <c r="G104" s="79"/>
      <c r="I104" s="75"/>
    </row>
    <row r="105" spans="1:9" s="5" customFormat="1" ht="16.5" customHeight="1" x14ac:dyDescent="0.2">
      <c r="A105" s="14"/>
      <c r="B105" s="15">
        <v>75411</v>
      </c>
      <c r="C105" s="16" t="s">
        <v>55</v>
      </c>
      <c r="D105" s="108">
        <f>20000</f>
        <v>20000</v>
      </c>
      <c r="E105" s="74"/>
      <c r="F105" s="83"/>
      <c r="G105" s="79"/>
      <c r="I105" s="74"/>
    </row>
    <row r="106" spans="1:9" s="7" customFormat="1" ht="16.5" customHeight="1" x14ac:dyDescent="0.2">
      <c r="A106" s="22"/>
      <c r="B106" s="15">
        <v>75416</v>
      </c>
      <c r="C106" s="16" t="s">
        <v>41</v>
      </c>
      <c r="D106" s="112">
        <v>10000</v>
      </c>
      <c r="E106" s="75"/>
      <c r="F106" s="83"/>
      <c r="G106" s="79"/>
      <c r="I106" s="75"/>
    </row>
    <row r="107" spans="1:9" s="136" customFormat="1" ht="16.5" customHeight="1" x14ac:dyDescent="0.2">
      <c r="A107" s="63">
        <v>758</v>
      </c>
      <c r="B107" s="138"/>
      <c r="C107" s="19" t="s">
        <v>25</v>
      </c>
      <c r="D107" s="110">
        <f>D108</f>
        <v>430532</v>
      </c>
      <c r="E107" s="134"/>
      <c r="F107" s="83"/>
      <c r="G107" s="135"/>
      <c r="I107" s="137"/>
    </row>
    <row r="108" spans="1:9" s="136" customFormat="1" ht="16.5" customHeight="1" x14ac:dyDescent="0.2">
      <c r="A108" s="96"/>
      <c r="B108" s="58">
        <v>75818</v>
      </c>
      <c r="C108" s="26" t="s">
        <v>26</v>
      </c>
      <c r="D108" s="111">
        <f>430532</f>
        <v>430532</v>
      </c>
      <c r="E108" s="134"/>
      <c r="F108" s="83"/>
      <c r="G108" s="135"/>
      <c r="I108" s="137"/>
    </row>
    <row r="109" spans="1:9" s="7" customFormat="1" ht="16.5" customHeight="1" x14ac:dyDescent="0.2">
      <c r="A109" s="17">
        <v>801</v>
      </c>
      <c r="B109" s="18"/>
      <c r="C109" s="21" t="s">
        <v>27</v>
      </c>
      <c r="D109" s="110">
        <f>D110</f>
        <v>1084000</v>
      </c>
      <c r="E109" s="75"/>
      <c r="F109" s="83"/>
      <c r="G109" s="79"/>
      <c r="I109" s="75"/>
    </row>
    <row r="110" spans="1:9" s="7" customFormat="1" ht="16.5" customHeight="1" x14ac:dyDescent="0.2">
      <c r="A110" s="22"/>
      <c r="B110" s="24">
        <v>80195</v>
      </c>
      <c r="C110" s="23" t="s">
        <v>5</v>
      </c>
      <c r="D110" s="112">
        <f>83000+83000+83000+83000+144000+92000+92000+105000+92000+90000+24000+16000+92000+5000</f>
        <v>1084000</v>
      </c>
      <c r="E110" s="75"/>
      <c r="F110" s="83"/>
      <c r="G110" s="79"/>
      <c r="I110" s="75"/>
    </row>
    <row r="111" spans="1:9" s="7" customFormat="1" ht="16.5" customHeight="1" x14ac:dyDescent="0.2">
      <c r="A111" s="17">
        <v>851</v>
      </c>
      <c r="B111" s="25"/>
      <c r="C111" s="20" t="s">
        <v>46</v>
      </c>
      <c r="D111" s="110">
        <f>D112</f>
        <v>3000</v>
      </c>
      <c r="E111" s="75"/>
      <c r="F111" s="83"/>
      <c r="G111" s="79"/>
      <c r="I111" s="75"/>
    </row>
    <row r="112" spans="1:9" s="7" customFormat="1" ht="16.5" customHeight="1" x14ac:dyDescent="0.2">
      <c r="A112" s="22"/>
      <c r="B112" s="24">
        <v>85195</v>
      </c>
      <c r="C112" s="16" t="s">
        <v>5</v>
      </c>
      <c r="D112" s="112">
        <f>3000</f>
        <v>3000</v>
      </c>
      <c r="E112" s="75"/>
      <c r="F112" s="83"/>
      <c r="G112" s="79"/>
      <c r="I112" s="75"/>
    </row>
    <row r="113" spans="1:9" s="5" customFormat="1" ht="16.5" customHeight="1" x14ac:dyDescent="0.2">
      <c r="A113" s="17">
        <v>852</v>
      </c>
      <c r="B113" s="25"/>
      <c r="C113" s="20" t="s">
        <v>52</v>
      </c>
      <c r="D113" s="110">
        <f>D114+D115</f>
        <v>39000</v>
      </c>
      <c r="E113" s="74"/>
      <c r="F113" s="83"/>
      <c r="G113" s="79"/>
      <c r="I113" s="74"/>
    </row>
    <row r="114" spans="1:9" s="5" customFormat="1" ht="16.5" customHeight="1" x14ac:dyDescent="0.2">
      <c r="A114" s="22"/>
      <c r="B114" s="24">
        <v>85203</v>
      </c>
      <c r="C114" s="23" t="s">
        <v>54</v>
      </c>
      <c r="D114" s="112">
        <v>32000</v>
      </c>
      <c r="E114" s="74"/>
      <c r="F114" s="83"/>
      <c r="G114" s="79"/>
      <c r="I114" s="74"/>
    </row>
    <row r="115" spans="1:9" s="5" customFormat="1" ht="16.5" customHeight="1" x14ac:dyDescent="0.2">
      <c r="A115" s="22"/>
      <c r="B115" s="24">
        <v>85295</v>
      </c>
      <c r="C115" s="23" t="s">
        <v>5</v>
      </c>
      <c r="D115" s="112">
        <f>7000</f>
        <v>7000</v>
      </c>
      <c r="E115" s="74"/>
      <c r="F115" s="83"/>
      <c r="G115" s="79"/>
      <c r="I115" s="74"/>
    </row>
    <row r="116" spans="1:9" s="6" customFormat="1" ht="16.5" customHeight="1" x14ac:dyDescent="0.2">
      <c r="A116" s="17">
        <v>853</v>
      </c>
      <c r="B116" s="18"/>
      <c r="C116" s="19" t="s">
        <v>34</v>
      </c>
      <c r="D116" s="110">
        <f>D117+D118</f>
        <v>97702</v>
      </c>
      <c r="E116" s="76"/>
      <c r="F116" s="83"/>
      <c r="G116" s="79"/>
      <c r="I116" s="76"/>
    </row>
    <row r="117" spans="1:9" s="7" customFormat="1" ht="16.5" customHeight="1" x14ac:dyDescent="0.2">
      <c r="A117" s="27"/>
      <c r="B117" s="28">
        <v>85311</v>
      </c>
      <c r="C117" s="29" t="s">
        <v>56</v>
      </c>
      <c r="D117" s="111">
        <f>12000</f>
        <v>12000</v>
      </c>
      <c r="E117" s="75"/>
      <c r="F117" s="83"/>
      <c r="G117" s="79"/>
      <c r="I117" s="75"/>
    </row>
    <row r="118" spans="1:9" s="7" customFormat="1" ht="16.5" customHeight="1" x14ac:dyDescent="0.2">
      <c r="A118" s="22"/>
      <c r="B118" s="24">
        <v>85395</v>
      </c>
      <c r="C118" s="23" t="s">
        <v>5</v>
      </c>
      <c r="D118" s="108">
        <f>60000+25702</f>
        <v>85702</v>
      </c>
      <c r="E118" s="75"/>
      <c r="F118" s="83"/>
      <c r="G118" s="79"/>
      <c r="I118" s="75"/>
    </row>
    <row r="119" spans="1:9" s="6" customFormat="1" ht="16.5" customHeight="1" x14ac:dyDescent="0.2">
      <c r="A119" s="17">
        <v>854</v>
      </c>
      <c r="B119" s="25"/>
      <c r="C119" s="20" t="s">
        <v>38</v>
      </c>
      <c r="D119" s="109">
        <f>D120</f>
        <v>199700</v>
      </c>
      <c r="E119" s="76"/>
      <c r="F119" s="83"/>
      <c r="G119" s="79"/>
      <c r="I119" s="76"/>
    </row>
    <row r="120" spans="1:9" s="6" customFormat="1" ht="16.5" customHeight="1" x14ac:dyDescent="0.2">
      <c r="A120" s="27"/>
      <c r="B120" s="28">
        <v>85495</v>
      </c>
      <c r="C120" s="44" t="s">
        <v>5</v>
      </c>
      <c r="D120" s="114">
        <f>17000+16500+110200+56000</f>
        <v>199700</v>
      </c>
      <c r="E120" s="76"/>
      <c r="F120" s="83"/>
      <c r="G120" s="79"/>
      <c r="I120" s="76"/>
    </row>
    <row r="121" spans="1:9" s="6" customFormat="1" ht="16.5" customHeight="1" x14ac:dyDescent="0.2">
      <c r="A121" s="30">
        <v>855</v>
      </c>
      <c r="B121" s="25"/>
      <c r="C121" s="20" t="s">
        <v>59</v>
      </c>
      <c r="D121" s="109">
        <f>D122</f>
        <v>130000</v>
      </c>
      <c r="E121" s="76"/>
      <c r="F121" s="83"/>
      <c r="G121" s="79"/>
      <c r="I121" s="76"/>
    </row>
    <row r="122" spans="1:9" s="6" customFormat="1" ht="16.5" customHeight="1" x14ac:dyDescent="0.2">
      <c r="A122" s="22"/>
      <c r="B122" s="42">
        <v>85516</v>
      </c>
      <c r="C122" s="23" t="s">
        <v>61</v>
      </c>
      <c r="D122" s="111">
        <f>65000+65000</f>
        <v>130000</v>
      </c>
      <c r="E122" s="76"/>
      <c r="F122" s="83"/>
      <c r="G122" s="79"/>
      <c r="I122" s="76"/>
    </row>
    <row r="123" spans="1:9" s="6" customFormat="1" ht="16.5" customHeight="1" x14ac:dyDescent="0.2">
      <c r="A123" s="30">
        <v>900</v>
      </c>
      <c r="B123" s="25"/>
      <c r="C123" s="46" t="s">
        <v>28</v>
      </c>
      <c r="D123" s="109">
        <f>D124+D125</f>
        <v>114000</v>
      </c>
      <c r="E123" s="76"/>
      <c r="F123" s="83"/>
      <c r="G123" s="79"/>
      <c r="I123" s="76"/>
    </row>
    <row r="124" spans="1:9" s="6" customFormat="1" ht="16.5" customHeight="1" x14ac:dyDescent="0.2">
      <c r="A124" s="22"/>
      <c r="B124" s="42">
        <v>90004</v>
      </c>
      <c r="C124" s="44" t="s">
        <v>33</v>
      </c>
      <c r="D124" s="108">
        <v>30000</v>
      </c>
      <c r="E124" s="76"/>
      <c r="F124" s="83"/>
      <c r="G124" s="79"/>
      <c r="I124" s="76"/>
    </row>
    <row r="125" spans="1:9" s="5" customFormat="1" ht="16.5" customHeight="1" x14ac:dyDescent="0.2">
      <c r="A125" s="22"/>
      <c r="B125" s="24">
        <v>90095</v>
      </c>
      <c r="C125" s="23" t="s">
        <v>5</v>
      </c>
      <c r="D125" s="108">
        <f>74000+10000</f>
        <v>84000</v>
      </c>
      <c r="E125" s="74"/>
      <c r="F125" s="83"/>
      <c r="G125" s="79"/>
      <c r="I125" s="74"/>
    </row>
    <row r="126" spans="1:9" s="6" customFormat="1" ht="16.5" customHeight="1" x14ac:dyDescent="0.2">
      <c r="A126" s="17">
        <v>921</v>
      </c>
      <c r="B126" s="25"/>
      <c r="C126" s="20" t="s">
        <v>42</v>
      </c>
      <c r="D126" s="110">
        <f>D127+D128+D129</f>
        <v>24200</v>
      </c>
      <c r="E126" s="76"/>
      <c r="F126" s="83"/>
      <c r="G126" s="79"/>
      <c r="I126" s="76"/>
    </row>
    <row r="127" spans="1:9" s="5" customFormat="1" ht="16.5" customHeight="1" x14ac:dyDescent="0.2">
      <c r="A127" s="22"/>
      <c r="B127" s="24">
        <v>92109</v>
      </c>
      <c r="C127" s="23" t="s">
        <v>43</v>
      </c>
      <c r="D127" s="112">
        <f>4200</f>
        <v>4200</v>
      </c>
      <c r="E127" s="74"/>
      <c r="F127" s="83"/>
      <c r="G127" s="79"/>
      <c r="I127" s="74"/>
    </row>
    <row r="128" spans="1:9" s="7" customFormat="1" ht="16.5" customHeight="1" x14ac:dyDescent="0.2">
      <c r="A128" s="22"/>
      <c r="B128" s="24">
        <v>92116</v>
      </c>
      <c r="C128" s="23" t="s">
        <v>44</v>
      </c>
      <c r="D128" s="108">
        <f>14000</f>
        <v>14000</v>
      </c>
      <c r="E128" s="75"/>
      <c r="F128" s="83"/>
      <c r="G128" s="79"/>
      <c r="I128" s="75"/>
    </row>
    <row r="129" spans="1:9" s="7" customFormat="1" ht="16.5" customHeight="1" x14ac:dyDescent="0.2">
      <c r="A129" s="22"/>
      <c r="B129" s="24">
        <v>92118</v>
      </c>
      <c r="C129" s="23" t="s">
        <v>45</v>
      </c>
      <c r="D129" s="108">
        <f>6000</f>
        <v>6000</v>
      </c>
      <c r="E129" s="75"/>
      <c r="F129" s="83"/>
      <c r="G129" s="79"/>
      <c r="I129" s="75"/>
    </row>
    <row r="130" spans="1:9" s="5" customFormat="1" ht="16.5" customHeight="1" x14ac:dyDescent="0.2">
      <c r="A130" s="17">
        <v>926</v>
      </c>
      <c r="B130" s="18"/>
      <c r="C130" s="21" t="s">
        <v>30</v>
      </c>
      <c r="D130" s="110">
        <f>D131</f>
        <v>30000</v>
      </c>
      <c r="E130" s="74"/>
      <c r="F130" s="83"/>
      <c r="G130" s="79"/>
      <c r="I130" s="74"/>
    </row>
    <row r="131" spans="1:9" s="5" customFormat="1" ht="16.5" customHeight="1" x14ac:dyDescent="0.2">
      <c r="A131" s="22"/>
      <c r="B131" s="15">
        <v>92601</v>
      </c>
      <c r="C131" s="31" t="s">
        <v>31</v>
      </c>
      <c r="D131" s="108">
        <v>30000</v>
      </c>
      <c r="E131" s="74"/>
      <c r="F131" s="83"/>
      <c r="G131" s="79"/>
      <c r="I131" s="74"/>
    </row>
    <row r="132" spans="1:9" s="6" customFormat="1" ht="18.75" customHeight="1" x14ac:dyDescent="0.2">
      <c r="A132" s="38"/>
      <c r="B132" s="39"/>
      <c r="C132" s="40" t="s">
        <v>9</v>
      </c>
      <c r="D132" s="116">
        <f>D133+D135+D137+D140+D146+D148+D151+D153+D157+D160+D164+D155+D144</f>
        <v>3622114</v>
      </c>
      <c r="E132" s="76"/>
      <c r="F132" s="83"/>
      <c r="G132" s="79"/>
      <c r="I132" s="76"/>
    </row>
    <row r="133" spans="1:9" s="6" customFormat="1" ht="16.5" customHeight="1" x14ac:dyDescent="0.2">
      <c r="A133" s="11">
        <v>600</v>
      </c>
      <c r="B133" s="12"/>
      <c r="C133" s="13" t="s">
        <v>3</v>
      </c>
      <c r="D133" s="107">
        <f>D134</f>
        <v>981301</v>
      </c>
      <c r="E133" s="76"/>
      <c r="F133" s="83"/>
      <c r="G133" s="79"/>
      <c r="I133" s="76"/>
    </row>
    <row r="134" spans="1:9" s="6" customFormat="1" ht="16.5" customHeight="1" x14ac:dyDescent="0.2">
      <c r="A134" s="14"/>
      <c r="B134" s="15">
        <v>60016</v>
      </c>
      <c r="C134" s="16" t="s">
        <v>4</v>
      </c>
      <c r="D134" s="108">
        <v>981301</v>
      </c>
      <c r="E134" s="76"/>
      <c r="F134" s="83"/>
      <c r="G134" s="79"/>
      <c r="I134" s="76"/>
    </row>
    <row r="135" spans="1:9" s="6" customFormat="1" ht="16.5" customHeight="1" x14ac:dyDescent="0.2">
      <c r="A135" s="17">
        <v>710</v>
      </c>
      <c r="B135" s="18"/>
      <c r="C135" s="19" t="s">
        <v>57</v>
      </c>
      <c r="D135" s="109">
        <f>D136</f>
        <v>4000</v>
      </c>
      <c r="E135" s="76"/>
      <c r="F135" s="83"/>
      <c r="G135" s="79"/>
      <c r="I135" s="76"/>
    </row>
    <row r="136" spans="1:9" s="6" customFormat="1" ht="16.5" customHeight="1" x14ac:dyDescent="0.2">
      <c r="A136" s="52"/>
      <c r="B136" s="42">
        <v>71035</v>
      </c>
      <c r="C136" s="43" t="s">
        <v>58</v>
      </c>
      <c r="D136" s="114">
        <v>4000</v>
      </c>
      <c r="E136" s="76"/>
      <c r="F136" s="83"/>
      <c r="G136" s="79"/>
      <c r="I136" s="76"/>
    </row>
    <row r="137" spans="1:9" s="6" customFormat="1" ht="16.5" customHeight="1" x14ac:dyDescent="0.2">
      <c r="A137" s="17">
        <v>750</v>
      </c>
      <c r="B137" s="18"/>
      <c r="C137" s="19" t="s">
        <v>50</v>
      </c>
      <c r="D137" s="110">
        <f>D139+D138</f>
        <v>45500</v>
      </c>
      <c r="E137" s="76"/>
      <c r="F137" s="83"/>
      <c r="G137" s="79"/>
      <c r="I137" s="76"/>
    </row>
    <row r="138" spans="1:9" s="6" customFormat="1" ht="16.5" customHeight="1" x14ac:dyDescent="0.2">
      <c r="A138" s="22"/>
      <c r="B138" s="15">
        <v>75022</v>
      </c>
      <c r="C138" s="16" t="s">
        <v>51</v>
      </c>
      <c r="D138" s="112">
        <f>5000</f>
        <v>5000</v>
      </c>
      <c r="E138" s="76"/>
      <c r="F138" s="83"/>
      <c r="G138" s="79"/>
      <c r="I138" s="76"/>
    </row>
    <row r="139" spans="1:9" s="7" customFormat="1" ht="16.5" customHeight="1" x14ac:dyDescent="0.2">
      <c r="A139" s="17"/>
      <c r="B139" s="18">
        <v>75095</v>
      </c>
      <c r="C139" s="103" t="s">
        <v>5</v>
      </c>
      <c r="D139" s="118">
        <f>39500+1000</f>
        <v>40500</v>
      </c>
      <c r="E139" s="75"/>
      <c r="F139" s="83"/>
      <c r="G139" s="79"/>
      <c r="I139" s="75"/>
    </row>
    <row r="140" spans="1:9" s="7" customFormat="1" ht="16.5" customHeight="1" x14ac:dyDescent="0.2">
      <c r="A140" s="11">
        <v>754</v>
      </c>
      <c r="B140" s="33"/>
      <c r="C140" s="102" t="s">
        <v>39</v>
      </c>
      <c r="D140" s="119">
        <f>D141+D142+D143</f>
        <v>123550</v>
      </c>
      <c r="E140" s="75"/>
      <c r="F140" s="83"/>
      <c r="G140" s="79"/>
      <c r="I140" s="75"/>
    </row>
    <row r="141" spans="1:9" s="7" customFormat="1" ht="16.5" customHeight="1" x14ac:dyDescent="0.2">
      <c r="A141" s="22"/>
      <c r="B141" s="15">
        <v>75405</v>
      </c>
      <c r="C141" s="16" t="s">
        <v>40</v>
      </c>
      <c r="D141" s="112">
        <f>77050</f>
        <v>77050</v>
      </c>
      <c r="E141" s="75"/>
      <c r="F141" s="83"/>
      <c r="G141" s="79"/>
      <c r="I141" s="75"/>
    </row>
    <row r="142" spans="1:9" s="7" customFormat="1" ht="16.5" customHeight="1" x14ac:dyDescent="0.2">
      <c r="A142" s="22"/>
      <c r="B142" s="15">
        <v>75411</v>
      </c>
      <c r="C142" s="16" t="s">
        <v>55</v>
      </c>
      <c r="D142" s="112">
        <f>25000</f>
        <v>25000</v>
      </c>
      <c r="E142" s="75"/>
      <c r="F142" s="83"/>
      <c r="G142" s="79"/>
      <c r="I142" s="75"/>
    </row>
    <row r="143" spans="1:9" s="7" customFormat="1" ht="16.5" customHeight="1" x14ac:dyDescent="0.2">
      <c r="A143" s="22"/>
      <c r="B143" s="15">
        <v>75416</v>
      </c>
      <c r="C143" s="16" t="s">
        <v>41</v>
      </c>
      <c r="D143" s="112">
        <v>21500</v>
      </c>
      <c r="E143" s="75"/>
      <c r="F143" s="83"/>
      <c r="G143" s="79"/>
      <c r="I143" s="75"/>
    </row>
    <row r="144" spans="1:9" s="136" customFormat="1" ht="16.5" customHeight="1" x14ac:dyDescent="0.2">
      <c r="A144" s="63">
        <v>758</v>
      </c>
      <c r="B144" s="138"/>
      <c r="C144" s="19" t="s">
        <v>25</v>
      </c>
      <c r="D144" s="110">
        <f>D145</f>
        <v>563963</v>
      </c>
      <c r="E144" s="134"/>
      <c r="F144" s="83"/>
      <c r="G144" s="135"/>
      <c r="I144" s="137"/>
    </row>
    <row r="145" spans="1:9" s="136" customFormat="1" ht="16.5" customHeight="1" x14ac:dyDescent="0.2">
      <c r="A145" s="96"/>
      <c r="B145" s="58">
        <v>75818</v>
      </c>
      <c r="C145" s="26" t="s">
        <v>26</v>
      </c>
      <c r="D145" s="111">
        <f>563963</f>
        <v>563963</v>
      </c>
      <c r="E145" s="134"/>
      <c r="F145" s="83"/>
      <c r="G145" s="135"/>
      <c r="I145" s="137"/>
    </row>
    <row r="146" spans="1:9" s="5" customFormat="1" ht="16.5" customHeight="1" x14ac:dyDescent="0.2">
      <c r="A146" s="17">
        <v>801</v>
      </c>
      <c r="B146" s="18"/>
      <c r="C146" s="21" t="s">
        <v>27</v>
      </c>
      <c r="D146" s="110">
        <f>D147</f>
        <v>711700</v>
      </c>
      <c r="E146" s="74"/>
      <c r="F146" s="83"/>
      <c r="G146" s="79"/>
      <c r="I146" s="74"/>
    </row>
    <row r="147" spans="1:9" s="5" customFormat="1" ht="16.5" customHeight="1" x14ac:dyDescent="0.2">
      <c r="A147" s="22"/>
      <c r="B147" s="24">
        <v>80195</v>
      </c>
      <c r="C147" s="23" t="s">
        <v>5</v>
      </c>
      <c r="D147" s="112">
        <f>70600+39800+70000+15000+40600+50600+40000+42600+66500+82700+59000+50700+47000+36600</f>
        <v>711700</v>
      </c>
      <c r="E147" s="74"/>
      <c r="F147" s="83"/>
      <c r="G147" s="79"/>
      <c r="I147" s="74"/>
    </row>
    <row r="148" spans="1:9" s="6" customFormat="1" ht="16.5" customHeight="1" x14ac:dyDescent="0.2">
      <c r="A148" s="17">
        <v>852</v>
      </c>
      <c r="B148" s="25"/>
      <c r="C148" s="20" t="s">
        <v>52</v>
      </c>
      <c r="D148" s="110">
        <f>D149+D150</f>
        <v>41000</v>
      </c>
      <c r="E148" s="76"/>
      <c r="F148" s="83"/>
      <c r="G148" s="79"/>
      <c r="I148" s="76"/>
    </row>
    <row r="149" spans="1:9" s="6" customFormat="1" ht="16.5" customHeight="1" x14ac:dyDescent="0.2">
      <c r="A149" s="22"/>
      <c r="B149" s="24">
        <v>85203</v>
      </c>
      <c r="C149" s="47" t="s">
        <v>54</v>
      </c>
      <c r="D149" s="112">
        <v>15000</v>
      </c>
      <c r="E149" s="76"/>
      <c r="F149" s="83"/>
      <c r="G149" s="79"/>
      <c r="I149" s="76"/>
    </row>
    <row r="150" spans="1:9" s="6" customFormat="1" ht="16.5" customHeight="1" x14ac:dyDescent="0.2">
      <c r="A150" s="22"/>
      <c r="B150" s="24">
        <v>85295</v>
      </c>
      <c r="C150" s="23" t="s">
        <v>5</v>
      </c>
      <c r="D150" s="112">
        <f>26000</f>
        <v>26000</v>
      </c>
      <c r="E150" s="76"/>
      <c r="F150" s="83"/>
      <c r="G150" s="79"/>
      <c r="I150" s="76"/>
    </row>
    <row r="151" spans="1:9" s="6" customFormat="1" ht="16.5" customHeight="1" x14ac:dyDescent="0.2">
      <c r="A151" s="17">
        <v>853</v>
      </c>
      <c r="B151" s="18"/>
      <c r="C151" s="19" t="s">
        <v>34</v>
      </c>
      <c r="D151" s="110">
        <f>D152</f>
        <v>177000</v>
      </c>
      <c r="E151" s="76"/>
      <c r="F151" s="83"/>
      <c r="G151" s="79"/>
      <c r="I151" s="76"/>
    </row>
    <row r="152" spans="1:9" s="6" customFormat="1" ht="16.5" customHeight="1" x14ac:dyDescent="0.2">
      <c r="A152" s="22"/>
      <c r="B152" s="24">
        <v>85395</v>
      </c>
      <c r="C152" s="23" t="s">
        <v>5</v>
      </c>
      <c r="D152" s="108">
        <f>75000+90000+12000</f>
        <v>177000</v>
      </c>
      <c r="E152" s="76"/>
      <c r="F152" s="83"/>
      <c r="G152" s="79"/>
      <c r="I152" s="76"/>
    </row>
    <row r="153" spans="1:9" s="6" customFormat="1" ht="16.5" customHeight="1" x14ac:dyDescent="0.2">
      <c r="A153" s="17">
        <v>854</v>
      </c>
      <c r="B153" s="25"/>
      <c r="C153" s="20" t="s">
        <v>38</v>
      </c>
      <c r="D153" s="109">
        <f>D154</f>
        <v>155800</v>
      </c>
      <c r="E153" s="76"/>
      <c r="F153" s="83"/>
      <c r="G153" s="79"/>
      <c r="I153" s="76"/>
    </row>
    <row r="154" spans="1:9" s="5" customFormat="1" ht="16.5" customHeight="1" x14ac:dyDescent="0.2">
      <c r="A154" s="22"/>
      <c r="B154" s="24">
        <v>85495</v>
      </c>
      <c r="C154" s="23" t="s">
        <v>5</v>
      </c>
      <c r="D154" s="108">
        <f>32000+123800</f>
        <v>155800</v>
      </c>
      <c r="E154" s="74"/>
      <c r="F154" s="83"/>
      <c r="G154" s="79"/>
      <c r="I154" s="74"/>
    </row>
    <row r="155" spans="1:9" s="5" customFormat="1" ht="16.5" customHeight="1" x14ac:dyDescent="0.2">
      <c r="A155" s="30">
        <v>855</v>
      </c>
      <c r="B155" s="25"/>
      <c r="C155" s="20" t="s">
        <v>59</v>
      </c>
      <c r="D155" s="109">
        <f>D156</f>
        <v>20000</v>
      </c>
      <c r="E155" s="74"/>
      <c r="F155" s="83"/>
      <c r="G155" s="79"/>
      <c r="I155" s="74"/>
    </row>
    <row r="156" spans="1:9" s="5" customFormat="1" ht="16.5" customHeight="1" x14ac:dyDescent="0.2">
      <c r="A156" s="22"/>
      <c r="B156" s="42">
        <v>85516</v>
      </c>
      <c r="C156" s="23" t="s">
        <v>61</v>
      </c>
      <c r="D156" s="108">
        <f>20000</f>
        <v>20000</v>
      </c>
      <c r="E156" s="74"/>
      <c r="F156" s="83"/>
      <c r="G156" s="79"/>
      <c r="I156" s="74"/>
    </row>
    <row r="157" spans="1:9" s="7" customFormat="1" ht="16.5" customHeight="1" x14ac:dyDescent="0.2">
      <c r="A157" s="30">
        <v>900</v>
      </c>
      <c r="B157" s="25"/>
      <c r="C157" s="20" t="s">
        <v>28</v>
      </c>
      <c r="D157" s="109">
        <f>D158+D159</f>
        <v>550800</v>
      </c>
      <c r="E157" s="75"/>
      <c r="F157" s="83"/>
      <c r="G157" s="79"/>
      <c r="I157" s="75"/>
    </row>
    <row r="158" spans="1:9" s="6" customFormat="1" ht="16.5" customHeight="1" x14ac:dyDescent="0.2">
      <c r="A158" s="48"/>
      <c r="B158" s="15">
        <v>90015</v>
      </c>
      <c r="C158" s="23" t="s">
        <v>29</v>
      </c>
      <c r="D158" s="108">
        <f>45000+38000+23800+60000+9000+110000</f>
        <v>285800</v>
      </c>
      <c r="E158" s="76"/>
      <c r="F158" s="83"/>
      <c r="G158" s="79"/>
      <c r="I158" s="76"/>
    </row>
    <row r="159" spans="1:9" s="6" customFormat="1" ht="16.5" customHeight="1" x14ac:dyDescent="0.2">
      <c r="A159" s="22"/>
      <c r="B159" s="15">
        <v>90095</v>
      </c>
      <c r="C159" s="23" t="s">
        <v>5</v>
      </c>
      <c r="D159" s="112">
        <v>265000</v>
      </c>
      <c r="E159" s="76"/>
      <c r="F159" s="83"/>
      <c r="G159" s="79"/>
      <c r="I159" s="76"/>
    </row>
    <row r="160" spans="1:9" s="6" customFormat="1" ht="16.5" customHeight="1" x14ac:dyDescent="0.2">
      <c r="A160" s="17">
        <v>921</v>
      </c>
      <c r="B160" s="25"/>
      <c r="C160" s="20" t="s">
        <v>42</v>
      </c>
      <c r="D160" s="110">
        <f>D161+D162+D163</f>
        <v>62500</v>
      </c>
      <c r="E160" s="76"/>
      <c r="F160" s="83"/>
      <c r="G160" s="79"/>
      <c r="I160" s="76"/>
    </row>
    <row r="161" spans="1:9" s="6" customFormat="1" ht="16.5" customHeight="1" x14ac:dyDescent="0.2">
      <c r="A161" s="22"/>
      <c r="B161" s="24">
        <v>92109</v>
      </c>
      <c r="C161" s="23" t="s">
        <v>43</v>
      </c>
      <c r="D161" s="112">
        <f>20000</f>
        <v>20000</v>
      </c>
      <c r="E161" s="76"/>
      <c r="F161" s="83"/>
      <c r="G161" s="79"/>
      <c r="I161" s="76"/>
    </row>
    <row r="162" spans="1:9" s="6" customFormat="1" ht="16.5" customHeight="1" x14ac:dyDescent="0.2">
      <c r="A162" s="22"/>
      <c r="B162" s="24">
        <v>92116</v>
      </c>
      <c r="C162" s="47" t="s">
        <v>44</v>
      </c>
      <c r="D162" s="112">
        <f>20000</f>
        <v>20000</v>
      </c>
      <c r="E162" s="76"/>
      <c r="F162" s="83"/>
      <c r="G162" s="79"/>
      <c r="I162" s="76"/>
    </row>
    <row r="163" spans="1:9" s="5" customFormat="1" ht="16.5" customHeight="1" x14ac:dyDescent="0.2">
      <c r="A163" s="22"/>
      <c r="B163" s="24">
        <v>92118</v>
      </c>
      <c r="C163" s="23" t="s">
        <v>45</v>
      </c>
      <c r="D163" s="108">
        <f>22500</f>
        <v>22500</v>
      </c>
      <c r="E163" s="74"/>
      <c r="F163" s="83"/>
      <c r="G163" s="79"/>
      <c r="I163" s="74"/>
    </row>
    <row r="164" spans="1:9" s="6" customFormat="1" ht="16.5" customHeight="1" x14ac:dyDescent="0.2">
      <c r="A164" s="17">
        <v>926</v>
      </c>
      <c r="B164" s="18"/>
      <c r="C164" s="21" t="s">
        <v>30</v>
      </c>
      <c r="D164" s="110">
        <f>D165</f>
        <v>185000</v>
      </c>
      <c r="E164" s="76"/>
      <c r="F164" s="83"/>
      <c r="G164" s="79"/>
      <c r="I164" s="76"/>
    </row>
    <row r="165" spans="1:9" s="6" customFormat="1" ht="16.5" customHeight="1" x14ac:dyDescent="0.2">
      <c r="A165" s="27"/>
      <c r="B165" s="42">
        <v>92601</v>
      </c>
      <c r="C165" s="49" t="s">
        <v>31</v>
      </c>
      <c r="D165" s="114">
        <v>185000</v>
      </c>
      <c r="E165" s="76"/>
      <c r="F165" s="83"/>
      <c r="G165" s="79"/>
      <c r="I165" s="76"/>
    </row>
    <row r="166" spans="1:9" s="6" customFormat="1" ht="18.75" customHeight="1" x14ac:dyDescent="0.2">
      <c r="A166" s="38"/>
      <c r="B166" s="39"/>
      <c r="C166" s="40" t="s">
        <v>10</v>
      </c>
      <c r="D166" s="116">
        <f>D167+D169+D172+D176+D178+D180+D183+D185+D187+D190+D193</f>
        <v>4956937</v>
      </c>
      <c r="E166" s="76"/>
      <c r="F166" s="83"/>
      <c r="G166" s="79"/>
      <c r="I166" s="76"/>
    </row>
    <row r="167" spans="1:9" s="6" customFormat="1" ht="16.5" customHeight="1" x14ac:dyDescent="0.2">
      <c r="A167" s="11">
        <v>600</v>
      </c>
      <c r="B167" s="12"/>
      <c r="C167" s="13" t="s">
        <v>3</v>
      </c>
      <c r="D167" s="107">
        <f>D168</f>
        <v>2267629</v>
      </c>
      <c r="E167" s="76"/>
      <c r="F167" s="83"/>
      <c r="G167" s="79"/>
      <c r="I167" s="76"/>
    </row>
    <row r="168" spans="1:9" s="7" customFormat="1" ht="16.5" customHeight="1" x14ac:dyDescent="0.2">
      <c r="A168" s="14"/>
      <c r="B168" s="15">
        <v>60016</v>
      </c>
      <c r="C168" s="50" t="s">
        <v>4</v>
      </c>
      <c r="D168" s="108">
        <f>1762629+505000</f>
        <v>2267629</v>
      </c>
      <c r="E168" s="75"/>
      <c r="F168" s="83"/>
      <c r="G168" s="79"/>
      <c r="I168" s="75"/>
    </row>
    <row r="169" spans="1:9" s="7" customFormat="1" ht="16.5" customHeight="1" x14ac:dyDescent="0.2">
      <c r="A169" s="17">
        <v>750</v>
      </c>
      <c r="B169" s="18"/>
      <c r="C169" s="19" t="s">
        <v>50</v>
      </c>
      <c r="D169" s="110">
        <f>D170+D171</f>
        <v>195200</v>
      </c>
      <c r="E169" s="75"/>
      <c r="F169" s="83"/>
      <c r="G169" s="79"/>
      <c r="I169" s="75"/>
    </row>
    <row r="170" spans="1:9" s="7" customFormat="1" ht="16.5" customHeight="1" x14ac:dyDescent="0.2">
      <c r="A170" s="22"/>
      <c r="B170" s="15">
        <v>75022</v>
      </c>
      <c r="C170" s="16" t="s">
        <v>51</v>
      </c>
      <c r="D170" s="112">
        <f>16800+2000+80000+1200+1500+10000</f>
        <v>111500</v>
      </c>
      <c r="E170" s="75"/>
      <c r="F170" s="83"/>
      <c r="G170" s="79"/>
      <c r="I170" s="75"/>
    </row>
    <row r="171" spans="1:9" s="7" customFormat="1" ht="16.5" customHeight="1" x14ac:dyDescent="0.2">
      <c r="A171" s="22"/>
      <c r="B171" s="15">
        <v>75095</v>
      </c>
      <c r="C171" s="50" t="s">
        <v>5</v>
      </c>
      <c r="D171" s="112">
        <f>2000+300+23400+58000</f>
        <v>83700</v>
      </c>
      <c r="E171" s="75"/>
      <c r="F171" s="83"/>
      <c r="G171" s="79"/>
      <c r="I171" s="75"/>
    </row>
    <row r="172" spans="1:9" s="7" customFormat="1" ht="16.5" customHeight="1" x14ac:dyDescent="0.2">
      <c r="A172" s="17">
        <v>754</v>
      </c>
      <c r="B172" s="18"/>
      <c r="C172" s="20" t="s">
        <v>39</v>
      </c>
      <c r="D172" s="110">
        <f>D173+D174+D175</f>
        <v>102200</v>
      </c>
      <c r="E172" s="75"/>
      <c r="F172" s="83"/>
      <c r="G172" s="79"/>
      <c r="I172" s="75"/>
    </row>
    <row r="173" spans="1:9" s="7" customFormat="1" ht="16.5" customHeight="1" x14ac:dyDescent="0.2">
      <c r="A173" s="22"/>
      <c r="B173" s="15">
        <v>75405</v>
      </c>
      <c r="C173" s="16" t="s">
        <v>40</v>
      </c>
      <c r="D173" s="112">
        <f>87200</f>
        <v>87200</v>
      </c>
      <c r="E173" s="75"/>
      <c r="F173" s="83"/>
      <c r="G173" s="79"/>
      <c r="I173" s="75"/>
    </row>
    <row r="174" spans="1:9" s="5" customFormat="1" ht="16.5" customHeight="1" x14ac:dyDescent="0.2">
      <c r="A174" s="22"/>
      <c r="B174" s="15">
        <v>75411</v>
      </c>
      <c r="C174" s="16" t="s">
        <v>55</v>
      </c>
      <c r="D174" s="112">
        <f>2000</f>
        <v>2000</v>
      </c>
      <c r="E174" s="74"/>
      <c r="F174" s="83"/>
      <c r="G174" s="79"/>
      <c r="I174" s="74"/>
    </row>
    <row r="175" spans="1:9" s="5" customFormat="1" ht="16.5" customHeight="1" x14ac:dyDescent="0.2">
      <c r="A175" s="22"/>
      <c r="B175" s="15">
        <v>75416</v>
      </c>
      <c r="C175" s="16" t="s">
        <v>41</v>
      </c>
      <c r="D175" s="112">
        <v>13000</v>
      </c>
      <c r="E175" s="74"/>
      <c r="F175" s="83"/>
      <c r="G175" s="79"/>
      <c r="I175" s="74"/>
    </row>
    <row r="176" spans="1:9" s="7" customFormat="1" ht="16.5" customHeight="1" x14ac:dyDescent="0.2">
      <c r="A176" s="17">
        <v>758</v>
      </c>
      <c r="B176" s="18"/>
      <c r="C176" s="21" t="s">
        <v>25</v>
      </c>
      <c r="D176" s="110">
        <f>D177</f>
        <v>841795</v>
      </c>
      <c r="E176" s="75"/>
      <c r="F176" s="83"/>
      <c r="G176" s="79"/>
      <c r="I176" s="75"/>
    </row>
    <row r="177" spans="1:9" s="6" customFormat="1" ht="16.5" customHeight="1" x14ac:dyDescent="0.2">
      <c r="A177" s="22"/>
      <c r="B177" s="15">
        <v>75818</v>
      </c>
      <c r="C177" s="23" t="s">
        <v>26</v>
      </c>
      <c r="D177" s="111">
        <f>4185142-D167-D169-D172-D178-D180-D183-D185-D187-D190-D193+771795</f>
        <v>841795</v>
      </c>
      <c r="E177" s="76"/>
      <c r="F177" s="83"/>
      <c r="G177" s="79"/>
      <c r="I177" s="76"/>
    </row>
    <row r="178" spans="1:9" s="7" customFormat="1" ht="16.5" customHeight="1" x14ac:dyDescent="0.2">
      <c r="A178" s="17">
        <v>801</v>
      </c>
      <c r="B178" s="18"/>
      <c r="C178" s="21" t="s">
        <v>27</v>
      </c>
      <c r="D178" s="110">
        <f>D179</f>
        <v>343000</v>
      </c>
      <c r="E178" s="75"/>
      <c r="F178" s="83"/>
      <c r="G178" s="79"/>
      <c r="I178" s="75"/>
    </row>
    <row r="179" spans="1:9" s="7" customFormat="1" ht="16.5" customHeight="1" x14ac:dyDescent="0.2">
      <c r="A179" s="22"/>
      <c r="B179" s="24">
        <v>80195</v>
      </c>
      <c r="C179" s="23" t="s">
        <v>5</v>
      </c>
      <c r="D179" s="112">
        <f>50000+20000+70000+13000+50000+70000+50000+20000</f>
        <v>343000</v>
      </c>
      <c r="E179" s="75"/>
      <c r="F179" s="83"/>
      <c r="G179" s="79"/>
      <c r="I179" s="75"/>
    </row>
    <row r="180" spans="1:9" s="6" customFormat="1" ht="16.5" customHeight="1" x14ac:dyDescent="0.2">
      <c r="A180" s="17">
        <v>852</v>
      </c>
      <c r="B180" s="25"/>
      <c r="C180" s="20" t="s">
        <v>52</v>
      </c>
      <c r="D180" s="110">
        <f>D181+D182</f>
        <v>16000</v>
      </c>
      <c r="E180" s="76"/>
      <c r="F180" s="83"/>
      <c r="G180" s="79"/>
      <c r="I180" s="76"/>
    </row>
    <row r="181" spans="1:9" s="6" customFormat="1" ht="16.5" customHeight="1" x14ac:dyDescent="0.2">
      <c r="A181" s="27"/>
      <c r="B181" s="28">
        <v>85203</v>
      </c>
      <c r="C181" s="44" t="s">
        <v>54</v>
      </c>
      <c r="D181" s="111">
        <v>2000</v>
      </c>
      <c r="E181" s="76"/>
      <c r="F181" s="83"/>
      <c r="G181" s="79"/>
      <c r="I181" s="76"/>
    </row>
    <row r="182" spans="1:9" s="6" customFormat="1" ht="16.5" customHeight="1" x14ac:dyDescent="0.2">
      <c r="A182" s="22"/>
      <c r="B182" s="24">
        <v>85295</v>
      </c>
      <c r="C182" s="23" t="s">
        <v>5</v>
      </c>
      <c r="D182" s="112">
        <f>14000</f>
        <v>14000</v>
      </c>
      <c r="E182" s="76"/>
      <c r="F182" s="83"/>
      <c r="G182" s="79"/>
      <c r="I182" s="76"/>
    </row>
    <row r="183" spans="1:9" s="6" customFormat="1" ht="16.5" customHeight="1" x14ac:dyDescent="0.2">
      <c r="A183" s="17">
        <v>853</v>
      </c>
      <c r="B183" s="18"/>
      <c r="C183" s="19" t="s">
        <v>34</v>
      </c>
      <c r="D183" s="109">
        <f>D184</f>
        <v>260000</v>
      </c>
      <c r="E183" s="76"/>
      <c r="F183" s="83"/>
      <c r="G183" s="79"/>
      <c r="I183" s="76"/>
    </row>
    <row r="184" spans="1:9" s="6" customFormat="1" ht="16.5" customHeight="1" x14ac:dyDescent="0.2">
      <c r="A184" s="27"/>
      <c r="B184" s="28">
        <v>85395</v>
      </c>
      <c r="C184" s="44" t="s">
        <v>5</v>
      </c>
      <c r="D184" s="114">
        <f>182000+50000+12000+16000</f>
        <v>260000</v>
      </c>
      <c r="E184" s="76"/>
      <c r="F184" s="83"/>
      <c r="G184" s="79"/>
      <c r="I184" s="76"/>
    </row>
    <row r="185" spans="1:9" s="5" customFormat="1" ht="16.5" customHeight="1" x14ac:dyDescent="0.2">
      <c r="A185" s="30">
        <v>855</v>
      </c>
      <c r="B185" s="25"/>
      <c r="C185" s="20" t="s">
        <v>59</v>
      </c>
      <c r="D185" s="109">
        <f>D186</f>
        <v>100000</v>
      </c>
      <c r="E185" s="74"/>
      <c r="F185" s="83"/>
      <c r="G185" s="79"/>
      <c r="I185" s="74"/>
    </row>
    <row r="186" spans="1:9" s="6" customFormat="1" ht="16.5" customHeight="1" x14ac:dyDescent="0.2">
      <c r="A186" s="17"/>
      <c r="B186" s="18">
        <v>85516</v>
      </c>
      <c r="C186" s="100" t="s">
        <v>61</v>
      </c>
      <c r="D186" s="118">
        <f>60000+40000</f>
        <v>100000</v>
      </c>
      <c r="E186" s="76"/>
      <c r="F186" s="83"/>
      <c r="G186" s="79"/>
      <c r="I186" s="76"/>
    </row>
    <row r="187" spans="1:9" s="5" customFormat="1" ht="16.5" customHeight="1" x14ac:dyDescent="0.2">
      <c r="A187" s="105">
        <v>900</v>
      </c>
      <c r="B187" s="104"/>
      <c r="C187" s="102" t="s">
        <v>28</v>
      </c>
      <c r="D187" s="107">
        <f>D188+D189</f>
        <v>288000</v>
      </c>
      <c r="E187" s="74"/>
      <c r="F187" s="83"/>
      <c r="G187" s="79"/>
      <c r="I187" s="74"/>
    </row>
    <row r="188" spans="1:9" s="6" customFormat="1" ht="16.5" customHeight="1" x14ac:dyDescent="0.2">
      <c r="A188" s="48"/>
      <c r="B188" s="42">
        <v>90004</v>
      </c>
      <c r="C188" s="44" t="s">
        <v>33</v>
      </c>
      <c r="D188" s="114">
        <f>6500+191500</f>
        <v>198000</v>
      </c>
      <c r="E188" s="76"/>
      <c r="F188" s="83"/>
      <c r="G188" s="79"/>
      <c r="I188" s="76"/>
    </row>
    <row r="189" spans="1:9" s="6" customFormat="1" ht="16.5" customHeight="1" x14ac:dyDescent="0.2">
      <c r="A189" s="22"/>
      <c r="B189" s="15">
        <v>90095</v>
      </c>
      <c r="C189" s="23" t="s">
        <v>5</v>
      </c>
      <c r="D189" s="112">
        <v>90000</v>
      </c>
      <c r="E189" s="76"/>
      <c r="F189" s="83"/>
      <c r="G189" s="79"/>
      <c r="I189" s="76"/>
    </row>
    <row r="190" spans="1:9" s="6" customFormat="1" ht="16.5" customHeight="1" x14ac:dyDescent="0.2">
      <c r="A190" s="17">
        <v>921</v>
      </c>
      <c r="B190" s="25"/>
      <c r="C190" s="20" t="s">
        <v>42</v>
      </c>
      <c r="D190" s="110">
        <f>D191+D192</f>
        <v>509113</v>
      </c>
      <c r="E190" s="76"/>
      <c r="F190" s="83"/>
      <c r="G190" s="79"/>
      <c r="I190" s="76"/>
    </row>
    <row r="191" spans="1:9" s="6" customFormat="1" ht="16.5" customHeight="1" x14ac:dyDescent="0.2">
      <c r="A191" s="22"/>
      <c r="B191" s="24">
        <v>92109</v>
      </c>
      <c r="C191" s="23" t="s">
        <v>43</v>
      </c>
      <c r="D191" s="112">
        <f>493113</f>
        <v>493113</v>
      </c>
      <c r="E191" s="76"/>
      <c r="F191" s="83"/>
      <c r="G191" s="79"/>
      <c r="I191" s="76"/>
    </row>
    <row r="192" spans="1:9" s="6" customFormat="1" ht="16.5" customHeight="1" x14ac:dyDescent="0.2">
      <c r="A192" s="22"/>
      <c r="B192" s="24">
        <v>92116</v>
      </c>
      <c r="C192" s="23" t="s">
        <v>44</v>
      </c>
      <c r="D192" s="112">
        <f>16000</f>
        <v>16000</v>
      </c>
      <c r="E192" s="76"/>
      <c r="F192" s="83"/>
      <c r="G192" s="79"/>
      <c r="I192" s="76"/>
    </row>
    <row r="193" spans="1:9" s="6" customFormat="1" ht="16.5" customHeight="1" x14ac:dyDescent="0.2">
      <c r="A193" s="17">
        <v>926</v>
      </c>
      <c r="B193" s="18"/>
      <c r="C193" s="21" t="s">
        <v>30</v>
      </c>
      <c r="D193" s="110">
        <f>D194</f>
        <v>34000</v>
      </c>
      <c r="E193" s="76"/>
      <c r="F193" s="83"/>
      <c r="G193" s="79"/>
      <c r="I193" s="76"/>
    </row>
    <row r="194" spans="1:9" s="6" customFormat="1" ht="16.5" customHeight="1" x14ac:dyDescent="0.2">
      <c r="A194" s="11"/>
      <c r="B194" s="33">
        <v>92601</v>
      </c>
      <c r="C194" s="51" t="s">
        <v>31</v>
      </c>
      <c r="D194" s="120">
        <v>34000</v>
      </c>
      <c r="E194" s="76"/>
      <c r="F194" s="83"/>
      <c r="G194" s="79"/>
      <c r="I194" s="76"/>
    </row>
    <row r="195" spans="1:9" s="7" customFormat="1" ht="18.75" customHeight="1" x14ac:dyDescent="0.2">
      <c r="A195" s="38"/>
      <c r="B195" s="39"/>
      <c r="C195" s="40" t="s">
        <v>11</v>
      </c>
      <c r="D195" s="116">
        <f>D196+D198+D200+D204+D206+D208+D211+D214+D216+D220+D224</f>
        <v>2833120</v>
      </c>
      <c r="E195" s="75"/>
      <c r="F195" s="83"/>
      <c r="G195" s="79"/>
      <c r="I195" s="75"/>
    </row>
    <row r="196" spans="1:9" s="7" customFormat="1" ht="16.5" customHeight="1" x14ac:dyDescent="0.2">
      <c r="A196" s="11">
        <v>600</v>
      </c>
      <c r="B196" s="12"/>
      <c r="C196" s="13" t="s">
        <v>3</v>
      </c>
      <c r="D196" s="107">
        <f>D197</f>
        <v>726961</v>
      </c>
      <c r="E196" s="75"/>
      <c r="F196" s="83"/>
      <c r="G196" s="79"/>
      <c r="I196" s="75"/>
    </row>
    <row r="197" spans="1:9" s="7" customFormat="1" ht="16.5" customHeight="1" x14ac:dyDescent="0.2">
      <c r="A197" s="52"/>
      <c r="B197" s="42">
        <v>60016</v>
      </c>
      <c r="C197" s="43" t="s">
        <v>4</v>
      </c>
      <c r="D197" s="114">
        <f>726961</f>
        <v>726961</v>
      </c>
      <c r="E197" s="75"/>
      <c r="F197" s="83"/>
      <c r="G197" s="79"/>
      <c r="I197" s="75"/>
    </row>
    <row r="198" spans="1:9" s="7" customFormat="1" ht="16.5" customHeight="1" x14ac:dyDescent="0.2">
      <c r="A198" s="17">
        <v>750</v>
      </c>
      <c r="B198" s="18"/>
      <c r="C198" s="19" t="s">
        <v>50</v>
      </c>
      <c r="D198" s="110">
        <f>D199</f>
        <v>35083</v>
      </c>
      <c r="E198" s="75"/>
      <c r="F198" s="83"/>
      <c r="G198" s="79"/>
      <c r="I198" s="75"/>
    </row>
    <row r="199" spans="1:9" s="7" customFormat="1" ht="16.5" customHeight="1" x14ac:dyDescent="0.2">
      <c r="A199" s="22"/>
      <c r="B199" s="15">
        <v>75095</v>
      </c>
      <c r="C199" s="16" t="s">
        <v>5</v>
      </c>
      <c r="D199" s="112">
        <v>35083</v>
      </c>
      <c r="E199" s="75"/>
      <c r="F199" s="83"/>
      <c r="G199" s="79"/>
      <c r="I199" s="75"/>
    </row>
    <row r="200" spans="1:9" s="5" customFormat="1" ht="16.5" customHeight="1" x14ac:dyDescent="0.2">
      <c r="A200" s="17">
        <v>754</v>
      </c>
      <c r="B200" s="18"/>
      <c r="C200" s="20" t="s">
        <v>39</v>
      </c>
      <c r="D200" s="110">
        <f>D201+D203+D202</f>
        <v>46000</v>
      </c>
      <c r="E200" s="74"/>
      <c r="F200" s="83"/>
      <c r="G200" s="79"/>
      <c r="I200" s="74"/>
    </row>
    <row r="201" spans="1:9" s="5" customFormat="1" ht="16.5" customHeight="1" x14ac:dyDescent="0.2">
      <c r="A201" s="22"/>
      <c r="B201" s="15">
        <v>75405</v>
      </c>
      <c r="C201" s="16" t="s">
        <v>40</v>
      </c>
      <c r="D201" s="112">
        <f>5200</f>
        <v>5200</v>
      </c>
      <c r="E201" s="74"/>
      <c r="F201" s="83"/>
      <c r="G201" s="79"/>
      <c r="I201" s="74"/>
    </row>
    <row r="202" spans="1:9" s="5" customFormat="1" ht="16.5" customHeight="1" x14ac:dyDescent="0.2">
      <c r="A202" s="22"/>
      <c r="B202" s="15">
        <v>75411</v>
      </c>
      <c r="C202" s="16" t="s">
        <v>55</v>
      </c>
      <c r="D202" s="112">
        <f>30000</f>
        <v>30000</v>
      </c>
      <c r="E202" s="74"/>
      <c r="F202" s="83"/>
      <c r="G202" s="79"/>
      <c r="I202" s="74"/>
    </row>
    <row r="203" spans="1:9" s="5" customFormat="1" ht="16.5" customHeight="1" x14ac:dyDescent="0.2">
      <c r="A203" s="22"/>
      <c r="B203" s="15">
        <v>75416</v>
      </c>
      <c r="C203" s="16" t="s">
        <v>41</v>
      </c>
      <c r="D203" s="112">
        <v>10800</v>
      </c>
      <c r="E203" s="74"/>
      <c r="F203" s="83"/>
      <c r="G203" s="79"/>
      <c r="I203" s="74"/>
    </row>
    <row r="204" spans="1:9" s="7" customFormat="1" ht="16.5" customHeight="1" x14ac:dyDescent="0.2">
      <c r="A204" s="17">
        <v>758</v>
      </c>
      <c r="B204" s="18"/>
      <c r="C204" s="21" t="s">
        <v>25</v>
      </c>
      <c r="D204" s="110">
        <f>D205</f>
        <v>445117</v>
      </c>
      <c r="E204" s="75"/>
      <c r="F204" s="83"/>
      <c r="G204" s="79"/>
      <c r="I204" s="75"/>
    </row>
    <row r="205" spans="1:9" s="6" customFormat="1" ht="16.5" customHeight="1" x14ac:dyDescent="0.2">
      <c r="A205" s="27"/>
      <c r="B205" s="42">
        <v>75818</v>
      </c>
      <c r="C205" s="44" t="s">
        <v>26</v>
      </c>
      <c r="D205" s="111">
        <f>2392003-D196-D198-D200-D206-D208-D211-D214-D216-D220-D224+441117</f>
        <v>445117</v>
      </c>
      <c r="E205" s="76"/>
      <c r="F205" s="83"/>
      <c r="G205" s="79"/>
      <c r="I205" s="76"/>
    </row>
    <row r="206" spans="1:9" s="5" customFormat="1" ht="16.5" customHeight="1" x14ac:dyDescent="0.2">
      <c r="A206" s="17">
        <v>801</v>
      </c>
      <c r="B206" s="18"/>
      <c r="C206" s="53" t="s">
        <v>27</v>
      </c>
      <c r="D206" s="110">
        <f>D207</f>
        <v>910059</v>
      </c>
      <c r="E206" s="74"/>
      <c r="F206" s="83"/>
      <c r="G206" s="79"/>
      <c r="I206" s="74"/>
    </row>
    <row r="207" spans="1:9" s="5" customFormat="1" ht="16.5" customHeight="1" x14ac:dyDescent="0.2">
      <c r="A207" s="27"/>
      <c r="B207" s="28">
        <v>80195</v>
      </c>
      <c r="C207" s="54" t="s">
        <v>5</v>
      </c>
      <c r="D207" s="111">
        <f>2500+100000+40000+90000+120000+115059+63000+31000+155500+3000+35000+155000</f>
        <v>910059</v>
      </c>
      <c r="E207" s="74"/>
      <c r="F207" s="83"/>
      <c r="G207" s="79"/>
      <c r="I207" s="74"/>
    </row>
    <row r="208" spans="1:9" s="6" customFormat="1" ht="16.5" customHeight="1" x14ac:dyDescent="0.2">
      <c r="A208" s="17">
        <v>852</v>
      </c>
      <c r="B208" s="18"/>
      <c r="C208" s="20" t="s">
        <v>52</v>
      </c>
      <c r="D208" s="110">
        <f>D210+D209</f>
        <v>44900</v>
      </c>
      <c r="E208" s="76"/>
      <c r="F208" s="83"/>
      <c r="G208" s="79"/>
      <c r="I208" s="76"/>
    </row>
    <row r="209" spans="1:9" s="6" customFormat="1" ht="27.6" customHeight="1" x14ac:dyDescent="0.2">
      <c r="A209" s="22"/>
      <c r="B209" s="24">
        <v>85214</v>
      </c>
      <c r="C209" s="26" t="s">
        <v>62</v>
      </c>
      <c r="D209" s="112">
        <f>15000</f>
        <v>15000</v>
      </c>
      <c r="E209" s="76"/>
      <c r="F209" s="83"/>
      <c r="G209" s="79"/>
      <c r="I209" s="76"/>
    </row>
    <row r="210" spans="1:9" s="6" customFormat="1" ht="16.5" customHeight="1" x14ac:dyDescent="0.2">
      <c r="A210" s="22"/>
      <c r="B210" s="24">
        <v>85295</v>
      </c>
      <c r="C210" s="16" t="s">
        <v>5</v>
      </c>
      <c r="D210" s="112">
        <f>10000+19900</f>
        <v>29900</v>
      </c>
      <c r="E210" s="76"/>
      <c r="F210" s="83"/>
      <c r="G210" s="79"/>
      <c r="I210" s="76"/>
    </row>
    <row r="211" spans="1:9" s="5" customFormat="1" ht="16.5" customHeight="1" x14ac:dyDescent="0.2">
      <c r="A211" s="17">
        <v>853</v>
      </c>
      <c r="B211" s="18"/>
      <c r="C211" s="19" t="s">
        <v>34</v>
      </c>
      <c r="D211" s="110">
        <f>D213+D212</f>
        <v>179000</v>
      </c>
      <c r="E211" s="74"/>
      <c r="F211" s="83"/>
      <c r="G211" s="79"/>
      <c r="I211" s="74"/>
    </row>
    <row r="212" spans="1:9" s="7" customFormat="1" ht="16.5" customHeight="1" x14ac:dyDescent="0.2">
      <c r="A212" s="27"/>
      <c r="B212" s="28">
        <v>85311</v>
      </c>
      <c r="C212" s="29" t="s">
        <v>56</v>
      </c>
      <c r="D212" s="111">
        <f>30000</f>
        <v>30000</v>
      </c>
      <c r="E212" s="75"/>
      <c r="F212" s="83"/>
      <c r="G212" s="79"/>
      <c r="I212" s="75"/>
    </row>
    <row r="213" spans="1:9" s="7" customFormat="1" ht="16.5" customHeight="1" x14ac:dyDescent="0.2">
      <c r="A213" s="22"/>
      <c r="B213" s="24">
        <v>85395</v>
      </c>
      <c r="C213" s="23" t="s">
        <v>5</v>
      </c>
      <c r="D213" s="108">
        <f>32000+110000+7000</f>
        <v>149000</v>
      </c>
      <c r="E213" s="75"/>
      <c r="F213" s="83"/>
      <c r="G213" s="79"/>
      <c r="I213" s="75"/>
    </row>
    <row r="214" spans="1:9" s="5" customFormat="1" ht="16.5" customHeight="1" x14ac:dyDescent="0.2">
      <c r="A214" s="17">
        <v>854</v>
      </c>
      <c r="B214" s="25"/>
      <c r="C214" s="20" t="s">
        <v>38</v>
      </c>
      <c r="D214" s="109">
        <f>D215</f>
        <v>125000</v>
      </c>
      <c r="E214" s="74"/>
      <c r="F214" s="83"/>
      <c r="G214" s="79"/>
      <c r="I214" s="74"/>
    </row>
    <row r="215" spans="1:9" s="5" customFormat="1" ht="16.5" customHeight="1" x14ac:dyDescent="0.2">
      <c r="A215" s="22"/>
      <c r="B215" s="24">
        <v>85495</v>
      </c>
      <c r="C215" s="23" t="s">
        <v>5</v>
      </c>
      <c r="D215" s="108">
        <f>125000</f>
        <v>125000</v>
      </c>
      <c r="E215" s="74"/>
      <c r="F215" s="83"/>
      <c r="G215" s="79"/>
      <c r="I215" s="74"/>
    </row>
    <row r="216" spans="1:9" s="5" customFormat="1" ht="16.5" customHeight="1" x14ac:dyDescent="0.2">
      <c r="A216" s="30">
        <v>900</v>
      </c>
      <c r="B216" s="25"/>
      <c r="C216" s="20" t="s">
        <v>28</v>
      </c>
      <c r="D216" s="109">
        <f>D217+D218+D219</f>
        <v>283000</v>
      </c>
      <c r="E216" s="74"/>
      <c r="F216" s="83"/>
      <c r="G216" s="79"/>
      <c r="I216" s="74"/>
    </row>
    <row r="217" spans="1:9" s="5" customFormat="1" ht="16.5" customHeight="1" x14ac:dyDescent="0.2">
      <c r="A217" s="48"/>
      <c r="B217" s="42">
        <v>90004</v>
      </c>
      <c r="C217" s="44" t="s">
        <v>33</v>
      </c>
      <c r="D217" s="114">
        <v>23000</v>
      </c>
      <c r="E217" s="74"/>
      <c r="F217" s="83"/>
      <c r="G217" s="79"/>
      <c r="I217" s="74"/>
    </row>
    <row r="218" spans="1:9" s="6" customFormat="1" ht="16.5" customHeight="1" x14ac:dyDescent="0.2">
      <c r="A218" s="22"/>
      <c r="B218" s="15">
        <v>90015</v>
      </c>
      <c r="C218" s="23" t="s">
        <v>29</v>
      </c>
      <c r="D218" s="112">
        <f>185000</f>
        <v>185000</v>
      </c>
      <c r="E218" s="76"/>
      <c r="F218" s="83"/>
      <c r="G218" s="79"/>
      <c r="I218" s="76"/>
    </row>
    <row r="219" spans="1:9" s="6" customFormat="1" ht="16.5" customHeight="1" x14ac:dyDescent="0.2">
      <c r="A219" s="22"/>
      <c r="B219" s="15">
        <v>90095</v>
      </c>
      <c r="C219" s="23" t="s">
        <v>5</v>
      </c>
      <c r="D219" s="108">
        <v>75000</v>
      </c>
      <c r="E219" s="76"/>
      <c r="F219" s="83"/>
      <c r="G219" s="79"/>
      <c r="I219" s="76"/>
    </row>
    <row r="220" spans="1:9" s="6" customFormat="1" ht="16.5" customHeight="1" x14ac:dyDescent="0.2">
      <c r="A220" s="17">
        <v>921</v>
      </c>
      <c r="B220" s="25"/>
      <c r="C220" s="20" t="s">
        <v>42</v>
      </c>
      <c r="D220" s="110">
        <f>D221+D222+D223</f>
        <v>35000</v>
      </c>
      <c r="E220" s="76"/>
      <c r="F220" s="83"/>
      <c r="G220" s="79"/>
      <c r="I220" s="76"/>
    </row>
    <row r="221" spans="1:9" s="6" customFormat="1" ht="16.5" customHeight="1" x14ac:dyDescent="0.2">
      <c r="A221" s="22"/>
      <c r="B221" s="24">
        <v>92109</v>
      </c>
      <c r="C221" s="23" t="s">
        <v>43</v>
      </c>
      <c r="D221" s="112">
        <f>13000</f>
        <v>13000</v>
      </c>
      <c r="E221" s="76"/>
      <c r="F221" s="83"/>
      <c r="G221" s="79"/>
      <c r="I221" s="76"/>
    </row>
    <row r="222" spans="1:9" s="6" customFormat="1" ht="16.5" customHeight="1" x14ac:dyDescent="0.2">
      <c r="A222" s="22"/>
      <c r="B222" s="24">
        <v>92116</v>
      </c>
      <c r="C222" s="23" t="s">
        <v>44</v>
      </c>
      <c r="D222" s="112">
        <f>16000</f>
        <v>16000</v>
      </c>
      <c r="E222" s="76"/>
      <c r="F222" s="83"/>
      <c r="G222" s="79"/>
      <c r="I222" s="76"/>
    </row>
    <row r="223" spans="1:9" s="6" customFormat="1" ht="16.5" customHeight="1" x14ac:dyDescent="0.2">
      <c r="A223" s="22"/>
      <c r="B223" s="24">
        <v>92118</v>
      </c>
      <c r="C223" s="23" t="s">
        <v>45</v>
      </c>
      <c r="D223" s="112">
        <f>6000</f>
        <v>6000</v>
      </c>
      <c r="E223" s="76"/>
      <c r="F223" s="83"/>
      <c r="G223" s="79"/>
      <c r="I223" s="76"/>
    </row>
    <row r="224" spans="1:9" s="6" customFormat="1" ht="16.5" customHeight="1" x14ac:dyDescent="0.2">
      <c r="A224" s="17">
        <v>926</v>
      </c>
      <c r="B224" s="18"/>
      <c r="C224" s="21" t="s">
        <v>30</v>
      </c>
      <c r="D224" s="110">
        <f>D225</f>
        <v>3000</v>
      </c>
      <c r="E224" s="76"/>
      <c r="F224" s="83"/>
      <c r="G224" s="79"/>
      <c r="I224" s="76"/>
    </row>
    <row r="225" spans="1:9" s="6" customFormat="1" ht="16.5" customHeight="1" x14ac:dyDescent="0.2">
      <c r="A225" s="22"/>
      <c r="B225" s="15">
        <v>92601</v>
      </c>
      <c r="C225" s="61" t="s">
        <v>31</v>
      </c>
      <c r="D225" s="111">
        <v>3000</v>
      </c>
      <c r="E225" s="76"/>
      <c r="F225" s="83"/>
      <c r="G225" s="79"/>
      <c r="I225" s="76"/>
    </row>
    <row r="226" spans="1:9" s="7" customFormat="1" ht="18.75" customHeight="1" x14ac:dyDescent="0.2">
      <c r="A226" s="38"/>
      <c r="B226" s="39"/>
      <c r="C226" s="40" t="s">
        <v>12</v>
      </c>
      <c r="D226" s="116">
        <f>D227+D229+D232+D236+D238+D240+D242+D246+D248+D250+D254+D258</f>
        <v>2589038</v>
      </c>
      <c r="E226" s="75"/>
      <c r="F226" s="83"/>
      <c r="G226" s="79"/>
      <c r="I226" s="75"/>
    </row>
    <row r="227" spans="1:9" s="7" customFormat="1" ht="16.5" customHeight="1" x14ac:dyDescent="0.2">
      <c r="A227" s="11">
        <v>600</v>
      </c>
      <c r="B227" s="12"/>
      <c r="C227" s="13" t="s">
        <v>3</v>
      </c>
      <c r="D227" s="107">
        <f>D228</f>
        <v>628010</v>
      </c>
      <c r="E227" s="75"/>
      <c r="F227" s="83"/>
      <c r="G227" s="79"/>
      <c r="I227" s="75"/>
    </row>
    <row r="228" spans="1:9" s="7" customFormat="1" ht="16.5" customHeight="1" x14ac:dyDescent="0.2">
      <c r="A228" s="14"/>
      <c r="B228" s="15">
        <v>60016</v>
      </c>
      <c r="C228" s="16" t="s">
        <v>4</v>
      </c>
      <c r="D228" s="108">
        <f>613010+15000</f>
        <v>628010</v>
      </c>
      <c r="E228" s="75"/>
      <c r="F228" s="83"/>
      <c r="G228" s="79"/>
      <c r="I228" s="75"/>
    </row>
    <row r="229" spans="1:9" s="5" customFormat="1" ht="16.5" customHeight="1" x14ac:dyDescent="0.2">
      <c r="A229" s="17">
        <v>750</v>
      </c>
      <c r="B229" s="18"/>
      <c r="C229" s="19" t="s">
        <v>50</v>
      </c>
      <c r="D229" s="109">
        <f>D230+D231</f>
        <v>76500</v>
      </c>
      <c r="E229" s="74"/>
      <c r="F229" s="83"/>
      <c r="G229" s="79"/>
      <c r="I229" s="74"/>
    </row>
    <row r="230" spans="1:9" s="7" customFormat="1" ht="16.5" customHeight="1" x14ac:dyDescent="0.2">
      <c r="A230" s="22"/>
      <c r="B230" s="15">
        <v>75022</v>
      </c>
      <c r="C230" s="16" t="s">
        <v>51</v>
      </c>
      <c r="D230" s="112">
        <f>25000+10000+2000</f>
        <v>37000</v>
      </c>
      <c r="E230" s="75"/>
      <c r="F230" s="83"/>
      <c r="G230" s="79"/>
      <c r="I230" s="75"/>
    </row>
    <row r="231" spans="1:9" s="7" customFormat="1" ht="16.5" customHeight="1" x14ac:dyDescent="0.2">
      <c r="A231" s="106"/>
      <c r="B231" s="18">
        <v>75095</v>
      </c>
      <c r="C231" s="103" t="s">
        <v>5</v>
      </c>
      <c r="D231" s="113">
        <v>39500</v>
      </c>
      <c r="E231" s="75"/>
      <c r="F231" s="83"/>
      <c r="G231" s="79"/>
      <c r="I231" s="75"/>
    </row>
    <row r="232" spans="1:9" s="5" customFormat="1" ht="16.5" customHeight="1" x14ac:dyDescent="0.2">
      <c r="A232" s="11">
        <v>754</v>
      </c>
      <c r="B232" s="33"/>
      <c r="C232" s="102" t="s">
        <v>39</v>
      </c>
      <c r="D232" s="119">
        <f>D233+D234+D235</f>
        <v>53000</v>
      </c>
      <c r="E232" s="74"/>
      <c r="F232" s="83"/>
      <c r="G232" s="79"/>
      <c r="I232" s="74"/>
    </row>
    <row r="233" spans="1:9" s="5" customFormat="1" ht="16.5" customHeight="1" x14ac:dyDescent="0.2">
      <c r="A233" s="27"/>
      <c r="B233" s="42">
        <v>75405</v>
      </c>
      <c r="C233" s="43" t="s">
        <v>40</v>
      </c>
      <c r="D233" s="111">
        <f>3000</f>
        <v>3000</v>
      </c>
      <c r="E233" s="74"/>
      <c r="F233" s="83"/>
      <c r="G233" s="79"/>
      <c r="I233" s="74"/>
    </row>
    <row r="234" spans="1:9" s="6" customFormat="1" ht="16.5" customHeight="1" x14ac:dyDescent="0.2">
      <c r="A234" s="22"/>
      <c r="B234" s="15">
        <v>75411</v>
      </c>
      <c r="C234" s="16" t="s">
        <v>55</v>
      </c>
      <c r="D234" s="112">
        <f>15000+11000</f>
        <v>26000</v>
      </c>
      <c r="E234" s="76"/>
      <c r="F234" s="83"/>
      <c r="G234" s="79"/>
      <c r="I234" s="76"/>
    </row>
    <row r="235" spans="1:9" s="6" customFormat="1" ht="16.5" customHeight="1" x14ac:dyDescent="0.2">
      <c r="A235" s="22"/>
      <c r="B235" s="15">
        <v>75416</v>
      </c>
      <c r="C235" s="16" t="s">
        <v>41</v>
      </c>
      <c r="D235" s="112">
        <v>24000</v>
      </c>
      <c r="E235" s="76"/>
      <c r="F235" s="83"/>
      <c r="G235" s="79"/>
      <c r="I235" s="76"/>
    </row>
    <row r="236" spans="1:9" s="5" customFormat="1" ht="16.5" customHeight="1" x14ac:dyDescent="0.2">
      <c r="A236" s="17">
        <v>758</v>
      </c>
      <c r="B236" s="18"/>
      <c r="C236" s="53" t="s">
        <v>25</v>
      </c>
      <c r="D236" s="110">
        <f>D237</f>
        <v>420332</v>
      </c>
      <c r="E236" s="74"/>
      <c r="F236" s="83"/>
      <c r="G236" s="79"/>
      <c r="I236" s="74"/>
    </row>
    <row r="237" spans="1:9" s="7" customFormat="1" ht="16.5" customHeight="1" x14ac:dyDescent="0.2">
      <c r="A237" s="22"/>
      <c r="B237" s="15">
        <v>75818</v>
      </c>
      <c r="C237" s="23" t="s">
        <v>26</v>
      </c>
      <c r="D237" s="111">
        <f>2185924-D227-D229-D232-D238-D240-D242-D246-D248-D250-D254-D258+403114</f>
        <v>420332</v>
      </c>
      <c r="E237" s="75"/>
      <c r="F237" s="83"/>
      <c r="G237" s="79"/>
      <c r="I237" s="75"/>
    </row>
    <row r="238" spans="1:9" s="6" customFormat="1" ht="16.5" customHeight="1" x14ac:dyDescent="0.2">
      <c r="A238" s="17">
        <v>801</v>
      </c>
      <c r="B238" s="18"/>
      <c r="C238" s="21" t="s">
        <v>27</v>
      </c>
      <c r="D238" s="110">
        <f>D239</f>
        <v>635900</v>
      </c>
      <c r="E238" s="76"/>
      <c r="F238" s="83"/>
      <c r="G238" s="79"/>
      <c r="I238" s="76"/>
    </row>
    <row r="239" spans="1:9" s="7" customFormat="1" ht="16.5" customHeight="1" x14ac:dyDescent="0.2">
      <c r="A239" s="27"/>
      <c r="B239" s="28">
        <v>80195</v>
      </c>
      <c r="C239" s="44" t="s">
        <v>5</v>
      </c>
      <c r="D239" s="111">
        <f>31000+62500+32500+56500+55100+57800+134700+6000+13500+95900+87100+3300</f>
        <v>635900</v>
      </c>
      <c r="E239" s="75"/>
      <c r="F239" s="83"/>
      <c r="G239" s="79"/>
      <c r="I239" s="75"/>
    </row>
    <row r="240" spans="1:9" s="6" customFormat="1" ht="16.5" customHeight="1" x14ac:dyDescent="0.2">
      <c r="A240" s="17">
        <v>851</v>
      </c>
      <c r="B240" s="25"/>
      <c r="C240" s="20" t="s">
        <v>46</v>
      </c>
      <c r="D240" s="110">
        <f>D241</f>
        <v>12000</v>
      </c>
      <c r="E240" s="76"/>
      <c r="F240" s="83"/>
      <c r="G240" s="79"/>
      <c r="I240" s="76"/>
    </row>
    <row r="241" spans="1:9" s="6" customFormat="1" ht="16.5" customHeight="1" x14ac:dyDescent="0.2">
      <c r="A241" s="22"/>
      <c r="B241" s="24">
        <v>85149</v>
      </c>
      <c r="C241" s="23" t="s">
        <v>48</v>
      </c>
      <c r="D241" s="112">
        <f>12000</f>
        <v>12000</v>
      </c>
      <c r="E241" s="76"/>
      <c r="F241" s="83"/>
      <c r="G241" s="79"/>
      <c r="I241" s="76"/>
    </row>
    <row r="242" spans="1:9" s="6" customFormat="1" ht="16.5" customHeight="1" x14ac:dyDescent="0.2">
      <c r="A242" s="17">
        <v>852</v>
      </c>
      <c r="B242" s="25"/>
      <c r="C242" s="20" t="s">
        <v>52</v>
      </c>
      <c r="D242" s="110">
        <f>+D243+D244+D245</f>
        <v>99696</v>
      </c>
      <c r="E242" s="76"/>
      <c r="F242" s="83"/>
      <c r="G242" s="79"/>
      <c r="I242" s="76"/>
    </row>
    <row r="243" spans="1:9" s="6" customFormat="1" ht="16.5" customHeight="1" x14ac:dyDescent="0.2">
      <c r="A243" s="27"/>
      <c r="B243" s="28">
        <v>85203</v>
      </c>
      <c r="C243" s="44" t="s">
        <v>54</v>
      </c>
      <c r="D243" s="111">
        <v>70000</v>
      </c>
      <c r="E243" s="76"/>
      <c r="F243" s="83"/>
      <c r="G243" s="79"/>
      <c r="I243" s="76"/>
    </row>
    <row r="244" spans="1:9" s="6" customFormat="1" ht="24" x14ac:dyDescent="0.2">
      <c r="A244" s="22"/>
      <c r="B244" s="24">
        <v>85214</v>
      </c>
      <c r="C244" s="23" t="s">
        <v>62</v>
      </c>
      <c r="D244" s="112">
        <v>21000</v>
      </c>
      <c r="E244" s="76"/>
      <c r="F244" s="83"/>
      <c r="G244" s="79"/>
      <c r="I244" s="76"/>
    </row>
    <row r="245" spans="1:9" s="5" customFormat="1" ht="16.5" customHeight="1" x14ac:dyDescent="0.2">
      <c r="A245" s="22"/>
      <c r="B245" s="24">
        <v>85295</v>
      </c>
      <c r="C245" s="50" t="s">
        <v>5</v>
      </c>
      <c r="D245" s="112">
        <v>8696</v>
      </c>
      <c r="E245" s="74"/>
      <c r="F245" s="83"/>
      <c r="G245" s="79"/>
      <c r="I245" s="74"/>
    </row>
    <row r="246" spans="1:9" s="5" customFormat="1" ht="16.5" customHeight="1" x14ac:dyDescent="0.2">
      <c r="A246" s="17">
        <v>853</v>
      </c>
      <c r="B246" s="18"/>
      <c r="C246" s="19" t="s">
        <v>34</v>
      </c>
      <c r="D246" s="110">
        <f>D247</f>
        <v>74600</v>
      </c>
      <c r="E246" s="74"/>
      <c r="F246" s="83"/>
      <c r="G246" s="79"/>
      <c r="I246" s="74"/>
    </row>
    <row r="247" spans="1:9" s="7" customFormat="1" ht="16.5" customHeight="1" x14ac:dyDescent="0.2">
      <c r="A247" s="22"/>
      <c r="B247" s="24">
        <v>85311</v>
      </c>
      <c r="C247" s="26" t="s">
        <v>56</v>
      </c>
      <c r="D247" s="112">
        <f>74600</f>
        <v>74600</v>
      </c>
      <c r="E247" s="75"/>
      <c r="F247" s="83"/>
      <c r="G247" s="79"/>
      <c r="I247" s="75"/>
    </row>
    <row r="248" spans="1:9" s="5" customFormat="1" ht="16.5" customHeight="1" x14ac:dyDescent="0.2">
      <c r="A248" s="17">
        <v>854</v>
      </c>
      <c r="B248" s="25"/>
      <c r="C248" s="20" t="s">
        <v>38</v>
      </c>
      <c r="D248" s="109">
        <f>D249</f>
        <v>34000</v>
      </c>
      <c r="E248" s="74"/>
      <c r="F248" s="83"/>
      <c r="G248" s="79"/>
      <c r="I248" s="74"/>
    </row>
    <row r="249" spans="1:9" s="5" customFormat="1" ht="16.5" customHeight="1" x14ac:dyDescent="0.2">
      <c r="A249" s="22"/>
      <c r="B249" s="24">
        <v>85495</v>
      </c>
      <c r="C249" s="23" t="s">
        <v>5</v>
      </c>
      <c r="D249" s="108">
        <f>34000</f>
        <v>34000</v>
      </c>
      <c r="E249" s="74"/>
      <c r="F249" s="83"/>
      <c r="G249" s="79"/>
      <c r="I249" s="74"/>
    </row>
    <row r="250" spans="1:9" s="6" customFormat="1" ht="16.5" customHeight="1" x14ac:dyDescent="0.2">
      <c r="A250" s="30">
        <v>900</v>
      </c>
      <c r="B250" s="25"/>
      <c r="C250" s="20" t="s">
        <v>28</v>
      </c>
      <c r="D250" s="109">
        <f>D252+D253+D251</f>
        <v>392000</v>
      </c>
      <c r="E250" s="76"/>
      <c r="F250" s="83"/>
      <c r="G250" s="79"/>
      <c r="I250" s="76"/>
    </row>
    <row r="251" spans="1:9" s="6" customFormat="1" ht="16.5" customHeight="1" x14ac:dyDescent="0.2">
      <c r="A251" s="48"/>
      <c r="B251" s="24">
        <v>90004</v>
      </c>
      <c r="C251" s="69" t="s">
        <v>33</v>
      </c>
      <c r="D251" s="108">
        <v>25000</v>
      </c>
      <c r="E251" s="76"/>
      <c r="F251" s="83"/>
      <c r="G251" s="79"/>
      <c r="I251" s="76"/>
    </row>
    <row r="252" spans="1:9" s="5" customFormat="1" ht="16.5" customHeight="1" x14ac:dyDescent="0.2">
      <c r="A252" s="22"/>
      <c r="B252" s="15">
        <v>90015</v>
      </c>
      <c r="C252" s="23" t="s">
        <v>29</v>
      </c>
      <c r="D252" s="112">
        <f>315000+22000</f>
        <v>337000</v>
      </c>
      <c r="E252" s="74"/>
      <c r="F252" s="83"/>
      <c r="G252" s="79"/>
      <c r="I252" s="74"/>
    </row>
    <row r="253" spans="1:9" s="6" customFormat="1" ht="16.5" customHeight="1" x14ac:dyDescent="0.2">
      <c r="A253" s="22"/>
      <c r="B253" s="15">
        <v>90095</v>
      </c>
      <c r="C253" s="23" t="s">
        <v>5</v>
      </c>
      <c r="D253" s="112">
        <v>30000</v>
      </c>
      <c r="E253" s="76"/>
      <c r="F253" s="83"/>
      <c r="G253" s="79"/>
      <c r="I253" s="76"/>
    </row>
    <row r="254" spans="1:9" s="6" customFormat="1" ht="16.5" customHeight="1" x14ac:dyDescent="0.2">
      <c r="A254" s="17">
        <v>921</v>
      </c>
      <c r="B254" s="25"/>
      <c r="C254" s="20" t="s">
        <v>42</v>
      </c>
      <c r="D254" s="110">
        <f>D255+D256+D257</f>
        <v>153000</v>
      </c>
      <c r="E254" s="76"/>
      <c r="F254" s="83"/>
      <c r="G254" s="79"/>
      <c r="I254" s="76"/>
    </row>
    <row r="255" spans="1:9" s="6" customFormat="1" ht="16.5" customHeight="1" x14ac:dyDescent="0.2">
      <c r="A255" s="22"/>
      <c r="B255" s="24">
        <v>92109</v>
      </c>
      <c r="C255" s="23" t="s">
        <v>43</v>
      </c>
      <c r="D255" s="112">
        <f>98000</f>
        <v>98000</v>
      </c>
      <c r="E255" s="76"/>
      <c r="F255" s="83"/>
      <c r="G255" s="79"/>
      <c r="I255" s="76"/>
    </row>
    <row r="256" spans="1:9" s="6" customFormat="1" ht="16.5" customHeight="1" x14ac:dyDescent="0.2">
      <c r="A256" s="22"/>
      <c r="B256" s="24">
        <v>92116</v>
      </c>
      <c r="C256" s="23" t="s">
        <v>44</v>
      </c>
      <c r="D256" s="112">
        <f>6000</f>
        <v>6000</v>
      </c>
      <c r="E256" s="76"/>
      <c r="F256" s="83"/>
      <c r="G256" s="79"/>
      <c r="I256" s="76"/>
    </row>
    <row r="257" spans="1:9" s="7" customFormat="1" ht="16.5" customHeight="1" x14ac:dyDescent="0.2">
      <c r="A257" s="22"/>
      <c r="B257" s="24">
        <v>92118</v>
      </c>
      <c r="C257" s="23" t="s">
        <v>45</v>
      </c>
      <c r="D257" s="112">
        <f>49000</f>
        <v>49000</v>
      </c>
      <c r="E257" s="75"/>
      <c r="F257" s="83"/>
      <c r="G257" s="79"/>
      <c r="I257" s="75"/>
    </row>
    <row r="258" spans="1:9" s="7" customFormat="1" ht="16.5" customHeight="1" x14ac:dyDescent="0.2">
      <c r="A258" s="17">
        <v>926</v>
      </c>
      <c r="B258" s="18"/>
      <c r="C258" s="21" t="s">
        <v>30</v>
      </c>
      <c r="D258" s="110">
        <f>D259</f>
        <v>10000</v>
      </c>
      <c r="E258" s="75"/>
      <c r="F258" s="83"/>
      <c r="G258" s="79"/>
      <c r="I258" s="75"/>
    </row>
    <row r="259" spans="1:9" s="7" customFormat="1" ht="16.5" customHeight="1" x14ac:dyDescent="0.2">
      <c r="A259" s="22"/>
      <c r="B259" s="15">
        <v>92601</v>
      </c>
      <c r="C259" s="31" t="s">
        <v>31</v>
      </c>
      <c r="D259" s="108">
        <v>10000</v>
      </c>
      <c r="E259" s="75"/>
      <c r="F259" s="83"/>
      <c r="G259" s="79"/>
      <c r="I259" s="75"/>
    </row>
    <row r="260" spans="1:9" s="7" customFormat="1" ht="18.75" customHeight="1" x14ac:dyDescent="0.2">
      <c r="A260" s="38"/>
      <c r="B260" s="39"/>
      <c r="C260" s="40" t="s">
        <v>13</v>
      </c>
      <c r="D260" s="116">
        <f>D261+D263+D266+D270+D272+D274+D278+D281+D283+D286+D291</f>
        <v>3939471</v>
      </c>
      <c r="E260" s="75"/>
      <c r="F260" s="83"/>
      <c r="G260" s="79"/>
      <c r="I260" s="75"/>
    </row>
    <row r="261" spans="1:9" s="7" customFormat="1" ht="16.5" customHeight="1" x14ac:dyDescent="0.2">
      <c r="A261" s="11">
        <v>600</v>
      </c>
      <c r="B261" s="12"/>
      <c r="C261" s="13" t="s">
        <v>3</v>
      </c>
      <c r="D261" s="107">
        <f>D262</f>
        <v>1436444</v>
      </c>
      <c r="E261" s="75"/>
      <c r="F261" s="83"/>
      <c r="G261" s="79"/>
      <c r="I261" s="75"/>
    </row>
    <row r="262" spans="1:9" s="7" customFormat="1" ht="16.5" customHeight="1" x14ac:dyDescent="0.2">
      <c r="A262" s="14"/>
      <c r="B262" s="15">
        <v>60016</v>
      </c>
      <c r="C262" s="16" t="s">
        <v>4</v>
      </c>
      <c r="D262" s="108">
        <f>753444+352000+40000+35000+56000+100000+100000</f>
        <v>1436444</v>
      </c>
      <c r="E262" s="75"/>
      <c r="F262" s="83"/>
      <c r="G262" s="79"/>
      <c r="I262" s="75"/>
    </row>
    <row r="263" spans="1:9" s="7" customFormat="1" ht="16.5" customHeight="1" x14ac:dyDescent="0.2">
      <c r="A263" s="17">
        <v>750</v>
      </c>
      <c r="B263" s="18"/>
      <c r="C263" s="19" t="s">
        <v>50</v>
      </c>
      <c r="D263" s="109">
        <f>D264+D265</f>
        <v>68150</v>
      </c>
      <c r="E263" s="75"/>
      <c r="F263" s="83"/>
      <c r="G263" s="79"/>
      <c r="I263" s="75"/>
    </row>
    <row r="264" spans="1:9" s="5" customFormat="1" ht="16.5" customHeight="1" x14ac:dyDescent="0.2">
      <c r="A264" s="22"/>
      <c r="B264" s="15">
        <v>75022</v>
      </c>
      <c r="C264" s="16" t="s">
        <v>51</v>
      </c>
      <c r="D264" s="112">
        <f>3150+18000</f>
        <v>21150</v>
      </c>
      <c r="E264" s="74"/>
      <c r="F264" s="83"/>
      <c r="G264" s="79"/>
      <c r="I264" s="74"/>
    </row>
    <row r="265" spans="1:9" s="5" customFormat="1" ht="16.5" customHeight="1" x14ac:dyDescent="0.2">
      <c r="A265" s="14"/>
      <c r="B265" s="15">
        <v>75095</v>
      </c>
      <c r="C265" s="16" t="s">
        <v>5</v>
      </c>
      <c r="D265" s="108">
        <f>1200+13800+9000+6000+15000+2000</f>
        <v>47000</v>
      </c>
      <c r="E265" s="74"/>
      <c r="F265" s="83"/>
      <c r="G265" s="79"/>
      <c r="I265" s="74"/>
    </row>
    <row r="266" spans="1:9" s="5" customFormat="1" ht="16.5" customHeight="1" x14ac:dyDescent="0.2">
      <c r="A266" s="17">
        <v>754</v>
      </c>
      <c r="B266" s="18"/>
      <c r="C266" s="20" t="s">
        <v>39</v>
      </c>
      <c r="D266" s="109">
        <f>D267+D268+D269</f>
        <v>49000</v>
      </c>
      <c r="E266" s="74"/>
      <c r="F266" s="83"/>
      <c r="G266" s="79"/>
      <c r="I266" s="74"/>
    </row>
    <row r="267" spans="1:9" s="5" customFormat="1" ht="16.5" customHeight="1" x14ac:dyDescent="0.2">
      <c r="A267" s="14"/>
      <c r="B267" s="15">
        <v>75405</v>
      </c>
      <c r="C267" s="16" t="s">
        <v>40</v>
      </c>
      <c r="D267" s="108">
        <f>12000</f>
        <v>12000</v>
      </c>
      <c r="E267" s="74"/>
      <c r="F267" s="83"/>
      <c r="G267" s="79"/>
      <c r="I267" s="74"/>
    </row>
    <row r="268" spans="1:9" s="7" customFormat="1" ht="16.5" customHeight="1" x14ac:dyDescent="0.2">
      <c r="A268" s="22"/>
      <c r="B268" s="15">
        <v>75411</v>
      </c>
      <c r="C268" s="16" t="s">
        <v>55</v>
      </c>
      <c r="D268" s="112">
        <f>20000</f>
        <v>20000</v>
      </c>
      <c r="E268" s="75"/>
      <c r="F268" s="83"/>
      <c r="G268" s="79"/>
      <c r="I268" s="75"/>
    </row>
    <row r="269" spans="1:9" s="6" customFormat="1" ht="16.5" customHeight="1" x14ac:dyDescent="0.2">
      <c r="A269" s="14"/>
      <c r="B269" s="15">
        <v>75416</v>
      </c>
      <c r="C269" s="16" t="s">
        <v>41</v>
      </c>
      <c r="D269" s="108">
        <v>17000</v>
      </c>
      <c r="E269" s="76"/>
      <c r="F269" s="83"/>
      <c r="G269" s="79"/>
      <c r="I269" s="76"/>
    </row>
    <row r="270" spans="1:9" s="6" customFormat="1" ht="16.5" customHeight="1" x14ac:dyDescent="0.2">
      <c r="A270" s="17">
        <v>758</v>
      </c>
      <c r="B270" s="18"/>
      <c r="C270" s="21" t="s">
        <v>25</v>
      </c>
      <c r="D270" s="110">
        <f>D271</f>
        <v>797377</v>
      </c>
      <c r="E270" s="76"/>
      <c r="F270" s="83"/>
      <c r="G270" s="79"/>
      <c r="I270" s="76"/>
    </row>
    <row r="271" spans="1:9" s="6" customFormat="1" ht="16.5" customHeight="1" x14ac:dyDescent="0.2">
      <c r="A271" s="22"/>
      <c r="B271" s="15">
        <v>75818</v>
      </c>
      <c r="C271" s="23" t="s">
        <v>26</v>
      </c>
      <c r="D271" s="111">
        <f>3326094-D261-D263-D266-D272-D274-D278-D281-D283-D286-D291+613377</f>
        <v>797377</v>
      </c>
      <c r="E271" s="76"/>
      <c r="F271" s="83"/>
      <c r="G271" s="79"/>
      <c r="I271" s="76"/>
    </row>
    <row r="272" spans="1:9" s="6" customFormat="1" ht="16.5" customHeight="1" x14ac:dyDescent="0.2">
      <c r="A272" s="17">
        <v>801</v>
      </c>
      <c r="B272" s="18"/>
      <c r="C272" s="21" t="s">
        <v>27</v>
      </c>
      <c r="D272" s="110">
        <f>D273</f>
        <v>651300</v>
      </c>
      <c r="E272" s="76"/>
      <c r="F272" s="83"/>
      <c r="G272" s="79"/>
      <c r="I272" s="76"/>
    </row>
    <row r="273" spans="1:9" s="6" customFormat="1" ht="16.5" customHeight="1" x14ac:dyDescent="0.2">
      <c r="A273" s="27"/>
      <c r="B273" s="42">
        <v>80195</v>
      </c>
      <c r="C273" s="44" t="s">
        <v>5</v>
      </c>
      <c r="D273" s="111">
        <f>22000+152000+41000+23200+53700+159700+82700+117000</f>
        <v>651300</v>
      </c>
      <c r="E273" s="76"/>
      <c r="F273" s="83"/>
      <c r="G273" s="79"/>
      <c r="I273" s="76"/>
    </row>
    <row r="274" spans="1:9" s="5" customFormat="1" ht="16.5" customHeight="1" x14ac:dyDescent="0.2">
      <c r="A274" s="17">
        <v>852</v>
      </c>
      <c r="B274" s="25"/>
      <c r="C274" s="20" t="s">
        <v>52</v>
      </c>
      <c r="D274" s="110">
        <f>D275+D276+D277</f>
        <v>89000</v>
      </c>
      <c r="E274" s="74"/>
      <c r="F274" s="83"/>
      <c r="G274" s="79"/>
      <c r="I274" s="74"/>
    </row>
    <row r="275" spans="1:9" s="5" customFormat="1" ht="16.5" customHeight="1" x14ac:dyDescent="0.2">
      <c r="A275" s="27"/>
      <c r="B275" s="28">
        <v>85203</v>
      </c>
      <c r="C275" s="44" t="s">
        <v>54</v>
      </c>
      <c r="D275" s="111">
        <f>2500+27500</f>
        <v>30000</v>
      </c>
      <c r="E275" s="74"/>
      <c r="F275" s="83"/>
      <c r="G275" s="79"/>
      <c r="I275" s="74"/>
    </row>
    <row r="276" spans="1:9" s="7" customFormat="1" ht="24" x14ac:dyDescent="0.2">
      <c r="A276" s="22"/>
      <c r="B276" s="24">
        <v>85214</v>
      </c>
      <c r="C276" s="23" t="s">
        <v>62</v>
      </c>
      <c r="D276" s="112">
        <v>51000</v>
      </c>
      <c r="E276" s="75"/>
      <c r="F276" s="83"/>
      <c r="G276" s="79"/>
      <c r="I276" s="75"/>
    </row>
    <row r="277" spans="1:9" s="5" customFormat="1" ht="16.5" customHeight="1" x14ac:dyDescent="0.2">
      <c r="A277" s="17"/>
      <c r="B277" s="25">
        <v>85295</v>
      </c>
      <c r="C277" s="100" t="s">
        <v>5</v>
      </c>
      <c r="D277" s="118">
        <v>8000</v>
      </c>
      <c r="E277" s="74"/>
      <c r="F277" s="83"/>
      <c r="G277" s="79"/>
      <c r="I277" s="74"/>
    </row>
    <row r="278" spans="1:9" s="5" customFormat="1" ht="16.5" customHeight="1" x14ac:dyDescent="0.2">
      <c r="A278" s="11">
        <v>853</v>
      </c>
      <c r="B278" s="33"/>
      <c r="C278" s="99" t="s">
        <v>34</v>
      </c>
      <c r="D278" s="119">
        <f>D280+D279</f>
        <v>123000</v>
      </c>
      <c r="E278" s="74"/>
      <c r="F278" s="83"/>
      <c r="G278" s="79"/>
      <c r="I278" s="74"/>
    </row>
    <row r="279" spans="1:9" s="5" customFormat="1" ht="16.5" customHeight="1" x14ac:dyDescent="0.2">
      <c r="A279" s="22"/>
      <c r="B279" s="24">
        <v>85311</v>
      </c>
      <c r="C279" s="26" t="s">
        <v>56</v>
      </c>
      <c r="D279" s="112">
        <f>20000</f>
        <v>20000</v>
      </c>
      <c r="E279" s="74"/>
      <c r="F279" s="83"/>
      <c r="G279" s="79"/>
      <c r="I279" s="74"/>
    </row>
    <row r="280" spans="1:9" s="5" customFormat="1" ht="16.5" customHeight="1" x14ac:dyDescent="0.2">
      <c r="A280" s="22"/>
      <c r="B280" s="24">
        <v>85395</v>
      </c>
      <c r="C280" s="23" t="s">
        <v>5</v>
      </c>
      <c r="D280" s="108">
        <f>60000+43000</f>
        <v>103000</v>
      </c>
      <c r="E280" s="74"/>
      <c r="F280" s="83"/>
      <c r="G280" s="79"/>
      <c r="I280" s="74"/>
    </row>
    <row r="281" spans="1:9" s="6" customFormat="1" ht="16.5" customHeight="1" x14ac:dyDescent="0.2">
      <c r="A281" s="17">
        <v>854</v>
      </c>
      <c r="B281" s="25"/>
      <c r="C281" s="20" t="s">
        <v>38</v>
      </c>
      <c r="D281" s="109">
        <f>D282</f>
        <v>125000</v>
      </c>
      <c r="E281" s="76"/>
      <c r="F281" s="83"/>
      <c r="G281" s="79"/>
      <c r="I281" s="76"/>
    </row>
    <row r="282" spans="1:9" s="6" customFormat="1" ht="16.5" customHeight="1" x14ac:dyDescent="0.2">
      <c r="A282" s="27"/>
      <c r="B282" s="28">
        <v>85495</v>
      </c>
      <c r="C282" s="44" t="s">
        <v>5</v>
      </c>
      <c r="D282" s="114">
        <f>45000+76000+4000</f>
        <v>125000</v>
      </c>
      <c r="E282" s="76"/>
      <c r="F282" s="83"/>
      <c r="G282" s="79"/>
      <c r="I282" s="76"/>
    </row>
    <row r="283" spans="1:9" s="6" customFormat="1" ht="16.5" customHeight="1" x14ac:dyDescent="0.2">
      <c r="A283" s="30">
        <v>900</v>
      </c>
      <c r="B283" s="18"/>
      <c r="C283" s="46" t="s">
        <v>28</v>
      </c>
      <c r="D283" s="109">
        <f>D284+D285</f>
        <v>227000</v>
      </c>
      <c r="E283" s="76"/>
      <c r="F283" s="83"/>
      <c r="G283" s="79"/>
      <c r="I283" s="76"/>
    </row>
    <row r="284" spans="1:9" s="6" customFormat="1" ht="16.5" customHeight="1" x14ac:dyDescent="0.2">
      <c r="A284" s="48"/>
      <c r="B284" s="15">
        <v>90015</v>
      </c>
      <c r="C284" s="23" t="s">
        <v>29</v>
      </c>
      <c r="D284" s="108">
        <f>12000+20000+90000+60000</f>
        <v>182000</v>
      </c>
      <c r="E284" s="76"/>
      <c r="F284" s="83"/>
      <c r="G284" s="79"/>
      <c r="I284" s="76"/>
    </row>
    <row r="285" spans="1:9" s="5" customFormat="1" ht="16.5" customHeight="1" x14ac:dyDescent="0.2">
      <c r="A285" s="22"/>
      <c r="B285" s="15">
        <v>90095</v>
      </c>
      <c r="C285" s="23" t="s">
        <v>5</v>
      </c>
      <c r="D285" s="112">
        <v>45000</v>
      </c>
      <c r="E285" s="74"/>
      <c r="F285" s="83"/>
      <c r="G285" s="79"/>
      <c r="I285" s="74"/>
    </row>
    <row r="286" spans="1:9" s="6" customFormat="1" ht="16.5" customHeight="1" x14ac:dyDescent="0.2">
      <c r="A286" s="17">
        <v>921</v>
      </c>
      <c r="B286" s="25"/>
      <c r="C286" s="20" t="s">
        <v>42</v>
      </c>
      <c r="D286" s="110">
        <f>D287+D288+D289+D290</f>
        <v>220000</v>
      </c>
      <c r="E286" s="76"/>
      <c r="F286" s="83"/>
      <c r="G286" s="79"/>
      <c r="I286" s="76"/>
    </row>
    <row r="287" spans="1:9" s="6" customFormat="1" ht="16.5" customHeight="1" x14ac:dyDescent="0.2">
      <c r="A287" s="22"/>
      <c r="B287" s="24">
        <v>92109</v>
      </c>
      <c r="C287" s="23" t="s">
        <v>43</v>
      </c>
      <c r="D287" s="112">
        <f>128000+11500</f>
        <v>139500</v>
      </c>
      <c r="E287" s="76"/>
      <c r="F287" s="83"/>
      <c r="G287" s="79"/>
      <c r="I287" s="76"/>
    </row>
    <row r="288" spans="1:9" s="6" customFormat="1" ht="16.5" customHeight="1" x14ac:dyDescent="0.2">
      <c r="A288" s="22"/>
      <c r="B288" s="24">
        <v>92113</v>
      </c>
      <c r="C288" s="23" t="s">
        <v>63</v>
      </c>
      <c r="D288" s="108">
        <f>20000</f>
        <v>20000</v>
      </c>
      <c r="E288" s="76"/>
      <c r="F288" s="83"/>
      <c r="G288" s="79"/>
      <c r="I288" s="76"/>
    </row>
    <row r="289" spans="1:9" s="5" customFormat="1" ht="16.5" customHeight="1" x14ac:dyDescent="0.2">
      <c r="A289" s="22"/>
      <c r="B289" s="15">
        <v>92116</v>
      </c>
      <c r="C289" s="47" t="s">
        <v>44</v>
      </c>
      <c r="D289" s="112">
        <v>24000</v>
      </c>
      <c r="E289" s="74"/>
      <c r="F289" s="83"/>
      <c r="G289" s="79"/>
      <c r="I289" s="74"/>
    </row>
    <row r="290" spans="1:9" s="5" customFormat="1" ht="16.5" customHeight="1" x14ac:dyDescent="0.2">
      <c r="A290" s="22"/>
      <c r="B290" s="15">
        <v>92118</v>
      </c>
      <c r="C290" s="23" t="s">
        <v>45</v>
      </c>
      <c r="D290" s="112">
        <f>20000+1500+15000</f>
        <v>36500</v>
      </c>
      <c r="E290" s="74"/>
      <c r="F290" s="83"/>
      <c r="G290" s="79"/>
      <c r="I290" s="74"/>
    </row>
    <row r="291" spans="1:9" s="7" customFormat="1" ht="16.5" customHeight="1" x14ac:dyDescent="0.2">
      <c r="A291" s="17">
        <v>926</v>
      </c>
      <c r="B291" s="18"/>
      <c r="C291" s="53" t="s">
        <v>30</v>
      </c>
      <c r="D291" s="110">
        <f>D292+D293</f>
        <v>153200</v>
      </c>
      <c r="E291" s="75"/>
      <c r="F291" s="83"/>
      <c r="G291" s="79"/>
      <c r="I291" s="75"/>
    </row>
    <row r="292" spans="1:9" s="7" customFormat="1" ht="16.5" customHeight="1" x14ac:dyDescent="0.2">
      <c r="A292" s="27"/>
      <c r="B292" s="42">
        <v>92601</v>
      </c>
      <c r="C292" s="55" t="s">
        <v>31</v>
      </c>
      <c r="D292" s="114">
        <f>5000+43200+70000+25000</f>
        <v>143200</v>
      </c>
      <c r="E292" s="75"/>
      <c r="F292" s="83"/>
      <c r="G292" s="79"/>
      <c r="I292" s="75"/>
    </row>
    <row r="293" spans="1:9" s="7" customFormat="1" ht="16.5" customHeight="1" x14ac:dyDescent="0.2">
      <c r="A293" s="35"/>
      <c r="B293" s="15">
        <v>92605</v>
      </c>
      <c r="C293" s="56" t="s">
        <v>32</v>
      </c>
      <c r="D293" s="121">
        <v>10000</v>
      </c>
      <c r="E293" s="75"/>
      <c r="F293" s="83"/>
      <c r="G293" s="79"/>
      <c r="I293" s="75"/>
    </row>
    <row r="294" spans="1:9" s="7" customFormat="1" ht="18.75" customHeight="1" x14ac:dyDescent="0.2">
      <c r="A294" s="38"/>
      <c r="B294" s="39"/>
      <c r="C294" s="40" t="s">
        <v>14</v>
      </c>
      <c r="D294" s="116">
        <f>D295+D297+D299+D304+D306+D308+D311+D313+D315+D317+D322+D326</f>
        <v>5568934</v>
      </c>
      <c r="E294" s="75"/>
      <c r="F294" s="83"/>
      <c r="G294" s="79"/>
      <c r="I294" s="75"/>
    </row>
    <row r="295" spans="1:9" s="5" customFormat="1" ht="16.5" customHeight="1" x14ac:dyDescent="0.2">
      <c r="A295" s="11">
        <v>600</v>
      </c>
      <c r="B295" s="12"/>
      <c r="C295" s="13" t="s">
        <v>3</v>
      </c>
      <c r="D295" s="107">
        <f>D296</f>
        <v>966414</v>
      </c>
      <c r="E295" s="74"/>
      <c r="F295" s="83"/>
      <c r="G295" s="79"/>
      <c r="I295" s="74"/>
    </row>
    <row r="296" spans="1:9" s="7" customFormat="1" ht="16.5" customHeight="1" x14ac:dyDescent="0.2">
      <c r="A296" s="14"/>
      <c r="B296" s="15">
        <v>60016</v>
      </c>
      <c r="C296" s="16" t="s">
        <v>4</v>
      </c>
      <c r="D296" s="108">
        <f>966414</f>
        <v>966414</v>
      </c>
      <c r="E296" s="75"/>
      <c r="F296" s="83"/>
      <c r="G296" s="79"/>
      <c r="I296" s="75"/>
    </row>
    <row r="297" spans="1:9" s="5" customFormat="1" ht="16.5" customHeight="1" x14ac:dyDescent="0.2">
      <c r="A297" s="17">
        <v>750</v>
      </c>
      <c r="B297" s="18"/>
      <c r="C297" s="19" t="s">
        <v>50</v>
      </c>
      <c r="D297" s="110">
        <f>D298</f>
        <v>71000</v>
      </c>
      <c r="E297" s="74"/>
      <c r="F297" s="83"/>
      <c r="G297" s="79"/>
      <c r="I297" s="74"/>
    </row>
    <row r="298" spans="1:9" s="6" customFormat="1" ht="16.5" customHeight="1" x14ac:dyDescent="0.2">
      <c r="A298" s="22"/>
      <c r="B298" s="15">
        <v>75095</v>
      </c>
      <c r="C298" s="16" t="s">
        <v>5</v>
      </c>
      <c r="D298" s="112">
        <f>56000+15000</f>
        <v>71000</v>
      </c>
      <c r="E298" s="76"/>
      <c r="F298" s="83"/>
      <c r="G298" s="79"/>
      <c r="I298" s="76"/>
    </row>
    <row r="299" spans="1:9" s="7" customFormat="1" ht="16.5" customHeight="1" x14ac:dyDescent="0.2">
      <c r="A299" s="17">
        <v>754</v>
      </c>
      <c r="B299" s="18"/>
      <c r="C299" s="20" t="s">
        <v>39</v>
      </c>
      <c r="D299" s="110">
        <f>D300+D301+D303+D302</f>
        <v>84800</v>
      </c>
      <c r="E299" s="75"/>
      <c r="F299" s="83"/>
      <c r="G299" s="79"/>
      <c r="I299" s="75"/>
    </row>
    <row r="300" spans="1:9" s="5" customFormat="1" ht="16.5" customHeight="1" x14ac:dyDescent="0.2">
      <c r="A300" s="14"/>
      <c r="B300" s="15">
        <v>75405</v>
      </c>
      <c r="C300" s="16" t="s">
        <v>40</v>
      </c>
      <c r="D300" s="108">
        <v>14800</v>
      </c>
      <c r="E300" s="74"/>
      <c r="F300" s="83"/>
      <c r="G300" s="79"/>
      <c r="I300" s="74"/>
    </row>
    <row r="301" spans="1:9" s="6" customFormat="1" ht="16.5" customHeight="1" x14ac:dyDescent="0.2">
      <c r="A301" s="22"/>
      <c r="B301" s="15">
        <v>75411</v>
      </c>
      <c r="C301" s="16" t="s">
        <v>55</v>
      </c>
      <c r="D301" s="112">
        <f>25000</f>
        <v>25000</v>
      </c>
      <c r="E301" s="76"/>
      <c r="F301" s="83"/>
      <c r="G301" s="79"/>
      <c r="I301" s="76"/>
    </row>
    <row r="302" spans="1:9" s="6" customFormat="1" ht="16.5" customHeight="1" x14ac:dyDescent="0.2">
      <c r="A302" s="22"/>
      <c r="B302" s="15">
        <v>75412</v>
      </c>
      <c r="C302" s="16" t="s">
        <v>73</v>
      </c>
      <c r="D302" s="112">
        <v>30000</v>
      </c>
      <c r="E302" s="76"/>
      <c r="F302" s="83"/>
      <c r="G302" s="79"/>
      <c r="I302" s="76"/>
    </row>
    <row r="303" spans="1:9" s="5" customFormat="1" ht="16.5" customHeight="1" x14ac:dyDescent="0.2">
      <c r="A303" s="22"/>
      <c r="B303" s="15">
        <v>75416</v>
      </c>
      <c r="C303" s="16" t="s">
        <v>41</v>
      </c>
      <c r="D303" s="112">
        <v>15000</v>
      </c>
      <c r="E303" s="74"/>
      <c r="F303" s="83"/>
      <c r="G303" s="79"/>
      <c r="I303" s="74"/>
    </row>
    <row r="304" spans="1:9" s="6" customFormat="1" ht="16.5" customHeight="1" x14ac:dyDescent="0.2">
      <c r="A304" s="17">
        <v>758</v>
      </c>
      <c r="B304" s="18"/>
      <c r="C304" s="21" t="s">
        <v>25</v>
      </c>
      <c r="D304" s="110">
        <f>D305</f>
        <v>1087177</v>
      </c>
      <c r="E304" s="76"/>
      <c r="F304" s="83"/>
      <c r="G304" s="79"/>
      <c r="I304" s="76"/>
    </row>
    <row r="305" spans="1:9" s="5" customFormat="1" ht="16.5" customHeight="1" x14ac:dyDescent="0.2">
      <c r="A305" s="22"/>
      <c r="B305" s="15">
        <v>75818</v>
      </c>
      <c r="C305" s="23" t="s">
        <v>26</v>
      </c>
      <c r="D305" s="111">
        <f>4701850-D295-D297-D299-D306-D308-D311-D313-D315-D317-D322-D326+867084</f>
        <v>1087177</v>
      </c>
      <c r="E305" s="74"/>
      <c r="F305" s="83"/>
      <c r="G305" s="79"/>
      <c r="I305" s="74"/>
    </row>
    <row r="306" spans="1:9" s="7" customFormat="1" ht="16.5" customHeight="1" x14ac:dyDescent="0.2">
      <c r="A306" s="17">
        <v>801</v>
      </c>
      <c r="B306" s="18"/>
      <c r="C306" s="21" t="s">
        <v>27</v>
      </c>
      <c r="D306" s="109">
        <f>D307</f>
        <v>1061200</v>
      </c>
      <c r="E306" s="75"/>
      <c r="F306" s="83"/>
      <c r="G306" s="79"/>
      <c r="I306" s="75"/>
    </row>
    <row r="307" spans="1:9" s="5" customFormat="1" ht="16.5" customHeight="1" x14ac:dyDescent="0.2">
      <c r="A307" s="22"/>
      <c r="B307" s="24">
        <v>80195</v>
      </c>
      <c r="C307" s="16" t="s">
        <v>5</v>
      </c>
      <c r="D307" s="108">
        <f>65000+70000+25000+70000+10300+50000+50000+47000+30000+50400+90400+30000+81000+42000+20400+80400+54000+65000+45600+84700</f>
        <v>1061200</v>
      </c>
      <c r="E307" s="74"/>
      <c r="F307" s="83"/>
      <c r="G307" s="79"/>
      <c r="H307" s="81"/>
      <c r="I307" s="74"/>
    </row>
    <row r="308" spans="1:9" s="5" customFormat="1" ht="16.5" customHeight="1" x14ac:dyDescent="0.2">
      <c r="A308" s="17">
        <v>852</v>
      </c>
      <c r="B308" s="25"/>
      <c r="C308" s="20" t="s">
        <v>52</v>
      </c>
      <c r="D308" s="110">
        <f>D310+D309</f>
        <v>20200</v>
      </c>
      <c r="E308" s="74"/>
      <c r="F308" s="83"/>
      <c r="G308" s="79"/>
      <c r="I308" s="74"/>
    </row>
    <row r="309" spans="1:9" s="5" customFormat="1" ht="16.5" customHeight="1" x14ac:dyDescent="0.2">
      <c r="A309" s="27"/>
      <c r="B309" s="42">
        <v>85202</v>
      </c>
      <c r="C309" s="54" t="s">
        <v>53</v>
      </c>
      <c r="D309" s="111">
        <f>3200</f>
        <v>3200</v>
      </c>
      <c r="E309" s="74"/>
      <c r="F309" s="83"/>
      <c r="G309" s="79"/>
      <c r="I309" s="74"/>
    </row>
    <row r="310" spans="1:9" s="5" customFormat="1" ht="16.5" customHeight="1" x14ac:dyDescent="0.2">
      <c r="A310" s="22"/>
      <c r="B310" s="24">
        <v>85295</v>
      </c>
      <c r="C310" s="16" t="s">
        <v>5</v>
      </c>
      <c r="D310" s="112">
        <v>17000</v>
      </c>
      <c r="E310" s="74"/>
      <c r="F310" s="83"/>
      <c r="G310" s="79"/>
      <c r="I310" s="74"/>
    </row>
    <row r="311" spans="1:9" s="6" customFormat="1" ht="16.5" customHeight="1" x14ac:dyDescent="0.2">
      <c r="A311" s="17">
        <v>853</v>
      </c>
      <c r="B311" s="18"/>
      <c r="C311" s="19" t="s">
        <v>34</v>
      </c>
      <c r="D311" s="110">
        <f>D312</f>
        <v>241893</v>
      </c>
      <c r="E311" s="76"/>
      <c r="F311" s="83"/>
      <c r="G311" s="79"/>
      <c r="I311" s="76"/>
    </row>
    <row r="312" spans="1:9" s="6" customFormat="1" ht="16.5" customHeight="1" x14ac:dyDescent="0.2">
      <c r="A312" s="27"/>
      <c r="B312" s="28">
        <v>85395</v>
      </c>
      <c r="C312" s="44" t="s">
        <v>5</v>
      </c>
      <c r="D312" s="114">
        <f>60000+114893+67000</f>
        <v>241893</v>
      </c>
      <c r="E312" s="76"/>
      <c r="F312" s="83"/>
      <c r="G312" s="79"/>
      <c r="I312" s="76"/>
    </row>
    <row r="313" spans="1:9" s="6" customFormat="1" ht="16.5" customHeight="1" x14ac:dyDescent="0.2">
      <c r="A313" s="17">
        <v>854</v>
      </c>
      <c r="B313" s="25"/>
      <c r="C313" s="20" t="s">
        <v>38</v>
      </c>
      <c r="D313" s="109">
        <f>D314</f>
        <v>117500</v>
      </c>
      <c r="E313" s="76"/>
      <c r="F313" s="83"/>
      <c r="G313" s="79"/>
      <c r="I313" s="76"/>
    </row>
    <row r="314" spans="1:9" s="6" customFormat="1" ht="16.5" customHeight="1" x14ac:dyDescent="0.2">
      <c r="A314" s="22"/>
      <c r="B314" s="24">
        <v>85495</v>
      </c>
      <c r="C314" s="23" t="s">
        <v>5</v>
      </c>
      <c r="D314" s="108">
        <f>106500+1000+10000</f>
        <v>117500</v>
      </c>
      <c r="E314" s="76"/>
      <c r="F314" s="83"/>
      <c r="G314" s="79"/>
      <c r="I314" s="76"/>
    </row>
    <row r="315" spans="1:9" s="6" customFormat="1" ht="16.5" customHeight="1" x14ac:dyDescent="0.2">
      <c r="A315" s="30">
        <v>855</v>
      </c>
      <c r="B315" s="25"/>
      <c r="C315" s="20" t="s">
        <v>59</v>
      </c>
      <c r="D315" s="109">
        <f>D316</f>
        <v>60000</v>
      </c>
      <c r="E315" s="76"/>
      <c r="F315" s="83"/>
      <c r="G315" s="79"/>
      <c r="I315" s="76"/>
    </row>
    <row r="316" spans="1:9" s="6" customFormat="1" ht="16.5" customHeight="1" x14ac:dyDescent="0.2">
      <c r="A316" s="22"/>
      <c r="B316" s="15">
        <v>85516</v>
      </c>
      <c r="C316" s="23" t="s">
        <v>61</v>
      </c>
      <c r="D316" s="112">
        <f>60000</f>
        <v>60000</v>
      </c>
      <c r="E316" s="76"/>
      <c r="F316" s="83"/>
      <c r="G316" s="79"/>
      <c r="I316" s="76"/>
    </row>
    <row r="317" spans="1:9" s="6" customFormat="1" ht="16.5" customHeight="1" x14ac:dyDescent="0.2">
      <c r="A317" s="30">
        <v>900</v>
      </c>
      <c r="B317" s="25"/>
      <c r="C317" s="20" t="s">
        <v>28</v>
      </c>
      <c r="D317" s="109">
        <f>D318+D319+D320+D321</f>
        <v>1538000</v>
      </c>
      <c r="E317" s="76"/>
      <c r="F317" s="83"/>
      <c r="G317" s="79"/>
      <c r="I317" s="76"/>
    </row>
    <row r="318" spans="1:9" s="6" customFormat="1" ht="16.5" customHeight="1" x14ac:dyDescent="0.2">
      <c r="A318" s="48"/>
      <c r="B318" s="42">
        <v>90001</v>
      </c>
      <c r="C318" s="29" t="s">
        <v>71</v>
      </c>
      <c r="D318" s="114">
        <f>50000</f>
        <v>50000</v>
      </c>
      <c r="E318" s="76"/>
      <c r="F318" s="83"/>
      <c r="G318" s="79"/>
      <c r="I318" s="76"/>
    </row>
    <row r="319" spans="1:9" s="7" customFormat="1" ht="16.5" customHeight="1" x14ac:dyDescent="0.2">
      <c r="A319" s="48"/>
      <c r="B319" s="15">
        <v>90004</v>
      </c>
      <c r="C319" s="23" t="s">
        <v>33</v>
      </c>
      <c r="D319" s="108">
        <v>203000</v>
      </c>
      <c r="E319" s="75"/>
      <c r="F319" s="83"/>
      <c r="G319" s="79"/>
      <c r="I319" s="75"/>
    </row>
    <row r="320" spans="1:9" s="7" customFormat="1" ht="16.5" customHeight="1" x14ac:dyDescent="0.2">
      <c r="A320" s="22"/>
      <c r="B320" s="15">
        <v>90015</v>
      </c>
      <c r="C320" s="23" t="s">
        <v>29</v>
      </c>
      <c r="D320" s="112">
        <f>50000+410000</f>
        <v>460000</v>
      </c>
      <c r="E320" s="75"/>
      <c r="F320" s="83"/>
      <c r="G320" s="79"/>
      <c r="I320" s="75"/>
    </row>
    <row r="321" spans="1:9" s="7" customFormat="1" ht="16.5" customHeight="1" x14ac:dyDescent="0.2">
      <c r="A321" s="17"/>
      <c r="B321" s="25">
        <v>90095</v>
      </c>
      <c r="C321" s="100" t="s">
        <v>5</v>
      </c>
      <c r="D321" s="113">
        <f>5000+80000+250000+40000+200000+100000+150000</f>
        <v>825000</v>
      </c>
      <c r="E321" s="75"/>
      <c r="F321" s="83"/>
      <c r="G321" s="79"/>
      <c r="I321" s="75"/>
    </row>
    <row r="322" spans="1:9" s="7" customFormat="1" ht="16.5" customHeight="1" x14ac:dyDescent="0.2">
      <c r="A322" s="11">
        <v>921</v>
      </c>
      <c r="B322" s="104"/>
      <c r="C322" s="102" t="s">
        <v>42</v>
      </c>
      <c r="D322" s="107">
        <f>D323+D324+D325</f>
        <v>100000</v>
      </c>
      <c r="E322" s="75"/>
      <c r="F322" s="83"/>
      <c r="G322" s="79"/>
      <c r="I322" s="75"/>
    </row>
    <row r="323" spans="1:9" s="7" customFormat="1" ht="16.5" customHeight="1" x14ac:dyDescent="0.2">
      <c r="A323" s="22"/>
      <c r="B323" s="24">
        <v>92109</v>
      </c>
      <c r="C323" s="23" t="s">
        <v>43</v>
      </c>
      <c r="D323" s="108">
        <f>88000</f>
        <v>88000</v>
      </c>
      <c r="E323" s="75"/>
      <c r="F323" s="83"/>
      <c r="G323" s="79"/>
      <c r="I323" s="75"/>
    </row>
    <row r="324" spans="1:9" s="7" customFormat="1" ht="16.5" customHeight="1" x14ac:dyDescent="0.2">
      <c r="A324" s="22"/>
      <c r="B324" s="24">
        <v>92116</v>
      </c>
      <c r="C324" s="23" t="s">
        <v>44</v>
      </c>
      <c r="D324" s="108">
        <f>10000</f>
        <v>10000</v>
      </c>
      <c r="E324" s="75"/>
      <c r="F324" s="83"/>
      <c r="G324" s="79"/>
      <c r="I324" s="75"/>
    </row>
    <row r="325" spans="1:9" s="7" customFormat="1" ht="16.5" customHeight="1" x14ac:dyDescent="0.2">
      <c r="A325" s="22"/>
      <c r="B325" s="24">
        <v>92118</v>
      </c>
      <c r="C325" s="23" t="s">
        <v>45</v>
      </c>
      <c r="D325" s="108">
        <f>2000</f>
        <v>2000</v>
      </c>
      <c r="E325" s="75"/>
      <c r="F325" s="83"/>
      <c r="G325" s="79"/>
      <c r="I325" s="75"/>
    </row>
    <row r="326" spans="1:9" s="5" customFormat="1" ht="16.5" customHeight="1" x14ac:dyDescent="0.2">
      <c r="A326" s="17">
        <v>926</v>
      </c>
      <c r="B326" s="18"/>
      <c r="C326" s="21" t="s">
        <v>30</v>
      </c>
      <c r="D326" s="110">
        <f>D327+D328</f>
        <v>220750</v>
      </c>
      <c r="E326" s="74"/>
      <c r="F326" s="83"/>
      <c r="G326" s="79"/>
      <c r="I326" s="74"/>
    </row>
    <row r="327" spans="1:9" s="5" customFormat="1" ht="16.5" customHeight="1" x14ac:dyDescent="0.2">
      <c r="A327" s="22"/>
      <c r="B327" s="15">
        <v>92601</v>
      </c>
      <c r="C327" s="31" t="s">
        <v>31</v>
      </c>
      <c r="D327" s="108">
        <f>30000+85000+25000+30000</f>
        <v>170000</v>
      </c>
      <c r="E327" s="74"/>
      <c r="F327" s="83"/>
      <c r="G327" s="79"/>
      <c r="I327" s="74"/>
    </row>
    <row r="328" spans="1:9" s="5" customFormat="1" ht="16.5" customHeight="1" x14ac:dyDescent="0.2">
      <c r="A328" s="17"/>
      <c r="B328" s="18">
        <v>92605</v>
      </c>
      <c r="C328" s="57" t="s">
        <v>32</v>
      </c>
      <c r="D328" s="113">
        <f>750+50000</f>
        <v>50750</v>
      </c>
      <c r="E328" s="74"/>
      <c r="F328" s="83"/>
      <c r="G328" s="79"/>
      <c r="I328" s="74"/>
    </row>
    <row r="329" spans="1:9" s="7" customFormat="1" ht="18.75" customHeight="1" x14ac:dyDescent="0.2">
      <c r="A329" s="97"/>
      <c r="B329" s="98"/>
      <c r="C329" s="40" t="s">
        <v>15</v>
      </c>
      <c r="D329" s="116">
        <f>D330+D332+D334+D340+D342+D344+D348+D350+D353+D346+D338</f>
        <v>2427180</v>
      </c>
      <c r="E329" s="75"/>
      <c r="F329" s="83"/>
      <c r="G329" s="79"/>
      <c r="I329" s="75"/>
    </row>
    <row r="330" spans="1:9" s="6" customFormat="1" ht="16.5" customHeight="1" x14ac:dyDescent="0.2">
      <c r="A330" s="11">
        <v>600</v>
      </c>
      <c r="B330" s="12"/>
      <c r="C330" s="13" t="s">
        <v>3</v>
      </c>
      <c r="D330" s="107">
        <f>D331</f>
        <v>909167</v>
      </c>
      <c r="E330" s="76"/>
      <c r="F330" s="83"/>
      <c r="G330" s="79"/>
      <c r="I330" s="76"/>
    </row>
    <row r="331" spans="1:9" s="5" customFormat="1" ht="16.5" customHeight="1" x14ac:dyDescent="0.2">
      <c r="A331" s="52"/>
      <c r="B331" s="42">
        <v>60016</v>
      </c>
      <c r="C331" s="43" t="s">
        <v>4</v>
      </c>
      <c r="D331" s="114">
        <f>909167</f>
        <v>909167</v>
      </c>
      <c r="E331" s="74"/>
      <c r="F331" s="83"/>
      <c r="G331" s="79"/>
      <c r="I331" s="74"/>
    </row>
    <row r="332" spans="1:9" s="5" customFormat="1" ht="16.5" customHeight="1" x14ac:dyDescent="0.2">
      <c r="A332" s="17">
        <v>750</v>
      </c>
      <c r="B332" s="18"/>
      <c r="C332" s="45" t="s">
        <v>50</v>
      </c>
      <c r="D332" s="110">
        <f>D333</f>
        <v>40900</v>
      </c>
      <c r="E332" s="74"/>
      <c r="F332" s="83"/>
      <c r="G332" s="79"/>
      <c r="I332" s="74"/>
    </row>
    <row r="333" spans="1:9" s="5" customFormat="1" ht="16.5" customHeight="1" x14ac:dyDescent="0.2">
      <c r="A333" s="22"/>
      <c r="B333" s="15">
        <v>75095</v>
      </c>
      <c r="C333" s="50" t="s">
        <v>5</v>
      </c>
      <c r="D333" s="112">
        <v>40900</v>
      </c>
      <c r="E333" s="74"/>
      <c r="F333" s="83"/>
      <c r="G333" s="79"/>
      <c r="I333" s="74"/>
    </row>
    <row r="334" spans="1:9" s="5" customFormat="1" ht="16.5" customHeight="1" x14ac:dyDescent="0.2">
      <c r="A334" s="17">
        <v>754</v>
      </c>
      <c r="B334" s="18"/>
      <c r="C334" s="20" t="s">
        <v>39</v>
      </c>
      <c r="D334" s="110">
        <f>D336+D337+D335</f>
        <v>85000</v>
      </c>
      <c r="E334" s="74"/>
      <c r="F334" s="83"/>
      <c r="G334" s="79"/>
      <c r="I334" s="74"/>
    </row>
    <row r="335" spans="1:9" s="5" customFormat="1" ht="16.5" customHeight="1" x14ac:dyDescent="0.2">
      <c r="A335" s="14"/>
      <c r="B335" s="15">
        <v>75405</v>
      </c>
      <c r="C335" s="16" t="s">
        <v>40</v>
      </c>
      <c r="D335" s="108">
        <v>25000</v>
      </c>
      <c r="E335" s="74"/>
      <c r="F335" s="83"/>
      <c r="G335" s="79"/>
      <c r="I335" s="74"/>
    </row>
    <row r="336" spans="1:9" s="7" customFormat="1" ht="16.5" customHeight="1" x14ac:dyDescent="0.2">
      <c r="A336" s="22"/>
      <c r="B336" s="15">
        <v>75411</v>
      </c>
      <c r="C336" s="16" t="s">
        <v>55</v>
      </c>
      <c r="D336" s="112">
        <f>35000</f>
        <v>35000</v>
      </c>
      <c r="E336" s="75"/>
      <c r="F336" s="83"/>
      <c r="G336" s="79"/>
      <c r="I336" s="75"/>
    </row>
    <row r="337" spans="1:9" s="5" customFormat="1" ht="16.5" customHeight="1" x14ac:dyDescent="0.2">
      <c r="A337" s="22"/>
      <c r="B337" s="15">
        <v>75416</v>
      </c>
      <c r="C337" s="16" t="s">
        <v>41</v>
      </c>
      <c r="D337" s="112">
        <v>25000</v>
      </c>
      <c r="E337" s="74"/>
      <c r="F337" s="83"/>
      <c r="G337" s="79"/>
      <c r="I337" s="74"/>
    </row>
    <row r="338" spans="1:9" s="136" customFormat="1" ht="16.5" customHeight="1" x14ac:dyDescent="0.2">
      <c r="A338" s="63">
        <v>758</v>
      </c>
      <c r="B338" s="138"/>
      <c r="C338" s="19" t="s">
        <v>25</v>
      </c>
      <c r="D338" s="110">
        <f>D339</f>
        <v>377913</v>
      </c>
      <c r="E338" s="134"/>
      <c r="F338" s="83"/>
      <c r="G338" s="135"/>
      <c r="I338" s="137"/>
    </row>
    <row r="339" spans="1:9" s="136" customFormat="1" ht="16.5" customHeight="1" x14ac:dyDescent="0.2">
      <c r="A339" s="96"/>
      <c r="B339" s="58">
        <v>75818</v>
      </c>
      <c r="C339" s="26" t="s">
        <v>26</v>
      </c>
      <c r="D339" s="111">
        <f>377913</f>
        <v>377913</v>
      </c>
      <c r="E339" s="134"/>
      <c r="F339" s="83"/>
      <c r="G339" s="135"/>
      <c r="I339" s="137"/>
    </row>
    <row r="340" spans="1:9" s="5" customFormat="1" ht="16.5" customHeight="1" x14ac:dyDescent="0.2">
      <c r="A340" s="17">
        <v>801</v>
      </c>
      <c r="B340" s="18"/>
      <c r="C340" s="21" t="s">
        <v>27</v>
      </c>
      <c r="D340" s="110">
        <f>D341</f>
        <v>370000</v>
      </c>
      <c r="E340" s="74"/>
      <c r="F340" s="83"/>
      <c r="G340" s="79"/>
      <c r="I340" s="74"/>
    </row>
    <row r="341" spans="1:9" s="7" customFormat="1" ht="16.5" customHeight="1" x14ac:dyDescent="0.2">
      <c r="A341" s="22"/>
      <c r="B341" s="24">
        <v>80195</v>
      </c>
      <c r="C341" s="23" t="s">
        <v>5</v>
      </c>
      <c r="D341" s="112">
        <f>70000+150000+150000</f>
        <v>370000</v>
      </c>
      <c r="E341" s="75"/>
      <c r="F341" s="83"/>
      <c r="G341" s="79"/>
      <c r="I341" s="75"/>
    </row>
    <row r="342" spans="1:9" s="6" customFormat="1" ht="16.5" customHeight="1" x14ac:dyDescent="0.2">
      <c r="A342" s="17">
        <v>852</v>
      </c>
      <c r="B342" s="25"/>
      <c r="C342" s="20" t="s">
        <v>52</v>
      </c>
      <c r="D342" s="110">
        <f>D343</f>
        <v>25000</v>
      </c>
      <c r="E342" s="76"/>
      <c r="F342" s="83"/>
      <c r="G342" s="79"/>
      <c r="I342" s="76"/>
    </row>
    <row r="343" spans="1:9" s="5" customFormat="1" ht="16.5" customHeight="1" x14ac:dyDescent="0.2">
      <c r="A343" s="22"/>
      <c r="B343" s="24">
        <v>85295</v>
      </c>
      <c r="C343" s="23" t="s">
        <v>5</v>
      </c>
      <c r="D343" s="112">
        <v>25000</v>
      </c>
      <c r="E343" s="74"/>
      <c r="F343" s="83"/>
      <c r="G343" s="79"/>
      <c r="I343" s="74"/>
    </row>
    <row r="344" spans="1:9" s="5" customFormat="1" ht="16.5" customHeight="1" x14ac:dyDescent="0.2">
      <c r="A344" s="17">
        <v>853</v>
      </c>
      <c r="B344" s="18"/>
      <c r="C344" s="19" t="s">
        <v>34</v>
      </c>
      <c r="D344" s="110">
        <f>D345</f>
        <v>102500</v>
      </c>
      <c r="E344" s="74"/>
      <c r="F344" s="83"/>
      <c r="G344" s="79"/>
      <c r="I344" s="74"/>
    </row>
    <row r="345" spans="1:9" s="7" customFormat="1" ht="16.5" customHeight="1" x14ac:dyDescent="0.2">
      <c r="A345" s="22"/>
      <c r="B345" s="15">
        <v>85395</v>
      </c>
      <c r="C345" s="23" t="s">
        <v>5</v>
      </c>
      <c r="D345" s="108">
        <f>102500</f>
        <v>102500</v>
      </c>
      <c r="E345" s="75"/>
      <c r="F345" s="83"/>
      <c r="G345" s="79"/>
      <c r="I345" s="75"/>
    </row>
    <row r="346" spans="1:9" s="7" customFormat="1" ht="16.5" customHeight="1" x14ac:dyDescent="0.2">
      <c r="A346" s="17">
        <v>854</v>
      </c>
      <c r="B346" s="25"/>
      <c r="C346" s="46" t="s">
        <v>38</v>
      </c>
      <c r="D346" s="109">
        <f>D347</f>
        <v>3500</v>
      </c>
      <c r="E346" s="75"/>
      <c r="F346" s="83"/>
      <c r="G346" s="79"/>
      <c r="I346" s="75"/>
    </row>
    <row r="347" spans="1:9" s="7" customFormat="1" ht="16.5" customHeight="1" x14ac:dyDescent="0.2">
      <c r="A347" s="27"/>
      <c r="B347" s="28">
        <v>85495</v>
      </c>
      <c r="C347" s="23" t="s">
        <v>5</v>
      </c>
      <c r="D347" s="108">
        <f>3500</f>
        <v>3500</v>
      </c>
      <c r="E347" s="75"/>
      <c r="F347" s="83"/>
      <c r="G347" s="79"/>
      <c r="I347" s="75"/>
    </row>
    <row r="348" spans="1:9" s="7" customFormat="1" ht="16.5" customHeight="1" x14ac:dyDescent="0.2">
      <c r="A348" s="30">
        <v>900</v>
      </c>
      <c r="B348" s="25"/>
      <c r="C348" s="20" t="s">
        <v>28</v>
      </c>
      <c r="D348" s="109">
        <f>D349</f>
        <v>170000</v>
      </c>
      <c r="E348" s="75"/>
      <c r="F348" s="83"/>
      <c r="G348" s="79"/>
      <c r="I348" s="75"/>
    </row>
    <row r="349" spans="1:9" s="5" customFormat="1" ht="16.5" customHeight="1" x14ac:dyDescent="0.2">
      <c r="A349" s="22"/>
      <c r="B349" s="24">
        <v>90095</v>
      </c>
      <c r="C349" s="23" t="s">
        <v>5</v>
      </c>
      <c r="D349" s="108">
        <v>170000</v>
      </c>
      <c r="E349" s="74"/>
      <c r="F349" s="83"/>
      <c r="G349" s="79"/>
      <c r="I349" s="74"/>
    </row>
    <row r="350" spans="1:9" s="7" customFormat="1" ht="16.5" customHeight="1" x14ac:dyDescent="0.2">
      <c r="A350" s="17">
        <v>921</v>
      </c>
      <c r="B350" s="25"/>
      <c r="C350" s="20" t="s">
        <v>42</v>
      </c>
      <c r="D350" s="109">
        <f>D351+D352</f>
        <v>318200</v>
      </c>
      <c r="E350" s="75"/>
      <c r="F350" s="83"/>
      <c r="G350" s="79"/>
      <c r="I350" s="75"/>
    </row>
    <row r="351" spans="1:9" s="7" customFormat="1" ht="16.5" customHeight="1" x14ac:dyDescent="0.2">
      <c r="A351" s="22"/>
      <c r="B351" s="24">
        <v>92109</v>
      </c>
      <c r="C351" s="23" t="s">
        <v>43</v>
      </c>
      <c r="D351" s="108">
        <f>309200</f>
        <v>309200</v>
      </c>
      <c r="E351" s="75"/>
      <c r="F351" s="83"/>
      <c r="G351" s="79"/>
      <c r="I351" s="75"/>
    </row>
    <row r="352" spans="1:9" s="5" customFormat="1" ht="16.5" customHeight="1" x14ac:dyDescent="0.2">
      <c r="A352" s="22"/>
      <c r="B352" s="15">
        <v>92116</v>
      </c>
      <c r="C352" s="23" t="s">
        <v>44</v>
      </c>
      <c r="D352" s="121">
        <f>9000</f>
        <v>9000</v>
      </c>
      <c r="E352" s="74"/>
      <c r="F352" s="83"/>
      <c r="G352" s="79"/>
      <c r="I352" s="74"/>
    </row>
    <row r="353" spans="1:9" s="64" customFormat="1" ht="15" customHeight="1" x14ac:dyDescent="0.2">
      <c r="A353" s="63">
        <v>926</v>
      </c>
      <c r="B353" s="63"/>
      <c r="C353" s="19" t="s">
        <v>30</v>
      </c>
      <c r="D353" s="122">
        <f>D354</f>
        <v>25000</v>
      </c>
      <c r="E353" s="78"/>
      <c r="F353" s="83"/>
      <c r="G353" s="79"/>
      <c r="I353" s="85"/>
    </row>
    <row r="354" spans="1:9" s="5" customFormat="1" ht="16.5" customHeight="1" x14ac:dyDescent="0.2">
      <c r="A354" s="22"/>
      <c r="B354" s="15">
        <v>92601</v>
      </c>
      <c r="C354" s="62" t="s">
        <v>31</v>
      </c>
      <c r="D354" s="123">
        <v>25000</v>
      </c>
      <c r="E354" s="74"/>
      <c r="F354" s="83"/>
      <c r="G354" s="79"/>
      <c r="I354" s="74"/>
    </row>
    <row r="355" spans="1:9" s="7" customFormat="1" ht="18.75" customHeight="1" x14ac:dyDescent="0.2">
      <c r="A355" s="38"/>
      <c r="B355" s="39"/>
      <c r="C355" s="40" t="s">
        <v>16</v>
      </c>
      <c r="D355" s="116">
        <f>D356+D359+D361+D363+D365+D367+D369+D372+D376+D379</f>
        <v>3045851</v>
      </c>
      <c r="E355" s="75"/>
      <c r="F355" s="83"/>
      <c r="G355" s="79"/>
      <c r="I355" s="75"/>
    </row>
    <row r="356" spans="1:9" s="5" customFormat="1" ht="16.5" customHeight="1" x14ac:dyDescent="0.2">
      <c r="A356" s="11">
        <v>600</v>
      </c>
      <c r="B356" s="12"/>
      <c r="C356" s="13" t="s">
        <v>3</v>
      </c>
      <c r="D356" s="107">
        <f>D358+D357</f>
        <v>622000</v>
      </c>
      <c r="E356" s="74"/>
      <c r="F356" s="83"/>
      <c r="G356" s="79"/>
      <c r="I356" s="74"/>
    </row>
    <row r="357" spans="1:9" s="5" customFormat="1" ht="16.5" customHeight="1" x14ac:dyDescent="0.2">
      <c r="A357" s="92"/>
      <c r="B357" s="93">
        <v>60015</v>
      </c>
      <c r="C357" s="94" t="s">
        <v>72</v>
      </c>
      <c r="D357" s="114">
        <f>22000</f>
        <v>22000</v>
      </c>
      <c r="E357" s="74"/>
      <c r="F357" s="83"/>
      <c r="G357" s="79"/>
      <c r="I357" s="74"/>
    </row>
    <row r="358" spans="1:9" s="6" customFormat="1" ht="16.5" customHeight="1" x14ac:dyDescent="0.2">
      <c r="A358" s="14"/>
      <c r="B358" s="15">
        <v>60016</v>
      </c>
      <c r="C358" s="16" t="s">
        <v>4</v>
      </c>
      <c r="D358" s="108">
        <f>600000</f>
        <v>600000</v>
      </c>
      <c r="E358" s="76"/>
      <c r="F358" s="83"/>
      <c r="G358" s="79"/>
      <c r="I358" s="76"/>
    </row>
    <row r="359" spans="1:9" s="6" customFormat="1" ht="16.5" customHeight="1" x14ac:dyDescent="0.2">
      <c r="A359" s="17">
        <v>750</v>
      </c>
      <c r="B359" s="18"/>
      <c r="C359" s="19" t="s">
        <v>50</v>
      </c>
      <c r="D359" s="110">
        <f>D360</f>
        <v>34000</v>
      </c>
      <c r="E359" s="76"/>
      <c r="F359" s="83"/>
      <c r="G359" s="79"/>
      <c r="I359" s="76"/>
    </row>
    <row r="360" spans="1:9" s="5" customFormat="1" ht="16.5" customHeight="1" x14ac:dyDescent="0.2">
      <c r="A360" s="22"/>
      <c r="B360" s="15">
        <v>75095</v>
      </c>
      <c r="C360" s="16" t="s">
        <v>5</v>
      </c>
      <c r="D360" s="112">
        <v>34000</v>
      </c>
      <c r="E360" s="74"/>
      <c r="F360" s="83"/>
      <c r="G360" s="79"/>
      <c r="I360" s="74"/>
    </row>
    <row r="361" spans="1:9" s="6" customFormat="1" ht="16.5" customHeight="1" x14ac:dyDescent="0.2">
      <c r="A361" s="17">
        <v>754</v>
      </c>
      <c r="B361" s="18"/>
      <c r="C361" s="20" t="s">
        <v>39</v>
      </c>
      <c r="D361" s="110">
        <f>D362</f>
        <v>4500</v>
      </c>
      <c r="E361" s="76"/>
      <c r="F361" s="83"/>
      <c r="G361" s="79"/>
      <c r="I361" s="76"/>
    </row>
    <row r="362" spans="1:9" s="6" customFormat="1" ht="16.5" customHeight="1" x14ac:dyDescent="0.2">
      <c r="A362" s="22"/>
      <c r="B362" s="15">
        <v>75411</v>
      </c>
      <c r="C362" s="16" t="s">
        <v>55</v>
      </c>
      <c r="D362" s="112">
        <f>4500</f>
        <v>4500</v>
      </c>
      <c r="E362" s="76"/>
      <c r="F362" s="83"/>
      <c r="G362" s="79"/>
      <c r="I362" s="76"/>
    </row>
    <row r="363" spans="1:9" s="6" customFormat="1" ht="16.5" customHeight="1" x14ac:dyDescent="0.2">
      <c r="A363" s="17">
        <v>758</v>
      </c>
      <c r="B363" s="18"/>
      <c r="C363" s="21" t="s">
        <v>25</v>
      </c>
      <c r="D363" s="110">
        <f>D364</f>
        <v>539240</v>
      </c>
      <c r="E363" s="76"/>
      <c r="F363" s="83"/>
      <c r="G363" s="79"/>
      <c r="I363" s="76"/>
    </row>
    <row r="364" spans="1:9" s="6" customFormat="1" ht="16.5" customHeight="1" x14ac:dyDescent="0.2">
      <c r="A364" s="22"/>
      <c r="B364" s="15">
        <v>75818</v>
      </c>
      <c r="C364" s="23" t="s">
        <v>26</v>
      </c>
      <c r="D364" s="111">
        <f>2571611-D356-D359-D361-D365-D367-D369-D372-D376-D379+474240</f>
        <v>539240</v>
      </c>
      <c r="E364" s="76"/>
      <c r="F364" s="83"/>
      <c r="G364" s="79"/>
      <c r="I364" s="76"/>
    </row>
    <row r="365" spans="1:9" s="5" customFormat="1" ht="16.5" customHeight="1" x14ac:dyDescent="0.2">
      <c r="A365" s="17">
        <v>801</v>
      </c>
      <c r="B365" s="18"/>
      <c r="C365" s="21" t="s">
        <v>27</v>
      </c>
      <c r="D365" s="109">
        <f>D366</f>
        <v>388080</v>
      </c>
      <c r="E365" s="74"/>
      <c r="F365" s="83"/>
      <c r="G365" s="79"/>
      <c r="I365" s="74"/>
    </row>
    <row r="366" spans="1:9" s="7" customFormat="1" ht="16.5" customHeight="1" x14ac:dyDescent="0.2">
      <c r="A366" s="22"/>
      <c r="B366" s="24">
        <v>80195</v>
      </c>
      <c r="C366" s="16" t="s">
        <v>5</v>
      </c>
      <c r="D366" s="108">
        <f>25000+73000+67580+53500+71000+98000</f>
        <v>388080</v>
      </c>
      <c r="E366" s="75"/>
      <c r="F366" s="83"/>
      <c r="G366" s="79"/>
      <c r="I366" s="75"/>
    </row>
    <row r="367" spans="1:9" s="6" customFormat="1" ht="16.5" customHeight="1" x14ac:dyDescent="0.2">
      <c r="A367" s="17">
        <v>852</v>
      </c>
      <c r="B367" s="25"/>
      <c r="C367" s="20" t="s">
        <v>52</v>
      </c>
      <c r="D367" s="110">
        <f>D368</f>
        <v>19700</v>
      </c>
      <c r="E367" s="76"/>
      <c r="F367" s="83"/>
      <c r="G367" s="79"/>
      <c r="I367" s="76"/>
    </row>
    <row r="368" spans="1:9" s="5" customFormat="1" ht="16.5" customHeight="1" x14ac:dyDescent="0.2">
      <c r="A368" s="17"/>
      <c r="B368" s="25">
        <v>85295</v>
      </c>
      <c r="C368" s="100" t="s">
        <v>5</v>
      </c>
      <c r="D368" s="118">
        <v>19700</v>
      </c>
      <c r="E368" s="74"/>
      <c r="F368" s="83"/>
      <c r="G368" s="79"/>
      <c r="I368" s="74"/>
    </row>
    <row r="369" spans="1:9" s="7" customFormat="1" ht="16.5" customHeight="1" x14ac:dyDescent="0.2">
      <c r="A369" s="11">
        <v>853</v>
      </c>
      <c r="B369" s="33"/>
      <c r="C369" s="99" t="s">
        <v>34</v>
      </c>
      <c r="D369" s="119">
        <f>D371+D370</f>
        <v>143681</v>
      </c>
      <c r="E369" s="75"/>
      <c r="F369" s="83"/>
      <c r="G369" s="79"/>
      <c r="I369" s="75"/>
    </row>
    <row r="370" spans="1:9" s="7" customFormat="1" ht="16.5" customHeight="1" x14ac:dyDescent="0.2">
      <c r="A370" s="22"/>
      <c r="B370" s="42">
        <v>85311</v>
      </c>
      <c r="C370" s="26" t="s">
        <v>56</v>
      </c>
      <c r="D370" s="112">
        <f>6100</f>
        <v>6100</v>
      </c>
      <c r="E370" s="75"/>
      <c r="F370" s="83"/>
      <c r="G370" s="79"/>
      <c r="I370" s="75"/>
    </row>
    <row r="371" spans="1:9" s="7" customFormat="1" ht="16.5" customHeight="1" x14ac:dyDescent="0.2">
      <c r="A371" s="22"/>
      <c r="B371" s="15">
        <v>85395</v>
      </c>
      <c r="C371" s="47" t="s">
        <v>5</v>
      </c>
      <c r="D371" s="108">
        <f>9000+128581</f>
        <v>137581</v>
      </c>
      <c r="E371" s="75"/>
      <c r="F371" s="83"/>
      <c r="G371" s="79"/>
      <c r="I371" s="75"/>
    </row>
    <row r="372" spans="1:9" s="7" customFormat="1" ht="16.5" customHeight="1" x14ac:dyDescent="0.2">
      <c r="A372" s="30">
        <v>900</v>
      </c>
      <c r="B372" s="18"/>
      <c r="C372" s="46" t="s">
        <v>28</v>
      </c>
      <c r="D372" s="109">
        <f>D373+D374+D375</f>
        <v>1013050</v>
      </c>
      <c r="E372" s="75"/>
      <c r="F372" s="83"/>
      <c r="G372" s="79"/>
      <c r="I372" s="75"/>
    </row>
    <row r="373" spans="1:9" s="7" customFormat="1" ht="16.5" customHeight="1" x14ac:dyDescent="0.2">
      <c r="A373" s="48"/>
      <c r="B373" s="42">
        <v>90004</v>
      </c>
      <c r="C373" s="44" t="s">
        <v>33</v>
      </c>
      <c r="D373" s="114">
        <v>400850</v>
      </c>
      <c r="E373" s="75"/>
      <c r="F373" s="83"/>
      <c r="G373" s="79"/>
      <c r="I373" s="75"/>
    </row>
    <row r="374" spans="1:9" s="7" customFormat="1" ht="16.5" customHeight="1" x14ac:dyDescent="0.2">
      <c r="A374" s="48"/>
      <c r="B374" s="15">
        <v>90015</v>
      </c>
      <c r="C374" s="23" t="s">
        <v>29</v>
      </c>
      <c r="D374" s="108">
        <f>32000+95123+21200</f>
        <v>148323</v>
      </c>
      <c r="E374" s="75"/>
      <c r="F374" s="83"/>
      <c r="G374" s="79"/>
      <c r="I374" s="75"/>
    </row>
    <row r="375" spans="1:9" s="5" customFormat="1" ht="16.5" customHeight="1" x14ac:dyDescent="0.2">
      <c r="A375" s="22"/>
      <c r="B375" s="24">
        <v>90095</v>
      </c>
      <c r="C375" s="23" t="s">
        <v>5</v>
      </c>
      <c r="D375" s="112">
        <f>110000+143877+100000+110000</f>
        <v>463877</v>
      </c>
      <c r="E375" s="74"/>
      <c r="F375" s="83"/>
      <c r="G375" s="79"/>
      <c r="I375" s="74"/>
    </row>
    <row r="376" spans="1:9" s="5" customFormat="1" ht="16.5" customHeight="1" x14ac:dyDescent="0.2">
      <c r="A376" s="17">
        <v>921</v>
      </c>
      <c r="B376" s="18"/>
      <c r="C376" s="20" t="s">
        <v>42</v>
      </c>
      <c r="D376" s="109">
        <f>D377+D378</f>
        <v>225600</v>
      </c>
      <c r="E376" s="74"/>
      <c r="F376" s="83"/>
      <c r="G376" s="79"/>
      <c r="I376" s="74"/>
    </row>
    <row r="377" spans="1:9" s="5" customFormat="1" ht="16.5" customHeight="1" x14ac:dyDescent="0.2">
      <c r="A377" s="22"/>
      <c r="B377" s="24">
        <v>92109</v>
      </c>
      <c r="C377" s="23" t="s">
        <v>43</v>
      </c>
      <c r="D377" s="108">
        <f>204600+4000</f>
        <v>208600</v>
      </c>
      <c r="E377" s="74"/>
      <c r="F377" s="83"/>
      <c r="G377" s="79"/>
      <c r="I377" s="74"/>
    </row>
    <row r="378" spans="1:9" s="5" customFormat="1" ht="16.5" customHeight="1" x14ac:dyDescent="0.2">
      <c r="A378" s="22"/>
      <c r="B378" s="24">
        <v>92116</v>
      </c>
      <c r="C378" s="23" t="s">
        <v>44</v>
      </c>
      <c r="D378" s="108">
        <f>17000</f>
        <v>17000</v>
      </c>
      <c r="E378" s="74"/>
      <c r="F378" s="83"/>
      <c r="G378" s="79"/>
      <c r="I378" s="74"/>
    </row>
    <row r="379" spans="1:9" s="7" customFormat="1" ht="16.5" customHeight="1" x14ac:dyDescent="0.2">
      <c r="A379" s="17">
        <v>926</v>
      </c>
      <c r="B379" s="18"/>
      <c r="C379" s="21" t="s">
        <v>30</v>
      </c>
      <c r="D379" s="110">
        <f>D380+D381</f>
        <v>56000</v>
      </c>
      <c r="E379" s="75"/>
      <c r="F379" s="83"/>
      <c r="G379" s="79"/>
      <c r="I379" s="75"/>
    </row>
    <row r="380" spans="1:9" s="6" customFormat="1" ht="16.5" customHeight="1" x14ac:dyDescent="0.2">
      <c r="A380" s="22"/>
      <c r="B380" s="15">
        <v>92601</v>
      </c>
      <c r="C380" s="31" t="s">
        <v>31</v>
      </c>
      <c r="D380" s="108">
        <f>14000+17000</f>
        <v>31000</v>
      </c>
      <c r="E380" s="76"/>
      <c r="F380" s="83"/>
      <c r="G380" s="79"/>
      <c r="I380" s="76"/>
    </row>
    <row r="381" spans="1:9" s="7" customFormat="1" ht="16.5" customHeight="1" x14ac:dyDescent="0.2">
      <c r="A381" s="35"/>
      <c r="B381" s="18">
        <v>92605</v>
      </c>
      <c r="C381" s="57" t="s">
        <v>32</v>
      </c>
      <c r="D381" s="113">
        <f>9500+15500</f>
        <v>25000</v>
      </c>
      <c r="E381" s="75"/>
      <c r="F381" s="83"/>
      <c r="G381" s="79"/>
      <c r="I381" s="75"/>
    </row>
    <row r="382" spans="1:9" s="7" customFormat="1" ht="18.75" customHeight="1" x14ac:dyDescent="0.2">
      <c r="A382" s="97"/>
      <c r="B382" s="98"/>
      <c r="C382" s="40" t="s">
        <v>17</v>
      </c>
      <c r="D382" s="116">
        <f>D383+D385+D388+D392+D394+D396+D400+D403+D405+D407+D409+D412</f>
        <v>3801105</v>
      </c>
      <c r="E382" s="75"/>
      <c r="F382" s="83"/>
      <c r="G382" s="79"/>
      <c r="I382" s="75"/>
    </row>
    <row r="383" spans="1:9" s="6" customFormat="1" ht="16.5" customHeight="1" x14ac:dyDescent="0.2">
      <c r="A383" s="11">
        <v>600</v>
      </c>
      <c r="B383" s="12"/>
      <c r="C383" s="13" t="s">
        <v>3</v>
      </c>
      <c r="D383" s="107">
        <f>D384</f>
        <v>440000</v>
      </c>
      <c r="E383" s="76"/>
      <c r="F383" s="83"/>
      <c r="G383" s="79"/>
      <c r="I383" s="76"/>
    </row>
    <row r="384" spans="1:9" s="5" customFormat="1" ht="16.5" customHeight="1" x14ac:dyDescent="0.2">
      <c r="A384" s="14"/>
      <c r="B384" s="15">
        <v>60016</v>
      </c>
      <c r="C384" s="16" t="s">
        <v>4</v>
      </c>
      <c r="D384" s="108">
        <f>440000</f>
        <v>440000</v>
      </c>
      <c r="E384" s="74"/>
      <c r="F384" s="83"/>
      <c r="G384" s="79"/>
      <c r="I384" s="74"/>
    </row>
    <row r="385" spans="1:9" s="5" customFormat="1" ht="16.5" customHeight="1" x14ac:dyDescent="0.2">
      <c r="A385" s="17">
        <v>750</v>
      </c>
      <c r="B385" s="18"/>
      <c r="C385" s="19" t="s">
        <v>50</v>
      </c>
      <c r="D385" s="110">
        <f>D387+D386</f>
        <v>55000</v>
      </c>
      <c r="E385" s="74"/>
      <c r="F385" s="83"/>
      <c r="G385" s="79"/>
      <c r="I385" s="74"/>
    </row>
    <row r="386" spans="1:9" s="5" customFormat="1" ht="16.5" customHeight="1" x14ac:dyDescent="0.2">
      <c r="A386" s="27"/>
      <c r="B386" s="42">
        <v>75022</v>
      </c>
      <c r="C386" s="16" t="s">
        <v>51</v>
      </c>
      <c r="D386" s="111">
        <f>60+140+100</f>
        <v>300</v>
      </c>
      <c r="E386" s="74"/>
      <c r="F386" s="83"/>
      <c r="G386" s="79"/>
      <c r="I386" s="74"/>
    </row>
    <row r="387" spans="1:9" s="5" customFormat="1" ht="16.5" customHeight="1" x14ac:dyDescent="0.2">
      <c r="A387" s="22"/>
      <c r="B387" s="15">
        <v>75095</v>
      </c>
      <c r="C387" s="16" t="s">
        <v>5</v>
      </c>
      <c r="D387" s="112">
        <v>54700</v>
      </c>
      <c r="E387" s="74"/>
      <c r="F387" s="83"/>
      <c r="G387" s="79"/>
      <c r="I387" s="74"/>
    </row>
    <row r="388" spans="1:9" s="5" customFormat="1" ht="16.5" customHeight="1" x14ac:dyDescent="0.2">
      <c r="A388" s="17">
        <v>754</v>
      </c>
      <c r="B388" s="18"/>
      <c r="C388" s="20" t="s">
        <v>39</v>
      </c>
      <c r="D388" s="110">
        <f>D389+D390+D391</f>
        <v>139200</v>
      </c>
      <c r="E388" s="74"/>
      <c r="F388" s="83"/>
      <c r="G388" s="79"/>
      <c r="I388" s="74"/>
    </row>
    <row r="389" spans="1:9" s="7" customFormat="1" ht="16.5" customHeight="1" x14ac:dyDescent="0.2">
      <c r="A389" s="22"/>
      <c r="B389" s="15">
        <v>75405</v>
      </c>
      <c r="C389" s="16" t="s">
        <v>40</v>
      </c>
      <c r="D389" s="112">
        <f>85200</f>
        <v>85200</v>
      </c>
      <c r="E389" s="75"/>
      <c r="F389" s="83"/>
      <c r="G389" s="79"/>
      <c r="I389" s="75"/>
    </row>
    <row r="390" spans="1:9" s="5" customFormat="1" ht="16.5" customHeight="1" x14ac:dyDescent="0.2">
      <c r="A390" s="22"/>
      <c r="B390" s="15">
        <v>75411</v>
      </c>
      <c r="C390" s="16" t="s">
        <v>55</v>
      </c>
      <c r="D390" s="112">
        <f>10000+20000</f>
        <v>30000</v>
      </c>
      <c r="E390" s="74"/>
      <c r="F390" s="83"/>
      <c r="G390" s="79"/>
      <c r="I390" s="74"/>
    </row>
    <row r="391" spans="1:9" s="6" customFormat="1" ht="16.5" customHeight="1" x14ac:dyDescent="0.2">
      <c r="A391" s="22"/>
      <c r="B391" s="15">
        <v>75416</v>
      </c>
      <c r="C391" s="16" t="s">
        <v>41</v>
      </c>
      <c r="D391" s="112">
        <v>24000</v>
      </c>
      <c r="E391" s="76"/>
      <c r="F391" s="83"/>
      <c r="G391" s="79"/>
      <c r="I391" s="76"/>
    </row>
    <row r="392" spans="1:9" s="7" customFormat="1" ht="16.5" customHeight="1" x14ac:dyDescent="0.2">
      <c r="A392" s="17">
        <v>758</v>
      </c>
      <c r="B392" s="18"/>
      <c r="C392" s="53" t="s">
        <v>25</v>
      </c>
      <c r="D392" s="110">
        <f>D393</f>
        <v>788333</v>
      </c>
      <c r="E392" s="75"/>
      <c r="F392" s="83"/>
      <c r="G392" s="79"/>
      <c r="I392" s="75"/>
    </row>
    <row r="393" spans="1:9" s="5" customFormat="1" ht="16.5" customHeight="1" x14ac:dyDescent="0.2">
      <c r="A393" s="96"/>
      <c r="B393" s="58">
        <v>75818</v>
      </c>
      <c r="C393" s="26" t="s">
        <v>26</v>
      </c>
      <c r="D393" s="112">
        <f>3209272-D383-D385-D388-D394-D396-D400-D403-D405-D407-D409-D412+591833</f>
        <v>788333</v>
      </c>
      <c r="E393" s="74"/>
      <c r="F393" s="83"/>
      <c r="G393" s="79"/>
      <c r="I393" s="74"/>
    </row>
    <row r="394" spans="1:9" s="6" customFormat="1" ht="16.5" customHeight="1" x14ac:dyDescent="0.2">
      <c r="A394" s="17">
        <v>801</v>
      </c>
      <c r="B394" s="18"/>
      <c r="C394" s="21" t="s">
        <v>27</v>
      </c>
      <c r="D394" s="109">
        <f>D395</f>
        <v>1379000</v>
      </c>
      <c r="E394" s="76"/>
      <c r="F394" s="83"/>
      <c r="G394" s="79"/>
      <c r="I394" s="76"/>
    </row>
    <row r="395" spans="1:9" s="6" customFormat="1" ht="16.5" customHeight="1" x14ac:dyDescent="0.2">
      <c r="A395" s="27"/>
      <c r="B395" s="28">
        <v>80195</v>
      </c>
      <c r="C395" s="43" t="s">
        <v>5</v>
      </c>
      <c r="D395" s="114">
        <f>72000+77000+22000+95000+72000+103000+227000+112000+112000+187000+204000+43000+53000</f>
        <v>1379000</v>
      </c>
      <c r="E395" s="76"/>
      <c r="F395" s="83"/>
      <c r="G395" s="79"/>
      <c r="I395" s="76"/>
    </row>
    <row r="396" spans="1:9" s="6" customFormat="1" ht="16.5" customHeight="1" x14ac:dyDescent="0.2">
      <c r="A396" s="17">
        <v>852</v>
      </c>
      <c r="B396" s="18"/>
      <c r="C396" s="46" t="s">
        <v>52</v>
      </c>
      <c r="D396" s="110">
        <f>D397+D398+D399</f>
        <v>93572</v>
      </c>
      <c r="E396" s="76"/>
      <c r="F396" s="83"/>
      <c r="G396" s="79"/>
      <c r="I396" s="76"/>
    </row>
    <row r="397" spans="1:9" s="6" customFormat="1" ht="16.5" customHeight="1" x14ac:dyDescent="0.2">
      <c r="A397" s="22"/>
      <c r="B397" s="24">
        <v>85203</v>
      </c>
      <c r="C397" s="23" t="s">
        <v>54</v>
      </c>
      <c r="D397" s="112">
        <f>8572+53000+14000</f>
        <v>75572</v>
      </c>
      <c r="E397" s="76"/>
      <c r="F397" s="83"/>
      <c r="G397" s="79"/>
      <c r="I397" s="76"/>
    </row>
    <row r="398" spans="1:9" s="6" customFormat="1" ht="24" x14ac:dyDescent="0.2">
      <c r="A398" s="22"/>
      <c r="B398" s="24">
        <v>85214</v>
      </c>
      <c r="C398" s="23" t="s">
        <v>62</v>
      </c>
      <c r="D398" s="112">
        <v>12000</v>
      </c>
      <c r="E398" s="76"/>
      <c r="F398" s="83"/>
      <c r="G398" s="79"/>
      <c r="I398" s="76"/>
    </row>
    <row r="399" spans="1:9" s="6" customFormat="1" ht="16.5" customHeight="1" x14ac:dyDescent="0.2">
      <c r="A399" s="22"/>
      <c r="B399" s="24">
        <v>85295</v>
      </c>
      <c r="C399" s="23" t="s">
        <v>5</v>
      </c>
      <c r="D399" s="112">
        <v>6000</v>
      </c>
      <c r="E399" s="76"/>
      <c r="F399" s="83"/>
      <c r="G399" s="79"/>
      <c r="I399" s="76"/>
    </row>
    <row r="400" spans="1:9" s="5" customFormat="1" ht="16.5" customHeight="1" x14ac:dyDescent="0.2">
      <c r="A400" s="17">
        <v>853</v>
      </c>
      <c r="B400" s="18"/>
      <c r="C400" s="19" t="s">
        <v>34</v>
      </c>
      <c r="D400" s="110">
        <f>D401+D402</f>
        <v>280000</v>
      </c>
      <c r="E400" s="74"/>
      <c r="F400" s="83"/>
      <c r="G400" s="79"/>
      <c r="I400" s="74"/>
    </row>
    <row r="401" spans="1:9" s="5" customFormat="1" ht="16.5" customHeight="1" x14ac:dyDescent="0.2">
      <c r="A401" s="22"/>
      <c r="B401" s="24">
        <v>85311</v>
      </c>
      <c r="C401" s="26" t="s">
        <v>56</v>
      </c>
      <c r="D401" s="112">
        <f>80000</f>
        <v>80000</v>
      </c>
      <c r="E401" s="74"/>
      <c r="F401" s="83"/>
      <c r="G401" s="79"/>
      <c r="I401" s="74"/>
    </row>
    <row r="402" spans="1:9" s="5" customFormat="1" ht="16.5" customHeight="1" x14ac:dyDescent="0.2">
      <c r="A402" s="22"/>
      <c r="B402" s="24">
        <v>85395</v>
      </c>
      <c r="C402" s="23" t="s">
        <v>5</v>
      </c>
      <c r="D402" s="108">
        <f>80000+60000+60000</f>
        <v>200000</v>
      </c>
      <c r="E402" s="74"/>
      <c r="F402" s="83"/>
      <c r="G402" s="79"/>
      <c r="I402" s="74"/>
    </row>
    <row r="403" spans="1:9" s="5" customFormat="1" ht="16.5" customHeight="1" x14ac:dyDescent="0.2">
      <c r="A403" s="17">
        <v>854</v>
      </c>
      <c r="B403" s="25"/>
      <c r="C403" s="20" t="s">
        <v>38</v>
      </c>
      <c r="D403" s="109">
        <f>D404</f>
        <v>73000</v>
      </c>
      <c r="E403" s="74"/>
      <c r="F403" s="83"/>
      <c r="G403" s="79"/>
      <c r="I403" s="74"/>
    </row>
    <row r="404" spans="1:9" s="5" customFormat="1" ht="16.5" customHeight="1" x14ac:dyDescent="0.2">
      <c r="A404" s="27"/>
      <c r="B404" s="28">
        <v>85495</v>
      </c>
      <c r="C404" s="44" t="s">
        <v>5</v>
      </c>
      <c r="D404" s="114">
        <f>18000+32000+23000</f>
        <v>73000</v>
      </c>
      <c r="E404" s="74"/>
      <c r="F404" s="83"/>
      <c r="G404" s="79"/>
      <c r="I404" s="74"/>
    </row>
    <row r="405" spans="1:9" s="7" customFormat="1" ht="16.5" customHeight="1" x14ac:dyDescent="0.2">
      <c r="A405" s="30">
        <v>855</v>
      </c>
      <c r="B405" s="25"/>
      <c r="C405" s="20" t="s">
        <v>59</v>
      </c>
      <c r="D405" s="109">
        <f>D406</f>
        <v>240000</v>
      </c>
      <c r="E405" s="75"/>
      <c r="F405" s="83"/>
      <c r="G405" s="79"/>
      <c r="I405" s="75"/>
    </row>
    <row r="406" spans="1:9" s="7" customFormat="1" ht="16.5" customHeight="1" x14ac:dyDescent="0.2">
      <c r="A406" s="22"/>
      <c r="B406" s="15">
        <v>85516</v>
      </c>
      <c r="C406" s="23" t="s">
        <v>61</v>
      </c>
      <c r="D406" s="112">
        <f>70000+170000</f>
        <v>240000</v>
      </c>
      <c r="E406" s="75"/>
      <c r="F406" s="83"/>
      <c r="G406" s="79"/>
      <c r="I406" s="75"/>
    </row>
    <row r="407" spans="1:9" s="7" customFormat="1" ht="16.5" customHeight="1" x14ac:dyDescent="0.2">
      <c r="A407" s="30">
        <v>900</v>
      </c>
      <c r="B407" s="25"/>
      <c r="C407" s="20" t="s">
        <v>28</v>
      </c>
      <c r="D407" s="109">
        <f>D408</f>
        <v>102000</v>
      </c>
      <c r="E407" s="75"/>
      <c r="F407" s="83"/>
      <c r="G407" s="79"/>
      <c r="I407" s="75"/>
    </row>
    <row r="408" spans="1:9" s="7" customFormat="1" ht="16.5" customHeight="1" x14ac:dyDescent="0.2">
      <c r="A408" s="27"/>
      <c r="B408" s="42">
        <v>90095</v>
      </c>
      <c r="C408" s="44" t="s">
        <v>5</v>
      </c>
      <c r="D408" s="111">
        <v>102000</v>
      </c>
      <c r="E408" s="75"/>
      <c r="F408" s="83"/>
      <c r="G408" s="79"/>
      <c r="I408" s="75"/>
    </row>
    <row r="409" spans="1:9" s="7" customFormat="1" ht="16.5" customHeight="1" x14ac:dyDescent="0.2">
      <c r="A409" s="17">
        <v>921</v>
      </c>
      <c r="B409" s="18"/>
      <c r="C409" s="20" t="s">
        <v>42</v>
      </c>
      <c r="D409" s="109">
        <f>D410+D411</f>
        <v>45000</v>
      </c>
      <c r="E409" s="75"/>
      <c r="F409" s="83"/>
      <c r="G409" s="79"/>
      <c r="I409" s="75"/>
    </row>
    <row r="410" spans="1:9" s="5" customFormat="1" ht="16.5" customHeight="1" x14ac:dyDescent="0.2">
      <c r="A410" s="22"/>
      <c r="B410" s="24">
        <v>92109</v>
      </c>
      <c r="C410" s="23" t="s">
        <v>43</v>
      </c>
      <c r="D410" s="108">
        <f>33000</f>
        <v>33000</v>
      </c>
      <c r="E410" s="74"/>
      <c r="F410" s="83"/>
      <c r="G410" s="79"/>
      <c r="I410" s="74"/>
    </row>
    <row r="411" spans="1:9" s="5" customFormat="1" ht="16.5" customHeight="1" x14ac:dyDescent="0.2">
      <c r="A411" s="22"/>
      <c r="B411" s="24">
        <v>92116</v>
      </c>
      <c r="C411" s="23" t="s">
        <v>44</v>
      </c>
      <c r="D411" s="108">
        <f>12000</f>
        <v>12000</v>
      </c>
      <c r="E411" s="74"/>
      <c r="F411" s="83"/>
      <c r="G411" s="79"/>
      <c r="I411" s="74"/>
    </row>
    <row r="412" spans="1:9" s="5" customFormat="1" ht="16.5" customHeight="1" x14ac:dyDescent="0.2">
      <c r="A412" s="17">
        <v>926</v>
      </c>
      <c r="B412" s="18"/>
      <c r="C412" s="53" t="s">
        <v>30</v>
      </c>
      <c r="D412" s="110">
        <f>D413</f>
        <v>166000</v>
      </c>
      <c r="E412" s="74"/>
      <c r="F412" s="83"/>
      <c r="G412" s="79"/>
      <c r="I412" s="74"/>
    </row>
    <row r="413" spans="1:9" s="7" customFormat="1" ht="16.5" customHeight="1" x14ac:dyDescent="0.2">
      <c r="A413" s="11"/>
      <c r="B413" s="33">
        <v>92601</v>
      </c>
      <c r="C413" s="51" t="s">
        <v>31</v>
      </c>
      <c r="D413" s="120">
        <f>46000+30000+25000+35000+30000</f>
        <v>166000</v>
      </c>
      <c r="E413" s="75"/>
      <c r="F413" s="83"/>
      <c r="G413" s="79"/>
      <c r="I413" s="75"/>
    </row>
    <row r="414" spans="1:9" s="6" customFormat="1" ht="18.75" customHeight="1" x14ac:dyDescent="0.2">
      <c r="A414" s="38"/>
      <c r="B414" s="39"/>
      <c r="C414" s="40" t="s">
        <v>18</v>
      </c>
      <c r="D414" s="116">
        <f>D415+D417+D420+D423+D425+D427+D430+D434+D437+D439+D441+D445+D448</f>
        <v>4314640</v>
      </c>
      <c r="E414" s="76"/>
      <c r="F414" s="83"/>
      <c r="G414" s="79"/>
      <c r="I414" s="76"/>
    </row>
    <row r="415" spans="1:9" s="5" customFormat="1" ht="16.5" customHeight="1" x14ac:dyDescent="0.2">
      <c r="A415" s="11">
        <v>600</v>
      </c>
      <c r="B415" s="12"/>
      <c r="C415" s="13" t="s">
        <v>3</v>
      </c>
      <c r="D415" s="107">
        <f>D416</f>
        <v>1064507</v>
      </c>
      <c r="E415" s="74"/>
      <c r="F415" s="83"/>
      <c r="G415" s="79"/>
      <c r="I415" s="74"/>
    </row>
    <row r="416" spans="1:9" s="6" customFormat="1" ht="16.5" customHeight="1" x14ac:dyDescent="0.2">
      <c r="A416" s="14"/>
      <c r="B416" s="15">
        <v>60016</v>
      </c>
      <c r="C416" s="16" t="s">
        <v>4</v>
      </c>
      <c r="D416" s="108">
        <f>1064507</f>
        <v>1064507</v>
      </c>
      <c r="E416" s="76"/>
      <c r="F416" s="83"/>
      <c r="G416" s="79"/>
      <c r="I416" s="76"/>
    </row>
    <row r="417" spans="1:9" s="5" customFormat="1" ht="16.5" customHeight="1" x14ac:dyDescent="0.2">
      <c r="A417" s="17">
        <v>750</v>
      </c>
      <c r="B417" s="18"/>
      <c r="C417" s="19" t="s">
        <v>50</v>
      </c>
      <c r="D417" s="110">
        <f>D418+D419</f>
        <v>35000</v>
      </c>
      <c r="E417" s="74"/>
      <c r="F417" s="83"/>
      <c r="G417" s="79"/>
      <c r="I417" s="74"/>
    </row>
    <row r="418" spans="1:9" s="5" customFormat="1" ht="16.5" customHeight="1" x14ac:dyDescent="0.2">
      <c r="A418" s="22"/>
      <c r="B418" s="15">
        <v>75022</v>
      </c>
      <c r="C418" s="16" t="s">
        <v>51</v>
      </c>
      <c r="D418" s="112">
        <f>10000</f>
        <v>10000</v>
      </c>
      <c r="E418" s="74"/>
      <c r="F418" s="83"/>
      <c r="G418" s="79"/>
      <c r="I418" s="74"/>
    </row>
    <row r="419" spans="1:9" s="5" customFormat="1" ht="16.5" customHeight="1" x14ac:dyDescent="0.2">
      <c r="A419" s="22"/>
      <c r="B419" s="15">
        <v>75095</v>
      </c>
      <c r="C419" s="16" t="s">
        <v>5</v>
      </c>
      <c r="D419" s="112">
        <v>25000</v>
      </c>
      <c r="E419" s="74"/>
      <c r="F419" s="83"/>
      <c r="G419" s="79"/>
      <c r="I419" s="74"/>
    </row>
    <row r="420" spans="1:9" s="7" customFormat="1" ht="16.5" customHeight="1" x14ac:dyDescent="0.2">
      <c r="A420" s="17">
        <v>754</v>
      </c>
      <c r="B420" s="18"/>
      <c r="C420" s="20" t="s">
        <v>39</v>
      </c>
      <c r="D420" s="110">
        <f>D421+D422</f>
        <v>46500</v>
      </c>
      <c r="E420" s="75"/>
      <c r="F420" s="83"/>
      <c r="G420" s="79"/>
      <c r="I420" s="75"/>
    </row>
    <row r="421" spans="1:9" s="5" customFormat="1" ht="16.5" customHeight="1" x14ac:dyDescent="0.2">
      <c r="A421" s="22"/>
      <c r="B421" s="15">
        <v>75411</v>
      </c>
      <c r="C421" s="16" t="s">
        <v>55</v>
      </c>
      <c r="D421" s="112">
        <f>36500</f>
        <v>36500</v>
      </c>
      <c r="E421" s="74"/>
      <c r="F421" s="83"/>
      <c r="G421" s="79"/>
      <c r="I421" s="74"/>
    </row>
    <row r="422" spans="1:9" s="7" customFormat="1" ht="16.5" customHeight="1" x14ac:dyDescent="0.2">
      <c r="A422" s="22"/>
      <c r="B422" s="15">
        <v>75416</v>
      </c>
      <c r="C422" s="16" t="s">
        <v>41</v>
      </c>
      <c r="D422" s="112">
        <v>10000</v>
      </c>
      <c r="E422" s="74"/>
      <c r="F422" s="83"/>
      <c r="G422" s="79"/>
      <c r="I422" s="75"/>
    </row>
    <row r="423" spans="1:9" s="5" customFormat="1" ht="16.5" customHeight="1" x14ac:dyDescent="0.2">
      <c r="A423" s="17">
        <v>758</v>
      </c>
      <c r="B423" s="18"/>
      <c r="C423" s="21" t="s">
        <v>25</v>
      </c>
      <c r="D423" s="110">
        <f>D424</f>
        <v>1109433</v>
      </c>
      <c r="E423" s="75"/>
      <c r="F423" s="83"/>
      <c r="G423" s="79"/>
      <c r="I423" s="74"/>
    </row>
    <row r="424" spans="1:9" s="7" customFormat="1" ht="16.5" customHeight="1" x14ac:dyDescent="0.2">
      <c r="A424" s="27"/>
      <c r="B424" s="42">
        <v>75818</v>
      </c>
      <c r="C424" s="44" t="s">
        <v>26</v>
      </c>
      <c r="D424" s="111">
        <f>3642850-D415-D417-D420-D425-D427-D430-D434-D437-D439-D441-D445-D448+671790</f>
        <v>1109433</v>
      </c>
      <c r="E424" s="74"/>
      <c r="F424" s="83"/>
      <c r="G424" s="79"/>
      <c r="I424" s="75"/>
    </row>
    <row r="425" spans="1:9" s="7" customFormat="1" ht="16.5" customHeight="1" x14ac:dyDescent="0.2">
      <c r="A425" s="17">
        <v>801</v>
      </c>
      <c r="B425" s="18"/>
      <c r="C425" s="21" t="s">
        <v>27</v>
      </c>
      <c r="D425" s="109">
        <f>D426</f>
        <v>810000</v>
      </c>
      <c r="E425" s="75"/>
      <c r="F425" s="83"/>
      <c r="G425" s="79"/>
      <c r="I425" s="75"/>
    </row>
    <row r="426" spans="1:9" s="6" customFormat="1" ht="16.5" customHeight="1" x14ac:dyDescent="0.2">
      <c r="A426" s="27"/>
      <c r="B426" s="28">
        <v>80195</v>
      </c>
      <c r="C426" s="43" t="s">
        <v>5</v>
      </c>
      <c r="D426" s="114">
        <f>30000+30000+30000+30000+20000+30000+30000+30000+60000+60000+60000+60000+60000+60000+20000+20000+60000+60000+60000</f>
        <v>810000</v>
      </c>
      <c r="E426" s="75"/>
      <c r="F426" s="83"/>
      <c r="G426" s="79"/>
      <c r="I426" s="76"/>
    </row>
    <row r="427" spans="1:9" s="6" customFormat="1" ht="16.5" customHeight="1" x14ac:dyDescent="0.2">
      <c r="A427" s="17">
        <v>851</v>
      </c>
      <c r="B427" s="25"/>
      <c r="C427" s="20" t="s">
        <v>46</v>
      </c>
      <c r="D427" s="109">
        <f>D428+D429</f>
        <v>35000</v>
      </c>
      <c r="E427" s="76"/>
      <c r="F427" s="83"/>
      <c r="G427" s="79"/>
      <c r="I427" s="76"/>
    </row>
    <row r="428" spans="1:9" s="6" customFormat="1" ht="16.5" customHeight="1" x14ac:dyDescent="0.2">
      <c r="A428" s="27"/>
      <c r="B428" s="28">
        <v>85117</v>
      </c>
      <c r="C428" s="44" t="s">
        <v>47</v>
      </c>
      <c r="D428" s="114">
        <f>25000</f>
        <v>25000</v>
      </c>
      <c r="E428" s="76"/>
      <c r="F428" s="83"/>
      <c r="G428" s="79"/>
      <c r="I428" s="76"/>
    </row>
    <row r="429" spans="1:9" s="6" customFormat="1" ht="16.5" customHeight="1" x14ac:dyDescent="0.2">
      <c r="A429" s="22"/>
      <c r="B429" s="24">
        <v>85149</v>
      </c>
      <c r="C429" s="23" t="s">
        <v>48</v>
      </c>
      <c r="D429" s="112">
        <v>10000</v>
      </c>
      <c r="E429" s="76"/>
      <c r="F429" s="83"/>
      <c r="G429" s="79"/>
      <c r="I429" s="76"/>
    </row>
    <row r="430" spans="1:9" s="6" customFormat="1" ht="16.5" customHeight="1" x14ac:dyDescent="0.2">
      <c r="A430" s="17">
        <v>852</v>
      </c>
      <c r="B430" s="25"/>
      <c r="C430" s="20" t="s">
        <v>52</v>
      </c>
      <c r="D430" s="110">
        <f>D431+D432+D433</f>
        <v>57200</v>
      </c>
      <c r="E430" s="76"/>
      <c r="F430" s="83"/>
      <c r="G430" s="79"/>
      <c r="I430" s="76"/>
    </row>
    <row r="431" spans="1:9" s="6" customFormat="1" ht="16.5" customHeight="1" x14ac:dyDescent="0.2">
      <c r="A431" s="22"/>
      <c r="B431" s="24">
        <v>85203</v>
      </c>
      <c r="C431" s="23" t="s">
        <v>54</v>
      </c>
      <c r="D431" s="112">
        <f>6200+26000</f>
        <v>32200</v>
      </c>
      <c r="E431" s="76"/>
      <c r="F431" s="83"/>
      <c r="G431" s="79"/>
      <c r="I431" s="76"/>
    </row>
    <row r="432" spans="1:9" s="6" customFormat="1" ht="24" x14ac:dyDescent="0.2">
      <c r="A432" s="22"/>
      <c r="B432" s="24">
        <v>85214</v>
      </c>
      <c r="C432" s="23" t="s">
        <v>62</v>
      </c>
      <c r="D432" s="112">
        <v>10000</v>
      </c>
      <c r="E432" s="76"/>
      <c r="F432" s="83"/>
      <c r="G432" s="79"/>
      <c r="I432" s="76"/>
    </row>
    <row r="433" spans="1:9" s="6" customFormat="1" ht="16.5" customHeight="1" x14ac:dyDescent="0.2">
      <c r="A433" s="22"/>
      <c r="B433" s="24">
        <v>85295</v>
      </c>
      <c r="C433" s="23" t="s">
        <v>5</v>
      </c>
      <c r="D433" s="112">
        <v>15000</v>
      </c>
      <c r="E433" s="76"/>
      <c r="F433" s="83"/>
      <c r="G433" s="79"/>
      <c r="I433" s="76"/>
    </row>
    <row r="434" spans="1:9" s="6" customFormat="1" ht="16.5" customHeight="1" x14ac:dyDescent="0.2">
      <c r="A434" s="17">
        <v>853</v>
      </c>
      <c r="B434" s="18"/>
      <c r="C434" s="19" t="s">
        <v>34</v>
      </c>
      <c r="D434" s="110">
        <f>D435+D436</f>
        <v>85000</v>
      </c>
      <c r="E434" s="76"/>
      <c r="F434" s="83"/>
      <c r="G434" s="79"/>
      <c r="I434" s="76"/>
    </row>
    <row r="435" spans="1:9" s="5" customFormat="1" ht="16.5" customHeight="1" x14ac:dyDescent="0.2">
      <c r="A435" s="22"/>
      <c r="B435" s="24">
        <v>85311</v>
      </c>
      <c r="C435" s="26" t="s">
        <v>56</v>
      </c>
      <c r="D435" s="112">
        <f>5000</f>
        <v>5000</v>
      </c>
      <c r="E435" s="76"/>
      <c r="F435" s="83"/>
      <c r="G435" s="79"/>
      <c r="I435" s="74"/>
    </row>
    <row r="436" spans="1:9" s="6" customFormat="1" ht="16.5" customHeight="1" x14ac:dyDescent="0.2">
      <c r="A436" s="22"/>
      <c r="B436" s="24">
        <v>85395</v>
      </c>
      <c r="C436" s="23" t="s">
        <v>5</v>
      </c>
      <c r="D436" s="108">
        <f>20000+15000+15000+30000</f>
        <v>80000</v>
      </c>
      <c r="E436" s="74"/>
      <c r="F436" s="83"/>
      <c r="G436" s="79"/>
      <c r="I436" s="76"/>
    </row>
    <row r="437" spans="1:9" s="5" customFormat="1" ht="16.5" customHeight="1" x14ac:dyDescent="0.2">
      <c r="A437" s="17">
        <v>854</v>
      </c>
      <c r="B437" s="25"/>
      <c r="C437" s="20" t="s">
        <v>38</v>
      </c>
      <c r="D437" s="109">
        <f>D438</f>
        <v>82000</v>
      </c>
      <c r="E437" s="76"/>
      <c r="F437" s="83"/>
      <c r="G437" s="79"/>
      <c r="I437" s="74"/>
    </row>
    <row r="438" spans="1:9" s="5" customFormat="1" ht="16.5" customHeight="1" x14ac:dyDescent="0.2">
      <c r="A438" s="22"/>
      <c r="B438" s="24">
        <v>85495</v>
      </c>
      <c r="C438" s="23" t="s">
        <v>5</v>
      </c>
      <c r="D438" s="108">
        <f>70000+12000</f>
        <v>82000</v>
      </c>
      <c r="E438" s="74"/>
      <c r="F438" s="83"/>
      <c r="G438" s="79"/>
      <c r="I438" s="74"/>
    </row>
    <row r="439" spans="1:9" s="5" customFormat="1" ht="16.5" customHeight="1" x14ac:dyDescent="0.2">
      <c r="A439" s="30">
        <v>855</v>
      </c>
      <c r="B439" s="25"/>
      <c r="C439" s="20" t="s">
        <v>59</v>
      </c>
      <c r="D439" s="109">
        <f>D440</f>
        <v>15000</v>
      </c>
      <c r="E439" s="74"/>
      <c r="F439" s="83"/>
      <c r="G439" s="79"/>
      <c r="I439" s="74"/>
    </row>
    <row r="440" spans="1:9" s="5" customFormat="1" ht="16.5" customHeight="1" x14ac:dyDescent="0.2">
      <c r="A440" s="22"/>
      <c r="B440" s="15">
        <v>85516</v>
      </c>
      <c r="C440" s="23" t="s">
        <v>61</v>
      </c>
      <c r="D440" s="112">
        <f>15000</f>
        <v>15000</v>
      </c>
      <c r="E440" s="74"/>
      <c r="F440" s="83"/>
      <c r="G440" s="79"/>
      <c r="I440" s="74"/>
    </row>
    <row r="441" spans="1:9" s="7" customFormat="1" ht="16.5" customHeight="1" x14ac:dyDescent="0.2">
      <c r="A441" s="30">
        <v>900</v>
      </c>
      <c r="B441" s="25"/>
      <c r="C441" s="20" t="s">
        <v>28</v>
      </c>
      <c r="D441" s="109">
        <f>D442+D443+D444</f>
        <v>589000</v>
      </c>
      <c r="E441" s="74"/>
      <c r="F441" s="83"/>
      <c r="G441" s="79"/>
      <c r="I441" s="75"/>
    </row>
    <row r="442" spans="1:9" s="7" customFormat="1" ht="16.5" customHeight="1" x14ac:dyDescent="0.2">
      <c r="A442" s="27"/>
      <c r="B442" s="42">
        <v>90004</v>
      </c>
      <c r="C442" s="44" t="s">
        <v>33</v>
      </c>
      <c r="D442" s="111">
        <v>30000</v>
      </c>
      <c r="E442" s="75"/>
      <c r="F442" s="83"/>
      <c r="G442" s="79"/>
      <c r="I442" s="75"/>
    </row>
    <row r="443" spans="1:9" s="7" customFormat="1" ht="16.5" customHeight="1" x14ac:dyDescent="0.2">
      <c r="A443" s="48"/>
      <c r="B443" s="15">
        <v>90015</v>
      </c>
      <c r="C443" s="23" t="s">
        <v>29</v>
      </c>
      <c r="D443" s="108">
        <f>100000+64000</f>
        <v>164000</v>
      </c>
      <c r="E443" s="75"/>
      <c r="F443" s="83"/>
      <c r="G443" s="79"/>
      <c r="I443" s="75"/>
    </row>
    <row r="444" spans="1:9" s="7" customFormat="1" ht="16.5" customHeight="1" x14ac:dyDescent="0.2">
      <c r="A444" s="22"/>
      <c r="B444" s="15">
        <v>90095</v>
      </c>
      <c r="C444" s="23" t="s">
        <v>5</v>
      </c>
      <c r="D444" s="112">
        <v>395000</v>
      </c>
      <c r="E444" s="75"/>
      <c r="F444" s="83"/>
      <c r="G444" s="79"/>
      <c r="I444" s="75"/>
    </row>
    <row r="445" spans="1:9" s="5" customFormat="1" ht="16.5" customHeight="1" x14ac:dyDescent="0.2">
      <c r="A445" s="17">
        <v>921</v>
      </c>
      <c r="B445" s="18"/>
      <c r="C445" s="20" t="s">
        <v>42</v>
      </c>
      <c r="D445" s="109">
        <f>D446+D447</f>
        <v>177000</v>
      </c>
      <c r="E445" s="75"/>
      <c r="F445" s="83"/>
      <c r="G445" s="79"/>
      <c r="I445" s="74"/>
    </row>
    <row r="446" spans="1:9" s="5" customFormat="1" ht="16.5" customHeight="1" x14ac:dyDescent="0.2">
      <c r="A446" s="22"/>
      <c r="B446" s="24">
        <v>92109</v>
      </c>
      <c r="C446" s="23" t="s">
        <v>43</v>
      </c>
      <c r="D446" s="108">
        <f>147000</f>
        <v>147000</v>
      </c>
      <c r="E446" s="74"/>
      <c r="F446" s="83"/>
      <c r="G446" s="79"/>
      <c r="I446" s="74"/>
    </row>
    <row r="447" spans="1:9" s="7" customFormat="1" ht="16.5" customHeight="1" x14ac:dyDescent="0.2">
      <c r="A447" s="22"/>
      <c r="B447" s="24">
        <v>92116</v>
      </c>
      <c r="C447" s="23" t="s">
        <v>44</v>
      </c>
      <c r="D447" s="108">
        <f>30000</f>
        <v>30000</v>
      </c>
      <c r="E447" s="74"/>
      <c r="F447" s="83"/>
      <c r="G447" s="79"/>
      <c r="I447" s="75"/>
    </row>
    <row r="448" spans="1:9" s="6" customFormat="1" ht="16.5" customHeight="1" x14ac:dyDescent="0.2">
      <c r="A448" s="17">
        <v>926</v>
      </c>
      <c r="B448" s="18"/>
      <c r="C448" s="21" t="s">
        <v>30</v>
      </c>
      <c r="D448" s="110">
        <f>D449+D450</f>
        <v>209000</v>
      </c>
      <c r="E448" s="75"/>
      <c r="F448" s="83"/>
      <c r="G448" s="79"/>
      <c r="I448" s="76"/>
    </row>
    <row r="449" spans="1:9" s="6" customFormat="1" ht="16.5" customHeight="1" x14ac:dyDescent="0.2">
      <c r="A449" s="22"/>
      <c r="B449" s="15">
        <v>92601</v>
      </c>
      <c r="C449" s="31" t="s">
        <v>31</v>
      </c>
      <c r="D449" s="108">
        <f>30000+8000+115000+17000</f>
        <v>170000</v>
      </c>
      <c r="E449" s="76"/>
      <c r="F449" s="83"/>
      <c r="G449" s="79"/>
      <c r="I449" s="76"/>
    </row>
    <row r="450" spans="1:9" s="5" customFormat="1" ht="16.5" customHeight="1" x14ac:dyDescent="0.2">
      <c r="A450" s="35"/>
      <c r="B450" s="18">
        <v>92605</v>
      </c>
      <c r="C450" s="57" t="s">
        <v>32</v>
      </c>
      <c r="D450" s="113">
        <f>9000+20000+10000</f>
        <v>39000</v>
      </c>
      <c r="E450" s="76"/>
      <c r="F450" s="83"/>
      <c r="G450" s="79"/>
      <c r="I450" s="74"/>
    </row>
    <row r="451" spans="1:9" s="5" customFormat="1" ht="18.75" customHeight="1" x14ac:dyDescent="0.2">
      <c r="A451" s="38"/>
      <c r="B451" s="39"/>
      <c r="C451" s="40" t="s">
        <v>19</v>
      </c>
      <c r="D451" s="116">
        <f>D452+D455+D457+D461+D463+D465+D468+D470+D474+D478</f>
        <v>3858327</v>
      </c>
      <c r="E451" s="74"/>
      <c r="F451" s="83"/>
      <c r="G451" s="79"/>
      <c r="I451" s="74"/>
    </row>
    <row r="452" spans="1:9" s="7" customFormat="1" ht="16.5" customHeight="1" x14ac:dyDescent="0.2">
      <c r="A452" s="11">
        <v>600</v>
      </c>
      <c r="B452" s="12"/>
      <c r="C452" s="13" t="s">
        <v>3</v>
      </c>
      <c r="D452" s="107">
        <f>D453+D454</f>
        <v>1638670</v>
      </c>
      <c r="E452" s="74"/>
      <c r="F452" s="83"/>
      <c r="G452" s="79"/>
      <c r="I452" s="75"/>
    </row>
    <row r="453" spans="1:9" s="5" customFormat="1" ht="16.5" customHeight="1" x14ac:dyDescent="0.2">
      <c r="A453" s="14"/>
      <c r="B453" s="15">
        <v>60016</v>
      </c>
      <c r="C453" s="16" t="s">
        <v>4</v>
      </c>
      <c r="D453" s="108">
        <f>1041585+300000+47085+90000</f>
        <v>1478670</v>
      </c>
      <c r="E453" s="75"/>
      <c r="F453" s="83"/>
      <c r="G453" s="79"/>
      <c r="I453" s="74"/>
    </row>
    <row r="454" spans="1:9" s="5" customFormat="1" ht="16.5" customHeight="1" x14ac:dyDescent="0.2">
      <c r="A454" s="14"/>
      <c r="B454" s="15">
        <v>60017</v>
      </c>
      <c r="C454" s="16" t="s">
        <v>60</v>
      </c>
      <c r="D454" s="108">
        <f>160000</f>
        <v>160000</v>
      </c>
      <c r="E454" s="75"/>
      <c r="F454" s="83"/>
      <c r="G454" s="79"/>
      <c r="I454" s="74"/>
    </row>
    <row r="455" spans="1:9" s="5" customFormat="1" ht="16.5" customHeight="1" x14ac:dyDescent="0.2">
      <c r="A455" s="17">
        <v>750</v>
      </c>
      <c r="B455" s="18"/>
      <c r="C455" s="19" t="s">
        <v>50</v>
      </c>
      <c r="D455" s="110">
        <f>D456</f>
        <v>20000</v>
      </c>
      <c r="E455" s="74"/>
      <c r="F455" s="83"/>
      <c r="G455" s="79"/>
      <c r="I455" s="74"/>
    </row>
    <row r="456" spans="1:9" s="5" customFormat="1" ht="16.5" customHeight="1" x14ac:dyDescent="0.2">
      <c r="A456" s="17"/>
      <c r="B456" s="18">
        <v>75095</v>
      </c>
      <c r="C456" s="103" t="s">
        <v>5</v>
      </c>
      <c r="D456" s="118">
        <v>20000</v>
      </c>
      <c r="E456" s="74"/>
      <c r="F456" s="83"/>
      <c r="G456" s="79"/>
      <c r="I456" s="74"/>
    </row>
    <row r="457" spans="1:9" s="5" customFormat="1" ht="16.5" customHeight="1" x14ac:dyDescent="0.2">
      <c r="A457" s="11">
        <v>754</v>
      </c>
      <c r="B457" s="33"/>
      <c r="C457" s="102" t="s">
        <v>39</v>
      </c>
      <c r="D457" s="119">
        <f>D459+D460+D458</f>
        <v>87000</v>
      </c>
      <c r="E457" s="74"/>
      <c r="F457" s="83"/>
      <c r="G457" s="79"/>
      <c r="I457" s="74"/>
    </row>
    <row r="458" spans="1:9" s="5" customFormat="1" ht="16.5" customHeight="1" x14ac:dyDescent="0.2">
      <c r="A458" s="22"/>
      <c r="B458" s="15">
        <v>75405</v>
      </c>
      <c r="C458" s="16" t="s">
        <v>40</v>
      </c>
      <c r="D458" s="112">
        <v>20000</v>
      </c>
      <c r="E458" s="74"/>
      <c r="F458" s="83"/>
      <c r="G458" s="79"/>
      <c r="I458" s="74"/>
    </row>
    <row r="459" spans="1:9" s="7" customFormat="1" ht="16.5" customHeight="1" x14ac:dyDescent="0.2">
      <c r="A459" s="22"/>
      <c r="B459" s="15">
        <v>75411</v>
      </c>
      <c r="C459" s="16" t="s">
        <v>55</v>
      </c>
      <c r="D459" s="112">
        <f>30000</f>
        <v>30000</v>
      </c>
      <c r="E459" s="74"/>
      <c r="F459" s="83"/>
      <c r="G459" s="79"/>
      <c r="I459" s="75"/>
    </row>
    <row r="460" spans="1:9" s="5" customFormat="1" ht="16.5" customHeight="1" x14ac:dyDescent="0.2">
      <c r="A460" s="22"/>
      <c r="B460" s="15">
        <v>75416</v>
      </c>
      <c r="C460" s="16" t="s">
        <v>41</v>
      </c>
      <c r="D460" s="112">
        <v>37000</v>
      </c>
      <c r="E460" s="75"/>
      <c r="F460" s="83"/>
      <c r="G460" s="79"/>
      <c r="I460" s="74"/>
    </row>
    <row r="461" spans="1:9" s="5" customFormat="1" ht="16.5" customHeight="1" x14ac:dyDescent="0.2">
      <c r="A461" s="17">
        <v>758</v>
      </c>
      <c r="B461" s="18"/>
      <c r="C461" s="21" t="s">
        <v>25</v>
      </c>
      <c r="D461" s="110">
        <f>D462</f>
        <v>613657</v>
      </c>
      <c r="E461" s="74"/>
      <c r="F461" s="83"/>
      <c r="G461" s="79"/>
      <c r="I461" s="74"/>
    </row>
    <row r="462" spans="1:9" s="6" customFormat="1" ht="16.5" customHeight="1" x14ac:dyDescent="0.2">
      <c r="A462" s="22"/>
      <c r="B462" s="15">
        <v>75818</v>
      </c>
      <c r="C462" s="23" t="s">
        <v>26</v>
      </c>
      <c r="D462" s="111">
        <f>3257585-D452-D455-D457-D463-D465-D468-D470-D474-D478+600742</f>
        <v>613657</v>
      </c>
      <c r="E462" s="74"/>
      <c r="F462" s="83"/>
      <c r="G462" s="79"/>
      <c r="I462" s="76"/>
    </row>
    <row r="463" spans="1:9" s="6" customFormat="1" ht="16.5" customHeight="1" x14ac:dyDescent="0.2">
      <c r="A463" s="17">
        <v>801</v>
      </c>
      <c r="B463" s="18"/>
      <c r="C463" s="21" t="s">
        <v>27</v>
      </c>
      <c r="D463" s="109">
        <f>D464</f>
        <v>501000</v>
      </c>
      <c r="E463" s="76"/>
      <c r="F463" s="83"/>
      <c r="G463" s="79"/>
      <c r="I463" s="76"/>
    </row>
    <row r="464" spans="1:9" s="6" customFormat="1" ht="16.5" customHeight="1" x14ac:dyDescent="0.2">
      <c r="A464" s="27"/>
      <c r="B464" s="28">
        <v>80195</v>
      </c>
      <c r="C464" s="43" t="s">
        <v>5</v>
      </c>
      <c r="D464" s="114">
        <f>4000+70000+60000+46000+24000+43000+3000+203000+3000+45000</f>
        <v>501000</v>
      </c>
      <c r="E464" s="76"/>
      <c r="F464" s="83"/>
      <c r="G464" s="79"/>
      <c r="I464" s="76"/>
    </row>
    <row r="465" spans="1:9" s="6" customFormat="1" ht="16.5" customHeight="1" x14ac:dyDescent="0.2">
      <c r="A465" s="17">
        <v>852</v>
      </c>
      <c r="B465" s="25"/>
      <c r="C465" s="20" t="s">
        <v>52</v>
      </c>
      <c r="D465" s="110">
        <f>D466+D467</f>
        <v>141000</v>
      </c>
      <c r="E465" s="74"/>
      <c r="F465" s="83"/>
      <c r="G465" s="79"/>
      <c r="I465" s="76"/>
    </row>
    <row r="466" spans="1:9" s="5" customFormat="1" ht="16.5" customHeight="1" x14ac:dyDescent="0.2">
      <c r="A466" s="22"/>
      <c r="B466" s="24">
        <v>85202</v>
      </c>
      <c r="C466" s="23" t="s">
        <v>53</v>
      </c>
      <c r="D466" s="112">
        <f>50000+70000</f>
        <v>120000</v>
      </c>
      <c r="E466" s="76"/>
      <c r="F466" s="83"/>
      <c r="G466" s="79"/>
      <c r="I466" s="74"/>
    </row>
    <row r="467" spans="1:9" s="5" customFormat="1" ht="16.5" customHeight="1" x14ac:dyDescent="0.2">
      <c r="A467" s="22"/>
      <c r="B467" s="24">
        <v>85295</v>
      </c>
      <c r="C467" s="16" t="s">
        <v>5</v>
      </c>
      <c r="D467" s="112">
        <v>21000</v>
      </c>
      <c r="E467" s="74"/>
      <c r="F467" s="83"/>
      <c r="G467" s="79"/>
      <c r="I467" s="74"/>
    </row>
    <row r="468" spans="1:9" s="5" customFormat="1" ht="16.5" customHeight="1" x14ac:dyDescent="0.2">
      <c r="A468" s="17">
        <v>853</v>
      </c>
      <c r="B468" s="18"/>
      <c r="C468" s="45" t="s">
        <v>34</v>
      </c>
      <c r="D468" s="110">
        <f>D469</f>
        <v>60000</v>
      </c>
      <c r="E468" s="74"/>
      <c r="F468" s="83"/>
      <c r="G468" s="79"/>
      <c r="I468" s="74"/>
    </row>
    <row r="469" spans="1:9" s="7" customFormat="1" ht="16.5" customHeight="1" x14ac:dyDescent="0.2">
      <c r="A469" s="22"/>
      <c r="B469" s="24">
        <v>85395</v>
      </c>
      <c r="C469" s="23" t="s">
        <v>5</v>
      </c>
      <c r="D469" s="108">
        <f>20000+40000</f>
        <v>60000</v>
      </c>
      <c r="E469" s="74"/>
      <c r="F469" s="83"/>
      <c r="G469" s="79"/>
      <c r="I469" s="75"/>
    </row>
    <row r="470" spans="1:9" s="7" customFormat="1" ht="16.5" customHeight="1" x14ac:dyDescent="0.2">
      <c r="A470" s="30">
        <v>900</v>
      </c>
      <c r="B470" s="25"/>
      <c r="C470" s="20" t="s">
        <v>28</v>
      </c>
      <c r="D470" s="109">
        <f>D471+D472+D473</f>
        <v>380000</v>
      </c>
      <c r="E470" s="75"/>
      <c r="F470" s="83"/>
      <c r="G470" s="79"/>
      <c r="I470" s="75"/>
    </row>
    <row r="471" spans="1:9" s="5" customFormat="1" ht="16.5" customHeight="1" x14ac:dyDescent="0.2">
      <c r="A471" s="27"/>
      <c r="B471" s="42">
        <v>90004</v>
      </c>
      <c r="C471" s="44" t="s">
        <v>33</v>
      </c>
      <c r="D471" s="111">
        <f>20000</f>
        <v>20000</v>
      </c>
      <c r="E471" s="75"/>
      <c r="F471" s="83"/>
      <c r="G471" s="79"/>
      <c r="I471" s="74"/>
    </row>
    <row r="472" spans="1:9" s="7" customFormat="1" ht="16.5" customHeight="1" x14ac:dyDescent="0.2">
      <c r="A472" s="48"/>
      <c r="B472" s="15">
        <v>90015</v>
      </c>
      <c r="C472" s="23" t="s">
        <v>29</v>
      </c>
      <c r="D472" s="108">
        <f>80000+80000+50000</f>
        <v>210000</v>
      </c>
      <c r="E472" s="74"/>
      <c r="F472" s="83"/>
      <c r="G472" s="79"/>
      <c r="I472" s="75"/>
    </row>
    <row r="473" spans="1:9" s="7" customFormat="1" ht="16.5" customHeight="1" x14ac:dyDescent="0.2">
      <c r="A473" s="22"/>
      <c r="B473" s="15">
        <v>90095</v>
      </c>
      <c r="C473" s="23" t="s">
        <v>5</v>
      </c>
      <c r="D473" s="112">
        <v>150000</v>
      </c>
      <c r="E473" s="75"/>
      <c r="F473" s="83"/>
      <c r="G473" s="79"/>
      <c r="I473" s="75"/>
    </row>
    <row r="474" spans="1:9" s="5" customFormat="1" ht="16.5" customHeight="1" x14ac:dyDescent="0.2">
      <c r="A474" s="17">
        <v>921</v>
      </c>
      <c r="B474" s="18"/>
      <c r="C474" s="20" t="s">
        <v>42</v>
      </c>
      <c r="D474" s="110">
        <f>D475+D476+D477</f>
        <v>357000</v>
      </c>
      <c r="E474" s="75"/>
      <c r="F474" s="83"/>
      <c r="G474" s="79"/>
      <c r="I474" s="74"/>
    </row>
    <row r="475" spans="1:9" s="7" customFormat="1" ht="16.5" customHeight="1" x14ac:dyDescent="0.2">
      <c r="A475" s="22"/>
      <c r="B475" s="24">
        <v>92109</v>
      </c>
      <c r="C475" s="23" t="s">
        <v>43</v>
      </c>
      <c r="D475" s="112">
        <f>209000</f>
        <v>209000</v>
      </c>
      <c r="E475" s="74"/>
      <c r="F475" s="83"/>
      <c r="G475" s="79"/>
      <c r="I475" s="75"/>
    </row>
    <row r="476" spans="1:9" s="6" customFormat="1" ht="16.5" customHeight="1" x14ac:dyDescent="0.2">
      <c r="A476" s="22"/>
      <c r="B476" s="24">
        <v>92116</v>
      </c>
      <c r="C476" s="23" t="s">
        <v>44</v>
      </c>
      <c r="D476" s="108">
        <f>8000</f>
        <v>8000</v>
      </c>
      <c r="E476" s="75"/>
      <c r="F476" s="83"/>
      <c r="G476" s="79"/>
      <c r="I476" s="76"/>
    </row>
    <row r="477" spans="1:9" s="5" customFormat="1" ht="16.5" customHeight="1" x14ac:dyDescent="0.2">
      <c r="A477" s="22"/>
      <c r="B477" s="24">
        <v>92118</v>
      </c>
      <c r="C477" s="23" t="s">
        <v>45</v>
      </c>
      <c r="D477" s="108">
        <f>105000+35000</f>
        <v>140000</v>
      </c>
      <c r="E477" s="75"/>
      <c r="F477" s="83"/>
      <c r="G477" s="79"/>
      <c r="I477" s="74"/>
    </row>
    <row r="478" spans="1:9" s="6" customFormat="1" ht="16.5" customHeight="1" x14ac:dyDescent="0.2">
      <c r="A478" s="17">
        <v>926</v>
      </c>
      <c r="B478" s="18"/>
      <c r="C478" s="21" t="s">
        <v>30</v>
      </c>
      <c r="D478" s="110">
        <f>D479</f>
        <v>60000</v>
      </c>
      <c r="E478" s="74"/>
      <c r="F478" s="83"/>
      <c r="G478" s="79"/>
      <c r="I478" s="76"/>
    </row>
    <row r="479" spans="1:9" s="5" customFormat="1" ht="16.5" customHeight="1" x14ac:dyDescent="0.2">
      <c r="A479" s="22"/>
      <c r="B479" s="15">
        <v>92601</v>
      </c>
      <c r="C479" s="31" t="s">
        <v>31</v>
      </c>
      <c r="D479" s="108">
        <v>60000</v>
      </c>
      <c r="E479" s="74"/>
      <c r="F479" s="83"/>
      <c r="G479" s="79"/>
      <c r="I479" s="74"/>
    </row>
    <row r="480" spans="1:9" s="5" customFormat="1" ht="18.75" customHeight="1" x14ac:dyDescent="0.2">
      <c r="A480" s="38"/>
      <c r="B480" s="39"/>
      <c r="C480" s="40" t="s">
        <v>20</v>
      </c>
      <c r="D480" s="116">
        <f>D481+D485+D488+D492+D494+D496+D498+D501+D504+D506+D508+D512</f>
        <v>3185156</v>
      </c>
      <c r="E480" s="74"/>
      <c r="F480" s="83"/>
      <c r="G480" s="79"/>
      <c r="I480" s="74"/>
    </row>
    <row r="481" spans="1:9" s="5" customFormat="1" ht="16.5" customHeight="1" x14ac:dyDescent="0.2">
      <c r="A481" s="11">
        <v>600</v>
      </c>
      <c r="B481" s="12"/>
      <c r="C481" s="13" t="s">
        <v>3</v>
      </c>
      <c r="D481" s="107">
        <f>D483+D484+D482</f>
        <v>743270</v>
      </c>
      <c r="E481" s="74"/>
      <c r="F481" s="83"/>
      <c r="G481" s="79"/>
      <c r="I481" s="74"/>
    </row>
    <row r="482" spans="1:9" s="5" customFormat="1" ht="16.5" customHeight="1" x14ac:dyDescent="0.2">
      <c r="A482" s="22"/>
      <c r="B482" s="58">
        <v>60015</v>
      </c>
      <c r="C482" s="59" t="s">
        <v>64</v>
      </c>
      <c r="D482" s="108">
        <f>22000+78000</f>
        <v>100000</v>
      </c>
      <c r="E482" s="74"/>
      <c r="F482" s="83"/>
      <c r="G482" s="79"/>
      <c r="I482" s="74"/>
    </row>
    <row r="483" spans="1:9" s="7" customFormat="1" ht="16.5" customHeight="1" x14ac:dyDescent="0.2">
      <c r="A483" s="14"/>
      <c r="B483" s="15">
        <v>60016</v>
      </c>
      <c r="C483" s="16" t="s">
        <v>4</v>
      </c>
      <c r="D483" s="108">
        <f>163270+80000+300000</f>
        <v>543270</v>
      </c>
      <c r="E483" s="74"/>
      <c r="F483" s="83"/>
      <c r="G483" s="79"/>
      <c r="I483" s="75"/>
    </row>
    <row r="484" spans="1:9" s="5" customFormat="1" ht="16.5" customHeight="1" x14ac:dyDescent="0.2">
      <c r="A484" s="14"/>
      <c r="B484" s="15">
        <v>60017</v>
      </c>
      <c r="C484" s="16" t="s">
        <v>60</v>
      </c>
      <c r="D484" s="108">
        <f>100000</f>
        <v>100000</v>
      </c>
      <c r="E484" s="74"/>
      <c r="F484" s="83"/>
      <c r="G484" s="79"/>
      <c r="I484" s="74"/>
    </row>
    <row r="485" spans="1:9" s="5" customFormat="1" ht="16.5" customHeight="1" x14ac:dyDescent="0.2">
      <c r="A485" s="17">
        <v>750</v>
      </c>
      <c r="B485" s="18"/>
      <c r="C485" s="19" t="s">
        <v>50</v>
      </c>
      <c r="D485" s="109">
        <f>D486+D487</f>
        <v>79500</v>
      </c>
      <c r="E485" s="75"/>
      <c r="F485" s="83"/>
      <c r="G485" s="79"/>
      <c r="I485" s="74"/>
    </row>
    <row r="486" spans="1:9" s="5" customFormat="1" ht="16.5" customHeight="1" x14ac:dyDescent="0.2">
      <c r="A486" s="14"/>
      <c r="B486" s="15">
        <v>75022</v>
      </c>
      <c r="C486" s="16" t="s">
        <v>51</v>
      </c>
      <c r="D486" s="108">
        <f>18000+9000+3500</f>
        <v>30500</v>
      </c>
      <c r="E486" s="74"/>
      <c r="F486" s="83"/>
      <c r="G486" s="79"/>
      <c r="I486" s="74"/>
    </row>
    <row r="487" spans="1:9" s="5" customFormat="1" ht="16.5" customHeight="1" x14ac:dyDescent="0.2">
      <c r="A487" s="14"/>
      <c r="B487" s="15">
        <v>75095</v>
      </c>
      <c r="C487" s="16" t="s">
        <v>5</v>
      </c>
      <c r="D487" s="108">
        <f>37000+12000</f>
        <v>49000</v>
      </c>
      <c r="E487" s="74"/>
      <c r="F487" s="83"/>
      <c r="G487" s="79"/>
      <c r="I487" s="74"/>
    </row>
    <row r="488" spans="1:9" s="7" customFormat="1" ht="16.5" customHeight="1" x14ac:dyDescent="0.2">
      <c r="A488" s="17">
        <v>754</v>
      </c>
      <c r="B488" s="18"/>
      <c r="C488" s="20" t="s">
        <v>39</v>
      </c>
      <c r="D488" s="110">
        <f>D489+D490+D491</f>
        <v>54000</v>
      </c>
      <c r="E488" s="74"/>
      <c r="F488" s="83"/>
      <c r="G488" s="79"/>
      <c r="I488" s="75"/>
    </row>
    <row r="489" spans="1:9" s="5" customFormat="1" ht="16.5" customHeight="1" x14ac:dyDescent="0.2">
      <c r="A489" s="22"/>
      <c r="B489" s="15">
        <v>75405</v>
      </c>
      <c r="C489" s="16" t="s">
        <v>40</v>
      </c>
      <c r="D489" s="112">
        <v>8000</v>
      </c>
      <c r="E489" s="74"/>
      <c r="F489" s="83"/>
      <c r="G489" s="79"/>
      <c r="I489" s="74"/>
    </row>
    <row r="490" spans="1:9" s="5" customFormat="1" ht="16.5" customHeight="1" x14ac:dyDescent="0.2">
      <c r="A490" s="22"/>
      <c r="B490" s="15">
        <v>75411</v>
      </c>
      <c r="C490" s="16" t="s">
        <v>55</v>
      </c>
      <c r="D490" s="112">
        <f>28000+2000</f>
        <v>30000</v>
      </c>
      <c r="E490" s="75"/>
      <c r="F490" s="83"/>
      <c r="G490" s="79"/>
      <c r="I490" s="74"/>
    </row>
    <row r="491" spans="1:9" s="5" customFormat="1" ht="16.5" customHeight="1" x14ac:dyDescent="0.2">
      <c r="A491" s="22"/>
      <c r="B491" s="15">
        <v>75416</v>
      </c>
      <c r="C491" s="16" t="s">
        <v>41</v>
      </c>
      <c r="D491" s="112">
        <v>16000</v>
      </c>
      <c r="E491" s="74"/>
      <c r="F491" s="83"/>
      <c r="G491" s="79"/>
      <c r="I491" s="74"/>
    </row>
    <row r="492" spans="1:9" s="5" customFormat="1" ht="16.5" customHeight="1" x14ac:dyDescent="0.2">
      <c r="A492" s="17">
        <v>758</v>
      </c>
      <c r="B492" s="18"/>
      <c r="C492" s="53" t="s">
        <v>25</v>
      </c>
      <c r="D492" s="110">
        <f>D493</f>
        <v>499929</v>
      </c>
      <c r="E492" s="74"/>
      <c r="F492" s="83"/>
      <c r="G492" s="79"/>
      <c r="I492" s="74"/>
    </row>
    <row r="493" spans="1:9" s="6" customFormat="1" ht="16.5" customHeight="1" x14ac:dyDescent="0.2">
      <c r="A493" s="22"/>
      <c r="B493" s="15">
        <v>75818</v>
      </c>
      <c r="C493" s="23" t="s">
        <v>26</v>
      </c>
      <c r="D493" s="111">
        <f>2689227-D481-D485-D488-D494-D496-D498-D501-D504-D506-D508-D512+495929</f>
        <v>499929</v>
      </c>
      <c r="E493" s="74"/>
      <c r="F493" s="83"/>
      <c r="G493" s="79"/>
      <c r="I493" s="76"/>
    </row>
    <row r="494" spans="1:9" s="6" customFormat="1" ht="16.5" customHeight="1" x14ac:dyDescent="0.2">
      <c r="A494" s="17">
        <v>801</v>
      </c>
      <c r="B494" s="18"/>
      <c r="C494" s="21" t="s">
        <v>27</v>
      </c>
      <c r="D494" s="109">
        <f>D495</f>
        <v>674500</v>
      </c>
      <c r="E494" s="74"/>
      <c r="F494" s="83"/>
      <c r="G494" s="79"/>
      <c r="I494" s="76"/>
    </row>
    <row r="495" spans="1:9" s="6" customFormat="1" ht="16.5" customHeight="1" x14ac:dyDescent="0.2">
      <c r="A495" s="22"/>
      <c r="B495" s="24">
        <v>80195</v>
      </c>
      <c r="C495" s="16" t="s">
        <v>5</v>
      </c>
      <c r="D495" s="108">
        <f>41500+111000+111000+167000+111000+110000+23000</f>
        <v>674500</v>
      </c>
      <c r="E495" s="76"/>
      <c r="F495" s="83"/>
      <c r="G495" s="79"/>
      <c r="I495" s="76"/>
    </row>
    <row r="496" spans="1:9" s="6" customFormat="1" ht="16.5" customHeight="1" x14ac:dyDescent="0.2">
      <c r="A496" s="17">
        <v>851</v>
      </c>
      <c r="B496" s="25"/>
      <c r="C496" s="20" t="s">
        <v>46</v>
      </c>
      <c r="D496" s="109">
        <f>D497</f>
        <v>8000</v>
      </c>
      <c r="E496" s="76"/>
      <c r="F496" s="83"/>
      <c r="G496" s="79"/>
      <c r="I496" s="76"/>
    </row>
    <row r="497" spans="1:9" s="6" customFormat="1" ht="16.5" customHeight="1" x14ac:dyDescent="0.2">
      <c r="A497" s="22"/>
      <c r="B497" s="24">
        <v>85149</v>
      </c>
      <c r="C497" s="23" t="s">
        <v>48</v>
      </c>
      <c r="D497" s="108">
        <f>8000</f>
        <v>8000</v>
      </c>
      <c r="E497" s="76"/>
      <c r="F497" s="83"/>
      <c r="G497" s="79"/>
      <c r="I497" s="76"/>
    </row>
    <row r="498" spans="1:9" s="6" customFormat="1" ht="16.5" customHeight="1" x14ac:dyDescent="0.2">
      <c r="A498" s="17">
        <v>852</v>
      </c>
      <c r="B498" s="25"/>
      <c r="C498" s="20" t="s">
        <v>52</v>
      </c>
      <c r="D498" s="110">
        <f>D499+D500</f>
        <v>15000</v>
      </c>
      <c r="E498" s="76"/>
      <c r="F498" s="83"/>
      <c r="G498" s="79"/>
      <c r="I498" s="76"/>
    </row>
    <row r="499" spans="1:9" s="5" customFormat="1" ht="24" x14ac:dyDescent="0.2">
      <c r="A499" s="27"/>
      <c r="B499" s="28">
        <v>85214</v>
      </c>
      <c r="C499" s="23" t="s">
        <v>62</v>
      </c>
      <c r="D499" s="111">
        <v>10000</v>
      </c>
      <c r="E499" s="76"/>
      <c r="F499" s="83"/>
      <c r="G499" s="79"/>
      <c r="I499" s="74"/>
    </row>
    <row r="500" spans="1:9" s="5" customFormat="1" ht="16.5" customHeight="1" x14ac:dyDescent="0.2">
      <c r="A500" s="22"/>
      <c r="B500" s="24">
        <v>85295</v>
      </c>
      <c r="C500" s="16" t="s">
        <v>5</v>
      </c>
      <c r="D500" s="112">
        <v>5000</v>
      </c>
      <c r="E500" s="76"/>
      <c r="F500" s="83"/>
      <c r="G500" s="79"/>
      <c r="I500" s="74"/>
    </row>
    <row r="501" spans="1:9" s="7" customFormat="1" ht="16.5" customHeight="1" x14ac:dyDescent="0.2">
      <c r="A501" s="17">
        <v>853</v>
      </c>
      <c r="B501" s="18"/>
      <c r="C501" s="19" t="s">
        <v>34</v>
      </c>
      <c r="D501" s="110">
        <f>D502+D503</f>
        <v>111500</v>
      </c>
      <c r="E501" s="74"/>
      <c r="F501" s="83"/>
      <c r="G501" s="79"/>
      <c r="I501" s="75"/>
    </row>
    <row r="502" spans="1:9" s="7" customFormat="1" ht="16.5" customHeight="1" x14ac:dyDescent="0.2">
      <c r="A502" s="22"/>
      <c r="B502" s="24">
        <v>85311</v>
      </c>
      <c r="C502" s="26" t="s">
        <v>56</v>
      </c>
      <c r="D502" s="112">
        <f>10000</f>
        <v>10000</v>
      </c>
      <c r="E502" s="74"/>
      <c r="F502" s="83"/>
      <c r="G502" s="79"/>
      <c r="I502" s="75"/>
    </row>
    <row r="503" spans="1:9" s="7" customFormat="1" ht="16.5" customHeight="1" x14ac:dyDescent="0.2">
      <c r="A503" s="17"/>
      <c r="B503" s="25">
        <v>85395</v>
      </c>
      <c r="C503" s="100" t="s">
        <v>5</v>
      </c>
      <c r="D503" s="113">
        <f>101500</f>
        <v>101500</v>
      </c>
      <c r="E503" s="75"/>
      <c r="F503" s="83"/>
      <c r="G503" s="79"/>
      <c r="I503" s="75"/>
    </row>
    <row r="504" spans="1:9" s="7" customFormat="1" ht="16.5" customHeight="1" x14ac:dyDescent="0.2">
      <c r="A504" s="11">
        <v>854</v>
      </c>
      <c r="B504" s="33"/>
      <c r="C504" s="101" t="s">
        <v>38</v>
      </c>
      <c r="D504" s="107">
        <f>D505</f>
        <v>6000</v>
      </c>
      <c r="E504" s="75"/>
      <c r="F504" s="83"/>
      <c r="G504" s="79"/>
      <c r="I504" s="75"/>
    </row>
    <row r="505" spans="1:9" s="7" customFormat="1" ht="16.5" customHeight="1" x14ac:dyDescent="0.2">
      <c r="A505" s="27"/>
      <c r="B505" s="28">
        <v>85495</v>
      </c>
      <c r="C505" s="44" t="s">
        <v>5</v>
      </c>
      <c r="D505" s="114">
        <f>6000</f>
        <v>6000</v>
      </c>
      <c r="E505" s="75"/>
      <c r="F505" s="83"/>
      <c r="G505" s="79"/>
      <c r="I505" s="75"/>
    </row>
    <row r="506" spans="1:9" s="7" customFormat="1" ht="16.5" customHeight="1" x14ac:dyDescent="0.2">
      <c r="A506" s="30">
        <v>855</v>
      </c>
      <c r="B506" s="25"/>
      <c r="C506" s="20" t="s">
        <v>59</v>
      </c>
      <c r="D506" s="109">
        <f>D507</f>
        <v>138000</v>
      </c>
      <c r="E506" s="75"/>
      <c r="F506" s="83"/>
      <c r="G506" s="79"/>
      <c r="I506" s="75"/>
    </row>
    <row r="507" spans="1:9" s="6" customFormat="1" ht="16.5" customHeight="1" x14ac:dyDescent="0.2">
      <c r="A507" s="22"/>
      <c r="B507" s="15">
        <v>85516</v>
      </c>
      <c r="C507" s="23" t="s">
        <v>61</v>
      </c>
      <c r="D507" s="112">
        <v>138000</v>
      </c>
      <c r="E507" s="75"/>
      <c r="F507" s="83"/>
      <c r="G507" s="79"/>
      <c r="I507" s="76"/>
    </row>
    <row r="508" spans="1:9" s="6" customFormat="1" ht="16.5" customHeight="1" x14ac:dyDescent="0.2">
      <c r="A508" s="30">
        <v>900</v>
      </c>
      <c r="B508" s="25"/>
      <c r="C508" s="20" t="s">
        <v>28</v>
      </c>
      <c r="D508" s="109">
        <f>D509+D511+D510</f>
        <v>725457</v>
      </c>
      <c r="E508" s="75"/>
      <c r="F508" s="83"/>
      <c r="G508" s="79"/>
      <c r="I508" s="76"/>
    </row>
    <row r="509" spans="1:9" s="6" customFormat="1" ht="16.5" customHeight="1" x14ac:dyDescent="0.2">
      <c r="A509" s="27"/>
      <c r="B509" s="42">
        <v>90004</v>
      </c>
      <c r="C509" s="44" t="s">
        <v>33</v>
      </c>
      <c r="D509" s="111">
        <v>22000</v>
      </c>
      <c r="E509" s="76"/>
      <c r="F509" s="83"/>
      <c r="G509" s="79"/>
      <c r="I509" s="76"/>
    </row>
    <row r="510" spans="1:9" s="6" customFormat="1" ht="16.5" customHeight="1" x14ac:dyDescent="0.2">
      <c r="A510" s="22"/>
      <c r="B510" s="24">
        <v>90015</v>
      </c>
      <c r="C510" s="70" t="s">
        <v>29</v>
      </c>
      <c r="D510" s="112">
        <f>163230+70000+60000+105000</f>
        <v>398230</v>
      </c>
      <c r="E510" s="76"/>
      <c r="F510" s="83"/>
      <c r="G510" s="79"/>
      <c r="I510" s="76"/>
    </row>
    <row r="511" spans="1:9" s="5" customFormat="1" ht="16.5" customHeight="1" x14ac:dyDescent="0.2">
      <c r="A511" s="22"/>
      <c r="B511" s="24">
        <v>90095</v>
      </c>
      <c r="C511" s="23" t="s">
        <v>5</v>
      </c>
      <c r="D511" s="108">
        <f>119271+155956+30000</f>
        <v>305227</v>
      </c>
      <c r="E511" s="76"/>
      <c r="F511" s="83"/>
      <c r="G511" s="79"/>
      <c r="I511" s="74"/>
    </row>
    <row r="512" spans="1:9" s="5" customFormat="1" ht="16.5" customHeight="1" x14ac:dyDescent="0.2">
      <c r="A512" s="17">
        <v>921</v>
      </c>
      <c r="B512" s="18"/>
      <c r="C512" s="20" t="s">
        <v>42</v>
      </c>
      <c r="D512" s="109">
        <f>D513+D514</f>
        <v>130000</v>
      </c>
      <c r="E512" s="76"/>
      <c r="F512" s="83"/>
      <c r="G512" s="79"/>
      <c r="I512" s="74"/>
    </row>
    <row r="513" spans="1:9" s="5" customFormat="1" ht="16.5" customHeight="1" x14ac:dyDescent="0.2">
      <c r="A513" s="22"/>
      <c r="B513" s="24">
        <v>92109</v>
      </c>
      <c r="C513" s="23" t="s">
        <v>43</v>
      </c>
      <c r="D513" s="108">
        <f>107000+13000</f>
        <v>120000</v>
      </c>
      <c r="E513" s="74"/>
      <c r="F513" s="83"/>
      <c r="G513" s="79"/>
      <c r="I513" s="74"/>
    </row>
    <row r="514" spans="1:9" s="7" customFormat="1" ht="16.5" customHeight="1" x14ac:dyDescent="0.2">
      <c r="A514" s="22"/>
      <c r="B514" s="24">
        <v>92116</v>
      </c>
      <c r="C514" s="23" t="s">
        <v>44</v>
      </c>
      <c r="D514" s="108">
        <f>10000</f>
        <v>10000</v>
      </c>
      <c r="E514" s="74"/>
      <c r="F514" s="83"/>
      <c r="G514" s="79"/>
      <c r="I514" s="75"/>
    </row>
    <row r="515" spans="1:9" s="5" customFormat="1" ht="18.75" customHeight="1" x14ac:dyDescent="0.2">
      <c r="A515" s="38"/>
      <c r="B515" s="39"/>
      <c r="C515" s="40" t="s">
        <v>21</v>
      </c>
      <c r="D515" s="116">
        <f>D516+D518+D521+D525+D527+D529+D531+D534+D536+D538+D540+D542+D545</f>
        <v>3641158</v>
      </c>
      <c r="E515" s="74"/>
      <c r="F515" s="83"/>
      <c r="G515" s="79"/>
      <c r="I515" s="74"/>
    </row>
    <row r="516" spans="1:9" s="7" customFormat="1" ht="16.5" customHeight="1" x14ac:dyDescent="0.2">
      <c r="A516" s="11">
        <v>600</v>
      </c>
      <c r="B516" s="12"/>
      <c r="C516" s="13" t="s">
        <v>3</v>
      </c>
      <c r="D516" s="107">
        <f>D517</f>
        <v>810322</v>
      </c>
      <c r="E516" s="75"/>
      <c r="F516" s="83"/>
      <c r="G516" s="79"/>
      <c r="I516" s="75"/>
    </row>
    <row r="517" spans="1:9" s="5" customFormat="1" ht="16.5" customHeight="1" x14ac:dyDescent="0.2">
      <c r="A517" s="14"/>
      <c r="B517" s="15">
        <v>60016</v>
      </c>
      <c r="C517" s="16" t="s">
        <v>4</v>
      </c>
      <c r="D517" s="108">
        <f>810322</f>
        <v>810322</v>
      </c>
      <c r="E517" s="74"/>
      <c r="F517" s="83"/>
      <c r="G517" s="79"/>
      <c r="I517" s="74"/>
    </row>
    <row r="518" spans="1:9" s="7" customFormat="1" ht="16.5" customHeight="1" x14ac:dyDescent="0.2">
      <c r="A518" s="17">
        <v>750</v>
      </c>
      <c r="B518" s="18"/>
      <c r="C518" s="19" t="s">
        <v>50</v>
      </c>
      <c r="D518" s="109">
        <f>D519+D520</f>
        <v>67485</v>
      </c>
      <c r="E518" s="75"/>
      <c r="F518" s="83"/>
      <c r="G518" s="79"/>
      <c r="I518" s="75"/>
    </row>
    <row r="519" spans="1:9" s="5" customFormat="1" ht="16.5" customHeight="1" x14ac:dyDescent="0.2">
      <c r="A519" s="14"/>
      <c r="B519" s="15">
        <v>75022</v>
      </c>
      <c r="C519" s="16" t="s">
        <v>51</v>
      </c>
      <c r="D519" s="108">
        <f>6000</f>
        <v>6000</v>
      </c>
      <c r="E519" s="74"/>
      <c r="F519" s="83"/>
      <c r="G519" s="79"/>
      <c r="I519" s="74"/>
    </row>
    <row r="520" spans="1:9" s="5" customFormat="1" ht="16.5" customHeight="1" x14ac:dyDescent="0.2">
      <c r="A520" s="14"/>
      <c r="B520" s="15">
        <v>75095</v>
      </c>
      <c r="C520" s="16" t="s">
        <v>5</v>
      </c>
      <c r="D520" s="108">
        <v>61485</v>
      </c>
      <c r="E520" s="75"/>
      <c r="F520" s="83"/>
      <c r="G520" s="79"/>
      <c r="I520" s="74"/>
    </row>
    <row r="521" spans="1:9" s="5" customFormat="1" ht="16.5" customHeight="1" x14ac:dyDescent="0.2">
      <c r="A521" s="17">
        <v>754</v>
      </c>
      <c r="B521" s="18"/>
      <c r="C521" s="20" t="s">
        <v>39</v>
      </c>
      <c r="D521" s="110">
        <f>D522+D523+D524</f>
        <v>61000</v>
      </c>
      <c r="E521" s="74"/>
      <c r="F521" s="83"/>
      <c r="G521" s="79"/>
      <c r="I521" s="74"/>
    </row>
    <row r="522" spans="1:9" s="6" customFormat="1" ht="16.5" customHeight="1" x14ac:dyDescent="0.2">
      <c r="A522" s="22"/>
      <c r="B522" s="15">
        <v>75405</v>
      </c>
      <c r="C522" s="16" t="s">
        <v>40</v>
      </c>
      <c r="D522" s="112">
        <v>20000</v>
      </c>
      <c r="E522" s="74"/>
      <c r="F522" s="83"/>
      <c r="G522" s="79"/>
      <c r="I522" s="76"/>
    </row>
    <row r="523" spans="1:9" s="6" customFormat="1" ht="16.5" customHeight="1" x14ac:dyDescent="0.2">
      <c r="A523" s="22"/>
      <c r="B523" s="15">
        <v>75411</v>
      </c>
      <c r="C523" s="16" t="s">
        <v>55</v>
      </c>
      <c r="D523" s="112">
        <f>25000</f>
        <v>25000</v>
      </c>
      <c r="E523" s="74"/>
      <c r="F523" s="83"/>
      <c r="G523" s="79"/>
      <c r="I523" s="76"/>
    </row>
    <row r="524" spans="1:9" s="6" customFormat="1" ht="16.5" customHeight="1" x14ac:dyDescent="0.2">
      <c r="A524" s="22"/>
      <c r="B524" s="15">
        <v>75416</v>
      </c>
      <c r="C524" s="16" t="s">
        <v>41</v>
      </c>
      <c r="D524" s="112">
        <v>16000</v>
      </c>
      <c r="E524" s="76"/>
      <c r="F524" s="83"/>
      <c r="G524" s="79"/>
      <c r="I524" s="76"/>
    </row>
    <row r="525" spans="1:9" s="5" customFormat="1" ht="16.5" customHeight="1" x14ac:dyDescent="0.2">
      <c r="A525" s="17">
        <v>758</v>
      </c>
      <c r="B525" s="18"/>
      <c r="C525" s="21" t="s">
        <v>25</v>
      </c>
      <c r="D525" s="110">
        <f>D526</f>
        <v>747640</v>
      </c>
      <c r="E525" s="76"/>
      <c r="F525" s="83"/>
      <c r="G525" s="79"/>
      <c r="I525" s="74"/>
    </row>
    <row r="526" spans="1:9" s="6" customFormat="1" ht="16.5" customHeight="1" x14ac:dyDescent="0.2">
      <c r="A526" s="22"/>
      <c r="B526" s="15">
        <v>75818</v>
      </c>
      <c r="C526" s="23" t="s">
        <v>26</v>
      </c>
      <c r="D526" s="111">
        <f>3074229-D516-D518-D521-D527-D529-D531-D534-D536-D538-D540-D542-D545+566929</f>
        <v>747640</v>
      </c>
      <c r="E526" s="76"/>
      <c r="F526" s="83"/>
      <c r="G526" s="79"/>
      <c r="I526" s="76"/>
    </row>
    <row r="527" spans="1:9" s="6" customFormat="1" ht="16.5" customHeight="1" x14ac:dyDescent="0.2">
      <c r="A527" s="17">
        <v>801</v>
      </c>
      <c r="B527" s="18"/>
      <c r="C527" s="21" t="s">
        <v>27</v>
      </c>
      <c r="D527" s="109">
        <f>D528</f>
        <v>915500</v>
      </c>
      <c r="E527" s="74"/>
      <c r="F527" s="83"/>
      <c r="G527" s="79"/>
      <c r="I527" s="76"/>
    </row>
    <row r="528" spans="1:9" s="5" customFormat="1" ht="16.5" customHeight="1" x14ac:dyDescent="0.2">
      <c r="A528" s="27"/>
      <c r="B528" s="28">
        <v>80195</v>
      </c>
      <c r="C528" s="43" t="s">
        <v>5</v>
      </c>
      <c r="D528" s="114">
        <f>27000+76500+66500+53000+27000+76500+27000+111000+58500+86000+86000+86000+134500</f>
        <v>915500</v>
      </c>
      <c r="E528" s="76"/>
      <c r="F528" s="83"/>
      <c r="G528" s="79"/>
      <c r="I528" s="74"/>
    </row>
    <row r="529" spans="1:9" s="5" customFormat="1" ht="16.5" customHeight="1" x14ac:dyDescent="0.2">
      <c r="A529" s="17">
        <v>851</v>
      </c>
      <c r="B529" s="25"/>
      <c r="C529" s="20" t="s">
        <v>46</v>
      </c>
      <c r="D529" s="110">
        <f>D530</f>
        <v>40000</v>
      </c>
      <c r="E529" s="76"/>
      <c r="F529" s="83"/>
      <c r="G529" s="79"/>
      <c r="I529" s="74"/>
    </row>
    <row r="530" spans="1:9" s="6" customFormat="1" ht="16.5" customHeight="1" x14ac:dyDescent="0.2">
      <c r="A530" s="27"/>
      <c r="B530" s="28">
        <v>85149</v>
      </c>
      <c r="C530" s="44" t="s">
        <v>48</v>
      </c>
      <c r="D530" s="111">
        <f>40000</f>
        <v>40000</v>
      </c>
      <c r="E530" s="74"/>
      <c r="F530" s="83"/>
      <c r="G530" s="79"/>
      <c r="I530" s="76"/>
    </row>
    <row r="531" spans="1:9" s="7" customFormat="1" ht="16.5" customHeight="1" x14ac:dyDescent="0.2">
      <c r="A531" s="17">
        <v>852</v>
      </c>
      <c r="B531" s="18"/>
      <c r="C531" s="46" t="s">
        <v>52</v>
      </c>
      <c r="D531" s="110">
        <f>D532+D533</f>
        <v>32000</v>
      </c>
      <c r="E531" s="74"/>
      <c r="F531" s="83"/>
      <c r="G531" s="79"/>
      <c r="I531" s="75"/>
    </row>
    <row r="532" spans="1:9" s="7" customFormat="1" ht="24" x14ac:dyDescent="0.2">
      <c r="A532" s="27"/>
      <c r="B532" s="28">
        <v>85214</v>
      </c>
      <c r="C532" s="23" t="s">
        <v>62</v>
      </c>
      <c r="D532" s="111">
        <v>6000</v>
      </c>
      <c r="E532" s="76"/>
      <c r="F532" s="83"/>
      <c r="G532" s="79"/>
      <c r="I532" s="75"/>
    </row>
    <row r="533" spans="1:9" s="5" customFormat="1" ht="16.5" customHeight="1" x14ac:dyDescent="0.2">
      <c r="A533" s="22"/>
      <c r="B533" s="15">
        <v>85295</v>
      </c>
      <c r="C533" s="47" t="s">
        <v>5</v>
      </c>
      <c r="D533" s="112">
        <f>16000+10000</f>
        <v>26000</v>
      </c>
      <c r="E533" s="75"/>
      <c r="F533" s="83"/>
      <c r="G533" s="79"/>
      <c r="I533" s="74"/>
    </row>
    <row r="534" spans="1:9" s="5" customFormat="1" ht="16.5" customHeight="1" x14ac:dyDescent="0.2">
      <c r="A534" s="17">
        <v>853</v>
      </c>
      <c r="B534" s="18"/>
      <c r="C534" s="19" t="s">
        <v>34</v>
      </c>
      <c r="D534" s="110">
        <f>D535</f>
        <v>141711</v>
      </c>
      <c r="E534" s="75"/>
      <c r="F534" s="83"/>
      <c r="G534" s="79"/>
      <c r="I534" s="74"/>
    </row>
    <row r="535" spans="1:9" s="5" customFormat="1" ht="16.5" customHeight="1" x14ac:dyDescent="0.2">
      <c r="A535" s="22"/>
      <c r="B535" s="24">
        <v>85395</v>
      </c>
      <c r="C535" s="23" t="s">
        <v>5</v>
      </c>
      <c r="D535" s="108">
        <f>141711</f>
        <v>141711</v>
      </c>
      <c r="E535" s="74"/>
      <c r="F535" s="83"/>
      <c r="G535" s="79"/>
      <c r="I535" s="74"/>
    </row>
    <row r="536" spans="1:9" s="7" customFormat="1" ht="16.5" customHeight="1" x14ac:dyDescent="0.2">
      <c r="A536" s="17">
        <v>854</v>
      </c>
      <c r="B536" s="25"/>
      <c r="C536" s="20" t="s">
        <v>38</v>
      </c>
      <c r="D536" s="109">
        <f>D537</f>
        <v>304500</v>
      </c>
      <c r="E536" s="74"/>
      <c r="F536" s="83"/>
      <c r="G536" s="79"/>
      <c r="I536" s="75"/>
    </row>
    <row r="537" spans="1:9" s="6" customFormat="1" ht="16.5" customHeight="1" x14ac:dyDescent="0.2">
      <c r="A537" s="27"/>
      <c r="B537" s="28">
        <v>85495</v>
      </c>
      <c r="C537" s="44" t="s">
        <v>5</v>
      </c>
      <c r="D537" s="114">
        <f>221500+75000+3000+5000</f>
        <v>304500</v>
      </c>
      <c r="E537" s="74"/>
      <c r="F537" s="83"/>
      <c r="G537" s="79"/>
      <c r="I537" s="76"/>
    </row>
    <row r="538" spans="1:9" s="7" customFormat="1" ht="16.5" customHeight="1" x14ac:dyDescent="0.2">
      <c r="A538" s="30">
        <v>855</v>
      </c>
      <c r="B538" s="25"/>
      <c r="C538" s="20" t="s">
        <v>59</v>
      </c>
      <c r="D538" s="109">
        <f>D539</f>
        <v>100000</v>
      </c>
      <c r="E538" s="75"/>
      <c r="F538" s="83"/>
      <c r="G538" s="79"/>
      <c r="I538" s="75"/>
    </row>
    <row r="539" spans="1:9" s="6" customFormat="1" ht="16.5" customHeight="1" x14ac:dyDescent="0.2">
      <c r="A539" s="22"/>
      <c r="B539" s="15">
        <v>85516</v>
      </c>
      <c r="C539" s="23" t="s">
        <v>61</v>
      </c>
      <c r="D539" s="112">
        <f>50000+50000</f>
        <v>100000</v>
      </c>
      <c r="E539" s="76"/>
      <c r="F539" s="83"/>
      <c r="G539" s="79"/>
      <c r="I539" s="76"/>
    </row>
    <row r="540" spans="1:9" s="5" customFormat="1" ht="16.5" customHeight="1" x14ac:dyDescent="0.2">
      <c r="A540" s="30">
        <v>900</v>
      </c>
      <c r="B540" s="25"/>
      <c r="C540" s="20" t="s">
        <v>28</v>
      </c>
      <c r="D540" s="109">
        <f>D541</f>
        <v>300000</v>
      </c>
      <c r="E540" s="75"/>
      <c r="F540" s="83"/>
      <c r="G540" s="79"/>
      <c r="I540" s="74"/>
    </row>
    <row r="541" spans="1:9" s="5" customFormat="1" ht="16.5" customHeight="1" x14ac:dyDescent="0.2">
      <c r="A541" s="22"/>
      <c r="B541" s="24">
        <v>90095</v>
      </c>
      <c r="C541" s="23" t="s">
        <v>5</v>
      </c>
      <c r="D541" s="108">
        <v>300000</v>
      </c>
      <c r="E541" s="74"/>
      <c r="F541" s="83"/>
      <c r="G541" s="79"/>
      <c r="I541" s="74"/>
    </row>
    <row r="542" spans="1:9" s="7" customFormat="1" ht="16.5" customHeight="1" x14ac:dyDescent="0.2">
      <c r="A542" s="17">
        <v>921</v>
      </c>
      <c r="B542" s="18"/>
      <c r="C542" s="46" t="s">
        <v>42</v>
      </c>
      <c r="D542" s="109">
        <f>D543+D544</f>
        <v>109000</v>
      </c>
      <c r="E542" s="74"/>
      <c r="F542" s="83"/>
      <c r="G542" s="79"/>
      <c r="I542" s="75"/>
    </row>
    <row r="543" spans="1:9" s="5" customFormat="1" ht="16.5" customHeight="1" x14ac:dyDescent="0.2">
      <c r="A543" s="27"/>
      <c r="B543" s="28">
        <v>92109</v>
      </c>
      <c r="C543" s="44" t="s">
        <v>43</v>
      </c>
      <c r="D543" s="114">
        <f>4000+45000+40000</f>
        <v>89000</v>
      </c>
      <c r="E543" s="74"/>
      <c r="F543" s="83"/>
      <c r="G543" s="79"/>
      <c r="I543" s="74"/>
    </row>
    <row r="544" spans="1:9" s="5" customFormat="1" ht="16.5" customHeight="1" x14ac:dyDescent="0.2">
      <c r="A544" s="22"/>
      <c r="B544" s="24">
        <v>92116</v>
      </c>
      <c r="C544" s="23" t="s">
        <v>44</v>
      </c>
      <c r="D544" s="108">
        <f>20000</f>
        <v>20000</v>
      </c>
      <c r="E544" s="75"/>
      <c r="F544" s="83"/>
      <c r="G544" s="79"/>
      <c r="I544" s="74"/>
    </row>
    <row r="545" spans="1:9" s="5" customFormat="1" ht="16.5" customHeight="1" x14ac:dyDescent="0.2">
      <c r="A545" s="17">
        <v>926</v>
      </c>
      <c r="B545" s="18"/>
      <c r="C545" s="21" t="s">
        <v>30</v>
      </c>
      <c r="D545" s="110">
        <f>D546</f>
        <v>12000</v>
      </c>
      <c r="E545" s="74"/>
      <c r="F545" s="83"/>
      <c r="G545" s="79"/>
      <c r="I545" s="74"/>
    </row>
    <row r="546" spans="1:9" s="6" customFormat="1" ht="16.5" customHeight="1" x14ac:dyDescent="0.2">
      <c r="A546" s="35"/>
      <c r="B546" s="18">
        <v>92605</v>
      </c>
      <c r="C546" s="56" t="s">
        <v>32</v>
      </c>
      <c r="D546" s="124">
        <v>12000</v>
      </c>
      <c r="E546" s="74"/>
      <c r="F546" s="83"/>
      <c r="G546" s="79"/>
      <c r="I546" s="76"/>
    </row>
    <row r="547" spans="1:9" s="6" customFormat="1" ht="18.75" customHeight="1" x14ac:dyDescent="0.2">
      <c r="A547" s="38"/>
      <c r="B547" s="39"/>
      <c r="C547" s="40" t="s">
        <v>22</v>
      </c>
      <c r="D547" s="116">
        <f>D548+D551+D554+D558+D560+D562+D564+D567+D569+D571+D573+D576</f>
        <v>3098717</v>
      </c>
      <c r="E547" s="76"/>
      <c r="F547" s="83"/>
      <c r="G547" s="79"/>
      <c r="I547" s="76"/>
    </row>
    <row r="548" spans="1:9" s="5" customFormat="1" ht="16.5" customHeight="1" x14ac:dyDescent="0.2">
      <c r="A548" s="11">
        <v>600</v>
      </c>
      <c r="B548" s="12"/>
      <c r="C548" s="13" t="s">
        <v>3</v>
      </c>
      <c r="D548" s="107">
        <f>D549+D550</f>
        <v>413000</v>
      </c>
      <c r="E548" s="76"/>
      <c r="F548" s="83"/>
      <c r="G548" s="79"/>
      <c r="I548" s="74"/>
    </row>
    <row r="549" spans="1:9" s="6" customFormat="1" ht="16.5" customHeight="1" x14ac:dyDescent="0.2">
      <c r="A549" s="14"/>
      <c r="B549" s="15">
        <v>60016</v>
      </c>
      <c r="C549" s="16" t="s">
        <v>4</v>
      </c>
      <c r="D549" s="108">
        <f>150000+40000+73000+80000</f>
        <v>343000</v>
      </c>
      <c r="E549" s="76"/>
      <c r="F549" s="83"/>
      <c r="G549" s="79"/>
      <c r="I549" s="76"/>
    </row>
    <row r="550" spans="1:9" s="6" customFormat="1" ht="16.5" customHeight="1" x14ac:dyDescent="0.2">
      <c r="A550" s="14"/>
      <c r="B550" s="15">
        <v>60017</v>
      </c>
      <c r="C550" s="16" t="s">
        <v>60</v>
      </c>
      <c r="D550" s="108">
        <f>70000</f>
        <v>70000</v>
      </c>
      <c r="E550" s="76"/>
      <c r="F550" s="83"/>
      <c r="G550" s="79"/>
      <c r="I550" s="76"/>
    </row>
    <row r="551" spans="1:9" s="6" customFormat="1" ht="16.5" customHeight="1" x14ac:dyDescent="0.2">
      <c r="A551" s="17">
        <v>750</v>
      </c>
      <c r="B551" s="18"/>
      <c r="C551" s="19" t="s">
        <v>50</v>
      </c>
      <c r="D551" s="109">
        <f>D552+D553</f>
        <v>53325</v>
      </c>
      <c r="E551" s="76"/>
      <c r="F551" s="83"/>
      <c r="G551" s="79"/>
      <c r="I551" s="76"/>
    </row>
    <row r="552" spans="1:9" s="6" customFormat="1" ht="16.5" customHeight="1" x14ac:dyDescent="0.2">
      <c r="A552" s="14"/>
      <c r="B552" s="15">
        <v>75022</v>
      </c>
      <c r="C552" s="16" t="s">
        <v>51</v>
      </c>
      <c r="D552" s="108">
        <f>1000</f>
        <v>1000</v>
      </c>
      <c r="E552" s="76"/>
      <c r="F552" s="83"/>
      <c r="G552" s="79"/>
      <c r="I552" s="76"/>
    </row>
    <row r="553" spans="1:9" s="6" customFormat="1" ht="16.5" customHeight="1" x14ac:dyDescent="0.2">
      <c r="A553" s="14"/>
      <c r="B553" s="15">
        <v>75095</v>
      </c>
      <c r="C553" s="16" t="s">
        <v>5</v>
      </c>
      <c r="D553" s="108">
        <v>52325</v>
      </c>
      <c r="E553" s="76"/>
      <c r="F553" s="83"/>
      <c r="G553" s="79"/>
      <c r="I553" s="76"/>
    </row>
    <row r="554" spans="1:9" s="6" customFormat="1" ht="16.5" customHeight="1" x14ac:dyDescent="0.2">
      <c r="A554" s="17">
        <v>754</v>
      </c>
      <c r="B554" s="18"/>
      <c r="C554" s="20" t="s">
        <v>39</v>
      </c>
      <c r="D554" s="110">
        <f>D555+D556+D557</f>
        <v>50000</v>
      </c>
      <c r="E554" s="76"/>
      <c r="F554" s="83"/>
      <c r="G554" s="79"/>
      <c r="I554" s="76"/>
    </row>
    <row r="555" spans="1:9" s="5" customFormat="1" ht="16.5" customHeight="1" x14ac:dyDescent="0.2">
      <c r="A555" s="22"/>
      <c r="B555" s="15">
        <v>75405</v>
      </c>
      <c r="C555" s="16" t="s">
        <v>40</v>
      </c>
      <c r="D555" s="112">
        <v>20000</v>
      </c>
      <c r="E555" s="76"/>
      <c r="F555" s="83"/>
      <c r="G555" s="79"/>
      <c r="I555" s="74"/>
    </row>
    <row r="556" spans="1:9" s="6" customFormat="1" ht="16.5" customHeight="1" x14ac:dyDescent="0.2">
      <c r="A556" s="22"/>
      <c r="B556" s="15">
        <v>75411</v>
      </c>
      <c r="C556" s="16" t="s">
        <v>55</v>
      </c>
      <c r="D556" s="112">
        <f>10000</f>
        <v>10000</v>
      </c>
      <c r="E556" s="76"/>
      <c r="F556" s="83"/>
      <c r="G556" s="79"/>
      <c r="I556" s="76"/>
    </row>
    <row r="557" spans="1:9" s="5" customFormat="1" ht="16.5" customHeight="1" x14ac:dyDescent="0.2">
      <c r="A557" s="22"/>
      <c r="B557" s="15">
        <v>75416</v>
      </c>
      <c r="C557" s="16" t="s">
        <v>41</v>
      </c>
      <c r="D557" s="112">
        <v>20000</v>
      </c>
      <c r="E557" s="76"/>
      <c r="F557" s="83"/>
      <c r="G557" s="79"/>
      <c r="I557" s="74"/>
    </row>
    <row r="558" spans="1:9" s="5" customFormat="1" ht="16.5" customHeight="1" x14ac:dyDescent="0.2">
      <c r="A558" s="17">
        <v>758</v>
      </c>
      <c r="B558" s="18"/>
      <c r="C558" s="21" t="s">
        <v>25</v>
      </c>
      <c r="D558" s="110">
        <f>D559</f>
        <v>817971</v>
      </c>
      <c r="E558" s="76"/>
      <c r="F558" s="83"/>
      <c r="G558" s="79"/>
      <c r="I558" s="74"/>
    </row>
    <row r="559" spans="1:9" s="6" customFormat="1" ht="16.5" customHeight="1" x14ac:dyDescent="0.2">
      <c r="A559" s="22"/>
      <c r="B559" s="15">
        <v>75818</v>
      </c>
      <c r="C559" s="23" t="s">
        <v>26</v>
      </c>
      <c r="D559" s="111">
        <f>2616246-D548-D551-D554-D560-D562-D564-D567-D569-D571-D573-D576+482471</f>
        <v>817971</v>
      </c>
      <c r="E559" s="74"/>
      <c r="F559" s="83"/>
      <c r="G559" s="79"/>
      <c r="I559" s="76"/>
    </row>
    <row r="560" spans="1:9" s="5" customFormat="1" ht="16.5" customHeight="1" x14ac:dyDescent="0.2">
      <c r="A560" s="17">
        <v>801</v>
      </c>
      <c r="B560" s="18"/>
      <c r="C560" s="21" t="s">
        <v>27</v>
      </c>
      <c r="D560" s="109">
        <f>D561</f>
        <v>955500</v>
      </c>
      <c r="E560" s="74"/>
      <c r="F560" s="83"/>
      <c r="G560" s="79"/>
      <c r="I560" s="74"/>
    </row>
    <row r="561" spans="1:9" s="7" customFormat="1" ht="16.5" customHeight="1" x14ac:dyDescent="0.2">
      <c r="A561" s="22"/>
      <c r="B561" s="24">
        <v>80195</v>
      </c>
      <c r="C561" s="16" t="s">
        <v>5</v>
      </c>
      <c r="D561" s="108">
        <f>5000+76000+21000+76000+21000+96000+76000+76000+97000+76000+25000+27500+22000+112000+112000+22000+10000+5000</f>
        <v>955500</v>
      </c>
      <c r="E561" s="76"/>
      <c r="F561" s="83"/>
      <c r="G561" s="79"/>
      <c r="I561" s="75"/>
    </row>
    <row r="562" spans="1:9" s="7" customFormat="1" ht="16.5" customHeight="1" x14ac:dyDescent="0.2">
      <c r="A562" s="17">
        <v>851</v>
      </c>
      <c r="B562" s="25"/>
      <c r="C562" s="20" t="s">
        <v>46</v>
      </c>
      <c r="D562" s="110">
        <f>D563</f>
        <v>12000</v>
      </c>
      <c r="E562" s="74"/>
      <c r="F562" s="83"/>
      <c r="G562" s="79"/>
      <c r="I562" s="75"/>
    </row>
    <row r="563" spans="1:9" s="7" customFormat="1" ht="16.5" customHeight="1" x14ac:dyDescent="0.2">
      <c r="A563" s="27"/>
      <c r="B563" s="28">
        <v>85149</v>
      </c>
      <c r="C563" s="44" t="s">
        <v>48</v>
      </c>
      <c r="D563" s="111">
        <f>12000</f>
        <v>12000</v>
      </c>
      <c r="E563" s="75"/>
      <c r="F563" s="83"/>
      <c r="G563" s="79"/>
      <c r="I563" s="75"/>
    </row>
    <row r="564" spans="1:9" s="5" customFormat="1" ht="16.5" customHeight="1" x14ac:dyDescent="0.2">
      <c r="A564" s="17">
        <v>852</v>
      </c>
      <c r="B564" s="25"/>
      <c r="C564" s="20" t="s">
        <v>52</v>
      </c>
      <c r="D564" s="110">
        <f>D566+D565</f>
        <v>6500</v>
      </c>
      <c r="E564" s="75"/>
      <c r="F564" s="83"/>
      <c r="G564" s="79"/>
      <c r="I564" s="74"/>
    </row>
    <row r="565" spans="1:9" s="5" customFormat="1" ht="16.5" customHeight="1" x14ac:dyDescent="0.2">
      <c r="A565" s="22"/>
      <c r="B565" s="24">
        <v>85203</v>
      </c>
      <c r="C565" s="26" t="s">
        <v>54</v>
      </c>
      <c r="D565" s="112">
        <f>5000</f>
        <v>5000</v>
      </c>
      <c r="E565" s="75"/>
      <c r="F565" s="83"/>
      <c r="G565" s="79"/>
      <c r="I565" s="74"/>
    </row>
    <row r="566" spans="1:9" s="5" customFormat="1" ht="16.5" customHeight="1" x14ac:dyDescent="0.2">
      <c r="A566" s="22"/>
      <c r="B566" s="24">
        <v>85295</v>
      </c>
      <c r="C566" s="23" t="s">
        <v>5</v>
      </c>
      <c r="D566" s="112">
        <v>1500</v>
      </c>
      <c r="E566" s="74"/>
      <c r="F566" s="83"/>
      <c r="G566" s="79"/>
      <c r="I566" s="74"/>
    </row>
    <row r="567" spans="1:9" s="5" customFormat="1" ht="16.5" customHeight="1" x14ac:dyDescent="0.2">
      <c r="A567" s="17">
        <v>853</v>
      </c>
      <c r="B567" s="18"/>
      <c r="C567" s="19" t="s">
        <v>34</v>
      </c>
      <c r="D567" s="110">
        <f>D568</f>
        <v>10000</v>
      </c>
      <c r="E567" s="74"/>
      <c r="F567" s="83"/>
      <c r="G567" s="79"/>
      <c r="I567" s="74"/>
    </row>
    <row r="568" spans="1:9" s="7" customFormat="1" ht="16.5" customHeight="1" x14ac:dyDescent="0.2">
      <c r="A568" s="22"/>
      <c r="B568" s="24">
        <v>85395</v>
      </c>
      <c r="C568" s="23" t="s">
        <v>5</v>
      </c>
      <c r="D568" s="108">
        <f>10000</f>
        <v>10000</v>
      </c>
      <c r="E568" s="74"/>
      <c r="F568" s="83"/>
      <c r="G568" s="79"/>
      <c r="I568" s="75"/>
    </row>
    <row r="569" spans="1:9" s="6" customFormat="1" ht="16.5" customHeight="1" x14ac:dyDescent="0.2">
      <c r="A569" s="17">
        <v>854</v>
      </c>
      <c r="B569" s="25"/>
      <c r="C569" s="20" t="s">
        <v>38</v>
      </c>
      <c r="D569" s="109">
        <f>D570</f>
        <v>147000</v>
      </c>
      <c r="E569" s="74"/>
      <c r="F569" s="83"/>
      <c r="G569" s="79"/>
      <c r="I569" s="76"/>
    </row>
    <row r="570" spans="1:9" s="6" customFormat="1" ht="16.5" customHeight="1" x14ac:dyDescent="0.2">
      <c r="A570" s="22"/>
      <c r="B570" s="24">
        <v>85495</v>
      </c>
      <c r="C570" s="23" t="s">
        <v>5</v>
      </c>
      <c r="D570" s="108">
        <f>2000+145000</f>
        <v>147000</v>
      </c>
      <c r="E570" s="75"/>
      <c r="F570" s="83"/>
      <c r="G570" s="79"/>
      <c r="I570" s="76"/>
    </row>
    <row r="571" spans="1:9" s="6" customFormat="1" ht="16.5" customHeight="1" x14ac:dyDescent="0.2">
      <c r="A571" s="30">
        <v>855</v>
      </c>
      <c r="B571" s="25"/>
      <c r="C571" s="20" t="s">
        <v>59</v>
      </c>
      <c r="D571" s="109">
        <f>D572</f>
        <v>50000</v>
      </c>
      <c r="E571" s="76"/>
      <c r="F571" s="83"/>
      <c r="G571" s="79"/>
      <c r="I571" s="76"/>
    </row>
    <row r="572" spans="1:9" s="5" customFormat="1" ht="16.5" customHeight="1" x14ac:dyDescent="0.2">
      <c r="A572" s="27"/>
      <c r="B572" s="15">
        <v>85516</v>
      </c>
      <c r="C572" s="54" t="s">
        <v>61</v>
      </c>
      <c r="D572" s="112">
        <f>50000</f>
        <v>50000</v>
      </c>
      <c r="E572" s="76"/>
      <c r="F572" s="83"/>
      <c r="G572" s="79"/>
      <c r="I572" s="74"/>
    </row>
    <row r="573" spans="1:9" s="6" customFormat="1" ht="16.5" customHeight="1" x14ac:dyDescent="0.2">
      <c r="A573" s="30">
        <v>900</v>
      </c>
      <c r="B573" s="18"/>
      <c r="C573" s="20" t="s">
        <v>28</v>
      </c>
      <c r="D573" s="109">
        <f>D574+D575</f>
        <v>530421</v>
      </c>
      <c r="E573" s="76"/>
      <c r="F573" s="83"/>
      <c r="G573" s="79"/>
      <c r="I573" s="76"/>
    </row>
    <row r="574" spans="1:9" s="7" customFormat="1" ht="16.5" customHeight="1" x14ac:dyDescent="0.2">
      <c r="A574" s="27"/>
      <c r="B574" s="42">
        <v>90004</v>
      </c>
      <c r="C574" s="44" t="s">
        <v>33</v>
      </c>
      <c r="D574" s="111">
        <v>20000</v>
      </c>
      <c r="E574" s="74"/>
      <c r="F574" s="83"/>
      <c r="G574" s="79"/>
      <c r="I574" s="75"/>
    </row>
    <row r="575" spans="1:9" s="5" customFormat="1" ht="16.5" customHeight="1" x14ac:dyDescent="0.2">
      <c r="A575" s="22"/>
      <c r="B575" s="15">
        <v>90095</v>
      </c>
      <c r="C575" s="23" t="s">
        <v>5</v>
      </c>
      <c r="D575" s="112">
        <f>400000+20000+90421</f>
        <v>510421</v>
      </c>
      <c r="E575" s="75"/>
      <c r="F575" s="83"/>
      <c r="G575" s="79"/>
      <c r="I575" s="74"/>
    </row>
    <row r="576" spans="1:9" s="5" customFormat="1" ht="16.5" customHeight="1" x14ac:dyDescent="0.2">
      <c r="A576" s="17">
        <v>921</v>
      </c>
      <c r="B576" s="18"/>
      <c r="C576" s="20" t="s">
        <v>42</v>
      </c>
      <c r="D576" s="109">
        <f>D577+D578</f>
        <v>53000</v>
      </c>
      <c r="E576" s="75"/>
      <c r="F576" s="83"/>
      <c r="G576" s="79"/>
      <c r="I576" s="74"/>
    </row>
    <row r="577" spans="1:9" s="7" customFormat="1" ht="16.5" customHeight="1" x14ac:dyDescent="0.2">
      <c r="A577" s="22"/>
      <c r="B577" s="24">
        <v>92109</v>
      </c>
      <c r="C577" s="23" t="s">
        <v>43</v>
      </c>
      <c r="D577" s="108">
        <f>26000+3000+8000</f>
        <v>37000</v>
      </c>
      <c r="E577" s="74"/>
      <c r="F577" s="83"/>
      <c r="G577" s="79"/>
      <c r="I577" s="75"/>
    </row>
    <row r="578" spans="1:9" s="5" customFormat="1" ht="16.5" customHeight="1" x14ac:dyDescent="0.2">
      <c r="A578" s="22"/>
      <c r="B578" s="24">
        <v>92116</v>
      </c>
      <c r="C578" s="23" t="s">
        <v>44</v>
      </c>
      <c r="D578" s="108">
        <f>16000</f>
        <v>16000</v>
      </c>
      <c r="E578" s="74"/>
      <c r="F578" s="83"/>
      <c r="G578" s="79"/>
      <c r="I578" s="74"/>
    </row>
    <row r="579" spans="1:9" s="5" customFormat="1" ht="18.75" customHeight="1" x14ac:dyDescent="0.2">
      <c r="A579" s="38"/>
      <c r="B579" s="39"/>
      <c r="C579" s="40" t="s">
        <v>23</v>
      </c>
      <c r="D579" s="116">
        <f>D580+D582+D584+D588+D590+D592+D594+D596+D598+D601+D604</f>
        <v>2651337</v>
      </c>
      <c r="E579" s="75"/>
      <c r="F579" s="83"/>
      <c r="G579" s="79"/>
      <c r="I579" s="74"/>
    </row>
    <row r="580" spans="1:9" s="6" customFormat="1" ht="16.5" customHeight="1" x14ac:dyDescent="0.2">
      <c r="A580" s="11">
        <v>600</v>
      </c>
      <c r="B580" s="12"/>
      <c r="C580" s="13" t="s">
        <v>3</v>
      </c>
      <c r="D580" s="107">
        <f>D581</f>
        <v>1163597</v>
      </c>
      <c r="E580" s="76"/>
      <c r="F580" s="83"/>
      <c r="G580" s="79"/>
      <c r="I580" s="76"/>
    </row>
    <row r="581" spans="1:9" s="6" customFormat="1" ht="16.5" customHeight="1" x14ac:dyDescent="0.2">
      <c r="A581" s="52"/>
      <c r="B581" s="42">
        <v>60016</v>
      </c>
      <c r="C581" s="43" t="s">
        <v>4</v>
      </c>
      <c r="D581" s="114">
        <f>1163597</f>
        <v>1163597</v>
      </c>
      <c r="E581" s="76"/>
      <c r="F581" s="83"/>
      <c r="G581" s="79"/>
      <c r="I581" s="76"/>
    </row>
    <row r="582" spans="1:9" s="5" customFormat="1" ht="16.5" customHeight="1" x14ac:dyDescent="0.2">
      <c r="A582" s="17">
        <v>750</v>
      </c>
      <c r="B582" s="18"/>
      <c r="C582" s="19" t="s">
        <v>50</v>
      </c>
      <c r="D582" s="110">
        <f>D583</f>
        <v>39500</v>
      </c>
      <c r="E582" s="76"/>
      <c r="F582" s="83"/>
      <c r="G582" s="79"/>
      <c r="I582" s="74"/>
    </row>
    <row r="583" spans="1:9" s="5" customFormat="1" ht="16.5" customHeight="1" x14ac:dyDescent="0.2">
      <c r="A583" s="27"/>
      <c r="B583" s="42">
        <v>75095</v>
      </c>
      <c r="C583" s="43" t="s">
        <v>5</v>
      </c>
      <c r="D583" s="111">
        <f>29500+10000</f>
        <v>39500</v>
      </c>
      <c r="E583" s="76"/>
      <c r="F583" s="83"/>
      <c r="G583" s="79"/>
      <c r="I583" s="74"/>
    </row>
    <row r="584" spans="1:9" s="5" customFormat="1" ht="16.5" customHeight="1" x14ac:dyDescent="0.2">
      <c r="A584" s="17">
        <v>754</v>
      </c>
      <c r="B584" s="18"/>
      <c r="C584" s="20" t="s">
        <v>39</v>
      </c>
      <c r="D584" s="110">
        <f>D585+D586+D587</f>
        <v>30000</v>
      </c>
      <c r="E584" s="74"/>
      <c r="F584" s="83"/>
      <c r="G584" s="79"/>
      <c r="I584" s="74"/>
    </row>
    <row r="585" spans="1:9" s="7" customFormat="1" ht="16.5" customHeight="1" x14ac:dyDescent="0.2">
      <c r="A585" s="22"/>
      <c r="B585" s="15">
        <v>75405</v>
      </c>
      <c r="C585" s="16" t="s">
        <v>40</v>
      </c>
      <c r="D585" s="112">
        <v>10000</v>
      </c>
      <c r="E585" s="74"/>
      <c r="F585" s="83"/>
      <c r="G585" s="79"/>
      <c r="I585" s="75"/>
    </row>
    <row r="586" spans="1:9" s="5" customFormat="1" ht="16.5" customHeight="1" x14ac:dyDescent="0.2">
      <c r="A586" s="22"/>
      <c r="B586" s="15">
        <v>75411</v>
      </c>
      <c r="C586" s="16" t="s">
        <v>55</v>
      </c>
      <c r="D586" s="112">
        <f>10000</f>
        <v>10000</v>
      </c>
      <c r="E586" s="74"/>
      <c r="F586" s="83"/>
      <c r="G586" s="79"/>
      <c r="I586" s="74"/>
    </row>
    <row r="587" spans="1:9" s="7" customFormat="1" ht="16.5" customHeight="1" x14ac:dyDescent="0.2">
      <c r="A587" s="22"/>
      <c r="B587" s="15">
        <v>75416</v>
      </c>
      <c r="C587" s="16" t="s">
        <v>41</v>
      </c>
      <c r="D587" s="112">
        <v>10000</v>
      </c>
      <c r="E587" s="74"/>
      <c r="F587" s="83"/>
      <c r="G587" s="79"/>
      <c r="I587" s="75"/>
    </row>
    <row r="588" spans="1:9" s="7" customFormat="1" ht="16.5" customHeight="1" x14ac:dyDescent="0.2">
      <c r="A588" s="17">
        <v>758</v>
      </c>
      <c r="B588" s="18"/>
      <c r="C588" s="21" t="s">
        <v>25</v>
      </c>
      <c r="D588" s="110">
        <f>D589</f>
        <v>442314</v>
      </c>
      <c r="E588" s="75"/>
      <c r="F588" s="83"/>
      <c r="G588" s="79"/>
      <c r="I588" s="75"/>
    </row>
    <row r="589" spans="1:9" s="7" customFormat="1" ht="16.5" customHeight="1" x14ac:dyDescent="0.2">
      <c r="A589" s="27"/>
      <c r="B589" s="42">
        <v>75818</v>
      </c>
      <c r="C589" s="44" t="s">
        <v>26</v>
      </c>
      <c r="D589" s="111">
        <f>2238523-D580-D582-D584-D590-D592-D594-D596-D598-D601-D604+412814</f>
        <v>442314</v>
      </c>
      <c r="E589" s="74"/>
      <c r="F589" s="83"/>
      <c r="G589" s="79"/>
      <c r="I589" s="75"/>
    </row>
    <row r="590" spans="1:9" s="7" customFormat="1" ht="16.5" customHeight="1" x14ac:dyDescent="0.2">
      <c r="A590" s="17">
        <v>801</v>
      </c>
      <c r="B590" s="18"/>
      <c r="C590" s="21" t="s">
        <v>27</v>
      </c>
      <c r="D590" s="109">
        <f>D591</f>
        <v>490000</v>
      </c>
      <c r="E590" s="75"/>
      <c r="F590" s="83"/>
      <c r="G590" s="79"/>
      <c r="I590" s="75"/>
    </row>
    <row r="591" spans="1:9" s="5" customFormat="1" ht="16.5" customHeight="1" x14ac:dyDescent="0.2">
      <c r="A591" s="22"/>
      <c r="B591" s="24">
        <v>80195</v>
      </c>
      <c r="C591" s="16" t="s">
        <v>5</v>
      </c>
      <c r="D591" s="108">
        <f>50000+50000+100000+150000+120000+20000</f>
        <v>490000</v>
      </c>
      <c r="E591" s="75"/>
      <c r="F591" s="83"/>
      <c r="G591" s="79"/>
      <c r="I591" s="74"/>
    </row>
    <row r="592" spans="1:9" s="5" customFormat="1" ht="16.5" customHeight="1" x14ac:dyDescent="0.2">
      <c r="A592" s="17">
        <v>852</v>
      </c>
      <c r="B592" s="25"/>
      <c r="C592" s="20" t="s">
        <v>52</v>
      </c>
      <c r="D592" s="110">
        <f>D593</f>
        <v>13000</v>
      </c>
      <c r="E592" s="75"/>
      <c r="F592" s="83"/>
      <c r="G592" s="79"/>
      <c r="I592" s="74"/>
    </row>
    <row r="593" spans="1:9" s="7" customFormat="1" ht="16.5" customHeight="1" x14ac:dyDescent="0.2">
      <c r="A593" s="17"/>
      <c r="B593" s="25">
        <v>85295</v>
      </c>
      <c r="C593" s="100" t="s">
        <v>5</v>
      </c>
      <c r="D593" s="118">
        <v>13000</v>
      </c>
      <c r="E593" s="75"/>
      <c r="F593" s="83"/>
      <c r="G593" s="79"/>
      <c r="I593" s="75"/>
    </row>
    <row r="594" spans="1:9" s="6" customFormat="1" ht="16.5" customHeight="1" x14ac:dyDescent="0.2">
      <c r="A594" s="11">
        <v>853</v>
      </c>
      <c r="B594" s="33"/>
      <c r="C594" s="99" t="s">
        <v>34</v>
      </c>
      <c r="D594" s="119">
        <f>D595</f>
        <v>98926</v>
      </c>
      <c r="E594" s="74"/>
      <c r="F594" s="83"/>
      <c r="G594" s="79"/>
      <c r="I594" s="76"/>
    </row>
    <row r="595" spans="1:9" s="7" customFormat="1" ht="16.5" customHeight="1" x14ac:dyDescent="0.2">
      <c r="A595" s="22"/>
      <c r="B595" s="24">
        <v>85395</v>
      </c>
      <c r="C595" s="23" t="s">
        <v>5</v>
      </c>
      <c r="D595" s="108">
        <f>28926+70000</f>
        <v>98926</v>
      </c>
      <c r="E595" s="74"/>
      <c r="F595" s="83"/>
      <c r="G595" s="79"/>
      <c r="I595" s="75"/>
    </row>
    <row r="596" spans="1:9" s="5" customFormat="1" ht="16.5" customHeight="1" x14ac:dyDescent="0.2">
      <c r="A596" s="17">
        <v>854</v>
      </c>
      <c r="B596" s="25"/>
      <c r="C596" s="20" t="s">
        <v>38</v>
      </c>
      <c r="D596" s="109">
        <f>D597</f>
        <v>51000</v>
      </c>
      <c r="E596" s="75"/>
      <c r="F596" s="83"/>
      <c r="G596" s="79"/>
      <c r="I596" s="74"/>
    </row>
    <row r="597" spans="1:9" s="7" customFormat="1" ht="16.5" customHeight="1" x14ac:dyDescent="0.2">
      <c r="A597" s="22"/>
      <c r="B597" s="24">
        <v>85495</v>
      </c>
      <c r="C597" s="23" t="s">
        <v>5</v>
      </c>
      <c r="D597" s="108">
        <f>51000</f>
        <v>51000</v>
      </c>
      <c r="E597" s="76"/>
      <c r="F597" s="83"/>
      <c r="G597" s="79"/>
      <c r="I597" s="75"/>
    </row>
    <row r="598" spans="1:9" s="7" customFormat="1" ht="16.5" customHeight="1" x14ac:dyDescent="0.2">
      <c r="A598" s="30">
        <v>900</v>
      </c>
      <c r="B598" s="25"/>
      <c r="C598" s="20" t="s">
        <v>28</v>
      </c>
      <c r="D598" s="109">
        <f>D599+D600</f>
        <v>139500</v>
      </c>
      <c r="E598" s="75"/>
      <c r="F598" s="83"/>
      <c r="G598" s="79"/>
      <c r="I598" s="75"/>
    </row>
    <row r="599" spans="1:9" s="6" customFormat="1" ht="16.5" customHeight="1" x14ac:dyDescent="0.2">
      <c r="A599" s="22"/>
      <c r="B599" s="15">
        <v>90015</v>
      </c>
      <c r="C599" s="23" t="s">
        <v>29</v>
      </c>
      <c r="D599" s="112">
        <f>50000+15000+49500</f>
        <v>114500</v>
      </c>
      <c r="E599" s="74"/>
      <c r="F599" s="83"/>
      <c r="G599" s="79"/>
      <c r="I599" s="76"/>
    </row>
    <row r="600" spans="1:9" s="5" customFormat="1" ht="16.5" customHeight="1" x14ac:dyDescent="0.2">
      <c r="A600" s="22"/>
      <c r="B600" s="15">
        <v>90095</v>
      </c>
      <c r="C600" s="23" t="s">
        <v>5</v>
      </c>
      <c r="D600" s="112">
        <v>25000</v>
      </c>
      <c r="E600" s="75"/>
      <c r="F600" s="83"/>
      <c r="G600" s="79"/>
      <c r="I600" s="74"/>
    </row>
    <row r="601" spans="1:9" s="5" customFormat="1" ht="16.5" customHeight="1" x14ac:dyDescent="0.2">
      <c r="A601" s="17">
        <v>921</v>
      </c>
      <c r="B601" s="25"/>
      <c r="C601" s="20" t="s">
        <v>42</v>
      </c>
      <c r="D601" s="110">
        <f>D602+D603</f>
        <v>126500</v>
      </c>
      <c r="E601" s="75"/>
      <c r="F601" s="83"/>
      <c r="G601" s="79"/>
      <c r="I601" s="74"/>
    </row>
    <row r="602" spans="1:9" s="5" customFormat="1" ht="16.5" customHeight="1" x14ac:dyDescent="0.2">
      <c r="A602" s="22"/>
      <c r="B602" s="24">
        <v>92109</v>
      </c>
      <c r="C602" s="23" t="s">
        <v>43</v>
      </c>
      <c r="D602" s="112">
        <f>109500+6500</f>
        <v>116000</v>
      </c>
      <c r="E602" s="74"/>
      <c r="F602" s="83"/>
      <c r="G602" s="79"/>
      <c r="I602" s="74"/>
    </row>
    <row r="603" spans="1:9" s="5" customFormat="1" ht="16.5" customHeight="1" x14ac:dyDescent="0.2">
      <c r="A603" s="22"/>
      <c r="B603" s="24">
        <v>92116</v>
      </c>
      <c r="C603" s="23" t="s">
        <v>44</v>
      </c>
      <c r="D603" s="112">
        <f>10500</f>
        <v>10500</v>
      </c>
      <c r="E603" s="74"/>
      <c r="F603" s="83"/>
      <c r="G603" s="79"/>
      <c r="I603" s="74"/>
    </row>
    <row r="604" spans="1:9" s="7" customFormat="1" ht="16.5" customHeight="1" x14ac:dyDescent="0.2">
      <c r="A604" s="17">
        <v>926</v>
      </c>
      <c r="B604" s="18"/>
      <c r="C604" s="21" t="s">
        <v>30</v>
      </c>
      <c r="D604" s="110">
        <f>D605</f>
        <v>57000</v>
      </c>
      <c r="E604" s="74"/>
      <c r="F604" s="83"/>
      <c r="G604" s="79"/>
      <c r="I604" s="75"/>
    </row>
    <row r="605" spans="1:9" s="5" customFormat="1" ht="16.5" customHeight="1" x14ac:dyDescent="0.2">
      <c r="A605" s="22"/>
      <c r="B605" s="15">
        <v>92601</v>
      </c>
      <c r="C605" s="31" t="s">
        <v>31</v>
      </c>
      <c r="D605" s="108">
        <v>57000</v>
      </c>
      <c r="E605" s="74"/>
      <c r="F605" s="83"/>
      <c r="G605" s="79"/>
      <c r="I605" s="74"/>
    </row>
    <row r="606" spans="1:9" s="5" customFormat="1" ht="18.75" customHeight="1" x14ac:dyDescent="0.2">
      <c r="A606" s="38"/>
      <c r="B606" s="39"/>
      <c r="C606" s="40" t="s">
        <v>24</v>
      </c>
      <c r="D606" s="116">
        <f>D607+D610+D612+D616+D618+D620+D622+D626+D629+D631+D634+D638</f>
        <v>5007456</v>
      </c>
      <c r="E606" s="74"/>
      <c r="F606" s="83"/>
      <c r="G606" s="79"/>
      <c r="I606" s="74"/>
    </row>
    <row r="607" spans="1:9" ht="16.5" customHeight="1" x14ac:dyDescent="0.2">
      <c r="A607" s="11">
        <v>600</v>
      </c>
      <c r="B607" s="12"/>
      <c r="C607" s="13" t="s">
        <v>3</v>
      </c>
      <c r="D607" s="107">
        <f>D608+D609</f>
        <v>824000</v>
      </c>
      <c r="E607" s="75"/>
      <c r="F607" s="83"/>
      <c r="G607" s="79"/>
    </row>
    <row r="608" spans="1:9" ht="16.5" customHeight="1" x14ac:dyDescent="0.2">
      <c r="A608" s="52"/>
      <c r="B608" s="42">
        <v>60016</v>
      </c>
      <c r="C608" s="43" t="s">
        <v>4</v>
      </c>
      <c r="D608" s="114">
        <f>260488</f>
        <v>260488</v>
      </c>
      <c r="E608" s="74"/>
      <c r="F608" s="83"/>
      <c r="G608" s="79"/>
    </row>
    <row r="609" spans="1:9" ht="16.5" customHeight="1" x14ac:dyDescent="0.2">
      <c r="A609" s="14"/>
      <c r="B609" s="15">
        <v>60017</v>
      </c>
      <c r="C609" s="50" t="s">
        <v>60</v>
      </c>
      <c r="D609" s="108">
        <f>168512+70000+200000+125000</f>
        <v>563512</v>
      </c>
      <c r="E609" s="74"/>
      <c r="F609" s="83"/>
      <c r="G609" s="79"/>
    </row>
    <row r="610" spans="1:9" ht="16.5" customHeight="1" x14ac:dyDescent="0.2">
      <c r="A610" s="17">
        <v>750</v>
      </c>
      <c r="B610" s="18"/>
      <c r="C610" s="19" t="s">
        <v>50</v>
      </c>
      <c r="D610" s="110">
        <f>D611</f>
        <v>74500</v>
      </c>
      <c r="F610" s="83"/>
      <c r="G610" s="79"/>
    </row>
    <row r="611" spans="1:9" ht="16.5" customHeight="1" x14ac:dyDescent="0.2">
      <c r="A611" s="22"/>
      <c r="B611" s="15">
        <v>75095</v>
      </c>
      <c r="C611" s="16" t="s">
        <v>5</v>
      </c>
      <c r="D611" s="112">
        <f>69500+5000</f>
        <v>74500</v>
      </c>
      <c r="F611" s="83"/>
      <c r="G611" s="79"/>
    </row>
    <row r="612" spans="1:9" ht="16.5" customHeight="1" x14ac:dyDescent="0.2">
      <c r="A612" s="17">
        <v>754</v>
      </c>
      <c r="B612" s="18"/>
      <c r="C612" s="46" t="s">
        <v>39</v>
      </c>
      <c r="D612" s="109">
        <f>D613+D614+D615</f>
        <v>97000</v>
      </c>
      <c r="F612" s="83"/>
      <c r="G612" s="79"/>
    </row>
    <row r="613" spans="1:9" ht="16.5" customHeight="1" x14ac:dyDescent="0.2">
      <c r="A613" s="22"/>
      <c r="B613" s="15">
        <v>75405</v>
      </c>
      <c r="C613" s="16" t="s">
        <v>40</v>
      </c>
      <c r="D613" s="112">
        <v>63000</v>
      </c>
      <c r="F613" s="83"/>
      <c r="G613" s="79"/>
    </row>
    <row r="614" spans="1:9" s="5" customFormat="1" ht="16.5" customHeight="1" x14ac:dyDescent="0.2">
      <c r="A614" s="22"/>
      <c r="B614" s="15">
        <v>75411</v>
      </c>
      <c r="C614" s="16" t="s">
        <v>55</v>
      </c>
      <c r="D614" s="112">
        <f>20000</f>
        <v>20000</v>
      </c>
      <c r="E614" s="71"/>
      <c r="F614" s="83"/>
      <c r="G614" s="79"/>
      <c r="I614" s="74"/>
    </row>
    <row r="615" spans="1:9" ht="16.5" customHeight="1" x14ac:dyDescent="0.2">
      <c r="A615" s="14"/>
      <c r="B615" s="15">
        <v>75416</v>
      </c>
      <c r="C615" s="50" t="s">
        <v>41</v>
      </c>
      <c r="D615" s="108">
        <v>14000</v>
      </c>
      <c r="F615" s="83"/>
      <c r="G615" s="79"/>
    </row>
    <row r="616" spans="1:9" ht="16.5" customHeight="1" x14ac:dyDescent="0.2">
      <c r="A616" s="17">
        <v>758</v>
      </c>
      <c r="B616" s="18"/>
      <c r="C616" s="21" t="s">
        <v>25</v>
      </c>
      <c r="D616" s="110">
        <f>D617</f>
        <v>1011052</v>
      </c>
      <c r="E616" s="74"/>
      <c r="F616" s="83"/>
      <c r="G616" s="79"/>
    </row>
    <row r="617" spans="1:9" ht="16.5" customHeight="1" x14ac:dyDescent="0.2">
      <c r="A617" s="22"/>
      <c r="B617" s="15">
        <v>75818</v>
      </c>
      <c r="C617" s="23" t="s">
        <v>26</v>
      </c>
      <c r="D617" s="111">
        <f>4227794-D607-D610-D612-D618-D620-D622-D626-D629-D631-D634-D638+779662</f>
        <v>1011052</v>
      </c>
      <c r="E617" s="74"/>
      <c r="F617" s="83"/>
      <c r="G617" s="79"/>
    </row>
    <row r="618" spans="1:9" s="5" customFormat="1" ht="16.5" customHeight="1" x14ac:dyDescent="0.2">
      <c r="A618" s="17">
        <v>801</v>
      </c>
      <c r="B618" s="18"/>
      <c r="C618" s="21" t="s">
        <v>27</v>
      </c>
      <c r="D618" s="109">
        <f>D619</f>
        <v>1197000</v>
      </c>
      <c r="E618" s="71"/>
      <c r="F618" s="83"/>
      <c r="G618" s="79"/>
      <c r="I618" s="74"/>
    </row>
    <row r="619" spans="1:9" s="6" customFormat="1" ht="16.5" customHeight="1" x14ac:dyDescent="0.2">
      <c r="A619" s="27"/>
      <c r="B619" s="28">
        <v>80195</v>
      </c>
      <c r="C619" s="43" t="s">
        <v>5</v>
      </c>
      <c r="D619" s="114">
        <f>40000+46000+35000+50000+50000+50000+50000+42000+50000+10000+50000+54000+50000+30000+40000+50000+50000+54000+50000+30000+50000+71000+40000+15000+52000+4000+4000+80000</f>
        <v>1197000</v>
      </c>
      <c r="E619" s="71"/>
      <c r="F619" s="83"/>
      <c r="G619" s="79"/>
      <c r="I619" s="76"/>
    </row>
    <row r="620" spans="1:9" ht="16.5" customHeight="1" x14ac:dyDescent="0.2">
      <c r="A620" s="17">
        <v>851</v>
      </c>
      <c r="B620" s="25"/>
      <c r="C620" s="20" t="s">
        <v>46</v>
      </c>
      <c r="D620" s="109">
        <f>D621</f>
        <v>100000</v>
      </c>
      <c r="F620" s="83"/>
      <c r="G620" s="79"/>
    </row>
    <row r="621" spans="1:9" ht="16.5" customHeight="1" x14ac:dyDescent="0.2">
      <c r="A621" s="22"/>
      <c r="B621" s="24">
        <v>85111</v>
      </c>
      <c r="C621" s="65" t="s">
        <v>49</v>
      </c>
      <c r="D621" s="108">
        <f>100000</f>
        <v>100000</v>
      </c>
      <c r="E621" s="74"/>
      <c r="F621" s="83"/>
      <c r="G621" s="79"/>
    </row>
    <row r="622" spans="1:9" s="5" customFormat="1" ht="16.5" customHeight="1" x14ac:dyDescent="0.2">
      <c r="A622" s="17">
        <v>852</v>
      </c>
      <c r="B622" s="25"/>
      <c r="C622" s="20" t="s">
        <v>52</v>
      </c>
      <c r="D622" s="110">
        <f>D623+D624+D625</f>
        <v>92000</v>
      </c>
      <c r="E622" s="71"/>
      <c r="F622" s="83"/>
      <c r="G622" s="79"/>
      <c r="I622" s="74"/>
    </row>
    <row r="623" spans="1:9" ht="16.5" customHeight="1" x14ac:dyDescent="0.2">
      <c r="A623" s="22"/>
      <c r="B623" s="24">
        <v>85203</v>
      </c>
      <c r="C623" s="23" t="s">
        <v>54</v>
      </c>
      <c r="D623" s="112">
        <f>10000+10000</f>
        <v>20000</v>
      </c>
      <c r="F623" s="83"/>
      <c r="G623" s="79"/>
    </row>
    <row r="624" spans="1:9" ht="24" x14ac:dyDescent="0.2">
      <c r="A624" s="22"/>
      <c r="B624" s="24">
        <v>85214</v>
      </c>
      <c r="C624" s="23" t="s">
        <v>62</v>
      </c>
      <c r="D624" s="112">
        <v>60000</v>
      </c>
      <c r="F624" s="83"/>
      <c r="G624" s="79"/>
    </row>
    <row r="625" spans="1:7" ht="16.5" customHeight="1" x14ac:dyDescent="0.2">
      <c r="A625" s="22"/>
      <c r="B625" s="24">
        <v>85295</v>
      </c>
      <c r="C625" s="23" t="s">
        <v>5</v>
      </c>
      <c r="D625" s="112">
        <v>12000</v>
      </c>
      <c r="E625" s="74"/>
      <c r="F625" s="83"/>
      <c r="G625" s="79"/>
    </row>
    <row r="626" spans="1:7" ht="16.5" customHeight="1" x14ac:dyDescent="0.2">
      <c r="A626" s="17">
        <v>853</v>
      </c>
      <c r="B626" s="18"/>
      <c r="C626" s="19" t="s">
        <v>34</v>
      </c>
      <c r="D626" s="110">
        <f>D627+D628</f>
        <v>191390</v>
      </c>
      <c r="F626" s="83"/>
      <c r="G626" s="79"/>
    </row>
    <row r="627" spans="1:7" ht="16.5" customHeight="1" x14ac:dyDescent="0.2">
      <c r="A627" s="22"/>
      <c r="B627" s="24">
        <v>85311</v>
      </c>
      <c r="C627" s="26" t="s">
        <v>56</v>
      </c>
      <c r="D627" s="112">
        <f>15000</f>
        <v>15000</v>
      </c>
      <c r="F627" s="83"/>
      <c r="G627" s="79"/>
    </row>
    <row r="628" spans="1:7" ht="16.5" customHeight="1" x14ac:dyDescent="0.2">
      <c r="A628" s="22"/>
      <c r="B628" s="24">
        <v>85395</v>
      </c>
      <c r="C628" s="23" t="s">
        <v>5</v>
      </c>
      <c r="D628" s="108">
        <f>41390+10000+50000+10000+51000+14000</f>
        <v>176390</v>
      </c>
      <c r="F628" s="83"/>
      <c r="G628" s="79"/>
    </row>
    <row r="629" spans="1:7" ht="16.5" customHeight="1" x14ac:dyDescent="0.2">
      <c r="A629" s="17">
        <v>854</v>
      </c>
      <c r="B629" s="25"/>
      <c r="C629" s="20" t="s">
        <v>38</v>
      </c>
      <c r="D629" s="109">
        <f>D630</f>
        <v>28500</v>
      </c>
      <c r="F629" s="83"/>
      <c r="G629" s="79"/>
    </row>
    <row r="630" spans="1:7" ht="16.5" customHeight="1" x14ac:dyDescent="0.2">
      <c r="A630" s="22"/>
      <c r="B630" s="24">
        <v>85495</v>
      </c>
      <c r="C630" s="23" t="s">
        <v>5</v>
      </c>
      <c r="D630" s="108">
        <f>2500+16000+10000</f>
        <v>28500</v>
      </c>
      <c r="F630" s="83"/>
      <c r="G630" s="79"/>
    </row>
    <row r="631" spans="1:7" ht="16.5" customHeight="1" x14ac:dyDescent="0.2">
      <c r="A631" s="30">
        <v>900</v>
      </c>
      <c r="B631" s="25"/>
      <c r="C631" s="20" t="s">
        <v>28</v>
      </c>
      <c r="D631" s="109">
        <f>D632+D633</f>
        <v>700000</v>
      </c>
      <c r="F631" s="83"/>
      <c r="G631" s="79"/>
    </row>
    <row r="632" spans="1:7" ht="16.5" customHeight="1" x14ac:dyDescent="0.2">
      <c r="A632" s="48"/>
      <c r="B632" s="42">
        <v>90004</v>
      </c>
      <c r="C632" s="44" t="s">
        <v>33</v>
      </c>
      <c r="D632" s="108">
        <v>100000</v>
      </c>
      <c r="F632" s="83"/>
      <c r="G632" s="79"/>
    </row>
    <row r="633" spans="1:7" ht="16.5" customHeight="1" x14ac:dyDescent="0.2">
      <c r="A633" s="22"/>
      <c r="B633" s="15">
        <v>90095</v>
      </c>
      <c r="C633" s="23" t="s">
        <v>5</v>
      </c>
      <c r="D633" s="112">
        <v>600000</v>
      </c>
      <c r="F633" s="83"/>
      <c r="G633" s="79"/>
    </row>
    <row r="634" spans="1:7" ht="16.5" customHeight="1" x14ac:dyDescent="0.2">
      <c r="A634" s="17">
        <v>921</v>
      </c>
      <c r="B634" s="25"/>
      <c r="C634" s="20" t="s">
        <v>42</v>
      </c>
      <c r="D634" s="110">
        <f>D635+D636+D637</f>
        <v>582014</v>
      </c>
      <c r="F634" s="83"/>
      <c r="G634" s="79"/>
    </row>
    <row r="635" spans="1:7" ht="16.5" customHeight="1" x14ac:dyDescent="0.2">
      <c r="A635" s="27"/>
      <c r="B635" s="28">
        <v>92109</v>
      </c>
      <c r="C635" s="44" t="s">
        <v>43</v>
      </c>
      <c r="D635" s="114">
        <f>330000+206014+15000</f>
        <v>551014</v>
      </c>
      <c r="F635" s="83"/>
      <c r="G635" s="79"/>
    </row>
    <row r="636" spans="1:7" ht="16.5" customHeight="1" x14ac:dyDescent="0.2">
      <c r="A636" s="22"/>
      <c r="B636" s="24">
        <v>92116</v>
      </c>
      <c r="C636" s="23" t="s">
        <v>44</v>
      </c>
      <c r="D636" s="108">
        <f>15000</f>
        <v>15000</v>
      </c>
      <c r="F636" s="83"/>
      <c r="G636" s="79"/>
    </row>
    <row r="637" spans="1:7" ht="16.5" customHeight="1" x14ac:dyDescent="0.2">
      <c r="A637" s="22"/>
      <c r="B637" s="24">
        <v>92118</v>
      </c>
      <c r="C637" s="23" t="s">
        <v>45</v>
      </c>
      <c r="D637" s="108">
        <v>16000</v>
      </c>
      <c r="F637" s="83"/>
      <c r="G637" s="79"/>
    </row>
    <row r="638" spans="1:7" ht="16.5" customHeight="1" x14ac:dyDescent="0.2">
      <c r="A638" s="17">
        <v>926</v>
      </c>
      <c r="B638" s="18"/>
      <c r="C638" s="21" t="s">
        <v>30</v>
      </c>
      <c r="D638" s="110">
        <f>D639</f>
        <v>110000</v>
      </c>
      <c r="F638" s="83"/>
      <c r="G638" s="79"/>
    </row>
    <row r="639" spans="1:7" ht="16.5" customHeight="1" x14ac:dyDescent="0.2">
      <c r="A639" s="11"/>
      <c r="B639" s="33">
        <v>92601</v>
      </c>
      <c r="C639" s="51" t="s">
        <v>31</v>
      </c>
      <c r="D639" s="120">
        <v>110000</v>
      </c>
      <c r="F639" s="83"/>
      <c r="G639" s="79"/>
    </row>
  </sheetData>
  <autoFilter ref="A13:D639" xr:uid="{4460CCF2-F546-4730-9525-B9CABA3F6C22}"/>
  <mergeCells count="7">
    <mergeCell ref="F11:F14"/>
    <mergeCell ref="G11:G14"/>
    <mergeCell ref="A8:D8"/>
    <mergeCell ref="A10:A12"/>
    <mergeCell ref="B10:B12"/>
    <mergeCell ref="C10:C12"/>
    <mergeCell ref="D10:D12"/>
  </mergeCells>
  <pageMargins left="0.6692913385826772" right="0.70866141732283472" top="0.74803149606299213" bottom="0.74803149606299213" header="0.31496062992125984" footer="0.31496062992125984"/>
  <pageSetup paperSize="9" scale="90" fitToHeight="0" orientation="portrait" r:id="rId1"/>
  <rowBreaks count="13" manualBreakCount="13">
    <brk id="47" max="3" man="1"/>
    <brk id="94" max="3" man="1"/>
    <brk id="139" max="3" man="1"/>
    <brk id="186" max="3" man="1"/>
    <brk id="231" max="3" man="1"/>
    <brk id="277" max="3" man="1"/>
    <brk id="321" max="3" man="1"/>
    <brk id="368" max="3" man="1"/>
    <brk id="413" max="3" man="1"/>
    <brk id="456" max="3" man="1"/>
    <brk id="503" max="3" man="1"/>
    <brk id="546" max="3" man="1"/>
    <brk id="593" max="3" man="1"/>
  </rowBreaks>
  <ignoredErrors>
    <ignoredError sqref="D31:D47 D340:D363 D79:D94 D109:D131 D146:D176 D96:D106 D133:D143 D330:D337 D178:D204 D206:D236 D238:D270 D272:D304 D306:D328 D365:D392 D394:D423 D425:D461 D463:D492 D494:D525 D527:D558 D560:D588 D590:D616 D618:D6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11</vt:lpstr>
      <vt:lpstr>'zał. nr 11'!Obszar_wydruku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Michałek Magdalena</dc:creator>
  <cp:lastModifiedBy>Żulik Zbigniew</cp:lastModifiedBy>
  <cp:lastPrinted>2022-12-28T13:10:53Z</cp:lastPrinted>
  <dcterms:created xsi:type="dcterms:W3CDTF">2006-11-08T06:56:23Z</dcterms:created>
  <dcterms:modified xsi:type="dcterms:W3CDTF">2022-12-28T13:11:15Z</dcterms:modified>
</cp:coreProperties>
</file>