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\\gmk.local\dane\BM\BM-06\BIP\ROK 2023-BIP\Tekst jednolity\"/>
    </mc:Choice>
  </mc:AlternateContent>
  <xr:revisionPtr revIDLastSave="0" documentId="13_ncr:1_{AC640DFE-AAAA-4BB0-9DA5-01CA06D96747}" xr6:coauthVersionLast="36" xr6:coauthVersionMax="36" xr10:uidLastSave="{00000000-0000-0000-0000-000000000000}"/>
  <bookViews>
    <workbookView xWindow="0" yWindow="0" windowWidth="28800" windowHeight="12135" tabRatio="604" xr2:uid="{00000000-000D-0000-FFFF-FFFF00000000}"/>
  </bookViews>
  <sheets>
    <sheet name="zał. 4.1" sheetId="2" r:id="rId1"/>
  </sheets>
  <definedNames>
    <definedName name="_xlnm._FilterDatabase" localSheetId="0" hidden="1">'zał. 4.1'!$A$12:$H$863</definedName>
    <definedName name="_xlnm.Print_Area" localSheetId="0">'zał. 4.1'!$A$1:$H$862</definedName>
    <definedName name="_xlnm.Print_Titles" localSheetId="0">'zał. 4.1'!$9:$12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2" l="1"/>
  <c r="G20" i="2"/>
  <c r="G15" i="2" l="1"/>
  <c r="F609" i="2" l="1"/>
  <c r="F444" i="2"/>
  <c r="G820" i="2" l="1"/>
  <c r="F821" i="2"/>
  <c r="F815" i="2"/>
  <c r="G598" i="2"/>
  <c r="G597" i="2"/>
  <c r="F386" i="2"/>
  <c r="G266" i="2" l="1"/>
  <c r="H798" i="2" l="1"/>
  <c r="H716" i="2"/>
  <c r="H715" i="2" s="1"/>
  <c r="H600" i="2"/>
  <c r="H579" i="2"/>
  <c r="H367" i="2"/>
  <c r="H51" i="2"/>
  <c r="G51" i="2"/>
  <c r="G28" i="2"/>
  <c r="F237" i="2"/>
  <c r="F431" i="2"/>
  <c r="F90" i="2"/>
  <c r="G835" i="2"/>
  <c r="G616" i="2"/>
  <c r="F704" i="2"/>
  <c r="F703" i="2"/>
  <c r="F699" i="2"/>
  <c r="F700" i="2"/>
  <c r="F701" i="2"/>
  <c r="F702" i="2"/>
  <c r="F698" i="2"/>
  <c r="G790" i="2"/>
  <c r="F751" i="2"/>
  <c r="F230" i="2"/>
  <c r="F235" i="2"/>
  <c r="F697" i="2"/>
  <c r="F813" i="2"/>
  <c r="H246" i="2"/>
  <c r="F749" i="2"/>
  <c r="F748" i="2"/>
  <c r="F420" i="2"/>
  <c r="F747" i="2"/>
  <c r="G250" i="2"/>
  <c r="G588" i="2"/>
  <c r="F234" i="2"/>
  <c r="F233" i="2"/>
  <c r="G179" i="2"/>
  <c r="F232" i="2"/>
  <c r="F750" i="2"/>
  <c r="F231" i="2"/>
  <c r="F419" i="2"/>
  <c r="H337" i="2"/>
  <c r="F346" i="2"/>
  <c r="F174" i="2"/>
  <c r="F140" i="2"/>
  <c r="F53" i="2"/>
  <c r="F198" i="2"/>
  <c r="F418" i="2"/>
  <c r="F34" i="2"/>
  <c r="F746" i="2"/>
  <c r="F696" i="2"/>
  <c r="F416" i="2"/>
  <c r="F417" i="2"/>
  <c r="F342" i="2"/>
  <c r="F229" i="2"/>
  <c r="F695" i="2"/>
  <c r="G655" i="2"/>
  <c r="F225" i="2"/>
  <c r="F745" i="2"/>
  <c r="F694" i="2"/>
  <c r="F45" i="2"/>
  <c r="F341" i="2"/>
  <c r="F692" i="2"/>
  <c r="F693" i="2"/>
  <c r="F414" i="2"/>
  <c r="F415" i="2"/>
  <c r="F195" i="2" l="1"/>
  <c r="F812" i="2"/>
  <c r="F744" i="2"/>
  <c r="F691" i="2"/>
  <c r="F430" i="2"/>
  <c r="F413" i="2"/>
  <c r="G407" i="2"/>
  <c r="F408" i="2"/>
  <c r="G371" i="2"/>
  <c r="F687" i="2"/>
  <c r="F688" i="2"/>
  <c r="F689" i="2"/>
  <c r="F690" i="2"/>
  <c r="F811" i="2"/>
  <c r="F50" i="2"/>
  <c r="F685" i="2"/>
  <c r="F686" i="2"/>
  <c r="F188" i="2"/>
  <c r="F684" i="2"/>
  <c r="F412" i="2"/>
  <c r="F59" i="2"/>
  <c r="F707" i="2"/>
  <c r="F708" i="2"/>
  <c r="F683" i="2"/>
  <c r="F737" i="2"/>
  <c r="F224" i="2"/>
  <c r="F682" i="2"/>
  <c r="F411" i="2"/>
  <c r="F36" i="2"/>
  <c r="F681" i="2"/>
  <c r="F223" i="2"/>
  <c r="F29" i="2"/>
  <c r="F680" i="2"/>
  <c r="F679" i="2"/>
  <c r="F810" i="2"/>
  <c r="F410" i="2"/>
  <c r="F678" i="2"/>
  <c r="F495" i="2"/>
  <c r="F392" i="2"/>
  <c r="F709" i="2"/>
  <c r="F706" i="2"/>
  <c r="F405" i="2"/>
  <c r="F406" i="2"/>
  <c r="F713" i="2"/>
  <c r="F675" i="2"/>
  <c r="F676" i="2"/>
  <c r="F677" i="2"/>
  <c r="F624" i="2"/>
  <c r="F674" i="2"/>
  <c r="F673" i="2"/>
  <c r="F671" i="2"/>
  <c r="F669" i="2"/>
  <c r="F666" i="2"/>
  <c r="F655" i="2"/>
  <c r="F654" i="2"/>
  <c r="F653" i="2"/>
  <c r="F652" i="2"/>
  <c r="F651" i="2"/>
  <c r="F650" i="2"/>
  <c r="F649" i="2"/>
  <c r="F648" i="2"/>
  <c r="F647" i="2"/>
  <c r="F705" i="2" l="1"/>
  <c r="F58" i="2"/>
  <c r="F645" i="2"/>
  <c r="F644" i="2"/>
  <c r="F643" i="2"/>
  <c r="F642" i="2"/>
  <c r="F640" i="2"/>
  <c r="F639" i="2"/>
  <c r="F404" i="2"/>
  <c r="F403" i="2"/>
  <c r="F738" i="2"/>
  <c r="F638" i="2"/>
  <c r="F828" i="2"/>
  <c r="F426" i="2"/>
  <c r="G381" i="2"/>
  <c r="F369" i="2"/>
  <c r="F637" i="2"/>
  <c r="F636" i="2"/>
  <c r="F635" i="2"/>
  <c r="F634" i="2"/>
  <c r="F633" i="2"/>
  <c r="G294" i="2"/>
  <c r="F808" i="2"/>
  <c r="F718" i="2"/>
  <c r="F667" i="2"/>
  <c r="F764" i="2"/>
  <c r="F631" i="2"/>
  <c r="F632" i="2"/>
  <c r="F630" i="2"/>
  <c r="F727" i="2"/>
  <c r="F629" i="2"/>
  <c r="F628" i="2"/>
  <c r="F627" i="2"/>
  <c r="F712" i="2"/>
  <c r="F626" i="2"/>
  <c r="F625" i="2"/>
  <c r="F711" i="2"/>
  <c r="F822" i="2"/>
  <c r="F623" i="2"/>
  <c r="F57" i="2"/>
  <c r="F621" i="2"/>
  <c r="F622" i="2"/>
  <c r="F493" i="2"/>
  <c r="F835" i="2"/>
  <c r="F620" i="2"/>
  <c r="F619" i="2"/>
  <c r="F618" i="2"/>
  <c r="F402" i="2"/>
  <c r="F71" i="2"/>
  <c r="F617" i="2"/>
  <c r="F659" i="2"/>
  <c r="F616" i="2"/>
  <c r="F710" i="2"/>
  <c r="F615" i="2"/>
  <c r="F672" i="2"/>
  <c r="F614" i="2"/>
  <c r="F613" i="2"/>
  <c r="F210" i="2"/>
  <c r="F801" i="2"/>
  <c r="F758" i="2"/>
  <c r="F401" i="2"/>
  <c r="F805" i="2"/>
  <c r="F400" i="2"/>
  <c r="F612" i="2"/>
  <c r="F611" i="2"/>
  <c r="F610" i="2"/>
  <c r="F670" i="2" l="1"/>
  <c r="F742" i="2"/>
  <c r="F65" i="2"/>
  <c r="F485" i="2"/>
  <c r="F345" i="2"/>
  <c r="F343" i="2"/>
  <c r="F492" i="2"/>
  <c r="F432" i="2"/>
  <c r="F756" i="2"/>
  <c r="F433" i="2"/>
  <c r="G283" i="2"/>
  <c r="G254" i="2"/>
  <c r="G170" i="2"/>
  <c r="F236" i="2" l="1"/>
  <c r="F814" i="2"/>
  <c r="H782" i="2"/>
  <c r="F792" i="2"/>
  <c r="F755" i="2"/>
  <c r="F754" i="2"/>
  <c r="F753" i="2"/>
  <c r="F752" i="2"/>
  <c r="F428" i="2"/>
  <c r="F427" i="2"/>
  <c r="F429" i="2"/>
  <c r="F425" i="2"/>
  <c r="F424" i="2"/>
  <c r="F421" i="2"/>
  <c r="F89" i="2"/>
  <c r="G61" i="2" l="1"/>
  <c r="G399" i="2" l="1"/>
  <c r="G239" i="2"/>
  <c r="F72" i="2"/>
  <c r="F486" i="2"/>
  <c r="F491" i="2"/>
  <c r="F487" i="2"/>
  <c r="F770" i="2" l="1"/>
  <c r="F302" i="2"/>
  <c r="F256" i="2"/>
  <c r="G260" i="2"/>
  <c r="G583" i="2"/>
  <c r="F64" i="2"/>
  <c r="G280" i="2"/>
  <c r="F802" i="2" l="1"/>
  <c r="G587" i="2"/>
  <c r="F862" i="2"/>
  <c r="F861" i="2"/>
  <c r="G860" i="2"/>
  <c r="F836" i="2"/>
  <c r="F834" i="2"/>
  <c r="G827" i="2"/>
  <c r="G825" i="2"/>
  <c r="F820" i="2"/>
  <c r="G818" i="2"/>
  <c r="G794" i="2"/>
  <c r="G784" i="2"/>
  <c r="F769" i="2"/>
  <c r="F767" i="2"/>
  <c r="F768" i="2"/>
  <c r="G762" i="2"/>
  <c r="F761" i="2"/>
  <c r="F757" i="2"/>
  <c r="G740" i="2"/>
  <c r="G732" i="2"/>
  <c r="F730" i="2"/>
  <c r="F97" i="2"/>
  <c r="F728" i="2"/>
  <c r="F726" i="2"/>
  <c r="F722" i="2"/>
  <c r="F717" i="2"/>
  <c r="F719" i="2"/>
  <c r="F714" i="2"/>
  <c r="G657" i="2"/>
  <c r="G656" i="2"/>
  <c r="F656" i="2" s="1"/>
  <c r="G646" i="2"/>
  <c r="F604" i="2"/>
  <c r="G605" i="2"/>
  <c r="F593" i="2"/>
  <c r="F592" i="2"/>
  <c r="G584" i="2"/>
  <c r="F583" i="2"/>
  <c r="G580" i="2"/>
  <c r="F494" i="2"/>
  <c r="G476" i="2"/>
  <c r="G472" i="2"/>
  <c r="F437" i="2"/>
  <c r="F398" i="2"/>
  <c r="F395" i="2"/>
  <c r="F394" i="2"/>
  <c r="F393" i="2"/>
  <c r="F389" i="2"/>
  <c r="F388" i="2"/>
  <c r="F385" i="2"/>
  <c r="G384" i="2"/>
  <c r="F381" i="2"/>
  <c r="F380" i="2"/>
  <c r="G379" i="2"/>
  <c r="F379" i="2" s="1"/>
  <c r="G375" i="2"/>
  <c r="F374" i="2"/>
  <c r="F371" i="2"/>
  <c r="F368" i="2"/>
  <c r="F351" i="2"/>
  <c r="G350" i="2"/>
  <c r="F350" i="2" s="1"/>
  <c r="F349" i="2"/>
  <c r="G348" i="2"/>
  <c r="F340" i="2"/>
  <c r="F344" i="2"/>
  <c r="G339" i="2"/>
  <c r="G337" i="2" s="1"/>
  <c r="G335" i="2"/>
  <c r="F294" i="2"/>
  <c r="G282" i="2"/>
  <c r="G262" i="2"/>
  <c r="F258" i="2"/>
  <c r="F219" i="2"/>
  <c r="F207" i="2"/>
  <c r="F208" i="2"/>
  <c r="G201" i="2"/>
  <c r="F183" i="2"/>
  <c r="F180" i="2"/>
  <c r="F175" i="2"/>
  <c r="G69" i="2"/>
  <c r="H63" i="2"/>
  <c r="H62" i="2"/>
  <c r="F60" i="2"/>
  <c r="F55" i="2"/>
  <c r="F52" i="2"/>
  <c r="G133" i="2"/>
  <c r="F121" i="2"/>
  <c r="H15" i="2"/>
  <c r="H16" i="2"/>
  <c r="G16" i="2"/>
  <c r="F46" i="2"/>
  <c r="H48" i="2"/>
  <c r="F42" i="2"/>
  <c r="F43" i="2"/>
  <c r="H41" i="2"/>
  <c r="H40" i="2" s="1"/>
  <c r="H61" i="2" l="1"/>
  <c r="F860" i="2"/>
  <c r="G856" i="2"/>
  <c r="F348" i="2"/>
  <c r="F40" i="2"/>
  <c r="F41" i="2"/>
  <c r="G39" i="2" l="1"/>
  <c r="G38" i="2" s="1"/>
  <c r="F35" i="2"/>
  <c r="F859" i="2" l="1"/>
  <c r="F858" i="2"/>
  <c r="F857" i="2"/>
  <c r="F856" i="2"/>
  <c r="F855" i="2"/>
  <c r="F852" i="2"/>
  <c r="F851" i="2"/>
  <c r="F850" i="2"/>
  <c r="F849" i="2"/>
  <c r="F847" i="2"/>
  <c r="F846" i="2"/>
  <c r="F845" i="2"/>
  <c r="F844" i="2"/>
  <c r="F843" i="2"/>
  <c r="F840" i="2"/>
  <c r="F839" i="2"/>
  <c r="F838" i="2"/>
  <c r="G837" i="2"/>
  <c r="G824" i="2" s="1"/>
  <c r="F833" i="2"/>
  <c r="F832" i="2"/>
  <c r="F831" i="2"/>
  <c r="F830" i="2"/>
  <c r="H829" i="2"/>
  <c r="H824" i="2" s="1"/>
  <c r="F827" i="2"/>
  <c r="F826" i="2"/>
  <c r="F825" i="2"/>
  <c r="F819" i="2"/>
  <c r="F818" i="2"/>
  <c r="G817" i="2"/>
  <c r="F817" i="2" s="1"/>
  <c r="F816" i="2"/>
  <c r="F809" i="2"/>
  <c r="F807" i="2"/>
  <c r="F806" i="2"/>
  <c r="F804" i="2"/>
  <c r="G803" i="2"/>
  <c r="F803" i="2" s="1"/>
  <c r="F800" i="2"/>
  <c r="G799" i="2"/>
  <c r="F797" i="2"/>
  <c r="F796" i="2"/>
  <c r="F795" i="2"/>
  <c r="F794" i="2"/>
  <c r="G793" i="2"/>
  <c r="F793" i="2" s="1"/>
  <c r="F791" i="2"/>
  <c r="F790" i="2"/>
  <c r="G789" i="2"/>
  <c r="F788" i="2"/>
  <c r="F787" i="2"/>
  <c r="F786" i="2"/>
  <c r="G785" i="2"/>
  <c r="F784" i="2"/>
  <c r="F783" i="2"/>
  <c r="F780" i="2"/>
  <c r="G779" i="2"/>
  <c r="F779" i="2" s="1"/>
  <c r="F778" i="2"/>
  <c r="G777" i="2"/>
  <c r="F776" i="2"/>
  <c r="G775" i="2"/>
  <c r="F775" i="2" s="1"/>
  <c r="F774" i="2"/>
  <c r="G773" i="2"/>
  <c r="F773" i="2" s="1"/>
  <c r="F772" i="2"/>
  <c r="G771" i="2"/>
  <c r="F771" i="2" s="1"/>
  <c r="F766" i="2"/>
  <c r="F765" i="2"/>
  <c r="F763" i="2"/>
  <c r="F762" i="2"/>
  <c r="F760" i="2"/>
  <c r="F759" i="2"/>
  <c r="F743" i="2"/>
  <c r="F741" i="2"/>
  <c r="F740" i="2"/>
  <c r="G739" i="2"/>
  <c r="F736" i="2"/>
  <c r="F735" i="2"/>
  <c r="G734" i="2"/>
  <c r="F733" i="2"/>
  <c r="F732" i="2"/>
  <c r="G731" i="2"/>
  <c r="F729" i="2"/>
  <c r="F725" i="2"/>
  <c r="F724" i="2"/>
  <c r="G723" i="2"/>
  <c r="F721" i="2"/>
  <c r="F720" i="2"/>
  <c r="F668" i="2"/>
  <c r="F665" i="2"/>
  <c r="G664" i="2"/>
  <c r="F664" i="2" s="1"/>
  <c r="F663" i="2"/>
  <c r="G662" i="2"/>
  <c r="F661" i="2"/>
  <c r="G660" i="2"/>
  <c r="F658" i="2"/>
  <c r="F657" i="2"/>
  <c r="F646" i="2"/>
  <c r="F641" i="2"/>
  <c r="F608" i="2"/>
  <c r="F607" i="2"/>
  <c r="F606" i="2"/>
  <c r="F605" i="2"/>
  <c r="F603" i="2"/>
  <c r="F602" i="2"/>
  <c r="G601" i="2"/>
  <c r="F598" i="2"/>
  <c r="F597" i="2"/>
  <c r="G596" i="2"/>
  <c r="F596" i="2" s="1"/>
  <c r="F591" i="2"/>
  <c r="G590" i="2"/>
  <c r="G579" i="2" s="1"/>
  <c r="F589" i="2"/>
  <c r="F588" i="2"/>
  <c r="F587" i="2"/>
  <c r="F586" i="2"/>
  <c r="F585" i="2"/>
  <c r="F584" i="2"/>
  <c r="F582" i="2"/>
  <c r="F581" i="2"/>
  <c r="F580" i="2"/>
  <c r="F578" i="2"/>
  <c r="G577" i="2"/>
  <c r="F577" i="2" s="1"/>
  <c r="F576" i="2"/>
  <c r="G575" i="2"/>
  <c r="F574" i="2"/>
  <c r="G573" i="2"/>
  <c r="F573" i="2" s="1"/>
  <c r="F572" i="2"/>
  <c r="G571" i="2"/>
  <c r="F571" i="2" s="1"/>
  <c r="F570" i="2"/>
  <c r="G569" i="2"/>
  <c r="F569" i="2" s="1"/>
  <c r="F568" i="2"/>
  <c r="G567" i="2"/>
  <c r="F566" i="2"/>
  <c r="G565" i="2"/>
  <c r="F565" i="2" s="1"/>
  <c r="F564" i="2"/>
  <c r="G563" i="2"/>
  <c r="F563" i="2" s="1"/>
  <c r="F562" i="2"/>
  <c r="G561" i="2"/>
  <c r="F561" i="2" s="1"/>
  <c r="F560" i="2"/>
  <c r="G559" i="2"/>
  <c r="F558" i="2"/>
  <c r="G557" i="2"/>
  <c r="F557" i="2" s="1"/>
  <c r="F556" i="2"/>
  <c r="G555" i="2"/>
  <c r="F555" i="2" s="1"/>
  <c r="F554" i="2"/>
  <c r="G553" i="2"/>
  <c r="F553" i="2" s="1"/>
  <c r="F552" i="2"/>
  <c r="G551" i="2"/>
  <c r="F550" i="2"/>
  <c r="G549" i="2"/>
  <c r="F549" i="2" s="1"/>
  <c r="F548" i="2"/>
  <c r="G547" i="2"/>
  <c r="F547" i="2" s="1"/>
  <c r="F546" i="2"/>
  <c r="G545" i="2"/>
  <c r="F545" i="2" s="1"/>
  <c r="F544" i="2"/>
  <c r="G543" i="2"/>
  <c r="F542" i="2"/>
  <c r="G541" i="2"/>
  <c r="F541" i="2" s="1"/>
  <c r="F540" i="2"/>
  <c r="G539" i="2"/>
  <c r="F539" i="2" s="1"/>
  <c r="F538" i="2"/>
  <c r="G537" i="2"/>
  <c r="F537" i="2" s="1"/>
  <c r="F536" i="2"/>
  <c r="G535" i="2"/>
  <c r="F534" i="2"/>
  <c r="G533" i="2"/>
  <c r="F533" i="2" s="1"/>
  <c r="F532" i="2"/>
  <c r="G531" i="2"/>
  <c r="F531" i="2" s="1"/>
  <c r="F530" i="2"/>
  <c r="G529" i="2"/>
  <c r="F528" i="2"/>
  <c r="G527" i="2"/>
  <c r="F526" i="2"/>
  <c r="G525" i="2"/>
  <c r="F525" i="2" s="1"/>
  <c r="F524" i="2"/>
  <c r="G523" i="2"/>
  <c r="F523" i="2" s="1"/>
  <c r="F522" i="2"/>
  <c r="G521" i="2"/>
  <c r="F520" i="2"/>
  <c r="G519" i="2"/>
  <c r="F518" i="2"/>
  <c r="G517" i="2"/>
  <c r="F517" i="2" s="1"/>
  <c r="F516" i="2"/>
  <c r="G515" i="2"/>
  <c r="F515" i="2" s="1"/>
  <c r="F514" i="2"/>
  <c r="G513" i="2"/>
  <c r="F512" i="2"/>
  <c r="G511" i="2"/>
  <c r="F510" i="2"/>
  <c r="G509" i="2"/>
  <c r="F509" i="2" s="1"/>
  <c r="F508" i="2"/>
  <c r="G507" i="2"/>
  <c r="F507" i="2" s="1"/>
  <c r="F506" i="2"/>
  <c r="G505" i="2"/>
  <c r="F504" i="2"/>
  <c r="G503" i="2"/>
  <c r="F502" i="2"/>
  <c r="G501" i="2"/>
  <c r="F501" i="2" s="1"/>
  <c r="F500" i="2"/>
  <c r="G499" i="2"/>
  <c r="F499" i="2" s="1"/>
  <c r="F498" i="2"/>
  <c r="G497" i="2"/>
  <c r="F496" i="2"/>
  <c r="F490" i="2"/>
  <c r="F489" i="2"/>
  <c r="G488" i="2"/>
  <c r="F484" i="2"/>
  <c r="F483" i="2"/>
  <c r="F482" i="2"/>
  <c r="G481" i="2"/>
  <c r="F481" i="2" s="1"/>
  <c r="F480" i="2"/>
  <c r="G479" i="2"/>
  <c r="F479" i="2" s="1"/>
  <c r="F478" i="2"/>
  <c r="G477" i="2"/>
  <c r="F476" i="2"/>
  <c r="F475" i="2"/>
  <c r="G474" i="2"/>
  <c r="F473" i="2"/>
  <c r="F472" i="2"/>
  <c r="F471" i="2"/>
  <c r="F470" i="2"/>
  <c r="G469" i="2"/>
  <c r="F468" i="2"/>
  <c r="G467" i="2"/>
  <c r="F466" i="2"/>
  <c r="G465" i="2"/>
  <c r="F465" i="2" s="1"/>
  <c r="F464" i="2"/>
  <c r="G463" i="2"/>
  <c r="F463" i="2" s="1"/>
  <c r="F462" i="2"/>
  <c r="G461" i="2"/>
  <c r="F460" i="2"/>
  <c r="G459" i="2"/>
  <c r="F458" i="2"/>
  <c r="G457" i="2"/>
  <c r="F457" i="2" s="1"/>
  <c r="F456" i="2"/>
  <c r="G455" i="2"/>
  <c r="F455" i="2" s="1"/>
  <c r="F454" i="2"/>
  <c r="G453" i="2"/>
  <c r="F452" i="2"/>
  <c r="G451" i="2"/>
  <c r="F450" i="2"/>
  <c r="G449" i="2"/>
  <c r="F448" i="2"/>
  <c r="G447" i="2"/>
  <c r="F447" i="2" s="1"/>
  <c r="F446" i="2"/>
  <c r="G445" i="2"/>
  <c r="F443" i="2"/>
  <c r="G442" i="2"/>
  <c r="F441" i="2"/>
  <c r="G440" i="2"/>
  <c r="F439" i="2"/>
  <c r="G438" i="2"/>
  <c r="F438" i="2" s="1"/>
  <c r="F436" i="2"/>
  <c r="F435" i="2"/>
  <c r="G434" i="2"/>
  <c r="F434" i="2" s="1"/>
  <c r="F423" i="2"/>
  <c r="G422" i="2"/>
  <c r="F409" i="2"/>
  <c r="F399" i="2"/>
  <c r="F397" i="2"/>
  <c r="G396" i="2"/>
  <c r="F391" i="2"/>
  <c r="G390" i="2"/>
  <c r="F387" i="2"/>
  <c r="F384" i="2"/>
  <c r="F383" i="2"/>
  <c r="F382" i="2"/>
  <c r="F378" i="2"/>
  <c r="F377" i="2"/>
  <c r="G376" i="2"/>
  <c r="F375" i="2"/>
  <c r="F373" i="2"/>
  <c r="F372" i="2"/>
  <c r="F370" i="2"/>
  <c r="F365" i="2"/>
  <c r="G364" i="2"/>
  <c r="F364" i="2" s="1"/>
  <c r="F363" i="2"/>
  <c r="G362" i="2"/>
  <c r="F362" i="2" s="1"/>
  <c r="F361" i="2"/>
  <c r="G360" i="2"/>
  <c r="F359" i="2"/>
  <c r="G358" i="2"/>
  <c r="F357" i="2"/>
  <c r="G356" i="2"/>
  <c r="F355" i="2"/>
  <c r="G354" i="2"/>
  <c r="F354" i="2" s="1"/>
  <c r="F353" i="2"/>
  <c r="G352" i="2"/>
  <c r="H347" i="2"/>
  <c r="F339" i="2"/>
  <c r="F338" i="2"/>
  <c r="F335" i="2"/>
  <c r="H334" i="2"/>
  <c r="G334" i="2"/>
  <c r="F333" i="2"/>
  <c r="F332" i="2"/>
  <c r="G331" i="2"/>
  <c r="H330" i="2"/>
  <c r="F329" i="2"/>
  <c r="F328" i="2"/>
  <c r="G327" i="2"/>
  <c r="F326" i="2"/>
  <c r="G325" i="2"/>
  <c r="F324" i="2"/>
  <c r="H323" i="2"/>
  <c r="G323" i="2"/>
  <c r="F322" i="2"/>
  <c r="G321" i="2"/>
  <c r="F320" i="2"/>
  <c r="G319" i="2"/>
  <c r="F319" i="2" s="1"/>
  <c r="F318" i="2"/>
  <c r="G317" i="2"/>
  <c r="F316" i="2"/>
  <c r="G315" i="2"/>
  <c r="F314" i="2"/>
  <c r="G313" i="2"/>
  <c r="F312" i="2"/>
  <c r="H311" i="2"/>
  <c r="G311" i="2"/>
  <c r="F310" i="2"/>
  <c r="G309" i="2"/>
  <c r="F308" i="2"/>
  <c r="G307" i="2"/>
  <c r="F306" i="2"/>
  <c r="G305" i="2"/>
  <c r="F305" i="2" s="1"/>
  <c r="F304" i="2"/>
  <c r="G303" i="2"/>
  <c r="F301" i="2"/>
  <c r="F300" i="2"/>
  <c r="F299" i="2"/>
  <c r="F298" i="2"/>
  <c r="F297" i="2"/>
  <c r="F296" i="2"/>
  <c r="F295" i="2"/>
  <c r="F293" i="2"/>
  <c r="F292" i="2"/>
  <c r="F291" i="2"/>
  <c r="F290" i="2"/>
  <c r="F289" i="2"/>
  <c r="F288" i="2"/>
  <c r="G287" i="2"/>
  <c r="F286" i="2"/>
  <c r="F285" i="2"/>
  <c r="F284" i="2"/>
  <c r="F283" i="2"/>
  <c r="F282" i="2"/>
  <c r="F281" i="2"/>
  <c r="F280" i="2"/>
  <c r="F279" i="2"/>
  <c r="F278" i="2"/>
  <c r="F277" i="2"/>
  <c r="G276" i="2"/>
  <c r="F275" i="2"/>
  <c r="F274" i="2"/>
  <c r="G273" i="2"/>
  <c r="F272" i="2"/>
  <c r="H271" i="2"/>
  <c r="G271" i="2"/>
  <c r="F270" i="2"/>
  <c r="G269" i="2"/>
  <c r="F268" i="2"/>
  <c r="G267" i="2"/>
  <c r="F267" i="2" s="1"/>
  <c r="F266" i="2"/>
  <c r="F265" i="2"/>
  <c r="F264" i="2"/>
  <c r="F263" i="2"/>
  <c r="F262" i="2"/>
  <c r="G261" i="2"/>
  <c r="F260" i="2"/>
  <c r="F259" i="2"/>
  <c r="F257" i="2"/>
  <c r="F255" i="2"/>
  <c r="F254" i="2"/>
  <c r="F252" i="2"/>
  <c r="F251" i="2"/>
  <c r="F250" i="2"/>
  <c r="F249" i="2"/>
  <c r="F248" i="2"/>
  <c r="G247" i="2"/>
  <c r="F246" i="2"/>
  <c r="F245" i="2"/>
  <c r="F244" i="2"/>
  <c r="F243" i="2"/>
  <c r="F242" i="2"/>
  <c r="G241" i="2"/>
  <c r="F241" i="2" s="1"/>
  <c r="F240" i="2"/>
  <c r="F239" i="2"/>
  <c r="F238" i="2"/>
  <c r="F228" i="2"/>
  <c r="F227" i="2"/>
  <c r="G226" i="2"/>
  <c r="F222" i="2"/>
  <c r="F221" i="2"/>
  <c r="G220" i="2"/>
  <c r="F218" i="2"/>
  <c r="F217" i="2"/>
  <c r="F216" i="2"/>
  <c r="F215" i="2"/>
  <c r="G214" i="2"/>
  <c r="F213" i="2"/>
  <c r="F212" i="2"/>
  <c r="F211" i="2"/>
  <c r="G209" i="2"/>
  <c r="F206" i="2"/>
  <c r="G205" i="2"/>
  <c r="F204" i="2"/>
  <c r="F203" i="2"/>
  <c r="G202" i="2"/>
  <c r="F201" i="2"/>
  <c r="G200" i="2"/>
  <c r="F200" i="2" s="1"/>
  <c r="F199" i="2"/>
  <c r="F197" i="2"/>
  <c r="F196" i="2"/>
  <c r="F194" i="2"/>
  <c r="F193" i="2"/>
  <c r="G192" i="2"/>
  <c r="F192" i="2" s="1"/>
  <c r="F191" i="2"/>
  <c r="F190" i="2"/>
  <c r="G189" i="2"/>
  <c r="F189" i="2" s="1"/>
  <c r="F187" i="2"/>
  <c r="F186" i="2"/>
  <c r="F185" i="2"/>
  <c r="F184" i="2"/>
  <c r="F182" i="2"/>
  <c r="F181" i="2"/>
  <c r="F179" i="2"/>
  <c r="F178" i="2"/>
  <c r="F177" i="2"/>
  <c r="F176" i="2"/>
  <c r="F173" i="2"/>
  <c r="F172" i="2"/>
  <c r="G171" i="2"/>
  <c r="F171" i="2" s="1"/>
  <c r="F170" i="2"/>
  <c r="F169" i="2"/>
  <c r="H168" i="2"/>
  <c r="F168" i="2" s="1"/>
  <c r="F167" i="2"/>
  <c r="G166" i="2"/>
  <c r="F165" i="2"/>
  <c r="H164" i="2"/>
  <c r="F163" i="2"/>
  <c r="F162" i="2"/>
  <c r="F161" i="2"/>
  <c r="F160" i="2"/>
  <c r="F159" i="2"/>
  <c r="G158" i="2"/>
  <c r="F157" i="2"/>
  <c r="G156" i="2"/>
  <c r="F156" i="2" s="1"/>
  <c r="F155" i="2"/>
  <c r="G154" i="2"/>
  <c r="F153" i="2"/>
  <c r="F152" i="2"/>
  <c r="F151" i="2"/>
  <c r="G150" i="2"/>
  <c r="F149" i="2"/>
  <c r="H148" i="2"/>
  <c r="F147" i="2"/>
  <c r="H146" i="2"/>
  <c r="F146" i="2" s="1"/>
  <c r="F145" i="2"/>
  <c r="F144" i="2"/>
  <c r="G143" i="2"/>
  <c r="F143" i="2" s="1"/>
  <c r="F142" i="2"/>
  <c r="F141" i="2"/>
  <c r="F139" i="2"/>
  <c r="F138" i="2"/>
  <c r="G137" i="2"/>
  <c r="F137" i="2" s="1"/>
  <c r="F136" i="2"/>
  <c r="F135" i="2"/>
  <c r="H134" i="2"/>
  <c r="F134" i="2" s="1"/>
  <c r="F133" i="2"/>
  <c r="F132" i="2"/>
  <c r="F131" i="2"/>
  <c r="F130" i="2"/>
  <c r="F129" i="2"/>
  <c r="F128" i="2"/>
  <c r="F127" i="2"/>
  <c r="F126" i="2"/>
  <c r="F125" i="2"/>
  <c r="F124" i="2"/>
  <c r="H123" i="2"/>
  <c r="G123" i="2"/>
  <c r="F122" i="2"/>
  <c r="F120" i="2"/>
  <c r="F119" i="2"/>
  <c r="F118" i="2"/>
  <c r="F117" i="2"/>
  <c r="F116" i="2"/>
  <c r="H115" i="2"/>
  <c r="G115" i="2"/>
  <c r="F113" i="2"/>
  <c r="F112" i="2"/>
  <c r="F111" i="2"/>
  <c r="G110" i="2"/>
  <c r="H109" i="2"/>
  <c r="F108" i="2"/>
  <c r="H107" i="2"/>
  <c r="G107" i="2"/>
  <c r="F106" i="2"/>
  <c r="F105" i="2"/>
  <c r="G104" i="2"/>
  <c r="G103" i="2"/>
  <c r="G18" i="2" s="1"/>
  <c r="H102" i="2"/>
  <c r="F101" i="2"/>
  <c r="F100" i="2"/>
  <c r="F99" i="2"/>
  <c r="H98" i="2"/>
  <c r="G98" i="2"/>
  <c r="F96" i="2"/>
  <c r="F94" i="2"/>
  <c r="F93" i="2"/>
  <c r="H92" i="2"/>
  <c r="G92" i="2"/>
  <c r="F88" i="2"/>
  <c r="G87" i="2"/>
  <c r="F86" i="2"/>
  <c r="G85" i="2"/>
  <c r="F84" i="2"/>
  <c r="G83" i="2"/>
  <c r="F83" i="2" s="1"/>
  <c r="F82" i="2"/>
  <c r="H81" i="2"/>
  <c r="G81" i="2"/>
  <c r="F80" i="2"/>
  <c r="H79" i="2"/>
  <c r="G79" i="2"/>
  <c r="F78" i="2"/>
  <c r="H77" i="2"/>
  <c r="G77" i="2"/>
  <c r="F76" i="2"/>
  <c r="H75" i="2"/>
  <c r="G75" i="2"/>
  <c r="F74" i="2"/>
  <c r="H73" i="2"/>
  <c r="G73" i="2"/>
  <c r="F70" i="2"/>
  <c r="F69" i="2"/>
  <c r="F68" i="2"/>
  <c r="F63" i="2"/>
  <c r="F62" i="2"/>
  <c r="F56" i="2"/>
  <c r="F54" i="2"/>
  <c r="F49" i="2"/>
  <c r="F48" i="2"/>
  <c r="H47" i="2"/>
  <c r="H38" i="2" s="1"/>
  <c r="F44" i="2"/>
  <c r="F39" i="2"/>
  <c r="F33" i="2"/>
  <c r="H32" i="2"/>
  <c r="F31" i="2"/>
  <c r="H30" i="2"/>
  <c r="H23" i="2"/>
  <c r="G23" i="2"/>
  <c r="H22" i="2"/>
  <c r="G22" i="2"/>
  <c r="H21" i="2"/>
  <c r="G21" i="2"/>
  <c r="H19" i="2"/>
  <c r="G19" i="2"/>
  <c r="H18" i="2"/>
  <c r="H17" i="2"/>
  <c r="G17" i="2"/>
  <c r="F16" i="2"/>
  <c r="F15" i="2"/>
  <c r="H95" i="2" l="1"/>
  <c r="H28" i="2"/>
  <c r="G798" i="2"/>
  <c r="G600" i="2"/>
  <c r="G782" i="2"/>
  <c r="G367" i="2"/>
  <c r="G67" i="2"/>
  <c r="G716" i="2"/>
  <c r="G715" i="2" s="1"/>
  <c r="H67" i="2"/>
  <c r="H66" i="2" s="1"/>
  <c r="H114" i="2"/>
  <c r="G347" i="2"/>
  <c r="F837" i="2"/>
  <c r="F799" i="2"/>
  <c r="F19" i="2"/>
  <c r="F785" i="2"/>
  <c r="F590" i="2"/>
  <c r="F92" i="2"/>
  <c r="F75" i="2"/>
  <c r="F79" i="2"/>
  <c r="F579" i="2"/>
  <c r="F73" i="2"/>
  <c r="F77" i="2"/>
  <c r="F81" i="2"/>
  <c r="F115" i="2"/>
  <c r="H781" i="2"/>
  <c r="F853" i="2"/>
  <c r="G842" i="2"/>
  <c r="G841" i="2" s="1"/>
  <c r="F848" i="2"/>
  <c r="H842" i="2"/>
  <c r="H841" i="2" s="1"/>
  <c r="F22" i="2"/>
  <c r="F23" i="2"/>
  <c r="F51" i="2"/>
  <c r="F87" i="2"/>
  <c r="F17" i="2"/>
  <c r="F18" i="2"/>
  <c r="F21" i="2"/>
  <c r="F30" i="2"/>
  <c r="F32" i="2"/>
  <c r="F47" i="2"/>
  <c r="F61" i="2"/>
  <c r="F98" i="2"/>
  <c r="F103" i="2"/>
  <c r="F107" i="2"/>
  <c r="F110" i="2"/>
  <c r="G109" i="2"/>
  <c r="F150" i="2"/>
  <c r="F154" i="2"/>
  <c r="F209" i="2"/>
  <c r="F214" i="2"/>
  <c r="F226" i="2"/>
  <c r="F261" i="2"/>
  <c r="F273" i="2"/>
  <c r="F287" i="2"/>
  <c r="F303" i="2"/>
  <c r="F315" i="2"/>
  <c r="F317" i="2"/>
  <c r="F325" i="2"/>
  <c r="F327" i="2"/>
  <c r="F331" i="2"/>
  <c r="G330" i="2"/>
  <c r="F337" i="2"/>
  <c r="F396" i="2"/>
  <c r="F442" i="2"/>
  <c r="F445" i="2"/>
  <c r="F459" i="2"/>
  <c r="F461" i="2"/>
  <c r="F488" i="2"/>
  <c r="F497" i="2"/>
  <c r="F511" i="2"/>
  <c r="F513" i="2"/>
  <c r="F527" i="2"/>
  <c r="F529" i="2"/>
  <c r="F20" i="2"/>
  <c r="F85" i="2"/>
  <c r="F104" i="2"/>
  <c r="F123" i="2"/>
  <c r="F164" i="2"/>
  <c r="F166" i="2"/>
  <c r="F202" i="2"/>
  <c r="F271" i="2"/>
  <c r="F276" i="2"/>
  <c r="F309" i="2"/>
  <c r="F311" i="2"/>
  <c r="F323" i="2"/>
  <c r="F334" i="2"/>
  <c r="F358" i="2"/>
  <c r="F360" i="2"/>
  <c r="F407" i="2"/>
  <c r="F422" i="2"/>
  <c r="F451" i="2"/>
  <c r="F453" i="2"/>
  <c r="F467" i="2"/>
  <c r="F469" i="2"/>
  <c r="F477" i="2"/>
  <c r="F503" i="2"/>
  <c r="F505" i="2"/>
  <c r="F519" i="2"/>
  <c r="F521" i="2"/>
  <c r="H599" i="2"/>
  <c r="F662" i="2"/>
  <c r="F148" i="2"/>
  <c r="F158" i="2"/>
  <c r="F205" i="2"/>
  <c r="F220" i="2"/>
  <c r="F247" i="2"/>
  <c r="F269" i="2"/>
  <c r="F307" i="2"/>
  <c r="F313" i="2"/>
  <c r="F321" i="2"/>
  <c r="F356" i="2"/>
  <c r="H366" i="2"/>
  <c r="F390" i="2"/>
  <c r="F440" i="2"/>
  <c r="F449" i="2"/>
  <c r="F474" i="2"/>
  <c r="F535" i="2"/>
  <c r="F543" i="2"/>
  <c r="F551" i="2"/>
  <c r="F559" i="2"/>
  <c r="F567" i="2"/>
  <c r="F575" i="2"/>
  <c r="F660" i="2"/>
  <c r="F731" i="2"/>
  <c r="F734" i="2"/>
  <c r="F739" i="2"/>
  <c r="F777" i="2"/>
  <c r="F789" i="2"/>
  <c r="F854" i="2"/>
  <c r="F601" i="2"/>
  <c r="F723" i="2"/>
  <c r="G37" i="2"/>
  <c r="G102" i="2"/>
  <c r="G95" i="2" s="1"/>
  <c r="G253" i="2"/>
  <c r="G114" i="2" s="1"/>
  <c r="F352" i="2"/>
  <c r="F376" i="2"/>
  <c r="G595" i="2"/>
  <c r="F829" i="2"/>
  <c r="G781" i="2" l="1"/>
  <c r="H91" i="2"/>
  <c r="F842" i="2"/>
  <c r="F25" i="2"/>
  <c r="F841" i="2"/>
  <c r="F781" i="2"/>
  <c r="F798" i="2"/>
  <c r="F782" i="2"/>
  <c r="H823" i="2"/>
  <c r="H27" i="2"/>
  <c r="F24" i="2"/>
  <c r="F330" i="2"/>
  <c r="F109" i="2"/>
  <c r="H37" i="2"/>
  <c r="F37" i="2" s="1"/>
  <c r="F595" i="2"/>
  <c r="G594" i="2"/>
  <c r="F102" i="2"/>
  <c r="F38" i="2"/>
  <c r="F824" i="2"/>
  <c r="G823" i="2"/>
  <c r="F367" i="2"/>
  <c r="G366" i="2"/>
  <c r="G336" i="2"/>
  <c r="F347" i="2"/>
  <c r="F253" i="2"/>
  <c r="F67" i="2"/>
  <c r="G66" i="2"/>
  <c r="F716" i="2"/>
  <c r="G599" i="2"/>
  <c r="F600" i="2"/>
  <c r="F28" i="2"/>
  <c r="H13" i="2" l="1"/>
  <c r="H14" i="2" s="1"/>
  <c r="F336" i="2"/>
  <c r="F599" i="2"/>
  <c r="F715" i="2"/>
  <c r="F366" i="2"/>
  <c r="F823" i="2"/>
  <c r="F594" i="2"/>
  <c r="F66" i="2"/>
  <c r="F114" i="2"/>
  <c r="F27" i="2"/>
  <c r="F95" i="2"/>
  <c r="G91" i="2"/>
  <c r="G13" i="2" s="1"/>
  <c r="G14" i="2" s="1"/>
  <c r="F91" i="2" l="1"/>
  <c r="F13" i="2" l="1"/>
  <c r="F14" i="2" l="1"/>
</calcChain>
</file>

<file path=xl/sharedStrings.xml><?xml version="1.0" encoding="utf-8"?>
<sst xmlns="http://schemas.openxmlformats.org/spreadsheetml/2006/main" count="2081" uniqueCount="1339">
  <si>
    <t>Nazwa zadania</t>
  </si>
  <si>
    <t>Dział</t>
  </si>
  <si>
    <t>Rozdział</t>
  </si>
  <si>
    <t>Jednostka Realizująca</t>
  </si>
  <si>
    <t>Budżet ogółem</t>
  </si>
  <si>
    <t>w tym:</t>
  </si>
  <si>
    <t>zadania 
gminy</t>
  </si>
  <si>
    <t>zadania
powiatu</t>
  </si>
  <si>
    <t xml:space="preserve">środki własne Miasta </t>
  </si>
  <si>
    <t>środki ze śródmiejskiej strefy płatnego parkowania</t>
  </si>
  <si>
    <t>Rządowy Fundusz Polski Ład: Program Inwestycji Strategicznych</t>
  </si>
  <si>
    <t>dotacja - III Igrzyska Europejskie</t>
  </si>
  <si>
    <t>KD</t>
  </si>
  <si>
    <t>Budowa i adaptacja budynków na cele kulturalne</t>
  </si>
  <si>
    <t>KD/SK2.2/21</t>
  </si>
  <si>
    <t>Budowa budynku usługowego "Krakowskie Centrum Muzyki" przy ul. Piastowskiej w Krakowie</t>
  </si>
  <si>
    <t>Inwestycje transportowe dofinansowywane przez GMK</t>
  </si>
  <si>
    <t>ZDMK/ST1.1/03</t>
  </si>
  <si>
    <t>Przygotowanie budowy drogi ekspresowej S7 (odc.węzeł  „Kraków  Bieżanów"- węzeł „Kraków Mistrzejowice")</t>
  </si>
  <si>
    <t>ZDMK</t>
  </si>
  <si>
    <t>GK</t>
  </si>
  <si>
    <t>ZIM/ST1.4/19</t>
  </si>
  <si>
    <t>Budowa Trasy Wolbromskiej (odcinek od ul. Pachońskiego do granic administracyjnych Miasta Krakowa)</t>
  </si>
  <si>
    <t>ZIM</t>
  </si>
  <si>
    <t>ZIM/ST7.4/06</t>
  </si>
  <si>
    <t>Rozbudowa ul. Kocmyrzowskiej</t>
  </si>
  <si>
    <t>ZIM/ST7.7/07</t>
  </si>
  <si>
    <t>Rozbudowa al. 29 Listopada (odc. ul. Opolska - granica miasta)</t>
  </si>
  <si>
    <t>ZDMK/ST7.9/06</t>
  </si>
  <si>
    <t>Budowa ul. Iwaszki</t>
  </si>
  <si>
    <t>ZDMK/ST7.10/17</t>
  </si>
  <si>
    <t>Rozbudowa ul. Gen. Okulickiego wraz z budową połączenia drogowego z Rondem Piastowskim i przebudową Ronda Piastowskiego</t>
  </si>
  <si>
    <t>Rozbudowa ul. Łokietka - od ul. Kaczorówka do ul. Na Zielonki</t>
  </si>
  <si>
    <t>Budowa, rozbudowa i przebudowa linii tramwajowych, torowisk</t>
  </si>
  <si>
    <t>ZIM/ST6.2/20</t>
  </si>
  <si>
    <t>Budowa linii tramwajowej Cichy Kącik - Azory</t>
  </si>
  <si>
    <t>ZDMK/ST6.5/14</t>
  </si>
  <si>
    <t>Budowa linii tramwajowej KST, etap IV (ul. Meissnera - Mistrzejowice)</t>
  </si>
  <si>
    <t>ZIM/ST6.6c/06</t>
  </si>
  <si>
    <t>ZIM/ST6.6d/15</t>
  </si>
  <si>
    <t>Budowa linii tramwajowej KST (os. Krowodrza Górka - Azory)</t>
  </si>
  <si>
    <t>ZDMK/ST6.11/12</t>
  </si>
  <si>
    <t>Modernizacja torowisk tramwajowych wraz z infrastrukturą towarzyszącą</t>
  </si>
  <si>
    <t>Budowa parkingów P&amp;R, węzłów przesiadkowych</t>
  </si>
  <si>
    <t>ZDMK/ST9.5/16</t>
  </si>
  <si>
    <t xml:space="preserve">Budowa zintegrowanego węzła przesiadkowego wraz z parkingiem P&amp;R Bronowice oraz terminalem autobusowym </t>
  </si>
  <si>
    <t>Szybka Kolej Aglomeracyjna</t>
  </si>
  <si>
    <t>GK/ST10.3/16</t>
  </si>
  <si>
    <t>Przebudowa stacji kolejowej SKA "Kraków Swoszowice" wraz z budową parkingu typu Park &amp; Ride (ZIT)</t>
  </si>
  <si>
    <t>Metro</t>
  </si>
  <si>
    <t>ZIM/ST11.1/17</t>
  </si>
  <si>
    <t xml:space="preserve">Studium wykonalności budowy szybkiego, bezkolizyjnego transportu szynowego w Krakowie </t>
  </si>
  <si>
    <t>Koncepcje rozwoju systemu transportowego</t>
  </si>
  <si>
    <t>GK/ST12.1/18</t>
  </si>
  <si>
    <t>Koncepcje programowo-przestrzenne rozwoju systemu transportu</t>
  </si>
  <si>
    <t>Gospodarowanie mieniem Miasta - wykupy</t>
  </si>
  <si>
    <t>GS/SA1.1/00</t>
  </si>
  <si>
    <t>Pozyskanie nieruchomości dla inwestycji strategicznych zrealizowanych w latach poprzednich i dla ochrony korytarzy transportowych</t>
  </si>
  <si>
    <t>GS</t>
  </si>
  <si>
    <t>GS/SA1.2/19</t>
  </si>
  <si>
    <t>Wypłata odszkodowań z tytułu zrealizowanych strategicznych inwestycji drogowych</t>
  </si>
  <si>
    <t>GS/ST1.4/21</t>
  </si>
  <si>
    <t>GS/ST2.4/06</t>
  </si>
  <si>
    <t>Budowa Trasy Łagiewnickiej (węzeł "Ruczaj" - węzeł "Łagiewniki") wraz z linią tramwajową</t>
  </si>
  <si>
    <t>GS/ST5.1/08</t>
  </si>
  <si>
    <t xml:space="preserve">Rozbudowa ul. Igołomskiej w Krakowie </t>
  </si>
  <si>
    <t>GS/ST6.6c/06</t>
  </si>
  <si>
    <t>Budowa linii tramwajowej KST, etap III (os. Krowodrza Górka - Górka Narodowa) wraz z budową dwupoziomowego skrzyżowania w ciągu ul. Opolskiej</t>
  </si>
  <si>
    <t>GS/ST7.4/06</t>
  </si>
  <si>
    <t>GS/ST7.7/18</t>
  </si>
  <si>
    <t>GS/ST8.15/19</t>
  </si>
  <si>
    <t>koncesja</t>
  </si>
  <si>
    <t>dotacja</t>
  </si>
  <si>
    <t>NFRZK</t>
  </si>
  <si>
    <t>NFOŚiGW</t>
  </si>
  <si>
    <t>budżet obywatelski ogólnomiejski</t>
  </si>
  <si>
    <t>budżet obywatelski dzielnic</t>
  </si>
  <si>
    <t>ZDROWIE</t>
  </si>
  <si>
    <t>Program dostosowawczy zakładów lecznictwa zamkniętego</t>
  </si>
  <si>
    <t>NW</t>
  </si>
  <si>
    <t>NW/Z1.8/19</t>
  </si>
  <si>
    <t>Małopolski System Informacji Medycznej (MSIM) w Szpitalu Miejskim Specjalistycznym im. Gabriela Narutowicza w Krakowie</t>
  </si>
  <si>
    <t>NW/Z1.9/19</t>
  </si>
  <si>
    <t>Małopolski System Informacji Medycznej (MSIM) w Szpitalu Specjalistycznym im. Stefana Żeromskiego SP ZOZ w Krakowie</t>
  </si>
  <si>
    <t>POMOC I INTEGRACJA SPOŁECZNA, RODZINA</t>
  </si>
  <si>
    <t>Program dostosowawczy jednostek systemu pomocy społecznej</t>
  </si>
  <si>
    <t>MOPS/W1.2/20</t>
  </si>
  <si>
    <t>Modernizacja budynku MOPS przy ul. Józefińskiej 14</t>
  </si>
  <si>
    <t>MOPS</t>
  </si>
  <si>
    <t>MOPS/W1.8/22</t>
  </si>
  <si>
    <t>OU</t>
  </si>
  <si>
    <t>MOPS/W1.61/20</t>
  </si>
  <si>
    <t>Budowa Domu Pomocy Społecznej przy ul. Praskiej w Krakowie</t>
  </si>
  <si>
    <t>Pozostałe zadania w zakresie polityki rodzinnej</t>
  </si>
  <si>
    <t>ZIM/Z3.6/21</t>
  </si>
  <si>
    <t>Modernizacja budynku Żłobka Samorządowego nr 18, ul. Mazowiecka 30a</t>
  </si>
  <si>
    <t>ZIM/Z3.9/22</t>
  </si>
  <si>
    <t>Przebudowa Żłobka Samorządowego nr 5, os. Willowe 2</t>
  </si>
  <si>
    <t>Program likwidacji barier architektonicznych</t>
  </si>
  <si>
    <t>ZBK</t>
  </si>
  <si>
    <t>OU/W4.2/22</t>
  </si>
  <si>
    <t>Dostosowanie siedzib Urzędu Miasta Krakowa do potrzeb osób z niepełnosprawnościami</t>
  </si>
  <si>
    <t>Program poprawy bezpieczeństwa publicznego</t>
  </si>
  <si>
    <t>ZIM/B1.2/20</t>
  </si>
  <si>
    <t>Budowa budynku z przeznaczeniem na pomieszczenia służbowe Straży Miejskiej Miasta Krakowa przy ul. Fatimskiej 8</t>
  </si>
  <si>
    <t>ZIM/B1.5/21</t>
  </si>
  <si>
    <t xml:space="preserve">Budowa budynku magazynowo-garażowego z zapleczem dla OSP Przewóz </t>
  </si>
  <si>
    <t>ZIM/B1.6/22</t>
  </si>
  <si>
    <t>Budowa budynku dla OSP Bieżanów i JRG nr 6 PSP przy ul. Aleksandry</t>
  </si>
  <si>
    <t>budżet obywatelski dzielnic - edycja VIII</t>
  </si>
  <si>
    <t>budżet obywatelski ogólnomiejski - edycja VIII</t>
  </si>
  <si>
    <t xml:space="preserve">TRANSPORT </t>
  </si>
  <si>
    <t>ZDMK/T1.1/21</t>
  </si>
  <si>
    <t>Przebudowa ul. Piastowskiej na wysokości planowanego Krakowskiego Centrum Muzyki</t>
  </si>
  <si>
    <t>ZDMK/T1.3/21</t>
  </si>
  <si>
    <t>Rozbudowa ul. Rącznej na odcinku od skrzyżowania z ul. Targosza do ul. Płk. Barty</t>
  </si>
  <si>
    <t>ZDMK/T1.9/13</t>
  </si>
  <si>
    <t>Przebudowa ul. Czajna wraz z ulicami przyległymi</t>
  </si>
  <si>
    <t>ZTP</t>
  </si>
  <si>
    <t>ZDMK/T1.14/05</t>
  </si>
  <si>
    <t xml:space="preserve">Przebudowa ul. Królowej Jadwigi </t>
  </si>
  <si>
    <t>ZDMK/T1.16/22</t>
  </si>
  <si>
    <t>Młynówka Królewska - najdłuższy park w Polsce! Nowy etap</t>
  </si>
  <si>
    <t>ZDMK/T1.17/22</t>
  </si>
  <si>
    <t>Przebudowa ul. Kantorowickiej wraz z odwodnieniem na odcinku od mostu na Baranówce do granicy Miasta</t>
  </si>
  <si>
    <t>ZDMK/T1.22/18</t>
  </si>
  <si>
    <t xml:space="preserve">Rozbudowa ul. Meiera </t>
  </si>
  <si>
    <t>ZDMK/T1.23/22</t>
  </si>
  <si>
    <t xml:space="preserve">Sadźmy drzewa! </t>
  </si>
  <si>
    <t>ZDMK/T1.24/22</t>
  </si>
  <si>
    <t>Rozbudowa ul. Przemysłowej</t>
  </si>
  <si>
    <t>ZDMK/T1.26/22</t>
  </si>
  <si>
    <t>Przejazd przez Bratysławską</t>
  </si>
  <si>
    <t>ZDMK/T1.27/22</t>
  </si>
  <si>
    <t>Zróbmy dojście do Parku przy Łokietka</t>
  </si>
  <si>
    <t>ZDMK/T1.28/22</t>
  </si>
  <si>
    <t>Dolina Rudawy dla pieszych i rowerzystów! Nowy etap</t>
  </si>
  <si>
    <t>ZDMK/T1.29/22</t>
  </si>
  <si>
    <t>Modernizacja ul. Potockiego</t>
  </si>
  <si>
    <t>ZDMK/T1.30/10</t>
  </si>
  <si>
    <t>Rozbudowa ul. Wrony</t>
  </si>
  <si>
    <t>ZDMK/T1.32/22</t>
  </si>
  <si>
    <t>Budowa Kiss and Ride przy Szkole Podstawowej nr 98</t>
  </si>
  <si>
    <t>ZDMK/T1.33/22</t>
  </si>
  <si>
    <t>Ścieżka rowerowa w Przylasku Rusieckim</t>
  </si>
  <si>
    <t>ZDMK/T1.34/22</t>
  </si>
  <si>
    <t>Instalacja lamp drogowych na odcinku ul. Wadowskiej (od Wadowa do Luboczy)</t>
  </si>
  <si>
    <t>ZDMK/T1.35/06</t>
  </si>
  <si>
    <t>Rozbudowa ul. Mochnaniec</t>
  </si>
  <si>
    <t>ZDMK/T1.36/21</t>
  </si>
  <si>
    <t>Rozbudowa ul. Bochnaka</t>
  </si>
  <si>
    <t>ZDMK/T1.38/21</t>
  </si>
  <si>
    <t>Rozbudowa dróg  - ul. Łozińskiego i ul. Dybowskiego wraz z wykonaniem kanalizacji opadowej i osadnikiem</t>
  </si>
  <si>
    <t>ZDMK/T1.43/21</t>
  </si>
  <si>
    <t>Chodnik przy ulicy Łokietka</t>
  </si>
  <si>
    <t>budżet obywatelski dzielnic - edycja VII</t>
  </si>
  <si>
    <t>ZDMK/T1.44/21</t>
  </si>
  <si>
    <t>Dolina Rudawy dla pieszych i rowerzystów!</t>
  </si>
  <si>
    <t>ZTP/T1.51/11</t>
  </si>
  <si>
    <t>Budowa wiat przystankowych na terenie miasta Krakowa</t>
  </si>
  <si>
    <t>ZDMK/T1.53/21</t>
  </si>
  <si>
    <t>Rozbudowa ul. Gaik</t>
  </si>
  <si>
    <t>ZDMK/T1.61/21</t>
  </si>
  <si>
    <t xml:space="preserve">Przebudowa i rozbudowa ul. Łagiewnickiej </t>
  </si>
  <si>
    <t>ZDMK/T1.66/21</t>
  </si>
  <si>
    <t>Budowa ul. Nowa Bartla od ul. Zawiłej do ronda zlokalizowanego za pętlą autobusową Kliny - Zacisze</t>
  </si>
  <si>
    <t>ZDMK/T1.68/21</t>
  </si>
  <si>
    <t>ZDMK/T1.69/21</t>
  </si>
  <si>
    <t>Doświetlenie ul. Stepowej od ul. Wyrwa do  ul. Siarczanogórskiej</t>
  </si>
  <si>
    <t>ZDMK/T1.77/22</t>
  </si>
  <si>
    <t>Przebudowa ul. Podgórki od ul. Soboniowickiej do ul. Wyrwy</t>
  </si>
  <si>
    <t>ZDMK/T1.87/22</t>
  </si>
  <si>
    <t>Przebudowa ul. Kolistej od ul. Lubostroń do ul. Zamiejskiej</t>
  </si>
  <si>
    <t>ZDMK/T1.88/22</t>
  </si>
  <si>
    <t xml:space="preserve">Budowa i modernizacja oświetlenia na terenie Dzielnicy VIII Dębniki </t>
  </si>
  <si>
    <t>Integracja autobusu MPK z przystankiem SKA Kraków Opatkowice</t>
  </si>
  <si>
    <t>ZIM/T1.90/22</t>
  </si>
  <si>
    <t>ZDMK/T1.96/15</t>
  </si>
  <si>
    <t>Budowa ścieżki rowerowej na odcinkach: od Klasztoru Sióstr Norbertanek do istniejącego odcinka ścieżki przy Moście Zwierzynieckim, od ul. Wioślarskiej do ul. Jodłowej oraz od ul. Mirowskiej do granicy miasta Krakowa (ZIT)</t>
  </si>
  <si>
    <t>ZDMK/T1.97/16</t>
  </si>
  <si>
    <t>Budowa ścieżki rowerowej od ul. Powstańców wzdłuż ulic Strzelców i Lublańskiej do estakady wraz z dostosowaniem tunelu łączącego ulice Brogi - Rakowicka do ruchu rowerowego w Krakowie (ZIT)</t>
  </si>
  <si>
    <t>ZDMK/T1.103/22</t>
  </si>
  <si>
    <t>Budowa ciągu pieszo-jezdnego od ul. Szymona Szymonowica 9-11</t>
  </si>
  <si>
    <t>ZDMK/T1.104/22</t>
  </si>
  <si>
    <t>Przebudowa ul. Pankiewicza wraz z odwodnieniem na odcinku od istniejącego rowu do granicy Miasta</t>
  </si>
  <si>
    <t>ZIM/T1.107/08</t>
  </si>
  <si>
    <t>Budowa kładki pieszo-rowerowej "Kazimierz - Ludwinów"</t>
  </si>
  <si>
    <t>ZZM/T1.109/22</t>
  </si>
  <si>
    <t>Budowa dróg rowerowych o nawierzchni bitumicznej na wałach przeciwpowodziowych rzeki Wisły na odcinku od ul. Na Zakolu Wisły do granicy administracyjnej Gminy Miejskiej Kraków z Gminą Wieliczka</t>
  </si>
  <si>
    <t xml:space="preserve">środki własne Miasta  </t>
  </si>
  <si>
    <t>ZZM</t>
  </si>
  <si>
    <t>ZDMK/T1.111/22</t>
  </si>
  <si>
    <t>ZDMK/T1.117/15</t>
  </si>
  <si>
    <t>Budowa dojazdu do Szkoły Podstawowej z Oddziałami Integracyjnymi nr 148 przy ul. Żabiej</t>
  </si>
  <si>
    <t>ZIM/T1.123/15</t>
  </si>
  <si>
    <t>Budowa ul. 8 Pułku Ułanów</t>
  </si>
  <si>
    <t>ZDMK/T1.125/16</t>
  </si>
  <si>
    <t>Przebudowa ul. Glinik</t>
  </si>
  <si>
    <t>ZDMK/T1.132/15</t>
  </si>
  <si>
    <t>Rozbudowa ul. Wrobela</t>
  </si>
  <si>
    <t>ZDMK/T1.140/16</t>
  </si>
  <si>
    <t>Rozwój Systemu Informacji dla podróżujących na obszarze Krakowskiego Obszaru Funkcjonalnego (ZIT)</t>
  </si>
  <si>
    <t>ZDMK/T1.166/16</t>
  </si>
  <si>
    <t>Rozbudowa ul. Fortecznej na odcinku pomiędzy ul. Zakopiańską a ul. Zawiszy</t>
  </si>
  <si>
    <t>ZDMK/T1.168/16</t>
  </si>
  <si>
    <t>Rozbudowa ul. Ważewskiego - etap I wraz z rozbudową ul. Zakarczmie - etap I</t>
  </si>
  <si>
    <t>ZDMK/T1.169/16</t>
  </si>
  <si>
    <t>Rozbudowa ul. Stelmachów i ul. Piaskowej</t>
  </si>
  <si>
    <t>ZDMK/T1.178/17</t>
  </si>
  <si>
    <t>Przebudowa mostu nad potokiem Bibiczanka w ciągu ul. Siewnej</t>
  </si>
  <si>
    <t>ZDMK/T1.187/17</t>
  </si>
  <si>
    <t>Rozbudowa ul.Tynieckiej</t>
  </si>
  <si>
    <t>ZIM/T1.188/17</t>
  </si>
  <si>
    <t>Budowa układu komunikacyjnego dla obsługi Szpitala Uniwersyteckiego w Prokocimiu</t>
  </si>
  <si>
    <t>ZDMK/T1.189/17</t>
  </si>
  <si>
    <t>Uruchomienie autobusowej komunikacji miejskiej do Bodzowa - dostosowanie ul. Widłakowej</t>
  </si>
  <si>
    <t>ZDMK/T1.200/17</t>
  </si>
  <si>
    <t>Modernizacja ul. Niewodniczańskiego</t>
  </si>
  <si>
    <t>ZDMK/T1.213/17</t>
  </si>
  <si>
    <t>Program budowy chodników</t>
  </si>
  <si>
    <t>ZDMK/T1.254/19</t>
  </si>
  <si>
    <t>Budowa drogi równoległej do ul. Turowicza na odcinku od ul. gen. Bolesława Roi do wiaduktu w kierunku Centrum Handlowego</t>
  </si>
  <si>
    <t>ZDMK/T1.257/19</t>
  </si>
  <si>
    <t>Przebudowa ul. Kuźnicy Kołłątajowskiej w okolicy bloku nr 2</t>
  </si>
  <si>
    <t>ZDMK/T1.259/19</t>
  </si>
  <si>
    <t>Budowa lewoskrętu z ul. Żmujdzkiej w al. 29 Listopada</t>
  </si>
  <si>
    <t>ZDMK/T1.260/19</t>
  </si>
  <si>
    <t>Budowa drogi łączącej ul. Stella-Sawickiego z planowanym Małopolskim Centrum Nauki przy al. Bora Komorowskiego</t>
  </si>
  <si>
    <t>ZDMK/T1.262/19</t>
  </si>
  <si>
    <t>Układ drogowy w rejonie ul. Wita Stwosza - ul. Bosackiej</t>
  </si>
  <si>
    <t>ZDMK/T1.271/20</t>
  </si>
  <si>
    <t>Przebudowa ul. Siennej</t>
  </si>
  <si>
    <t>ZDMK/T1.277/20</t>
  </si>
  <si>
    <t>Chodnik przy ul. Kwartowej</t>
  </si>
  <si>
    <t>budżet obywatelski dzielnic - edycja VI</t>
  </si>
  <si>
    <t>ZDMK/T1.279/20</t>
  </si>
  <si>
    <t>Łączymy dzielnice – budowa podestu wzdłuż ul. Na Błonie</t>
  </si>
  <si>
    <t>ZDMK/T1.282/20</t>
  </si>
  <si>
    <t>Bezpieczniej wzdłuż ul. Sołtysowskiej</t>
  </si>
  <si>
    <t>ZIM/T1.288/20</t>
  </si>
  <si>
    <t xml:space="preserve">Budowa kładki pieszo-rowerowej Grzegórzki - Zabłocie </t>
  </si>
  <si>
    <t>ZDMK/T1.289/20</t>
  </si>
  <si>
    <t>Program budowy ścieżek rowerowych</t>
  </si>
  <si>
    <t>ZDMK/T1.291/20</t>
  </si>
  <si>
    <t xml:space="preserve">Układ drogowy Kraków Nowa Huta Przyszłości </t>
  </si>
  <si>
    <t>ZDMK/T1.293/20</t>
  </si>
  <si>
    <t>Budowa tunelowego przejścia pieszo-rowerowego pod linią 100 (Mała obwodnica kolejowa) łączącego ul. Lotniczą z ul. Raciborskiego</t>
  </si>
  <si>
    <t>ZDMK/T1.295/20</t>
  </si>
  <si>
    <t>Ul. Smolarzy - odtworzenie fragmentu drogi</t>
  </si>
  <si>
    <t>ZDMK/T1.297/20</t>
  </si>
  <si>
    <t>Przebudowa ul. Niepokalanej Panny Marii</t>
  </si>
  <si>
    <t>ZDMK/T1.304/20</t>
  </si>
  <si>
    <t>Przebudowa ul. Starowolskiej</t>
  </si>
  <si>
    <t>ZDMK/T1.309/21</t>
  </si>
  <si>
    <t>Rozbudowa ul. Słońskiego do ul. Ćwikłowej</t>
  </si>
  <si>
    <t>ZDMK/T1.311/20</t>
  </si>
  <si>
    <t>Rozbudowa ul. Rucianej</t>
  </si>
  <si>
    <t>ZDMK/T1.315/20</t>
  </si>
  <si>
    <t>Budowa ścieżki rowerowej wzdłuż al. 29 Listopada od ul. Żelaznej do ul. Woronicza w Krakowie - etap II strona wschodnia</t>
  </si>
  <si>
    <t>ZDMK/T1.316/21</t>
  </si>
  <si>
    <t>Rozbudowa ul. Agatowej</t>
  </si>
  <si>
    <t>ZDMK/T1.317/20</t>
  </si>
  <si>
    <t>Program budowy miejsc postojowych</t>
  </si>
  <si>
    <t>ZDMK/T1.319/21</t>
  </si>
  <si>
    <t>Rozbudowa odcinka ulicy Bochenka od ul. Podedworze do ul. Szpakowej wraz z wybudowaniem chodnika dla mieszkańców oraz zatoczek parkingowych</t>
  </si>
  <si>
    <t>ZDMK/T1.322/21</t>
  </si>
  <si>
    <t>Budowa fragmentu chodnika przy ul. Mistrzejowickiej 51 po stronie ogródków działkowych i utworzenie przejścia dla pieszych</t>
  </si>
  <si>
    <t>ZDMK/T1.324/21</t>
  </si>
  <si>
    <t>Modernizacja ronda ul. Ćwiklińskiej ul. Aleksandry</t>
  </si>
  <si>
    <t>ZDMK/T1.326/21</t>
  </si>
  <si>
    <t xml:space="preserve">Budowa drogi KDX.1 (ul. Orawska - ul. Długosza w Krakowie) </t>
  </si>
  <si>
    <t>ZDMK/T1.328/21</t>
  </si>
  <si>
    <t>Rozbudowa ul. Dąbskiej</t>
  </si>
  <si>
    <t>ZDMK/T1.330/21</t>
  </si>
  <si>
    <t>Modernizacja ul. Irzykowskiego</t>
  </si>
  <si>
    <t>ZDMK/T1.333/21</t>
  </si>
  <si>
    <t>Przebudowa ul. Chałubińskiego</t>
  </si>
  <si>
    <t>ZDMK/T1.1z/22</t>
  </si>
  <si>
    <t>GOSPODARKA KOMUNALNA</t>
  </si>
  <si>
    <t xml:space="preserve"> Program cmentarnictwa</t>
  </si>
  <si>
    <t>ZCK</t>
  </si>
  <si>
    <t>ZCK/U1.6/20</t>
  </si>
  <si>
    <t>Rozbudowa cmentarza Prądnik Czerwony - Batowice II</t>
  </si>
  <si>
    <t>Pozostałe zadania inwestycyjne</t>
  </si>
  <si>
    <t>KD/H1.3/22</t>
  </si>
  <si>
    <t>Smoczy szlak na wzór wrocławskich krasnali - smok co krok</t>
  </si>
  <si>
    <t>KD/H1.4/22</t>
  </si>
  <si>
    <t>Wrocław ma krasnale, a krakowskie Stare Miasto… Smoki</t>
  </si>
  <si>
    <t>ZDMK/H1.5/22</t>
  </si>
  <si>
    <t>ZDMK/H1.6/22</t>
  </si>
  <si>
    <t>ZDMK/H1.7/22</t>
  </si>
  <si>
    <t>Smoczy szlak na wzór wrocławskich krasnali-smok co krok</t>
  </si>
  <si>
    <t>KD/H1.11/22</t>
  </si>
  <si>
    <t xml:space="preserve">OCHRONA I KSZTAŁTOWANIE ŚRODOWISKA </t>
  </si>
  <si>
    <t>Program ochrony i kształtowania zieleni miejskiej</t>
  </si>
  <si>
    <t>KEGW</t>
  </si>
  <si>
    <t>JP</t>
  </si>
  <si>
    <t>KEGW/O1.6/22</t>
  </si>
  <si>
    <t>Modernizacja toalet miejskich w wybranych lokalizacjach na terenie miasta Krakowa</t>
  </si>
  <si>
    <t>KEGW/O1.11/20</t>
  </si>
  <si>
    <t>Adaptacja obiektów i urządzeń miejskich do zmian klimatycznych</t>
  </si>
  <si>
    <t>ZZM/O1.17/21</t>
  </si>
  <si>
    <t>Modernizacja Plant krakowskich</t>
  </si>
  <si>
    <t>JP/O1.18/22</t>
  </si>
  <si>
    <t xml:space="preserve">Realizacja przedsięwzięć niskoemisyjnych w ramach programu STOP SMOG na obszarze Gminy Miejskiej Kraków </t>
  </si>
  <si>
    <t>środki własne Miasta</t>
  </si>
  <si>
    <t>CM</t>
  </si>
  <si>
    <t>ZZM/O1.36/20</t>
  </si>
  <si>
    <t>Program budowy wybiegów dla psów</t>
  </si>
  <si>
    <t>ZIM/O1.38/17</t>
  </si>
  <si>
    <t>Przebudowa schroniska dla bezdomnych zwierząt, ul. Rybna 3</t>
  </si>
  <si>
    <t>ZZM/O1.39/15</t>
  </si>
  <si>
    <t>Park Zakrzówek</t>
  </si>
  <si>
    <t>ZZM/O1.50/14</t>
  </si>
  <si>
    <t>Rewaloryzacja Parku Bednarskiego i Wzgórza Lasoty</t>
  </si>
  <si>
    <t>ZZM/O1.57/22</t>
  </si>
  <si>
    <t>ZZM/O1.70/22</t>
  </si>
  <si>
    <t>Naprawmy alejki parkowe w Parku Kleparskim</t>
  </si>
  <si>
    <t>ZZM/O1.82/22</t>
  </si>
  <si>
    <t>Kraków Olsza Park nad Białuchą</t>
  </si>
  <si>
    <t>ZZM/O1.96/22</t>
  </si>
  <si>
    <t>Podniebny plac młodzieży na boisku - Fabryczna/Grzegórzecka</t>
  </si>
  <si>
    <t>ZZM/O1.110/17</t>
  </si>
  <si>
    <t xml:space="preserve">Zagospodarowanie parku rzecznego "Ogród Płaszów” - etap II i III </t>
  </si>
  <si>
    <t>ZZM/O1.130/22</t>
  </si>
  <si>
    <t>Zróbmy park na Olszy!</t>
  </si>
  <si>
    <t>ZZM/O1.133/22</t>
  </si>
  <si>
    <t>Rewitalizacja Parku Wyspiańskiego</t>
  </si>
  <si>
    <t>ZZM/O1.135/22</t>
  </si>
  <si>
    <t>Zielona Krowodrza - parki i ogrody sąsiedzkie</t>
  </si>
  <si>
    <t>ZZM/O1.136/22</t>
  </si>
  <si>
    <t>Uporządkujmy teren wokół rogatki obok Parku przy Łokietka</t>
  </si>
  <si>
    <t>ZZM/O1.137/22</t>
  </si>
  <si>
    <t>Łączymy bronowickie parki</t>
  </si>
  <si>
    <t>ZZM/O1.143/22</t>
  </si>
  <si>
    <t>ZZM/O1.150/22</t>
  </si>
  <si>
    <t>Zróbmy sobie park - etap II</t>
  </si>
  <si>
    <t>ZZM/O1.151/22</t>
  </si>
  <si>
    <t>Park kieszonkowy na Osiedlu Złocień</t>
  </si>
  <si>
    <t>ZZM/O1.152/22</t>
  </si>
  <si>
    <t>Zielony Skwer "Ptasi Zagajnik" przy ul. Myśliwskiej</t>
  </si>
  <si>
    <t>ZZM/O1.154/22</t>
  </si>
  <si>
    <t>Saski park kieszonkowy</t>
  </si>
  <si>
    <t>ZZM/O1.156/22</t>
  </si>
  <si>
    <t>Plac zabaw i siłownia na świeżym powietrzu - Ścieżka zdrowia</t>
  </si>
  <si>
    <t>ZZM/O1.160/22</t>
  </si>
  <si>
    <t>Nasz Park nasza EkoSfera-Park kieszonkowy os. Piastów</t>
  </si>
  <si>
    <t>ZZM/O1.161/22</t>
  </si>
  <si>
    <t>Bieńczycka fontanna - co to za Planty, bez żadnej fontanny?</t>
  </si>
  <si>
    <t>ZZM/O1.162/22</t>
  </si>
  <si>
    <t xml:space="preserve">Cała naprzód- plac zabaw dla odważnych </t>
  </si>
  <si>
    <t>ZZM/O1.168/22</t>
  </si>
  <si>
    <t>ZZM/O1.176/19</t>
  </si>
  <si>
    <t>Rewitalizacja Bulwarów Wiślanych Wisła łączy</t>
  </si>
  <si>
    <t>ZZM/O1.177/22</t>
  </si>
  <si>
    <t>Park Kolejowy</t>
  </si>
  <si>
    <t>ZZM/O1.190/19</t>
  </si>
  <si>
    <t>Rewitalizacja Kamieniołomu Libana</t>
  </si>
  <si>
    <t>ZZM/O1.196/20</t>
  </si>
  <si>
    <t>Park przy Karmelickiej</t>
  </si>
  <si>
    <t>budżet obywatelski ogólnomiejski - edycja VI</t>
  </si>
  <si>
    <t>ZZM/O1.199/20</t>
  </si>
  <si>
    <t>Jasne, że Bulwary! – piękne i bezpieczne Bulwary nad Wisłą</t>
  </si>
  <si>
    <t>ZZM/O1.201/20</t>
  </si>
  <si>
    <t>Aleja Róż na nowo</t>
  </si>
  <si>
    <t>ZIM/O1.245/20</t>
  </si>
  <si>
    <t>Budowa wybiegu dla szympansów i makaków japońskich</t>
  </si>
  <si>
    <t>ZBK/O1.254/21</t>
  </si>
  <si>
    <t>System energii odnawialnej do celów ogrzewania budynków mieszkalnych i wytwarzania energii</t>
  </si>
  <si>
    <t>ZZM/O1.280/22</t>
  </si>
  <si>
    <t>Centrum spotkań edukacyjno-ekologicznych w Węgrzynowicach</t>
  </si>
  <si>
    <t>Program ochrony przeciwpowodziowej</t>
  </si>
  <si>
    <t>KEGW/O2.3/22</t>
  </si>
  <si>
    <t>Budowa zbiornika retencyjnego w os. Grębałów, w rejonie ul. Folwarcznej na działce gminnej nr 320/2 obr 11 Nowa Huta</t>
  </si>
  <si>
    <t>KEGW/O2.13/20</t>
  </si>
  <si>
    <t>Wykonanie rowów odwadniających i kolektorów zgodnie z koncepcją odwodnienia obszaru Luboczy</t>
  </si>
  <si>
    <t>KEGW/O2.15/20</t>
  </si>
  <si>
    <t>Budowa przepompowni "Kabel"</t>
  </si>
  <si>
    <t>KEGW/O2.18/20</t>
  </si>
  <si>
    <t xml:space="preserve">Budowa urządzeń podczyszczających na wylotach kanalizacji opadowej </t>
  </si>
  <si>
    <t>MIESZKALNICTWO</t>
  </si>
  <si>
    <t>Program pozyskiwania mieszkań</t>
  </si>
  <si>
    <t>OŚWIATA I WYCHOWANIE</t>
  </si>
  <si>
    <t>MCOO/E1.2/21</t>
  </si>
  <si>
    <t xml:space="preserve">Termomodernizacja budynków oświatowych Gminy Miejskiej Kraków-II </t>
  </si>
  <si>
    <t>MCOO</t>
  </si>
  <si>
    <t>MCOO/E1.12/19</t>
  </si>
  <si>
    <t>Rozbudowa Szkoły Podstawowej nr 72, al. Modrzewiowa 23</t>
  </si>
  <si>
    <t>MCOO/E1.34/21</t>
  </si>
  <si>
    <t xml:space="preserve">Adaptacja budynku na os. Willowym 35 na potrzeby poradni </t>
  </si>
  <si>
    <t>EK/E1.37/20</t>
  </si>
  <si>
    <t>Zintegrowany System Zarządzania Oświatą 2.0</t>
  </si>
  <si>
    <t>EK</t>
  </si>
  <si>
    <t>MCOO/E1.79/21</t>
  </si>
  <si>
    <t>Rozbudowa i przebudowa Szkoły Podstawowej nr 54 wraz z budynkiem Samorządowego Przedszkola nr 133 przy ul. Tynieckiej 122</t>
  </si>
  <si>
    <t>ZIS/E1.114/18</t>
  </si>
  <si>
    <t>Budowa sali gimnastycznej przy SP nr 26, ul. Krasickiego 34</t>
  </si>
  <si>
    <t>ZIS</t>
  </si>
  <si>
    <t>MCOO/E1.119/19</t>
  </si>
  <si>
    <t>Budowa szkoły podstawowej na os. Złocień</t>
  </si>
  <si>
    <t>MCOO/E1.136/19</t>
  </si>
  <si>
    <t>Rozbudowa Szkoły Podstawowej nr 67 przy ul. Kaczorówka 4</t>
  </si>
  <si>
    <t>MCOO/E1.141/19</t>
  </si>
  <si>
    <t xml:space="preserve">Przebudowa Samorządowego Przedszkola nr 38, ul. Jabłonkowska 39 </t>
  </si>
  <si>
    <t>MCOO/E1.154/20</t>
  </si>
  <si>
    <t>Rozbudowa Zespołu Szkolno-Przedszkolnego nr 15, ul. Grochowa 23</t>
  </si>
  <si>
    <t>ZIS/S1.19/22</t>
  </si>
  <si>
    <t>Zespół Szkół Specjalnych Nr 11, al. Dygasińskiego 25 - budowa sali rehabilitacyjno-sportowej</t>
  </si>
  <si>
    <t>ZIS/S1.26/22</t>
  </si>
  <si>
    <t>Szkoła Podstawowa Nr 27, ul. Podedworze 16 - budowa sali gimnastycznej</t>
  </si>
  <si>
    <t>SPORT I REKREACJA</t>
  </si>
  <si>
    <t xml:space="preserve">Budowa i przebudowa  obiektów sportowych i rekreacyjnych </t>
  </si>
  <si>
    <t xml:space="preserve"> ZIS/S1.31/22</t>
  </si>
  <si>
    <t>Budowa boiska do koszykówki 3x3 Hala Cracovia Centrum Sportu Niepełnosprawnych</t>
  </si>
  <si>
    <t xml:space="preserve">ZIS/S1.38/22       </t>
  </si>
  <si>
    <t>Przygotowanie inwestycji sportowych na terenie GMK</t>
  </si>
  <si>
    <t>ZIS/S1.40/22</t>
  </si>
  <si>
    <t>Modernizacja Stadionu Miejskiego im. Henryka Reymana</t>
  </si>
  <si>
    <t>ZIS/S1.59/22</t>
  </si>
  <si>
    <t>ZIS/S1.116/20</t>
  </si>
  <si>
    <t>Budowa hali sportowej przy IX LO, ul. Czapińskiego 5</t>
  </si>
  <si>
    <t>ZIS/S1.117/20</t>
  </si>
  <si>
    <t>Budowa krytej pływalni przy SP z Oddziałami Integracyjnymi nr 144, os. Bohaterów Września 13</t>
  </si>
  <si>
    <t>ZIS/S1.121/20</t>
  </si>
  <si>
    <t>Budowa boiska sportowego na terenie os. Mogiła wraz ze świetlicą środowiskową</t>
  </si>
  <si>
    <t>ZIS/S1.139/20</t>
  </si>
  <si>
    <t xml:space="preserve">Budowa hali gimnastycznej przy Szkole Podstawowej nr 89 os. Piastów 34a </t>
  </si>
  <si>
    <t>ZIS/S1.143/20</t>
  </si>
  <si>
    <t xml:space="preserve">Budowa hali widowiskowo – sportowej  dostosowanej do potrzeb osób niepełnosprawnych na terenie XXX Liceum Ogólnokształcącego w Krakowie </t>
  </si>
  <si>
    <t>ZIS/S1.146/20</t>
  </si>
  <si>
    <t>Budowa hali sportowej przy VIII LO, ul. Grzegórzecka 24</t>
  </si>
  <si>
    <t xml:space="preserve">KULTURA I OCHRONA DZIEDZICTWA </t>
  </si>
  <si>
    <t>Rewaloryzacja i renowacja obiektów zabytkowych</t>
  </si>
  <si>
    <t>KD/K1.2/22</t>
  </si>
  <si>
    <t>Przebudowa i zmiana sposobu użytkowania części piwnic w budynku Teatru "Bagatela" na funkcję sali teatralnej oraz kawiarni dla publiczności</t>
  </si>
  <si>
    <t>KD/K1.3/20</t>
  </si>
  <si>
    <t>Dostosowanie restaurowanego starego Fortu austriackiego 52a "Łapianka" oraz przestrzeni w nowym budynku dla potrzeb wystawienniczych dla Muzeum Ruchu Harcerskiego - Oddziału Muzeum Krakowa</t>
  </si>
  <si>
    <t>ZBK/K1.6/21</t>
  </si>
  <si>
    <t xml:space="preserve">Zabezpieczenie konserwatorskie i modernizacja celem zapewnienia bezpieczeństwa użytkowania - Fort Nr 48a "Mistrzejowice" </t>
  </si>
  <si>
    <t>ZBK/K1.9/22</t>
  </si>
  <si>
    <t xml:space="preserve">Rewitalizacja i modernizacja Fortu nr 31 św. Benedykta w celu przystosowania do nowych funkcji  </t>
  </si>
  <si>
    <t>ZBK/K1.27/20</t>
  </si>
  <si>
    <t>Rekultywacja i zagospodarowanie terenów po zniszczonych elementach Fortu Nr 2 "Kościuszko"</t>
  </si>
  <si>
    <t>KD/K1.28/21</t>
  </si>
  <si>
    <t>Modernizacja Kossakówki </t>
  </si>
  <si>
    <t>ZIM/K2.21/16</t>
  </si>
  <si>
    <t>Budowa Ośrodka Ruczaj filii Centrum Kultury Podgórza w Krakowie</t>
  </si>
  <si>
    <t>CM/K2.22/22</t>
  </si>
  <si>
    <t>Modernizacja Kapliczki Matki Boskiej przy ul. Krupniczej</t>
  </si>
  <si>
    <t>ZIM/K2.26/16</t>
  </si>
  <si>
    <t xml:space="preserve">Budowa Domu Kultury przy ul. Koszykarskiej </t>
  </si>
  <si>
    <t>KD/K2.37/17</t>
  </si>
  <si>
    <t>Muzeum Miejsce Pamięci "KL Plaszow"</t>
  </si>
  <si>
    <t>KD/K2.76/19</t>
  </si>
  <si>
    <t>Modernizacja budynku Teatru Ludowego wraz z budową niezbędnej infrastruktury do prowadzenia działań kulturalnych oraz zagospodarowanie przestrzeni</t>
  </si>
  <si>
    <t>KD/K2.80/19</t>
  </si>
  <si>
    <t>Modernizacja Galerii Sztuki Współczesnej Bunkier Sztuki</t>
  </si>
  <si>
    <t>ADMINISTRACJA I FINANSE - ZARZĄDZANIE MIASTEM</t>
  </si>
  <si>
    <t>Modernizacja budynków  oraz rozbudowa 
i unowocześnianie infrastruktury informatycznej</t>
  </si>
  <si>
    <t>IT/A1.1/99</t>
  </si>
  <si>
    <t>System informatyczny UMK</t>
  </si>
  <si>
    <t>IT</t>
  </si>
  <si>
    <t>GD</t>
  </si>
  <si>
    <t>GD/A1.7/22</t>
  </si>
  <si>
    <t>Rozwój i konsolidacja Miejskiego Systemu Informacji Przestrzennej wraz z modułem 3D</t>
  </si>
  <si>
    <t>ZIM/A1.9/07</t>
  </si>
  <si>
    <t>Budowa Archiwum Miejskiego przy ul. Na Załęczu 2</t>
  </si>
  <si>
    <t>ZBK/A1.31/18</t>
  </si>
  <si>
    <t>Rewitalizacja przestrzeni (podwórza) położonej pomiędzy budynkami przy ul. Józefińskiej 24, 24a i 30 oraz ul. Limanowskiego 13 i 15</t>
  </si>
  <si>
    <t>PLANOWANIE PRZESTRZENNE I ARCHITEKTURA - GOSPODAROWANIE MIENIEM MIASTA</t>
  </si>
  <si>
    <t>GS/A2.1/07</t>
  </si>
  <si>
    <t>Regulacja stanów prawnych i pozyskiwanie nieruchomości do zasobu Miasta</t>
  </si>
  <si>
    <t>GS/A2.2/09</t>
  </si>
  <si>
    <t>Wypłata odszkodowań z tytułu inwestycji drogowych</t>
  </si>
  <si>
    <t>GS/A2.3/10</t>
  </si>
  <si>
    <t>Realizacja roszczeń odszkodowawczych</t>
  </si>
  <si>
    <t>GS/A2.4/19</t>
  </si>
  <si>
    <t>Pozyskanie terenu Szpitala Uniwersyteckiego w rejonie ul. Kopernika (obszar Wesoła)</t>
  </si>
  <si>
    <t>GS/A2.6/21</t>
  </si>
  <si>
    <t>Wypłata odszkodowań z tytułu inwestycji kolejowych</t>
  </si>
  <si>
    <t>Razem wydatki na inwestycje ogólnomiejskie, w tym:</t>
  </si>
  <si>
    <t>WYDATKI BUDŻETU MIASTA ZWIĄZANE Z  PROGRAMAMI INWESTYCYJNYMI</t>
  </si>
  <si>
    <t>w zł</t>
  </si>
  <si>
    <t>DPS-PR/W1.5/22</t>
  </si>
  <si>
    <t>DPS-PR</t>
  </si>
  <si>
    <t>Przebudowa budynku przy ul. Praskiej 66 z przeznaczeniem na realizację zadań pomocy społecznej - Centrum Usług Społecznych</t>
  </si>
  <si>
    <t>GK/ST7.11/17</t>
  </si>
  <si>
    <t>Budowa nowego przebiegu drogi wojewódzkiej nr 774</t>
  </si>
  <si>
    <t>ZIM/ST2.1/22</t>
  </si>
  <si>
    <t>Budowa Trasy Ciepłowniczej</t>
  </si>
  <si>
    <t>ZIM/ST2.2/22</t>
  </si>
  <si>
    <t>Budowa Trasy Nowobagrowej</t>
  </si>
  <si>
    <t>ZIM/T1.2/22</t>
  </si>
  <si>
    <t>ZDMK/T1.60/22</t>
  </si>
  <si>
    <t>Przebudowa Placu Nowego</t>
  </si>
  <si>
    <t>Oświetlenie ul. Wyrwa od ul. Podgórki do Stepowej</t>
  </si>
  <si>
    <t>ZIM/T1.111/22</t>
  </si>
  <si>
    <t>ZDMK/T1.124/22</t>
  </si>
  <si>
    <t>Przebudowa ul. Żaglowej - bocznej</t>
  </si>
  <si>
    <t>ZZM/T1.129/23</t>
  </si>
  <si>
    <t>ZCK/U1.5/22</t>
  </si>
  <si>
    <t>Modernizacja infrastruktury na cmentarzu Maki Czerwone</t>
  </si>
  <si>
    <t>ZZM/O1.128/18</t>
  </si>
  <si>
    <t xml:space="preserve">Zaciągnij się po TĘŻNIE - SOLANKOWE orzeźwienie dla Krakowa </t>
  </si>
  <si>
    <t>ZZM/O1.242/20</t>
  </si>
  <si>
    <t>Park Rzeczny Tetmajera</t>
  </si>
  <si>
    <t>KEGW/O2.17/23</t>
  </si>
  <si>
    <t>Budowa kanału ulgi na Sudole Dominikańskim (pot. Rozrywka)</t>
  </si>
  <si>
    <t>KEGW/O2.27/23</t>
  </si>
  <si>
    <t>Opracowanie wariantowej koncepcji ochrony przeciwpowodziowej w zlewni Drwina Długa z uwzględnieniem odwodnienia terenu</t>
  </si>
  <si>
    <t>ZIS/S1.41/23</t>
  </si>
  <si>
    <t>Modernizacja boisk sportowych wraz z zapleczem szatniowo-technicznym na terenie WLKS Krakus - Swoszowice, przy ul. Moszyńskiego 9 w Krakowie</t>
  </si>
  <si>
    <t>ZIM/S1.61/22</t>
  </si>
  <si>
    <t>Budowa Młodzieżowego Ośrodka w Łuczanowicach</t>
  </si>
  <si>
    <t xml:space="preserve">Gospodarowanie mieniem Miasta - odszkodowania </t>
  </si>
  <si>
    <t>GS/ST6.5/20</t>
  </si>
  <si>
    <t>GS/ST6.6d/18</t>
  </si>
  <si>
    <t>budżet obywatelski ogólnomiejski - edycja IV</t>
  </si>
  <si>
    <t xml:space="preserve">Program modernizacji dróg i chodników </t>
  </si>
  <si>
    <t>ZBK/W4.1/14</t>
  </si>
  <si>
    <t>Likwidacja barier architektonicznych w budynkach komunalnych</t>
  </si>
  <si>
    <t>ZDMK/T1.31/22</t>
  </si>
  <si>
    <t>Oświetlmy najniebezpieczniejsze zakamarki w Bieńczycach</t>
  </si>
  <si>
    <t>ZDMK/T1.45/21</t>
  </si>
  <si>
    <t>Wyremontujmy chodniki na Zwierzyńcu!</t>
  </si>
  <si>
    <t>ZDMK/T1.65/21</t>
  </si>
  <si>
    <t>Poprawa komunikacji w ciągu ulicy Zawiłej poprzez przebudowę skrzyżowań na odcinku od Kobierzyńskiej do Żywieckiej</t>
  </si>
  <si>
    <t>ZDMK/T1.206/17</t>
  </si>
  <si>
    <t>Budowa chodnika jednostronnego wraz z odwodnieniem przy ul. Bogucianka od skrzyżowania ulic Benedyktyńska, Bolesława Śmiałego i Bogucianka po prawej stronie do skrzyżowania ul. Bogucianka z ul. Walgierza Wdałego</t>
  </si>
  <si>
    <t>JP/O1.4/19</t>
  </si>
  <si>
    <t>Program Współpracy Miasta Krakowa z Rodzinnymi Ogrodami Działkowymi</t>
  </si>
  <si>
    <t>JP/O1.191/20</t>
  </si>
  <si>
    <t>Program Rozwoju Odnawialnych Źródeł Energii na obszarze Gminy Miejskiej Kraków</t>
  </si>
  <si>
    <t>KEGW/O2.5/22</t>
  </si>
  <si>
    <t>Poprawa bezpieczeństwa powodziowego w zlewni rzeki Serafy na obszarze dzielnicy XII Bieżanów-Prokocim w Krakowie</t>
  </si>
  <si>
    <t>JP/O2.6/13</t>
  </si>
  <si>
    <t>Zadania związane z realizacją "Krakowskiego programu małej retencji wód opadowych"</t>
  </si>
  <si>
    <t>KEGW/O2.20/20</t>
  </si>
  <si>
    <t>Przebudowa rowu odwadniającego w rejonie ul. Widłakowej</t>
  </si>
  <si>
    <t>ZBK/M1.1/20</t>
  </si>
  <si>
    <t>Modernizacja budynków i lokali będących w zasobach ZBK</t>
  </si>
  <si>
    <t>MCOO/E1.146/20</t>
  </si>
  <si>
    <t>Rozbudowa Szkoły Podstawowej nr 62, ul. Ćwikłowa 1</t>
  </si>
  <si>
    <t>SP 62</t>
  </si>
  <si>
    <t>OR/A1.4/10</t>
  </si>
  <si>
    <t>Wdrożenie Systemu Elektronicznych Usług Publicznych w Urzędzie Miasta Krakowa i Miejskich Jednostkach Organizacyjnych Gminy Miejskiej Kraków</t>
  </si>
  <si>
    <t>OR</t>
  </si>
  <si>
    <t>budżet obywatelski dzielnic - edycja IX</t>
  </si>
  <si>
    <t>budżet obywatelski ogólnomiejski - edycja IX</t>
  </si>
  <si>
    <t>KMPSP</t>
  </si>
  <si>
    <t>OC</t>
  </si>
  <si>
    <t xml:space="preserve">Bezpieczny ratownik </t>
  </si>
  <si>
    <t>ZDMK/T1.336/23</t>
  </si>
  <si>
    <t>Kraków zrywa z betonem - II edycja</t>
  </si>
  <si>
    <t>ZDMK/T1.337/23</t>
  </si>
  <si>
    <t>ZDMK/T1.338/23</t>
  </si>
  <si>
    <t>ZDMK/T1.339/23</t>
  </si>
  <si>
    <t>ZDMK/T1.340/23</t>
  </si>
  <si>
    <t>ZDMK/T1.342/23</t>
  </si>
  <si>
    <t>ZDMK/T1.343/23</t>
  </si>
  <si>
    <t>ZDMK/T1.344/23</t>
  </si>
  <si>
    <t>ZDMK/T1.345/23</t>
  </si>
  <si>
    <t>ZDMK/T1.346/23</t>
  </si>
  <si>
    <t>ZDMK/T1.347/23</t>
  </si>
  <si>
    <t>Wykonanie chodnika przy ul. Lubockiej</t>
  </si>
  <si>
    <t>ZDMK/T1.348/23</t>
  </si>
  <si>
    <t>ZZM/O1.281/23</t>
  </si>
  <si>
    <t>ZZM/O1.282/23</t>
  </si>
  <si>
    <t>Zagospodarowanie Bagrów - kontynuacja</t>
  </si>
  <si>
    <t>ZZM/O1.283/23</t>
  </si>
  <si>
    <t>Park Białe Morza</t>
  </si>
  <si>
    <t>ZZM/O1.286/23</t>
  </si>
  <si>
    <t>ZZM/O1.287/23</t>
  </si>
  <si>
    <t>ZZM/O1.288/23</t>
  </si>
  <si>
    <t>49 ławek dla Dzielnicy II Grzegórzki</t>
  </si>
  <si>
    <t>ZZM/O1.290/23</t>
  </si>
  <si>
    <t>Zielona Wieczysta</t>
  </si>
  <si>
    <t>ZZM/O1.293/23</t>
  </si>
  <si>
    <t xml:space="preserve">Chabrowy Trakt aż do Opolskiej - Park Rzeczny Tonie </t>
  </si>
  <si>
    <t>ZZM/O1.294/23</t>
  </si>
  <si>
    <t xml:space="preserve">Rewitalizacja Parku Wyspiańskiego - etap II </t>
  </si>
  <si>
    <t>ZZM/O1.295/23</t>
  </si>
  <si>
    <t xml:space="preserve">Poidła parkowe w Parku Krowoderskim i Białoprądnickim </t>
  </si>
  <si>
    <t>ZZM/O1.297/23</t>
  </si>
  <si>
    <t>ZZM/O1.299/23</t>
  </si>
  <si>
    <t xml:space="preserve">Tradycyjny zielony ogród z retencją i udziałem mieszkańców  </t>
  </si>
  <si>
    <t>ZZM/O1.300/23</t>
  </si>
  <si>
    <t>ZZM/O1.301/23</t>
  </si>
  <si>
    <t>ZZM/O1.302/23</t>
  </si>
  <si>
    <t>Park przy Forcie w Bronowicach</t>
  </si>
  <si>
    <t>ZZM/O1.303/23</t>
  </si>
  <si>
    <t>ZZM/O1.304/23</t>
  </si>
  <si>
    <t>ZZM/O1.305/23</t>
  </si>
  <si>
    <t>ZZM/O1.306/23</t>
  </si>
  <si>
    <t xml:space="preserve">Park w Łagiewnikach - etap V </t>
  </si>
  <si>
    <t>ZZM/O1.307/23</t>
  </si>
  <si>
    <t xml:space="preserve">Park Miejski na Białych Morzach </t>
  </si>
  <si>
    <t>ZZM/O1.308/23</t>
  </si>
  <si>
    <t>ZZM/O1.309/23</t>
  </si>
  <si>
    <t xml:space="preserve">444 000 zł na Park Kurdwanowski </t>
  </si>
  <si>
    <t>ZZM/O1.310/23</t>
  </si>
  <si>
    <t>Park Tuchowski zamiast drogi</t>
  </si>
  <si>
    <t>ZZM/O1.311/23</t>
  </si>
  <si>
    <t>600 000zł na rewitalizację Parku Duchackiego</t>
  </si>
  <si>
    <t>ZZM/O1.312/23</t>
  </si>
  <si>
    <t>Ławki i kosze na śmieci w Dzielnicy XI</t>
  </si>
  <si>
    <t>ZZM/O1.313/23</t>
  </si>
  <si>
    <t xml:space="preserve">Doposaż Park </t>
  </si>
  <si>
    <t>ZZM/O1.314/23</t>
  </si>
  <si>
    <t>ZZM/O1.315/23</t>
  </si>
  <si>
    <t xml:space="preserve">Zalew Bagry - kontynuacja zagospodarowania </t>
  </si>
  <si>
    <t>ZZM/O1.317/23</t>
  </si>
  <si>
    <t xml:space="preserve">Podgórski Tajemniczy Ogród (Ogród Społeczny) </t>
  </si>
  <si>
    <t>ZZM/O1.319/23</t>
  </si>
  <si>
    <t>ZZM/O1.321/23</t>
  </si>
  <si>
    <t>Siłownia na Oświecenia - kontynuacja</t>
  </si>
  <si>
    <t>ZZM/O1.322/23</t>
  </si>
  <si>
    <t>Rozbujane Planty Bieńczyckie – Strefa relaksu i wypoczynku</t>
  </si>
  <si>
    <t>ZZM/O1.323/23</t>
  </si>
  <si>
    <t xml:space="preserve">Błonie 4.0 </t>
  </si>
  <si>
    <t>ZZM/O1.325/23</t>
  </si>
  <si>
    <t>ZZM/O1.326/23</t>
  </si>
  <si>
    <t>Przylasek Wyciąski - strefa relaksu</t>
  </si>
  <si>
    <t>ZZM/O1.327/23</t>
  </si>
  <si>
    <t>MCOO/E1.149/23</t>
  </si>
  <si>
    <t>MCOO/E1.150/23</t>
  </si>
  <si>
    <t>ZIS/S1.153/23</t>
  </si>
  <si>
    <t>Szkoła 142 - zmodernizujmy plac zabaw</t>
  </si>
  <si>
    <t>ZIS/S1.155/23</t>
  </si>
  <si>
    <t>ZIS/S1.156/23</t>
  </si>
  <si>
    <t>ZIS/S1.157/23</t>
  </si>
  <si>
    <t>ZIS/S1.160/23</t>
  </si>
  <si>
    <t>SP 21</t>
  </si>
  <si>
    <t>MCOO/E1.151/23</t>
  </si>
  <si>
    <t>KMPSP/B1.1z/23</t>
  </si>
  <si>
    <t>Zatrzymaj powódź - sprzęt przeciwpowodziowy dla Strażaków</t>
  </si>
  <si>
    <t>KMPSP/B1.2z/23</t>
  </si>
  <si>
    <t>KMPSP/B1.3z/23</t>
  </si>
  <si>
    <t xml:space="preserve">Nowoczesny sprzęt ratowniczy w służbie społeczeństw  </t>
  </si>
  <si>
    <t>KMPSP/B1.4z/23</t>
  </si>
  <si>
    <t>KMPSP/B1.5z/23</t>
  </si>
  <si>
    <t xml:space="preserve">Uczymy się pomagać od najmłodszych lat     </t>
  </si>
  <si>
    <t>OC/B1.6z/23</t>
  </si>
  <si>
    <t>OC/B1.7z/23</t>
  </si>
  <si>
    <t>Bezpieczni na straży Twojego bezpieczeństwa</t>
  </si>
  <si>
    <t>OC/B1.8z/23</t>
  </si>
  <si>
    <t xml:space="preserve">Strażacy ochotnicy dla naszej dzielnicy  </t>
  </si>
  <si>
    <t>ZDMK/T1.8/17</t>
  </si>
  <si>
    <t>Przebudowa ul. Maciejkowej</t>
  </si>
  <si>
    <t>ZDMK/T1.21/22</t>
  </si>
  <si>
    <t>Budowa naziemnych przejść dla pieszych pomiędzy przystankami "Wlotowa"</t>
  </si>
  <si>
    <t>ZDMK/T1.47/22</t>
  </si>
  <si>
    <t>ZDMK/T1.154/16</t>
  </si>
  <si>
    <t>Rozbudowa ul. Witkowickiej</t>
  </si>
  <si>
    <t>ZDMK/T1.155/16</t>
  </si>
  <si>
    <t>Rozbudowa ul. Chylińskiego</t>
  </si>
  <si>
    <t>ZDMK/T1.274/20</t>
  </si>
  <si>
    <t xml:space="preserve">Program budowy sygnalizacji świetlnych oraz doświetleń przejść dla pieszych oraz innych elementów bezpieczeństwa ruchu drogowego </t>
  </si>
  <si>
    <t>ZDMK/T1.302/21</t>
  </si>
  <si>
    <t>Program modernizacji dróg</t>
  </si>
  <si>
    <t>ZDMK/T1.329/21</t>
  </si>
  <si>
    <t>Przebudowa ul. Narciarskiej</t>
  </si>
  <si>
    <t xml:space="preserve">Ratujemy życie od najmłodszych lat   </t>
  </si>
  <si>
    <t xml:space="preserve">Ratujemy życie od najmłodszych lat </t>
  </si>
  <si>
    <t>ZDMK/T1.334/21</t>
  </si>
  <si>
    <t>Rozbudowa ul. Borowinowej</t>
  </si>
  <si>
    <t>Przebudowa układu drogowego w rejonie ul. Zygmunta Starego, ul. Na Błonie, ul. Filtrowej wraz ze skrzyżowaniami</t>
  </si>
  <si>
    <t>ZZM/H1.15/23</t>
  </si>
  <si>
    <t xml:space="preserve">Wrocław ma krasnale, a krakowski Zwierzyniec… smoki </t>
  </si>
  <si>
    <t>Owocowy sad w Łagiewnikach</t>
  </si>
  <si>
    <t>ZZM/O1.260/22</t>
  </si>
  <si>
    <t>Adaptacja Fortu Nr 50 Prokocim na potrzeby Muzeum Przyrodniczego w Krakowie i Centrum Badań Bioróżnorodności PAN</t>
  </si>
  <si>
    <t>Prawo do fikołków na bulwarach Zieleń Architektura do zabawy</t>
  </si>
  <si>
    <t>Kaczkomat</t>
  </si>
  <si>
    <t xml:space="preserve">Łączymy parki Bronowic 2.0 </t>
  </si>
  <si>
    <t>Budowa parku linowego i tras wspinaczkowych na Bielanach</t>
  </si>
  <si>
    <t xml:space="preserve">Parki kieszonkowe w Twojej okolicy </t>
  </si>
  <si>
    <t>Ścieżka Lubostroń</t>
  </si>
  <si>
    <t xml:space="preserve">Karuzela -duża w Parku Solvay </t>
  </si>
  <si>
    <t xml:space="preserve">Połączone parki </t>
  </si>
  <si>
    <t xml:space="preserve">Pumptrack - rowerowy plac zabaw - ścieżka zdrowia cd. </t>
  </si>
  <si>
    <t>Miasteczko ruchu drogowego w Branicach</t>
  </si>
  <si>
    <t xml:space="preserve">Doposażenie placu zabaw w Ruszczy </t>
  </si>
  <si>
    <t xml:space="preserve">ZZM/O1.330/23                </t>
  </si>
  <si>
    <t xml:space="preserve">Rolkowisko freestyle Płaszów </t>
  </si>
  <si>
    <t xml:space="preserve">ZZM/O1.331/23                </t>
  </si>
  <si>
    <t>Ścianka tenisowa w Czyżynach</t>
  </si>
  <si>
    <t xml:space="preserve">ZZM/O1.332/23                   </t>
  </si>
  <si>
    <t xml:space="preserve">Naprawmy alejki parkowe w Parku Kleparskim </t>
  </si>
  <si>
    <t xml:space="preserve">ZZM/O1.328/23                </t>
  </si>
  <si>
    <t>Ogrodowa Czytelnia na Litewskiej</t>
  </si>
  <si>
    <t xml:space="preserve">ZZM/O1.329/23                </t>
  </si>
  <si>
    <t>Przestrzeń dla młodzieży - boisko do koszykówki na Klinach</t>
  </si>
  <si>
    <t>ZZM/O1.74/23</t>
  </si>
  <si>
    <t xml:space="preserve">Mini parki dla mieszkańców </t>
  </si>
  <si>
    <t>ZZM/O2.28/23</t>
  </si>
  <si>
    <t xml:space="preserve">Stworzenie zielonych klas outdoorowych w ogrodzie SP 21 </t>
  </si>
  <si>
    <t>Przebudowa toru do kajakarstwa górskiego OSiR "Kolna"</t>
  </si>
  <si>
    <t xml:space="preserve">Siłownia zewnętrzna dla dzieci - II etap </t>
  </si>
  <si>
    <t>Rewaloryzacja unikatowego zespołu pałacowo-parkowego Willa Decjusza</t>
  </si>
  <si>
    <t>GD/A1.2/14</t>
  </si>
  <si>
    <t>Prowadzenie Powiatowego Zasobu Geodezyjnego i Kartograficznego oraz Miejskiego Systemu Informacji Przestrzennej</t>
  </si>
  <si>
    <t xml:space="preserve">Szybciej tramwajem </t>
  </si>
  <si>
    <t>Bezpieczne przejścia dla pieszych na terenie Dzielnicy VI</t>
  </si>
  <si>
    <t>Krowodrza zrywa z betonem</t>
  </si>
  <si>
    <t>Rondo Grunwaldzkie - Infobus - tablice z rozkładem jazdy</t>
  </si>
  <si>
    <t xml:space="preserve">Budowa ciągu pieszo - rowerowego wzdłuż ulicy Korpala od skrzyżowania z ul. Anny Szwed - Śniadowskiej do ul. Korpala 24.  </t>
  </si>
  <si>
    <t>Bezpieczne przejście z os. Kurdwanów Nowy na Piaski Nowe</t>
  </si>
  <si>
    <t xml:space="preserve">Zieleń na Plac Bohaterów Getta  </t>
  </si>
  <si>
    <t>Doświetlenie przejść dla pieszych</t>
  </si>
  <si>
    <t xml:space="preserve">Oświetlenie przejść dla pieszych w Bieńczycach kontynuacja </t>
  </si>
  <si>
    <t>Doświetlenie przejść dla pieszych przy ul. Architektów</t>
  </si>
  <si>
    <t>ZDMK/T1.349/23</t>
  </si>
  <si>
    <t>ZDMK/T1.130/23</t>
  </si>
  <si>
    <t>Odwodnienie Parku Maćka i Doroty</t>
  </si>
  <si>
    <t xml:space="preserve">Strefa FIT na Złotym Wieku </t>
  </si>
  <si>
    <t>Zielony kącik rekreacyjny na Sadzawki</t>
  </si>
  <si>
    <t>Otwarta pracownia ceramiczna w Przegorzałach</t>
  </si>
  <si>
    <t>Oko, ucho, ręka, nos - każdym zmysłem poczuj coś</t>
  </si>
  <si>
    <t>Oświetlenie Ogródka Jordanowskiego przy ul  Darwina w Luboczy</t>
  </si>
  <si>
    <t>Sportowy kompleks na oświecenia - kontynuacja</t>
  </si>
  <si>
    <t>Budowa i przebudowa placówek oświatowo - wychowawczych</t>
  </si>
  <si>
    <t>KD/K2.15/23</t>
  </si>
  <si>
    <t>Budowa ścieżki rowerowej wzdłuż rzeki Rudawy</t>
  </si>
  <si>
    <t>KD/K1.7/23</t>
  </si>
  <si>
    <t>Program budowy parkingów lokalnych w Krakowie</t>
  </si>
  <si>
    <t>ZSP 4</t>
  </si>
  <si>
    <t>SP 137</t>
  </si>
  <si>
    <t xml:space="preserve">Sortujmy na polu  </t>
  </si>
  <si>
    <t xml:space="preserve">Zazieleńmy II Dzielnicę </t>
  </si>
  <si>
    <t>Posadźmy drzewa na Rynku Głównym</t>
  </si>
  <si>
    <t>Budowa linii tramwajowej KST, etap III 
(os. Krowodrza Górka - Górka Narodowa) wraz z budową dwupoziomowego skrzyżowania  w ciągu ul. Opolskiej</t>
  </si>
  <si>
    <t>Budowa drogi dojazdowej z osiedla Kliny do stacji SKA w Opatkowicach</t>
  </si>
  <si>
    <t>Program modernizacji dróg i chodników</t>
  </si>
  <si>
    <t>Zakupy inwestycyjne ZDMK</t>
  </si>
  <si>
    <t>Ogród edukacyjny przy Młynówce Królewskiej – ostatni etap</t>
  </si>
  <si>
    <t>Budowa, przebudowa i rozbudowa dróg wraz z oświetleniem oraz budowa ścieżek rowerowych</t>
  </si>
  <si>
    <t xml:space="preserve">BEZPIECZEŃSTWO PUBLICZNE </t>
  </si>
  <si>
    <t>Numer 
zadania</t>
  </si>
  <si>
    <t xml:space="preserve">1. WYDATKI NA INWESTYCJE OGÓLNOMIEJSKIE </t>
  </si>
  <si>
    <t>MOPS/W1.57/20</t>
  </si>
  <si>
    <t>Przebudowa i rozbudowa obiektu przy al. Modrzewiowej 25 w Krakowie wraz z budową sieci kanalizacji opadowej</t>
  </si>
  <si>
    <t>ZDMK/ST5.1/04</t>
  </si>
  <si>
    <t>Rozbudowa ul. Igołomskiej w Krakowie</t>
  </si>
  <si>
    <t>ZIM/Z3.2/22</t>
  </si>
  <si>
    <t>Rozbudowa Samorządowego Żłobka nr 24, 
ul. Opolska 11</t>
  </si>
  <si>
    <t>ZIM/Z3.8/22</t>
  </si>
  <si>
    <t>Rozbudowa Samorządowego Żłobka nr 31, 
ul. Sanocka 2</t>
  </si>
  <si>
    <t>Budowa żłobka przy ul. Dekerta</t>
  </si>
  <si>
    <t>ZDMK/T1.60/21</t>
  </si>
  <si>
    <t>Wykonanie przejścia dla pieszych w rejonie skrzyżowania ul. Marycjusza z ul. Mistrzejowicką wraz z odcinkiem chodnika wzdłuż Mistrzejowickiej</t>
  </si>
  <si>
    <t>ZDMK/T1.67/21</t>
  </si>
  <si>
    <t>Przebudowa ul. Podgórki od Miarowej do Wyrwa  - koncepcja</t>
  </si>
  <si>
    <t>ZDMK/T1.73/22</t>
  </si>
  <si>
    <t>Oświetlenie ul. Nazaretańskiej</t>
  </si>
  <si>
    <t>ZDMK/T1.114/22</t>
  </si>
  <si>
    <t>Budowa oświetlenia przy ulicy Podgórki</t>
  </si>
  <si>
    <t>ZDMK/T1.116/22</t>
  </si>
  <si>
    <t>Budowa zatok parkingowych w os. 2 Pułku Lotniczego</t>
  </si>
  <si>
    <t>ZDMK/T1.131/23</t>
  </si>
  <si>
    <t xml:space="preserve">Rozbudowa ul. Lipskiej-bocznej </t>
  </si>
  <si>
    <t>ZDMK/T1.256/19</t>
  </si>
  <si>
    <t xml:space="preserve">Ul. Górnickiego - budowa chodnika </t>
  </si>
  <si>
    <t>ZDMK/T1.323/21</t>
  </si>
  <si>
    <t>Modernizacja ul. Działkowej</t>
  </si>
  <si>
    <t>ZCK/U1.8/22</t>
  </si>
  <si>
    <t>Zagospodarowanie terenu cmentarza w Prokocimiu</t>
  </si>
  <si>
    <t>ZCK/U1.12/21</t>
  </si>
  <si>
    <t>Modernizacja infrastruktury na cmentarzu Kobierzyn-Lubostroń</t>
  </si>
  <si>
    <t>ZDMK/H1.1/21</t>
  </si>
  <si>
    <t>Smoczy szlak na wzór Wrocławskich Krasnali - smok co krok</t>
  </si>
  <si>
    <t>ZDMK/H1.2/21</t>
  </si>
  <si>
    <t>Wrocław ma krasnale, Kraków może mieć smoki - smocza trasa</t>
  </si>
  <si>
    <t>KEGW/O1.1/21</t>
  </si>
  <si>
    <t>ZZM/O1.5/22</t>
  </si>
  <si>
    <t>Pumptruck przy ul. Lubostroń</t>
  </si>
  <si>
    <t>Plac zabaw Klub Soboniowice</t>
  </si>
  <si>
    <t>ZZM/O1.23/22</t>
  </si>
  <si>
    <t>Toalety przy placach zabaw w każdej dzielnicy</t>
  </si>
  <si>
    <t>ZZM/O1.35/20</t>
  </si>
  <si>
    <t>Planty Podgórskie</t>
  </si>
  <si>
    <t>ZZM/O1.51/22</t>
  </si>
  <si>
    <t>Modernizacja i doposażenie Smoczego Skweru w Zesławicach</t>
  </si>
  <si>
    <t>ZZM/O1.42/21</t>
  </si>
  <si>
    <t>Zagospodarowanie terenu wokół Stawu Płaszowskiego</t>
  </si>
  <si>
    <t>ZZM/O1.52/22</t>
  </si>
  <si>
    <t>Rewitalizacja ogródka na: os. Jagiellońskim 9,os. Kazimierzowskim 7, os. Wysokim 8, os. Jagiellońskim 37</t>
  </si>
  <si>
    <t>ZZM/O1.59/22</t>
  </si>
  <si>
    <t>Budowa ogródków jordanowskich na os. Szkolnym 10 i 35 oraz os. Teatralnym 35</t>
  </si>
  <si>
    <t>ZZM/O1.63/22</t>
  </si>
  <si>
    <t>Budowa parku kieszonkowego przy ul. Zachodniej</t>
  </si>
  <si>
    <t>ZZM/O1.66/22</t>
  </si>
  <si>
    <t>Rewitalizacja Parku Kurdwanów</t>
  </si>
  <si>
    <t>ZZM/O1.72/22</t>
  </si>
  <si>
    <t>Modernizacja ogródków jordanowskich w os. Centrum C 10 i w os. Centrum D 6</t>
  </si>
  <si>
    <t>ZZM/O1.127/18</t>
  </si>
  <si>
    <t>Zalew Bagry - zagospodarowanie</t>
  </si>
  <si>
    <t>ZZM/O1.274/22</t>
  </si>
  <si>
    <t>Modernizacja ogródków jordanowskich na os. Szkolne 10 i 35</t>
  </si>
  <si>
    <t>ZDMK/O2.7/22</t>
  </si>
  <si>
    <t>Przebudowa przepustu potoku Sudół Dominikański pod ul. Olszecką</t>
  </si>
  <si>
    <t>Budowa zbiorników retencyjnych w rejonie ul. Burzowej</t>
  </si>
  <si>
    <t>Opracowanie projektów budowlanych układów odwodnieniowych zgodnie z opracowanymi koncepcjami obszarowymi</t>
  </si>
  <si>
    <t>CM/E1.11/22</t>
  </si>
  <si>
    <t>Centrum Młodzieży, ul. Krupnicza 38 - modernizacja dachu</t>
  </si>
  <si>
    <t>CM/H1.8/22</t>
  </si>
  <si>
    <t>Rozbudowa pawilonu mieszkalnego w Centrum Wypoczynkowym JordaNova w Gołkowicach Górnych</t>
  </si>
  <si>
    <t xml:space="preserve">Szkoła Podstawowa Nr 86, os. Jagiellońskie 18 - modernizacja sali gimnastycznej </t>
  </si>
  <si>
    <t>ZIS/S1.5/17</t>
  </si>
  <si>
    <t xml:space="preserve">Przebudowa Klubu Sportowego Tramwaj </t>
  </si>
  <si>
    <t>ZIS/S1.18/21</t>
  </si>
  <si>
    <t xml:space="preserve">Boisko ze sztuczną nawierzchnią typu Orlik dla Kostrza </t>
  </si>
  <si>
    <t>ZIS/S1.30/22</t>
  </si>
  <si>
    <t>Rozbudowa obiektów sportowych KS Dąbski - 100 lat KS Dąbski</t>
  </si>
  <si>
    <t>ZIS/S1.32/22</t>
  </si>
  <si>
    <t>Sportowa Malborska - Street Workout, OCR i plac zabaw</t>
  </si>
  <si>
    <t>ZIS/S1.37/22</t>
  </si>
  <si>
    <t>Piłkarski kompleks na os. Oświecenia</t>
  </si>
  <si>
    <t>ZIS/S1.39/22</t>
  </si>
  <si>
    <t>Modernizacja infrastruktury na terenie klubów sportowych</t>
  </si>
  <si>
    <t>ZIS/S1.58/22</t>
  </si>
  <si>
    <t>Modernizacja boiska przy SP Jańskiego os. Niepodległości 19</t>
  </si>
  <si>
    <t>ZIS/S1.87/17</t>
  </si>
  <si>
    <t>Program rewitalizacji boisk przyszkolnych</t>
  </si>
  <si>
    <t>ZIS/S1.119/20</t>
  </si>
  <si>
    <t>Modernizacja obiektów RKS Juvenia</t>
  </si>
  <si>
    <t>ZIS/S1.148/21</t>
  </si>
  <si>
    <t>Stadion Korony - modernizacja obiektów klubowych</t>
  </si>
  <si>
    <t>ZIS/S1.150/21</t>
  </si>
  <si>
    <t xml:space="preserve">Budowa boiska wielofunkcyjnego przy Szkole Podstawowej, ul. Malborska 98 </t>
  </si>
  <si>
    <t>ZIS/S1.151/21</t>
  </si>
  <si>
    <t xml:space="preserve">Modernizacja przyszkolnej infrastruktury sportowej oraz placów zabaw </t>
  </si>
  <si>
    <t>Tor motocyklowo - samochodowy w Krakowie</t>
  </si>
  <si>
    <t>Budowa kompleksu sportowego os. Wolica</t>
  </si>
  <si>
    <t xml:space="preserve">Wystawa na poziomie "0" w zabytkowej części fortu Jugowice - "Harcerska Twierdza" </t>
  </si>
  <si>
    <t>E-usługi w Bibliotece Kraków - modernizacja serwerowni przy ul. Powroźniczej</t>
  </si>
  <si>
    <t>E-usługi w Bibliotece Kraków - zakupy inwestycyjne</t>
  </si>
  <si>
    <t xml:space="preserve"> ZIS/A1.13/22</t>
  </si>
  <si>
    <t>Modernizacja budynku przy ul. Walerego Sławka 10</t>
  </si>
  <si>
    <t>OU/A1.29/18</t>
  </si>
  <si>
    <t>Dostosowanie budynków UMK do obowiązujących przepisów przeciwpożarowych</t>
  </si>
  <si>
    <t>ZZM/A2.9/22</t>
  </si>
  <si>
    <t>Zasadźmy wspólnie Las Krakowian!</t>
  </si>
  <si>
    <t>Pozyskanie nieruchomości dla inwestycji</t>
  </si>
  <si>
    <t>ZIM/K2.13/22</t>
  </si>
  <si>
    <t>Krakowski Teatr Variete - modernizacja</t>
  </si>
  <si>
    <t>"Praska bez barier"</t>
  </si>
  <si>
    <t>SP 86</t>
  </si>
  <si>
    <t>MCOO/W4.3/22</t>
  </si>
  <si>
    <t>Samorządowe Przedszkole nr 14, ul. Młyńska Boczna 4 - dostosowanie budynku do potrzeb osób  z niepełnosprawnościami</t>
  </si>
  <si>
    <t>P 14</t>
  </si>
  <si>
    <t>ZDMK/T1.222/17</t>
  </si>
  <si>
    <t>Budowa nowej ulicy łączącej ul. ks. Felińskiego z al. 29 Listopada</t>
  </si>
  <si>
    <t>ZDMK/T1.335/21</t>
  </si>
  <si>
    <t>Rondo na zbiegu ulic Poznańskiej i Łokietka</t>
  </si>
  <si>
    <t>ZZM/S1.152/21</t>
  </si>
  <si>
    <t>Budowa ogólnodostępnego boiska wielofunkcyjnego ul. Urzędnicza działka 6/14 obr. K 4</t>
  </si>
  <si>
    <t>Przestrzeń przyjazna psom na Młynówce Królewskiej</t>
  </si>
  <si>
    <t>ZZM/O1.253/21</t>
  </si>
  <si>
    <t>Prądnicka vis a vis ul. Zbożowej - młodzieżowy skatepark</t>
  </si>
  <si>
    <t>Zagospodarowanie Parku Młynówka Królewska pomiędzy Racławicką a Kijowską</t>
  </si>
  <si>
    <t>Ogród kwietny Młynówka Królewska</t>
  </si>
  <si>
    <t>ZZM/O1.262/22</t>
  </si>
  <si>
    <t>Rewitalizacja placu zabaw przy ul. Skarbińskiego</t>
  </si>
  <si>
    <t>ZZM/O1.251/21</t>
  </si>
  <si>
    <t>Rewitalizacja poprzez udostępnienie skweru przy ul. Lea i Królewskiej - dokumentacja i uzgodnienia konserwatorskie</t>
  </si>
  <si>
    <t>Budowa skateparku w Łuczanowicach</t>
  </si>
  <si>
    <t>Modernizacja  terenu zielonego na os. Dywizjonu 303 nr 67</t>
  </si>
  <si>
    <t>Budowa oświetlenia ulicznego do przedszkola nr 119</t>
  </si>
  <si>
    <t>Ogród Krakowian na Brzozowej</t>
  </si>
  <si>
    <t>Szkoła Podstawowa nr 2 - modernizacja i przebudowa bieżni lekkoatletycznej wraz z montażem oświetlenia</t>
  </si>
  <si>
    <t>ZIM/Z3.14/23</t>
  </si>
  <si>
    <t>NW/Z1.2z/23</t>
  </si>
  <si>
    <t>ZIM/B1.10/23</t>
  </si>
  <si>
    <t>OC/B1.10z/23</t>
  </si>
  <si>
    <t>Program rozwoju OZE w GMK</t>
  </si>
  <si>
    <t>ZZM/O1.95/23</t>
  </si>
  <si>
    <t>ZZM/O1.97/23</t>
  </si>
  <si>
    <t>ZZM/O1.98/23</t>
  </si>
  <si>
    <t>ZZM/O1.102/23</t>
  </si>
  <si>
    <t>ZZM/O1.100/23</t>
  </si>
  <si>
    <t>ZZM/O1.101/23</t>
  </si>
  <si>
    <t>KEGW/O2.29/23</t>
  </si>
  <si>
    <t>KEGW/O2.30/23</t>
  </si>
  <si>
    <t>ZIS/S1.73/23</t>
  </si>
  <si>
    <t>ZIS/S1.74/23</t>
  </si>
  <si>
    <t>ZIS/S1.71/23</t>
  </si>
  <si>
    <t>MCOO/S1.72/23</t>
  </si>
  <si>
    <t>KD/K1.10/23</t>
  </si>
  <si>
    <t>KD/K2.34/23</t>
  </si>
  <si>
    <t>KD/K2.1z/23</t>
  </si>
  <si>
    <t>KEGW/A2.11/23</t>
  </si>
  <si>
    <t>ZDMK/T1.148/23</t>
  </si>
  <si>
    <t>Budowa siedziby Grupy Ratownictwa Specjalistycznego OSP Kraków</t>
  </si>
  <si>
    <t>ZZM/O1.108/23</t>
  </si>
  <si>
    <t>Zagospodarowanie terenów zielonych na terenie Nowej Huty</t>
  </si>
  <si>
    <t xml:space="preserve">CM/S1.75/23 </t>
  </si>
  <si>
    <t>Centrum Wypoczynku JordaNova w Gołkowicach Górnych - modernizacja boiska</t>
  </si>
  <si>
    <t>ZZM/O1.106/23</t>
  </si>
  <si>
    <t xml:space="preserve">Modernizacja placu zabaw i rewitalizacja terenów zielonych na działkach gminnych nr 311/20 i 65/31 obręb 31 Podgórze </t>
  </si>
  <si>
    <t xml:space="preserve"> Budowa Parku Woźniców w Czyżynach</t>
  </si>
  <si>
    <t>ZZM/O1.268/22</t>
  </si>
  <si>
    <t>ZCK/U1.11/23</t>
  </si>
  <si>
    <t>Montaż zniczodzielni oraz stojaków na urządzenia na cmentarzach</t>
  </si>
  <si>
    <t>ZCK/U1.12/23</t>
  </si>
  <si>
    <t>Cmentarz Rakowicki - rewitalizacja Grobowca Wodzickich</t>
  </si>
  <si>
    <t xml:space="preserve">ZZM/O1.247/23 </t>
  </si>
  <si>
    <t>MCOO/E1.80/23</t>
  </si>
  <si>
    <t>Szkoła Podstawowa nr 25, ul. Komandosów 29 - modernizacja</t>
  </si>
  <si>
    <t>SP 25</t>
  </si>
  <si>
    <t>CM/W4.13/23</t>
  </si>
  <si>
    <t>Centrum Młodzieży, ul. Krupnicza 38 - dostosowanie budynku do potrzeb osób z niepełnosprawnościami</t>
  </si>
  <si>
    <t xml:space="preserve">KS Bronowianka -  modernizacja obiektów sportowych </t>
  </si>
  <si>
    <t>Szkoła Podstawowa nr 31, ul. Prusa 18 - rewitalizacja elewacji</t>
  </si>
  <si>
    <t xml:space="preserve">MCOO/E1.158/21 </t>
  </si>
  <si>
    <t>MCOO/E1.81/23</t>
  </si>
  <si>
    <t>Samorządowe Przedszkole nr 5, ul. Zachodnia 6a - modernizacja</t>
  </si>
  <si>
    <t>P 5</t>
  </si>
  <si>
    <t>MCOO/E1.83/23</t>
  </si>
  <si>
    <t>Szkoła Podstawowa nr 50, ul. Katowicka 28 - modernizacja</t>
  </si>
  <si>
    <t>SP 50</t>
  </si>
  <si>
    <t>MCOO/E1.84/23</t>
  </si>
  <si>
    <t>Szkoła Podstawowa nr 138, ul. Wierzyńskiego 3 - modernizacja</t>
  </si>
  <si>
    <t>SP 138</t>
  </si>
  <si>
    <t>ZDMK/O1.75/23</t>
  </si>
  <si>
    <t>Modernizacja Placu Inwalidów</t>
  </si>
  <si>
    <t>ZIM/K2.18/23</t>
  </si>
  <si>
    <t>Budowa Domu Kultury z Klubem Seniora w Bronowicach Wielkich</t>
  </si>
  <si>
    <t>ZZM/O1.76/23</t>
  </si>
  <si>
    <t>Park przy ul. Smętnej</t>
  </si>
  <si>
    <t>ZIS/S1.115/20</t>
  </si>
  <si>
    <t>Budowa krytej pływalni na terenie KS Clepardia przy ul. Mackiewicza wraz z modernizacją istniejącego kąpieliska otwartego</t>
  </si>
  <si>
    <t>Przygotowanie budowy budynku przy ul. Młodej Polski 7 na potrzeby społeczności Dzielnicy VI</t>
  </si>
  <si>
    <t xml:space="preserve">ZIM/K2.7/20 </t>
  </si>
  <si>
    <t>ZDMK/T1.121/23</t>
  </si>
  <si>
    <t>Przebudowa ul. Wierzyńskiego</t>
  </si>
  <si>
    <t>MCOO/E1.85/23</t>
  </si>
  <si>
    <t>Szkoła Podstawowa nr 48, ul. Księcia Józefa 337 - modernizacja</t>
  </si>
  <si>
    <t>P 104</t>
  </si>
  <si>
    <t>MCOO/E1.160/21</t>
  </si>
  <si>
    <t>Przedszkole Samorządowe nr 94, os. Ogrodowe 3 - modernizacja budynku</t>
  </si>
  <si>
    <t>MCOO/E1.87/23</t>
  </si>
  <si>
    <t>Szkoła Podstawowa nr 103, os. Kolorowe 29 - modernizacja</t>
  </si>
  <si>
    <t>SP 103</t>
  </si>
  <si>
    <t>MCOO/T1.137/23</t>
  </si>
  <si>
    <t>Szkoła Podstawowa nr 37, os. Stalowe 18 - budowa parkingu</t>
  </si>
  <si>
    <t>MCOO/E1.88/23</t>
  </si>
  <si>
    <t>Szkoła Podstawowa nr 80, os. Na Skarpie 8 - modernizacja</t>
  </si>
  <si>
    <t>SP 80</t>
  </si>
  <si>
    <t>MCOO/E1.148/23</t>
  </si>
  <si>
    <t>Szkoła Podstawowa nr 80, os. Na Skarpie 8 - izolacja budynku</t>
  </si>
  <si>
    <t>MCOO/E1.89/23</t>
  </si>
  <si>
    <t>Samorządowe Przedszkole nr 46, os. Na Skarpie 46 - modernizacja</t>
  </si>
  <si>
    <t>P 46</t>
  </si>
  <si>
    <t>OSP Przylasek Rusiecki, ul. Rzepakowa 13a - modernizacja ogrodzenia</t>
  </si>
  <si>
    <t xml:space="preserve">ZIM/B1.9/23 </t>
  </si>
  <si>
    <t>ZZM/O1.77/23</t>
  </si>
  <si>
    <t>Rewitalizacja ogródków jordanowskich w Dzielnicy XVI</t>
  </si>
  <si>
    <t>Zespół Szkół Ogólnokształcących Sportowych Nr 2, os. Teatralne 35 - modernizacja</t>
  </si>
  <si>
    <t xml:space="preserve">MCOO/E1.90/23  </t>
  </si>
  <si>
    <t>ZSOS 2</t>
  </si>
  <si>
    <t>MCOO/E1.91/23</t>
  </si>
  <si>
    <t>Zespół Szkół Specjalnych nr 6, ul. Ptaszyckiego 9 - modernizacja</t>
  </si>
  <si>
    <t>LO XI/E1.92/23</t>
  </si>
  <si>
    <t>LO XI</t>
  </si>
  <si>
    <t>ZBK/A1.15/23</t>
  </si>
  <si>
    <t>Modernizacja lokalu gminnego, ul. Nadbrzezie 18</t>
  </si>
  <si>
    <t>ZZM/O1.134/18</t>
  </si>
  <si>
    <t>ZZM/O1.269/22</t>
  </si>
  <si>
    <t>Park Zielony Jar Wandy - budowa toalety oraz wymiana i dostawienie urządzeń</t>
  </si>
  <si>
    <t>MCOO/E1.93/23</t>
  </si>
  <si>
    <t>Zespół Szkolno-Przedszkolny nr 5, os. Oświecenia 30 - zagospodarowanie terenu</t>
  </si>
  <si>
    <t>ZSP 5</t>
  </si>
  <si>
    <t>MCOO/E1.94/23</t>
  </si>
  <si>
    <t>Zespół Szkolno-Przedszkolny nr 2, ul. Porzeczkowa 3 - modernizacja</t>
  </si>
  <si>
    <t>ZSP 2</t>
  </si>
  <si>
    <t>Żłobek Samorządowy nr 21, ul. Lekarska 3 - modernizacja</t>
  </si>
  <si>
    <t xml:space="preserve">ZIM/Z3.11/23 </t>
  </si>
  <si>
    <t>MCOO/E1.95/23</t>
  </si>
  <si>
    <t xml:space="preserve">Szkoła Podstawowa z Oddziałami Integracyjnymi nr 15, ul. Kluczborska 3 - modernizacja </t>
  </si>
  <si>
    <t>Zakupy inwestycyjne dla CK Dworek Białoprądnicki</t>
  </si>
  <si>
    <t xml:space="preserve">KD/K2.2z/23 </t>
  </si>
  <si>
    <t>MCOO/T1.150/23</t>
  </si>
  <si>
    <t>Szkoła Podstawowa nr 113, ul. Stachiewicza 33 - modernizacja</t>
  </si>
  <si>
    <t>SP 113</t>
  </si>
  <si>
    <t>MCOO/E1.97/23</t>
  </si>
  <si>
    <t>Samorządowe Przedszkole nr 138, ul. Krowoderskich Zuchów 15a - modernizacja</t>
  </si>
  <si>
    <t>LO XIV/E1.98/23</t>
  </si>
  <si>
    <t>Liceum Ogólnokształcące nr XIV, ul. Chełmońskiego 24 - modernizacja</t>
  </si>
  <si>
    <t>LO XIV</t>
  </si>
  <si>
    <t>MCOO/T1.153/23</t>
  </si>
  <si>
    <t>Samorządowe Przedszkole nr 165, ul. Wincentego Danka 1 - modernizacja parkingu</t>
  </si>
  <si>
    <t>P 165</t>
  </si>
  <si>
    <t>MCOO/E1.99/23</t>
  </si>
  <si>
    <t xml:space="preserve">Samorządowe Przedszkole nr 39, ul. Porzeczkowa 3 - modernizacja </t>
  </si>
  <si>
    <t>MCOO/E1.100/23</t>
  </si>
  <si>
    <t>Szkoła Podstawowa nr 109, ul. Mackiewicza 15 - modernizacja</t>
  </si>
  <si>
    <t>MCOO/E1.101/23</t>
  </si>
  <si>
    <t xml:space="preserve">Samorządowe Przedszkole nr 83, ul. Lekarska 5 - modernizacja </t>
  </si>
  <si>
    <t>Szkoła Podstawowa z Oddziałami Integracyjnymi nr 15, ul. Kluczborska 3 - modernizacja boiska</t>
  </si>
  <si>
    <t>ZIS/S1.33/23</t>
  </si>
  <si>
    <t>MCOO/E1.102/23</t>
  </si>
  <si>
    <t>Szkoła Podstawowa nr 21, ul. Batalionu "Skała" AK 12 - modernizacja</t>
  </si>
  <si>
    <t>LO VI/E1.103/23</t>
  </si>
  <si>
    <t>Liceum Ogólnokształcące nr VI, ul. Wąska 7 - modernizacja</t>
  </si>
  <si>
    <t>MCOO/E1.104/23</t>
  </si>
  <si>
    <t>Szkoła Podstawowa nr 119, ul. Czerwieńskiego 1 - termomodernizacja</t>
  </si>
  <si>
    <t>LO VI</t>
  </si>
  <si>
    <t>ZIS/T1.141/23</t>
  </si>
  <si>
    <t>KS Bieżanowianka - budowa parkingu</t>
  </si>
  <si>
    <t>MDK-BE/E1.153/20</t>
  </si>
  <si>
    <t>MDK, ul. Na Wrzosach 57 - adaptacja strychu</t>
  </si>
  <si>
    <t>MDK-BE</t>
  </si>
  <si>
    <t>ZIS/S1.11/22</t>
  </si>
  <si>
    <t>KS Kolejarz Prokocim - modernizacja</t>
  </si>
  <si>
    <t>ZBK/K2.24/22</t>
  </si>
  <si>
    <t>Muzeum Witrażu, al. Krasińskiego 23 – modernizacja podwórka</t>
  </si>
  <si>
    <t>MCOO/E1.105/23</t>
  </si>
  <si>
    <t>Szkoła Podstawowa nr 124, ul. Henryka Sucharskiego 38 - modernizacja</t>
  </si>
  <si>
    <t>LO XV/E1.106/23</t>
  </si>
  <si>
    <t>Liceum Ogólnokształcące nr XV, al. Dygasińskiego 15 - modernizacja</t>
  </si>
  <si>
    <t>LO XV</t>
  </si>
  <si>
    <t>MCOO/E1.107/23</t>
  </si>
  <si>
    <t>Szkoła Podstawowa z Oddziałami Integracyjnymi nr 148, ul. Żabia 20 - modernizacja</t>
  </si>
  <si>
    <t>SP 148</t>
  </si>
  <si>
    <t>MCOO/E1.108/23</t>
  </si>
  <si>
    <t>Samorządowe Przedszkole nr 35 z Oddziałami Integracyjnymi, ul. Lilli Wenedy 7 - modernizacja</t>
  </si>
  <si>
    <t>P 35</t>
  </si>
  <si>
    <t>MCOO/E1.110/23</t>
  </si>
  <si>
    <t>Samorządowe Przedszkole nr 49, ul. Bieżanowska 40 - modernizacja</t>
  </si>
  <si>
    <t>P 49</t>
  </si>
  <si>
    <t>ZZM/O1.3/09</t>
  </si>
  <si>
    <t>Przebudowa Parku im. Anny i Erazma Jerzmanowskich</t>
  </si>
  <si>
    <t>ZZM/O1.99/23</t>
  </si>
  <si>
    <t>Park Grzegórzecki</t>
  </si>
  <si>
    <t>ZBK/A1.6/22</t>
  </si>
  <si>
    <t>Termomodernizacja budynku komunalnego, ul. Stanisława ze Skalbmierza 7</t>
  </si>
  <si>
    <t>MCOO/E1.111/23</t>
  </si>
  <si>
    <t>Szkoła Podstawowa nr 18, ul. Półkole 11 - termomodernizacja</t>
  </si>
  <si>
    <t>ZZM/S1.48/23</t>
  </si>
  <si>
    <t>Modernizacja boiska w Parku Krowoderskim</t>
  </si>
  <si>
    <t>ZZM/O1.78/23</t>
  </si>
  <si>
    <t>Rewitalizacja terenów zielonych w Bronowicach Wielkich</t>
  </si>
  <si>
    <t>ZZM/O1.79/23</t>
  </si>
  <si>
    <t>Zielona Dzielnica IV i V</t>
  </si>
  <si>
    <t>MCOO/E1.112/23</t>
  </si>
  <si>
    <t>Samorządowe Przedszkole nr 175, ul. Siewna 23c - modernizacja</t>
  </si>
  <si>
    <t>MCOO/E1.113/23</t>
  </si>
  <si>
    <t>Szkoła Podstawowa nr 119, ul. Czerwieńskiego 1 - modernizacja</t>
  </si>
  <si>
    <t>MCOO/E1.115/23</t>
  </si>
  <si>
    <t>Szkoła Podstawowa z Oddziałami Integracyjnymi nr 107, ul. Zdrowa 6 - modernizacja</t>
  </si>
  <si>
    <t>MCOO/E1.116/23</t>
  </si>
  <si>
    <t>Samorządowe Przedszkole nr 178, ul. Sudolska 3 - modernizacja</t>
  </si>
  <si>
    <t>P 178</t>
  </si>
  <si>
    <t>SP 64/E1.117/23</t>
  </si>
  <si>
    <t>Szkoła Podstawowa nr 64, ul. Sadzawki 1 - modernizacja</t>
  </si>
  <si>
    <t>MCOO/E1.118/23</t>
  </si>
  <si>
    <t>Samorządowe Przedszkole nr 162, ul. Kazimierza Odnowiciela 4 - modernizacja</t>
  </si>
  <si>
    <t>P 162</t>
  </si>
  <si>
    <t>MCOO/E1.120/23</t>
  </si>
  <si>
    <t>Samorządowe Przedszkole nr 123, ul. Miechowity 4 - modernizacja</t>
  </si>
  <si>
    <t>P 123</t>
  </si>
  <si>
    <t>MCOO/E1.121/23</t>
  </si>
  <si>
    <t>Samorządowe Przedszkole nr 12, ul. Miechowity 11 - modernizacja</t>
  </si>
  <si>
    <t>P 12</t>
  </si>
  <si>
    <t>MCOO/E1.122/23</t>
  </si>
  <si>
    <t>MCOO/E1.123/23</t>
  </si>
  <si>
    <t>MCOO/E1.124/23</t>
  </si>
  <si>
    <t>LO XLI/E1.125/23</t>
  </si>
  <si>
    <t>Liceum Ogólnokształcące nr XLI, ul. Rynek Kleparski 18 - modernizacja</t>
  </si>
  <si>
    <t>Samorządowe Przedszkole nr 45, ul. Piekarska 14 - modernizacja</t>
  </si>
  <si>
    <t>P 45</t>
  </si>
  <si>
    <t>SP 4</t>
  </si>
  <si>
    <t>P 61</t>
  </si>
  <si>
    <t>LO XLI</t>
  </si>
  <si>
    <t>Żłobek Samorządowych nr 19, ul. Świtezianki 7 - montaż paneli fotowoltaicznych</t>
  </si>
  <si>
    <t>ZIM/Z3.12/23</t>
  </si>
  <si>
    <t>Liceum Ogólnokształcące nr XLII, ul. Studencka 13 - modernizacja</t>
  </si>
  <si>
    <t>LO XLII</t>
  </si>
  <si>
    <t>SM-J/E1.1z/23</t>
  </si>
  <si>
    <t>Zakupy inwestycyjne Szkoły Muzycznej I i II stopnia, ul. Józefińska 10</t>
  </si>
  <si>
    <t>MCOO/E1.130/23</t>
  </si>
  <si>
    <t>Samorządowe Przedszkole nr 36, ul. Okólna 18 - modernizacja</t>
  </si>
  <si>
    <t>P 36</t>
  </si>
  <si>
    <t>SP 26/E1.132/23</t>
  </si>
  <si>
    <t>Szkoła Podstawowa nr 26, ul. Krasickiego 34 - modernizacja</t>
  </si>
  <si>
    <t>ZSP 17/E1.152/23</t>
  </si>
  <si>
    <t>Zespół Szkolno-Przedszkolny nr 17, ul. Czarnogórska 14 - modernizacja</t>
  </si>
  <si>
    <t>MCOO/E1.157/23</t>
  </si>
  <si>
    <t>Szkoła Podstawowa nr 157, ul. Rydygiera 20 - modernizacja</t>
  </si>
  <si>
    <t>MCOO/E1.159/23</t>
  </si>
  <si>
    <t>Samorządowe Przedszkole nr 87, ul. Spółdzielców 7 - modernizacja</t>
  </si>
  <si>
    <t>P 87</t>
  </si>
  <si>
    <t>SP 27/E1.161/23</t>
  </si>
  <si>
    <t>Szkoła Podstawowa nr 27, ul. Podedworze 16 - modernizacja</t>
  </si>
  <si>
    <t>SP 27</t>
  </si>
  <si>
    <t>MCOO/E1.162/23</t>
  </si>
  <si>
    <t>Zespół Szkolno-Przedszkolny nr 14, ul. Stawowa 179 - modernizacja</t>
  </si>
  <si>
    <t>ZSP 14</t>
  </si>
  <si>
    <t>MCOO/E1.96/23</t>
  </si>
  <si>
    <t>Szkoła Podstawowa nr 67, ul. Kaczorówka 4 - doposażenie</t>
  </si>
  <si>
    <t>SP 67</t>
  </si>
  <si>
    <t>SP 39</t>
  </si>
  <si>
    <t>MCOO/E1.163/23</t>
  </si>
  <si>
    <t>Zespół Szkolno-Przedszkolny nr 4, ul. Urzędnicza 65 - modernizacja</t>
  </si>
  <si>
    <t>MCOO/E1.164/23</t>
  </si>
  <si>
    <t>Samorządowe Przedszkole nr 130, ul. Krowoderskich Zuchów 28 - modernizacja</t>
  </si>
  <si>
    <t>MCOO/E1.165/23</t>
  </si>
  <si>
    <t>Samorządowe Przedszkole nr 121, ul. Stachiewicza 21 - modernizacja</t>
  </si>
  <si>
    <t>P 130</t>
  </si>
  <si>
    <t>P 121</t>
  </si>
  <si>
    <t>MCOO/O1.87/23</t>
  </si>
  <si>
    <t>Szkoła Podstawowa nr 113, ul. Stachiewicza 33 -  rewitalizacja terenów zielonych wokół szkoły</t>
  </si>
  <si>
    <t>ZZM/O1.80/23</t>
  </si>
  <si>
    <t>Budowa toalety w Parku Krowoderskim</t>
  </si>
  <si>
    <t>ZZM/O1.81/23</t>
  </si>
  <si>
    <t>Budowa toalety przy placu zabaw na osiedlu Widok</t>
  </si>
  <si>
    <t>MCOO/E1.2z/23</t>
  </si>
  <si>
    <t>Zakupy inwestycyjne Samorządowego Przedszkola nr 131, os. Złotego Wieku 13</t>
  </si>
  <si>
    <t>P 131</t>
  </si>
  <si>
    <t>MCOO/T1.135/23</t>
  </si>
  <si>
    <t>Samorządowe Przedszkole nr 144, os. Bohaterów Września 13 - modernizacja</t>
  </si>
  <si>
    <t>P 144</t>
  </si>
  <si>
    <t>ZZM/O1.58/22</t>
  </si>
  <si>
    <t>Modernizacja Plant Mistrzejowickich</t>
  </si>
  <si>
    <t>ZZM/O1.278/22</t>
  </si>
  <si>
    <t>Zagospodarowanie terenów zielonych przy ul. Kurzei oraz Polany Nagłowickiej</t>
  </si>
  <si>
    <t>MCOO/E1.166/23</t>
  </si>
  <si>
    <t>Samorządowe Przedszkole nr 152, os. Piastów 10 - modernizacja</t>
  </si>
  <si>
    <t>P 152</t>
  </si>
  <si>
    <t>ZZM/O1.83/23</t>
  </si>
  <si>
    <t>Rozbudowa Ogrodu Społecznego w Zesławicach</t>
  </si>
  <si>
    <t>KD/K2.30/23</t>
  </si>
  <si>
    <t>MCOO/E1.167/23</t>
  </si>
  <si>
    <t>Samorządowe Przedszkole nr 177, os. Kombatantów 13 - modernizacja</t>
  </si>
  <si>
    <t>SP 39/E1.168/23</t>
  </si>
  <si>
    <t>Szkoła Podstawowa nr 39, ul. Jachowicza 5 - modernizacja</t>
  </si>
  <si>
    <t>NW/Z1.3/22</t>
  </si>
  <si>
    <t>Przebudowa Szpitala Specjalistycznego im. Stefana Żeromskiego SP ZOZ w Krakowie</t>
  </si>
  <si>
    <t>ZDMK/T1.136/23</t>
  </si>
  <si>
    <t>Budowa oświetlenia ulicznego na odcinku między ul. Odmętową boczną a alejką przy Szpitalu S. Żeromskiego</t>
  </si>
  <si>
    <t>MCOO/E1.169/23</t>
  </si>
  <si>
    <t>Szkoła Podstawowa nr 142, ul. Drożyska 13 - modernizacja</t>
  </si>
  <si>
    <t xml:space="preserve">Zakupy inwestycyjne dla Szpitala Specjalistycznego im. Stefana Żeromskiego SP ZOZ w Krakowie </t>
  </si>
  <si>
    <t xml:space="preserve">NW/Z1.3z/23 </t>
  </si>
  <si>
    <t>ZZM/O1.84/23</t>
  </si>
  <si>
    <t xml:space="preserve">Modernizacja ogródka jordanowskiego os. Strusia </t>
  </si>
  <si>
    <t>MCOO/E1.170/23</t>
  </si>
  <si>
    <t>Samorządowe Przedszkole nr 148, os. Tysiąclecia 37 - modernizacja</t>
  </si>
  <si>
    <t>P 148</t>
  </si>
  <si>
    <t>ZDMK/T1.138/23</t>
  </si>
  <si>
    <t xml:space="preserve">Modernizacja oświetlenia ulicznego na terenie dzielnicy I, II i III </t>
  </si>
  <si>
    <t>ZIS/S1.49/23</t>
  </si>
  <si>
    <t>MCOO/E1.171/23</t>
  </si>
  <si>
    <t>Samorządowe Przedszkole nr 51, ul. Estońska 2 - modernizacja</t>
  </si>
  <si>
    <t>P 51</t>
  </si>
  <si>
    <t xml:space="preserve">Zakupy inwestycyjne Zespołu Szkół Odzieżowych nr 1, ul. Cechowa 57 </t>
  </si>
  <si>
    <t>ZIM/Z3.13/23</t>
  </si>
  <si>
    <t>Żłobek Samorządowy nr 31, ul. Sanocka 2 - modernizacja</t>
  </si>
  <si>
    <t>ZZM/O1.85/23</t>
  </si>
  <si>
    <t>Zagospodarowanie terenu zielonego przy ul. Komuny Paryskiej</t>
  </si>
  <si>
    <t>ZSP 13/E1.172/23</t>
  </si>
  <si>
    <t>Samorządowe Przedszkole nr 136, ul. Mirtowa 2 - modernizacja</t>
  </si>
  <si>
    <t>ZSP 13</t>
  </si>
  <si>
    <t>ZDMK/T1.95/22</t>
  </si>
  <si>
    <t>Modernizacja oświetlenia na osiedlu przy ul. Żywieckiej</t>
  </si>
  <si>
    <t>SP 56/E1.173/23</t>
  </si>
  <si>
    <t>Szkoła Podstawowa nr 56, ul. Fredry 65 - modernizacja</t>
  </si>
  <si>
    <t>SP 56</t>
  </si>
  <si>
    <t>SP 56/E1.4z/23</t>
  </si>
  <si>
    <t>Zakupy inwestycyjne Szkoły Podstawowej nr 56, ul. Fredry 65</t>
  </si>
  <si>
    <t>Zakupy inwestycyjne DPS, ul. Babińskiego 25</t>
  </si>
  <si>
    <t xml:space="preserve">DPS-BA/W1.1z/23 </t>
  </si>
  <si>
    <t>DPS-BA</t>
  </si>
  <si>
    <t>MCOO/E1.174/23</t>
  </si>
  <si>
    <t>Szkoła Podstawowa nr 134, ul. Kłuszyńska 46 - modernizacja</t>
  </si>
  <si>
    <t>SP 134</t>
  </si>
  <si>
    <t xml:space="preserve">KD/K2.31/23 </t>
  </si>
  <si>
    <t>MCOO/E1.175/23</t>
  </si>
  <si>
    <t>MCOO/E1.176/23</t>
  </si>
  <si>
    <t>MCOO/E1.177/23</t>
  </si>
  <si>
    <t>MCOO/E1.178/23</t>
  </si>
  <si>
    <t>Szkoła Podstawowa z Oddziałami Integracyjnymi nr 162, ul. Stojałowskiego 31 - modernizacja</t>
  </si>
  <si>
    <t>Samorządowe Przedszkole nr 67, ul. Skwerowa 3 - modernizacja</t>
  </si>
  <si>
    <t>Samorządowe Przedszkole nr 10, ul. Strąkowa 7 - modernizacja</t>
  </si>
  <si>
    <t>Szkoła Podstawowa nr 7, ul. Spasowskiego 8 - modernizacja</t>
  </si>
  <si>
    <t>SP 162</t>
  </si>
  <si>
    <t>SP 7</t>
  </si>
  <si>
    <t>P 67</t>
  </si>
  <si>
    <t>ZZM/O1.86/23</t>
  </si>
  <si>
    <t>Budowa ogródka jordanowskiego przy ul. Sodowej</t>
  </si>
  <si>
    <t>ZZM/O1.104/23</t>
  </si>
  <si>
    <t xml:space="preserve">Budowa toalety przy placu zabaw ul. Jodłowa </t>
  </si>
  <si>
    <t>MCOO/E1.179/23</t>
  </si>
  <si>
    <t xml:space="preserve">Samorządowe Przedszkole nr 78, oddział ul. Jodłowa 23 - modernizacja </t>
  </si>
  <si>
    <t xml:space="preserve">Modernizacja toru żużlowego na stadionie „Wanda” </t>
  </si>
  <si>
    <t xml:space="preserve">ZIS/S1.63/23 </t>
  </si>
  <si>
    <t>Modernizacja Klubu "Pod Kasztanami" Ośrodka Kultury Kraków-Nowa Huta</t>
  </si>
  <si>
    <t xml:space="preserve">KD/K2.32/23 </t>
  </si>
  <si>
    <t xml:space="preserve">Budowa parkingu przy stacji TRAFO, ul. Wacława Króla 18 </t>
  </si>
  <si>
    <t xml:space="preserve">ZDMK/T1.100/22 </t>
  </si>
  <si>
    <t>ZZM/O1.88/23</t>
  </si>
  <si>
    <t>Rewitalizacja terenu zielonego przy parkingu P&amp;R "Mały Płaszów"</t>
  </si>
  <si>
    <t>ZZM/O1.89/23</t>
  </si>
  <si>
    <t xml:space="preserve">Rewitalizacja Kopca Krakusa wraz z otoczeniem </t>
  </si>
  <si>
    <t>ZSP 1/E1.180/23</t>
  </si>
  <si>
    <t>LO IV/E1.181/23</t>
  </si>
  <si>
    <t>Zespół Szkolno - Przedszkolny nr 1, ul. Myśliwska 64 - modernizacja</t>
  </si>
  <si>
    <t>Liceum Ogólnokształcące nr IV, ul. Krzemionki 11- modernizacja</t>
  </si>
  <si>
    <t>LO IV</t>
  </si>
  <si>
    <t>ZSP 1</t>
  </si>
  <si>
    <t>ZCK/U1.9/23</t>
  </si>
  <si>
    <t>Modernizacja alejek na Cmentarzu Podgórskim</t>
  </si>
  <si>
    <t>SZ</t>
  </si>
  <si>
    <t xml:space="preserve">SZ/W1.9/23 </t>
  </si>
  <si>
    <t>Zakład Opiekuńczo - Leczniczy „Czwórka”, os. Młodości 9 - montaż windy osobowej</t>
  </si>
  <si>
    <t>MCOO/E1.182/23</t>
  </si>
  <si>
    <t xml:space="preserve">Szkoła Podstawowa nr 78, oddział ul. Łuczanowicka 2a - termomodernizacja </t>
  </si>
  <si>
    <t>SP 78</t>
  </si>
  <si>
    <t>SP 37</t>
  </si>
  <si>
    <t>KS Grębałowianka - modernizacja obiektów sportowych</t>
  </si>
  <si>
    <t xml:space="preserve">ZIS/S1.64/23 </t>
  </si>
  <si>
    <t>ZDMK/T1.139/23</t>
  </si>
  <si>
    <t>Przebudowa ul. Sierpowej</t>
  </si>
  <si>
    <t>SP 29/E1.184/23</t>
  </si>
  <si>
    <t xml:space="preserve">Szkoła Podstawowa nr 29, ul. Dembowskiego 12 - modernizacja </t>
  </si>
  <si>
    <t>SP 29</t>
  </si>
  <si>
    <t>ZDMK/T1.142/23</t>
  </si>
  <si>
    <t>Budowa oświetlenia ulicznego na ul. Rzemieślniczej</t>
  </si>
  <si>
    <t>ZCK/U1.10/23</t>
  </si>
  <si>
    <t>Rewitalizacja Starego Cmentarza Podgórskiego</t>
  </si>
  <si>
    <t>ZZM/O1.90/23</t>
  </si>
  <si>
    <t>ZZM/O1.91/23</t>
  </si>
  <si>
    <t>Park Kurczaba</t>
  </si>
  <si>
    <t>Park Złocień</t>
  </si>
  <si>
    <t>MCOO/E1.185/23</t>
  </si>
  <si>
    <t xml:space="preserve">Szkoła Podstawowa nr 41, ul. Jerzmanowskiego 6 - modernizacja </t>
  </si>
  <si>
    <t>SP 41</t>
  </si>
  <si>
    <t xml:space="preserve">Stadion Korony - budowa wiaty magazynowej </t>
  </si>
  <si>
    <t xml:space="preserve">ZIS/S1.65/23 </t>
  </si>
  <si>
    <t>NW/Z1.1z/23</t>
  </si>
  <si>
    <t>Zakupy inwestycyjne dla Miejskiego Centrum Opieki w Krakowie</t>
  </si>
  <si>
    <t>ZZM/O1.92/23</t>
  </si>
  <si>
    <t>Park kieszonkowy przy ul. Dekerta 15</t>
  </si>
  <si>
    <t>ZDMK/T1.105/22</t>
  </si>
  <si>
    <t>ZIM/Z3.3/22</t>
  </si>
  <si>
    <t>Budowa Żłobka na Starym Podgórzu (przy Przedszkolu nr 92, ul. Krzemionki 33)</t>
  </si>
  <si>
    <t>ZDMK/T1.20/22</t>
  </si>
  <si>
    <t>Przebudowa ul. Koszykarskiej</t>
  </si>
  <si>
    <t>ZDMK/T1.58/22</t>
  </si>
  <si>
    <t>Modernizacja pętli autobusowej Nowy Bieżanów Południe</t>
  </si>
  <si>
    <t>ZCK/U1.14/21</t>
  </si>
  <si>
    <t>Modernizacja infrastruktury na cmentarzu Rakowickim</t>
  </si>
  <si>
    <t>ZZM/O1.93/23</t>
  </si>
  <si>
    <t xml:space="preserve">Park Krakowianek </t>
  </si>
  <si>
    <t>ZDMK/T1.143/23</t>
  </si>
  <si>
    <t>Budowa zawrotki w ciągu ul. Witosa</t>
  </si>
  <si>
    <t xml:space="preserve">KS Borek - modernizacja budynku klubu wraz z zagospodarowaniem zieleni </t>
  </si>
  <si>
    <t xml:space="preserve">ZIS/S1.69/23 </t>
  </si>
  <si>
    <t>ZDMK/T1.144/23</t>
  </si>
  <si>
    <t>Budowa oświetlenia ulicznego na ul. Babiego Lata</t>
  </si>
  <si>
    <t>ZDMK/T1.145/23</t>
  </si>
  <si>
    <t>Budowa Obwodnicy Osiedla Tyniec</t>
  </si>
  <si>
    <t>ZDMK/T1.146/23</t>
  </si>
  <si>
    <t xml:space="preserve">Wymiana oświetlenia w centrum Osiedla Tyniec na ledowe </t>
  </si>
  <si>
    <t>Modernizacja zaplecza KS Tyniec wraz z podłączeniem obiektu do kanalizacji</t>
  </si>
  <si>
    <t xml:space="preserve">ZIS/S1.66/23 </t>
  </si>
  <si>
    <t>ZZM/O1.94/23</t>
  </si>
  <si>
    <t>Modernizacja placu zabaw przy ul. Dziewiarzy</t>
  </si>
  <si>
    <t xml:space="preserve">ZIS/S1.67/23 </t>
  </si>
  <si>
    <t xml:space="preserve">North Shore przy ul. Juranda ze Spychowa </t>
  </si>
  <si>
    <t xml:space="preserve">ZIS/S1.68/23 </t>
  </si>
  <si>
    <t>Klub Tyniec - modernizacja</t>
  </si>
  <si>
    <t xml:space="preserve">KD/K2.33/23 </t>
  </si>
  <si>
    <t>MCOO/E1.186/23</t>
  </si>
  <si>
    <t xml:space="preserve">Samorządowe Przedszkole nr 133, ul. Benedyktyńska 4 - modernizacja </t>
  </si>
  <si>
    <t>P 133</t>
  </si>
  <si>
    <t>ZDMK/T1.147/23</t>
  </si>
  <si>
    <t>Rozbudowa oświetlenia ulicznego na ul. Browarnianej</t>
  </si>
  <si>
    <t>Przebudowa schodów pomiędzy ul. Kalwaryjską i ul. Zamoyskiego</t>
  </si>
  <si>
    <t xml:space="preserve">ZDMK/T1.143/16  </t>
  </si>
  <si>
    <t xml:space="preserve">KS Kabel - plac zabaw przy ul. Parkowej </t>
  </si>
  <si>
    <t xml:space="preserve">ZIS/S1.70/23 </t>
  </si>
  <si>
    <t>MCOO/E1.187/23</t>
  </si>
  <si>
    <t xml:space="preserve">Samorządowe Przedszkole nr 105, os. Spółdzielcze 5 - modernizacja </t>
  </si>
  <si>
    <t>P 105</t>
  </si>
  <si>
    <t>MCOO/E1.188/23</t>
  </si>
  <si>
    <t>MCOO/E1.189/23</t>
  </si>
  <si>
    <t>MCOO/E1.190/23</t>
  </si>
  <si>
    <t>MCOO/E1.191/23</t>
  </si>
  <si>
    <t xml:space="preserve">Samorządowe Przedszkole nr 99, os. Stalowe 10 - modernizacja </t>
  </si>
  <si>
    <t xml:space="preserve">Samorządowe Przedszkole nr 151, os. Niepodległości 4 - modernizacja </t>
  </si>
  <si>
    <t xml:space="preserve">Szkoła Podstawowa nr 37, os. Stalowe 18 - modernizacja </t>
  </si>
  <si>
    <t>P 99</t>
  </si>
  <si>
    <t>P 151</t>
  </si>
  <si>
    <t>P 93</t>
  </si>
  <si>
    <t>MCOO/E1.192/23</t>
  </si>
  <si>
    <t xml:space="preserve">Samorządowe Przedszkole nr 109, os. Urocze 9 - modernizacja </t>
  </si>
  <si>
    <t>LO XI/E1.193/23</t>
  </si>
  <si>
    <t>Liceum Ogólnokształcące nr XI, os. Teatralne 33 - modernizacja</t>
  </si>
  <si>
    <t>Zakupy inwestycyjne OSP Wolica</t>
  </si>
  <si>
    <t>ZZM/O1.105/23</t>
  </si>
  <si>
    <t>Rewitalizacja wnętrz kwartałów zabudowy na terenie Nowej Huty osiedla: Centrum D, Centrum A i os. Górali</t>
  </si>
  <si>
    <t>ZDMK/T1.149/23</t>
  </si>
  <si>
    <t>Przebudowa ul. Wrony na odcinku od ul. Chlebicznej do ul. Topografów</t>
  </si>
  <si>
    <t>MCOO/E1.86/23</t>
  </si>
  <si>
    <t>Samorządowe Przedszkole nr 104, os. Hutnicze 14 - modernizacja</t>
  </si>
  <si>
    <t>Rewitalizacja parku przy Dworze Czeczów</t>
  </si>
  <si>
    <t>Modernizacja bieżni przy Szkole Podstawowej nr 149, ul. Bujaka 15</t>
  </si>
  <si>
    <t xml:space="preserve">OC/B1.11z/23 </t>
  </si>
  <si>
    <t>Modernizacja slipu do wodowania łodzi przy ul. Benedyktyńskiej</t>
  </si>
  <si>
    <t xml:space="preserve">Samorządowe Przedszkole nr 93, os. Krakowiaków 18 - modernizacja </t>
  </si>
  <si>
    <t>LO XLII/E1.129/23</t>
  </si>
  <si>
    <t xml:space="preserve">ZIS/S1.60/22 </t>
  </si>
  <si>
    <t>Utworzenie zatoki postojowej przy ul. Kurczaba</t>
  </si>
  <si>
    <t>Szkoła Podstawowa nr 4, ul. Smoleńsk 5-7 - modernizacja</t>
  </si>
  <si>
    <t>Samorządowe Przedszkole nr 61, ul. Rajska 14 - modernizacja</t>
  </si>
  <si>
    <t>SM-J</t>
  </si>
  <si>
    <t>P 94</t>
  </si>
  <si>
    <t>P 109</t>
  </si>
  <si>
    <t>ZSODZ 1/E1.3z/23</t>
  </si>
  <si>
    <t>ZSODZ 1</t>
  </si>
  <si>
    <t>SP 64</t>
  </si>
  <si>
    <t>SP 26</t>
  </si>
  <si>
    <t>ZSP 17</t>
  </si>
  <si>
    <t>Zakupy inwestycyjne OC</t>
  </si>
  <si>
    <t>Budżet na 2023 rok</t>
  </si>
  <si>
    <t>środki pochodzące ze źródeł zagranicznych, niepodlegające zwrotowi</t>
  </si>
  <si>
    <t>środki budżetu Państwa</t>
  </si>
  <si>
    <t>"Spotkajmy się na podwórku" - Rewitalizacja wnętrz kwartałów zabudowy na terenie Nowej Huty</t>
  </si>
  <si>
    <t xml:space="preserve"> ZZM/O1.15/22</t>
  </si>
  <si>
    <t>Modernizacja filii Biblioteki Kraków na terenie Dzielnicy Podgórze</t>
  </si>
  <si>
    <t>Modernizacja Klubu "Jędruś", os. Centrum A 6A</t>
  </si>
  <si>
    <t>Rady Miasta Krakowa</t>
  </si>
  <si>
    <t>Zakupy inwestycyjne dla Szpitala Miejskiego Specjalistycznego im. Gabriela Narutowicza w Krakowie</t>
  </si>
  <si>
    <t>Załącznik Nr 4</t>
  </si>
  <si>
    <t>do uchwały Nr CII/2768/22</t>
  </si>
  <si>
    <t>z dnia 21 grudnia 2022 r.</t>
  </si>
  <si>
    <t>Liceum Ogólnokształcące nr XI, os. Teatralne 33 - modernizacja ogrodu przyszkolnego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</si>
</sst>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zł&quot;;[Red]\-#,##0\ &quot;zł&quot;"/>
    <numFmt numFmtId="43" formatCode="_-* #,##0.00\ _z_ł_-;\-* #,##0.00\ _z_ł_-;_-* &quot;-&quot;??\ _z_ł_-;_-@_-"/>
    <numFmt numFmtId="164" formatCode="#,##0.0"/>
    <numFmt numFmtId="165" formatCode="#,##0_ ;\-#,##0\ "/>
    <numFmt numFmtId="166" formatCode="_-* #,##0\ _z_ł_-;\-* #,##0\ _z_ł_-;_-* &quot;-&quot;??\ _z_ł_-;_-@_-"/>
  </numFmts>
  <fonts count="1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9"/>
      <name val="Arial"/>
      <family val="2"/>
      <charset val="238"/>
    </font>
    <font>
      <i/>
      <sz val="9"/>
      <name val="Arial"/>
      <family val="2"/>
      <charset val="238"/>
    </font>
    <font>
      <sz val="9"/>
      <name val="Arial"/>
      <family val="2"/>
      <charset val="238"/>
    </font>
    <font>
      <sz val="11"/>
      <color theme="1"/>
      <name val="Calibri"/>
      <family val="2"/>
      <scheme val="minor"/>
    </font>
    <font>
      <b/>
      <i/>
      <sz val="9"/>
      <name val="Arial"/>
      <family val="2"/>
      <charset val="238"/>
    </font>
    <font>
      <b/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Arial"/>
      <family val="2"/>
      <charset val="238"/>
    </font>
    <font>
      <sz val="1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45">
    <xf numFmtId="0" fontId="0" fillId="0" borderId="0" xfId="0"/>
    <xf numFmtId="0" fontId="6" fillId="0" borderId="3" xfId="3" applyFont="1" applyFill="1" applyBorder="1" applyAlignment="1">
      <alignment horizontal="center" vertical="center"/>
    </xf>
    <xf numFmtId="0" fontId="6" fillId="0" borderId="1" xfId="3" applyFont="1" applyFill="1" applyBorder="1" applyAlignment="1">
      <alignment vertical="center" wrapText="1"/>
    </xf>
    <xf numFmtId="0" fontId="6" fillId="0" borderId="1" xfId="3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/>
    </xf>
    <xf numFmtId="3" fontId="6" fillId="0" borderId="1" xfId="3" applyNumberFormat="1" applyFont="1" applyFill="1" applyBorder="1" applyAlignment="1">
      <alignment horizontal="right" vertical="center"/>
    </xf>
    <xf numFmtId="0" fontId="6" fillId="0" borderId="0" xfId="0" applyFont="1" applyFill="1"/>
    <xf numFmtId="0" fontId="11" fillId="0" borderId="0" xfId="0" applyFont="1" applyFill="1" applyAlignment="1">
      <alignment horizontal="left"/>
    </xf>
    <xf numFmtId="0" fontId="10" fillId="0" borderId="0" xfId="0" applyFont="1" applyFill="1" applyAlignment="1">
      <alignment horizontal="right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1" fontId="4" fillId="0" borderId="1" xfId="3" applyNumberFormat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horizontal="left" vertical="center" wrapText="1" indent="2"/>
    </xf>
    <xf numFmtId="3" fontId="4" fillId="0" borderId="4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right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4" fillId="0" borderId="9" xfId="5" applyFont="1" applyFill="1" applyBorder="1" applyAlignment="1">
      <alignment horizontal="left" vertical="center" wrapText="1" indent="2"/>
    </xf>
    <xf numFmtId="0" fontId="4" fillId="0" borderId="4" xfId="5" applyFont="1" applyFill="1" applyBorder="1" applyAlignment="1">
      <alignment horizontal="left" vertical="center" wrapText="1" indent="2"/>
    </xf>
    <xf numFmtId="0" fontId="5" fillId="0" borderId="3" xfId="3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right" vertical="center" wrapText="1"/>
    </xf>
    <xf numFmtId="0" fontId="5" fillId="0" borderId="1" xfId="3" applyFont="1" applyFill="1" applyBorder="1" applyAlignment="1">
      <alignment horizontal="right" vertical="center"/>
    </xf>
    <xf numFmtId="0" fontId="6" fillId="0" borderId="1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65" fontId="6" fillId="0" borderId="6" xfId="1" applyNumberFormat="1" applyFont="1" applyFill="1" applyBorder="1" applyAlignment="1">
      <alignment horizontal="right" vertical="center" wrapText="1"/>
    </xf>
    <xf numFmtId="165" fontId="6" fillId="0" borderId="2" xfId="1" applyNumberFormat="1" applyFont="1" applyFill="1" applyBorder="1" applyAlignment="1">
      <alignment horizontal="right" vertical="center" wrapText="1"/>
    </xf>
    <xf numFmtId="0" fontId="6" fillId="0" borderId="2" xfId="4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7" xfId="4" applyFont="1" applyFill="1" applyBorder="1" applyAlignment="1">
      <alignment horizontal="center" vertical="center" wrapText="1"/>
    </xf>
    <xf numFmtId="165" fontId="6" fillId="0" borderId="7" xfId="1" applyNumberFormat="1" applyFont="1" applyFill="1" applyBorder="1" applyAlignment="1">
      <alignment horizontal="right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6" xfId="4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4" applyFont="1" applyFill="1" applyBorder="1" applyAlignment="1">
      <alignment horizontal="center" vertical="center" wrapText="1"/>
    </xf>
    <xf numFmtId="165" fontId="6" fillId="0" borderId="1" xfId="1" applyNumberFormat="1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 indent="2"/>
    </xf>
    <xf numFmtId="1" fontId="6" fillId="0" borderId="6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/>
    <xf numFmtId="1" fontId="6" fillId="0" borderId="7" xfId="0" applyNumberFormat="1" applyFont="1" applyFill="1" applyBorder="1" applyAlignment="1">
      <alignment horizontal="center" vertical="center" wrapText="1"/>
    </xf>
    <xf numFmtId="2" fontId="6" fillId="0" borderId="1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2" fontId="6" fillId="0" borderId="11" xfId="0" applyNumberFormat="1" applyFont="1" applyFill="1" applyBorder="1" applyAlignment="1">
      <alignment horizontal="center" vertical="center" wrapText="1"/>
    </xf>
    <xf numFmtId="2" fontId="6" fillId="0" borderId="6" xfId="0" applyNumberFormat="1" applyFont="1" applyFill="1" applyBorder="1" applyAlignment="1">
      <alignment horizontal="center" vertical="center" wrapText="1"/>
    </xf>
    <xf numFmtId="2" fontId="6" fillId="0" borderId="8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left" vertical="center" wrapText="1" indent="2"/>
    </xf>
    <xf numFmtId="0" fontId="6" fillId="0" borderId="7" xfId="0" applyFont="1" applyFill="1" applyBorder="1" applyAlignment="1">
      <alignment horizontal="left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0" fontId="6" fillId="0" borderId="1" xfId="6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right" vertical="center"/>
    </xf>
    <xf numFmtId="2" fontId="4" fillId="0" borderId="3" xfId="0" applyNumberFormat="1" applyFont="1" applyFill="1" applyBorder="1" applyAlignment="1">
      <alignment horizontal="center" vertical="center" wrapText="1"/>
    </xf>
    <xf numFmtId="165" fontId="4" fillId="0" borderId="2" xfId="1" applyNumberFormat="1" applyFont="1" applyFill="1" applyBorder="1" applyAlignment="1">
      <alignment horizontal="right" vertical="center" wrapText="1"/>
    </xf>
    <xf numFmtId="165" fontId="6" fillId="0" borderId="2" xfId="1" applyNumberFormat="1" applyFont="1" applyFill="1" applyBorder="1" applyAlignment="1">
      <alignment horizontal="right" vertical="center"/>
    </xf>
    <xf numFmtId="0" fontId="6" fillId="0" borderId="7" xfId="0" applyFont="1" applyFill="1" applyBorder="1" applyAlignment="1">
      <alignment horizontal="center" vertical="center"/>
    </xf>
    <xf numFmtId="165" fontId="6" fillId="0" borderId="7" xfId="1" applyNumberFormat="1" applyFont="1" applyFill="1" applyBorder="1" applyAlignment="1">
      <alignment horizontal="right" vertical="center"/>
    </xf>
    <xf numFmtId="0" fontId="6" fillId="0" borderId="6" xfId="0" applyFont="1" applyFill="1" applyBorder="1" applyAlignment="1">
      <alignment horizontal="center" vertical="center"/>
    </xf>
    <xf numFmtId="165" fontId="6" fillId="0" borderId="6" xfId="1" applyNumberFormat="1" applyFont="1" applyFill="1" applyBorder="1" applyAlignment="1">
      <alignment horizontal="right" vertical="center"/>
    </xf>
    <xf numFmtId="165" fontId="4" fillId="0" borderId="1" xfId="1" applyNumberFormat="1" applyFont="1" applyFill="1" applyBorder="1" applyAlignment="1">
      <alignment horizontal="right" vertical="center"/>
    </xf>
    <xf numFmtId="0" fontId="4" fillId="0" borderId="3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vertical="center" wrapText="1"/>
    </xf>
    <xf numFmtId="3" fontId="4" fillId="0" borderId="1" xfId="3" applyNumberFormat="1" applyFont="1" applyFill="1" applyBorder="1" applyAlignment="1">
      <alignment horizontal="right" vertical="center"/>
    </xf>
    <xf numFmtId="0" fontId="6" fillId="0" borderId="3" xfId="3" applyFont="1" applyFill="1" applyBorder="1" applyAlignment="1">
      <alignment horizontal="center" vertical="center" wrapText="1"/>
    </xf>
    <xf numFmtId="0" fontId="4" fillId="0" borderId="8" xfId="3" applyFont="1" applyFill="1" applyBorder="1" applyAlignment="1">
      <alignment horizontal="center" vertical="center"/>
    </xf>
    <xf numFmtId="0" fontId="8" fillId="0" borderId="10" xfId="3" applyFont="1" applyFill="1" applyBorder="1" applyAlignment="1">
      <alignment horizontal="center" vertical="center"/>
    </xf>
    <xf numFmtId="3" fontId="4" fillId="0" borderId="7" xfId="3" applyNumberFormat="1" applyFont="1" applyFill="1" applyBorder="1" applyAlignment="1">
      <alignment horizontal="right" vertical="center"/>
    </xf>
    <xf numFmtId="0" fontId="6" fillId="0" borderId="12" xfId="3" applyFont="1" applyFill="1" applyBorder="1" applyAlignment="1">
      <alignment horizontal="center" vertical="center"/>
    </xf>
    <xf numFmtId="0" fontId="6" fillId="0" borderId="2" xfId="3" applyFont="1" applyFill="1" applyBorder="1" applyAlignment="1">
      <alignment vertical="center" wrapText="1"/>
    </xf>
    <xf numFmtId="0" fontId="6" fillId="0" borderId="2" xfId="3" applyFont="1" applyFill="1" applyBorder="1" applyAlignment="1">
      <alignment horizontal="center" vertical="center" wrapText="1"/>
    </xf>
    <xf numFmtId="3" fontId="6" fillId="0" borderId="2" xfId="3" applyNumberFormat="1" applyFont="1" applyFill="1" applyBorder="1" applyAlignment="1">
      <alignment horizontal="right" vertical="center"/>
    </xf>
    <xf numFmtId="0" fontId="6" fillId="0" borderId="11" xfId="3" applyFont="1" applyFill="1" applyBorder="1" applyAlignment="1">
      <alignment horizontal="center" vertical="center"/>
    </xf>
    <xf numFmtId="0" fontId="6" fillId="0" borderId="6" xfId="3" applyFont="1" applyFill="1" applyBorder="1" applyAlignment="1">
      <alignment horizontal="left" vertical="center" wrapText="1" indent="1"/>
    </xf>
    <xf numFmtId="0" fontId="6" fillId="0" borderId="6" xfId="3" applyFont="1" applyFill="1" applyBorder="1" applyAlignment="1">
      <alignment horizontal="center" vertical="center" wrapText="1"/>
    </xf>
    <xf numFmtId="3" fontId="6" fillId="0" borderId="6" xfId="3" applyNumberFormat="1" applyFont="1" applyFill="1" applyBorder="1" applyAlignment="1">
      <alignment horizontal="right" vertical="center"/>
    </xf>
    <xf numFmtId="3" fontId="6" fillId="0" borderId="11" xfId="3" applyNumberFormat="1" applyFont="1" applyFill="1" applyBorder="1" applyAlignment="1">
      <alignment horizontal="right" vertical="center" wrapText="1"/>
    </xf>
    <xf numFmtId="0" fontId="6" fillId="0" borderId="8" xfId="3" applyFont="1" applyFill="1" applyBorder="1" applyAlignment="1">
      <alignment horizontal="center" vertical="center"/>
    </xf>
    <xf numFmtId="0" fontId="6" fillId="0" borderId="7" xfId="3" applyFont="1" applyFill="1" applyBorder="1" applyAlignment="1">
      <alignment horizontal="center" vertical="center" wrapText="1"/>
    </xf>
    <xf numFmtId="3" fontId="6" fillId="0" borderId="7" xfId="3" applyNumberFormat="1" applyFont="1" applyFill="1" applyBorder="1" applyAlignment="1">
      <alignment horizontal="right" vertical="center"/>
    </xf>
    <xf numFmtId="0" fontId="8" fillId="0" borderId="5" xfId="3" applyFont="1" applyFill="1" applyBorder="1" applyAlignment="1">
      <alignment horizontal="center" vertical="center"/>
    </xf>
    <xf numFmtId="3" fontId="6" fillId="0" borderId="2" xfId="4" applyNumberFormat="1" applyFont="1" applyFill="1" applyBorder="1" applyAlignment="1">
      <alignment horizontal="right" vertical="center"/>
    </xf>
    <xf numFmtId="3" fontId="6" fillId="0" borderId="13" xfId="3" applyNumberFormat="1" applyFont="1" applyFill="1" applyBorder="1" applyAlignment="1">
      <alignment horizontal="right" vertical="center" wrapText="1"/>
    </xf>
    <xf numFmtId="0" fontId="6" fillId="0" borderId="6" xfId="3" applyFont="1" applyFill="1" applyBorder="1" applyAlignment="1">
      <alignment vertical="center" wrapText="1"/>
    </xf>
    <xf numFmtId="3" fontId="6" fillId="0" borderId="6" xfId="4" applyNumberFormat="1" applyFont="1" applyFill="1" applyBorder="1" applyAlignment="1">
      <alignment horizontal="right" vertical="center"/>
    </xf>
    <xf numFmtId="3" fontId="6" fillId="0" borderId="14" xfId="3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2" xfId="6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7" xfId="5" applyFont="1" applyFill="1" applyBorder="1" applyAlignment="1">
      <alignment horizontal="left" vertical="center" wrapText="1" indent="2"/>
    </xf>
    <xf numFmtId="0" fontId="6" fillId="0" borderId="7" xfId="6" applyFont="1" applyFill="1" applyBorder="1" applyAlignment="1">
      <alignment horizontal="center" vertical="center" wrapText="1"/>
    </xf>
    <xf numFmtId="1" fontId="6" fillId="0" borderId="7" xfId="0" applyNumberFormat="1" applyFont="1" applyFill="1" applyBorder="1" applyAlignment="1">
      <alignment horizontal="center" vertical="center"/>
    </xf>
    <xf numFmtId="0" fontId="6" fillId="0" borderId="1" xfId="5" applyFont="1" applyFill="1" applyBorder="1" applyAlignment="1">
      <alignment vertical="center" wrapText="1"/>
    </xf>
    <xf numFmtId="0" fontId="6" fillId="0" borderId="12" xfId="2" applyFont="1" applyFill="1" applyBorder="1" applyAlignment="1">
      <alignment horizontal="center" vertical="center" wrapText="1"/>
    </xf>
    <xf numFmtId="165" fontId="6" fillId="0" borderId="2" xfId="1" applyNumberFormat="1" applyFont="1" applyFill="1" applyBorder="1" applyAlignment="1">
      <alignment vertical="center" wrapText="1"/>
    </xf>
    <xf numFmtId="165" fontId="6" fillId="0" borderId="2" xfId="1" applyNumberFormat="1" applyFont="1" applyFill="1" applyBorder="1" applyAlignment="1">
      <alignment vertical="center"/>
    </xf>
    <xf numFmtId="165" fontId="6" fillId="0" borderId="7" xfId="1" applyNumberFormat="1" applyFont="1" applyFill="1" applyBorder="1" applyAlignment="1">
      <alignment vertical="center" wrapText="1"/>
    </xf>
    <xf numFmtId="165" fontId="6" fillId="0" borderId="7" xfId="1" applyNumberFormat="1" applyFont="1" applyFill="1" applyBorder="1" applyAlignment="1">
      <alignment vertical="center"/>
    </xf>
    <xf numFmtId="0" fontId="6" fillId="0" borderId="3" xfId="2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1" xfId="5" applyFont="1" applyFill="1" applyBorder="1" applyAlignment="1">
      <alignment horizontal="left" vertical="center" wrapText="1"/>
    </xf>
    <xf numFmtId="165" fontId="6" fillId="0" borderId="1" xfId="1" applyNumberFormat="1" applyFont="1" applyFill="1" applyBorder="1" applyAlignment="1">
      <alignment vertical="center"/>
    </xf>
    <xf numFmtId="0" fontId="6" fillId="0" borderId="8" xfId="7" applyFont="1" applyFill="1" applyBorder="1" applyAlignment="1">
      <alignment horizontal="center" vertical="center" wrapText="1"/>
    </xf>
    <xf numFmtId="0" fontId="6" fillId="0" borderId="3" xfId="5" applyFont="1" applyFill="1" applyBorder="1" applyAlignment="1">
      <alignment horizontal="center" vertical="center" wrapText="1"/>
    </xf>
    <xf numFmtId="165" fontId="6" fillId="0" borderId="1" xfId="1" applyNumberFormat="1" applyFont="1" applyFill="1" applyBorder="1" applyAlignment="1">
      <alignment vertical="center" wrapText="1"/>
    </xf>
    <xf numFmtId="0" fontId="6" fillId="0" borderId="11" xfId="2" applyFont="1" applyFill="1" applyBorder="1" applyAlignment="1">
      <alignment horizontal="center" vertical="center" wrapText="1"/>
    </xf>
    <xf numFmtId="0" fontId="6" fillId="0" borderId="2" xfId="5" applyFont="1" applyFill="1" applyBorder="1" applyAlignment="1">
      <alignment vertical="center" wrapText="1"/>
    </xf>
    <xf numFmtId="165" fontId="6" fillId="0" borderId="3" xfId="1" applyNumberFormat="1" applyFont="1" applyFill="1" applyBorder="1" applyAlignment="1">
      <alignment horizontal="right" vertical="center"/>
    </xf>
    <xf numFmtId="165" fontId="6" fillId="0" borderId="12" xfId="1" applyNumberFormat="1" applyFont="1" applyFill="1" applyBorder="1" applyAlignment="1">
      <alignment horizontal="right" vertical="center"/>
    </xf>
    <xf numFmtId="165" fontId="6" fillId="0" borderId="11" xfId="1" applyNumberFormat="1" applyFont="1" applyFill="1" applyBorder="1" applyAlignment="1">
      <alignment horizontal="right" vertical="center"/>
    </xf>
    <xf numFmtId="165" fontId="6" fillId="0" borderId="8" xfId="1" applyNumberFormat="1" applyFont="1" applyFill="1" applyBorder="1" applyAlignment="1">
      <alignment horizontal="right" vertical="center"/>
    </xf>
    <xf numFmtId="0" fontId="6" fillId="0" borderId="1" xfId="3" applyFont="1" applyFill="1" applyBorder="1" applyAlignment="1">
      <alignment horizontal="left" vertical="center" wrapText="1"/>
    </xf>
    <xf numFmtId="6" fontId="6" fillId="0" borderId="2" xfId="0" applyNumberFormat="1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7" xfId="3" applyFont="1" applyFill="1" applyBorder="1" applyAlignment="1">
      <alignment vertical="center" wrapText="1"/>
    </xf>
    <xf numFmtId="0" fontId="6" fillId="0" borderId="12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3" xfId="8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/>
    </xf>
    <xf numFmtId="0" fontId="6" fillId="0" borderId="12" xfId="8" applyFont="1" applyFill="1" applyBorder="1" applyAlignment="1">
      <alignment horizontal="center" vertical="center" wrapText="1"/>
    </xf>
    <xf numFmtId="0" fontId="6" fillId="0" borderId="11" xfId="8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 wrapText="1"/>
    </xf>
    <xf numFmtId="3" fontId="6" fillId="0" borderId="13" xfId="3" applyNumberFormat="1" applyFont="1" applyFill="1" applyBorder="1" applyAlignment="1">
      <alignment horizontal="right" vertical="center"/>
    </xf>
    <xf numFmtId="0" fontId="4" fillId="0" borderId="3" xfId="8" applyFont="1" applyFill="1" applyBorder="1" applyAlignment="1">
      <alignment horizontal="center" vertical="center" wrapText="1"/>
    </xf>
    <xf numFmtId="0" fontId="6" fillId="0" borderId="6" xfId="5" applyFont="1" applyFill="1" applyBorder="1" applyAlignment="1">
      <alignment horizontal="left" vertical="center" wrapText="1" indent="2"/>
    </xf>
    <xf numFmtId="0" fontId="6" fillId="0" borderId="6" xfId="5" applyFont="1" applyFill="1" applyBorder="1" applyAlignment="1">
      <alignment vertical="center" wrapText="1"/>
    </xf>
    <xf numFmtId="0" fontId="6" fillId="0" borderId="7" xfId="5" applyFont="1" applyFill="1" applyBorder="1" applyAlignment="1">
      <alignment horizontal="left" vertical="center" wrapText="1"/>
    </xf>
    <xf numFmtId="165" fontId="6" fillId="0" borderId="6" xfId="1" applyNumberFormat="1" applyFont="1" applyFill="1" applyBorder="1" applyAlignment="1">
      <alignment vertical="center" wrapText="1"/>
    </xf>
    <xf numFmtId="165" fontId="6" fillId="0" borderId="6" xfId="1" applyNumberFormat="1" applyFont="1" applyFill="1" applyBorder="1" applyAlignment="1">
      <alignment vertical="center"/>
    </xf>
    <xf numFmtId="165" fontId="4" fillId="0" borderId="2" xfId="1" applyNumberFormat="1" applyFont="1" applyFill="1" applyBorder="1" applyAlignment="1">
      <alignment vertical="center"/>
    </xf>
    <xf numFmtId="165" fontId="4" fillId="0" borderId="6" xfId="1" applyNumberFormat="1" applyFont="1" applyFill="1" applyBorder="1" applyAlignment="1">
      <alignment vertical="center"/>
    </xf>
    <xf numFmtId="0" fontId="10" fillId="0" borderId="0" xfId="0" applyFont="1" applyFill="1" applyBorder="1"/>
    <xf numFmtId="0" fontId="6" fillId="0" borderId="7" xfId="0" applyFont="1" applyFill="1" applyBorder="1" applyAlignment="1">
      <alignment vertical="center" wrapText="1"/>
    </xf>
    <xf numFmtId="3" fontId="6" fillId="0" borderId="1" xfId="3" applyNumberFormat="1" applyFont="1" applyFill="1" applyBorder="1" applyAlignment="1">
      <alignment horizontal="center" vertical="center" wrapText="1"/>
    </xf>
    <xf numFmtId="3" fontId="6" fillId="0" borderId="1" xfId="4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horizontal="right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6" fillId="0" borderId="8" xfId="8" applyFont="1" applyFill="1" applyBorder="1" applyAlignment="1">
      <alignment horizontal="center" vertical="center" wrapText="1"/>
    </xf>
    <xf numFmtId="3" fontId="4" fillId="0" borderId="3" xfId="0" applyNumberFormat="1" applyFont="1" applyFill="1" applyBorder="1" applyAlignment="1">
      <alignment horizontal="center" vertical="center" wrapText="1"/>
    </xf>
    <xf numFmtId="3" fontId="6" fillId="0" borderId="2" xfId="0" applyNumberFormat="1" applyFont="1" applyFill="1" applyBorder="1" applyAlignment="1">
      <alignment horizontal="left" vertical="center" wrapText="1"/>
    </xf>
    <xf numFmtId="3" fontId="4" fillId="0" borderId="1" xfId="3" applyNumberFormat="1" applyFont="1" applyFill="1" applyBorder="1" applyAlignment="1">
      <alignment horizontal="right" vertical="center" wrapText="1"/>
    </xf>
    <xf numFmtId="0" fontId="4" fillId="0" borderId="1" xfId="3" applyFont="1" applyFill="1" applyBorder="1" applyAlignment="1">
      <alignment horizontal="right" vertical="center" wrapText="1"/>
    </xf>
    <xf numFmtId="3" fontId="6" fillId="0" borderId="5" xfId="3" applyNumberFormat="1" applyFont="1" applyFill="1" applyBorder="1" applyAlignment="1">
      <alignment horizontal="right" vertical="center"/>
    </xf>
    <xf numFmtId="166" fontId="6" fillId="0" borderId="2" xfId="1" applyNumberFormat="1" applyFont="1" applyFill="1" applyBorder="1" applyAlignment="1">
      <alignment horizontal="right" vertical="center"/>
    </xf>
    <xf numFmtId="166" fontId="6" fillId="0" borderId="7" xfId="1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6" fillId="0" borderId="6" xfId="3" applyFont="1" applyFill="1" applyBorder="1" applyAlignment="1">
      <alignment horizontal="left" vertical="center" wrapText="1" indent="2"/>
    </xf>
    <xf numFmtId="2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4" xfId="8" applyFont="1" applyFill="1" applyBorder="1" applyAlignment="1">
      <alignment horizontal="center" vertical="center" wrapText="1"/>
    </xf>
    <xf numFmtId="0" fontId="4" fillId="0" borderId="5" xfId="3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13" xfId="4" applyFont="1" applyFill="1" applyBorder="1" applyAlignment="1">
      <alignment horizontal="center" vertical="center" wrapText="1"/>
    </xf>
    <xf numFmtId="0" fontId="6" fillId="0" borderId="10" xfId="4" applyFont="1" applyFill="1" applyBorder="1" applyAlignment="1">
      <alignment horizontal="center" vertical="center" wrapText="1"/>
    </xf>
    <xf numFmtId="0" fontId="6" fillId="0" borderId="14" xfId="4" applyFont="1" applyFill="1" applyBorder="1" applyAlignment="1">
      <alignment horizontal="center" vertical="center" wrapText="1"/>
    </xf>
    <xf numFmtId="0" fontId="6" fillId="0" borderId="5" xfId="4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3" xfId="3" applyFont="1" applyFill="1" applyBorder="1" applyAlignment="1">
      <alignment horizontal="center" vertical="center" wrapText="1"/>
    </xf>
    <xf numFmtId="0" fontId="6" fillId="0" borderId="14" xfId="3" applyFont="1" applyFill="1" applyBorder="1" applyAlignment="1">
      <alignment horizontal="center" vertical="center" wrapText="1"/>
    </xf>
    <xf numFmtId="0" fontId="6" fillId="0" borderId="10" xfId="3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4" fillId="0" borderId="1" xfId="3" applyFont="1" applyFill="1" applyBorder="1" applyAlignment="1">
      <alignment vertical="center" wrapText="1"/>
    </xf>
    <xf numFmtId="0" fontId="4" fillId="0" borderId="7" xfId="3" applyFont="1" applyFill="1" applyBorder="1" applyAlignment="1">
      <alignment vertical="center" wrapText="1"/>
    </xf>
    <xf numFmtId="0" fontId="6" fillId="0" borderId="7" xfId="5" applyFont="1" applyFill="1" applyBorder="1" applyAlignment="1">
      <alignment vertical="center" wrapText="1"/>
    </xf>
    <xf numFmtId="0" fontId="6" fillId="0" borderId="2" xfId="3" applyFont="1" applyFill="1" applyBorder="1" applyAlignment="1">
      <alignment horizontal="left" vertical="center" wrapText="1"/>
    </xf>
    <xf numFmtId="6" fontId="6" fillId="0" borderId="1" xfId="0" applyNumberFormat="1" applyFont="1" applyFill="1" applyBorder="1" applyAlignment="1">
      <alignment horizontal="left" vertical="center" wrapText="1"/>
    </xf>
    <xf numFmtId="6" fontId="6" fillId="0" borderId="2" xfId="0" applyNumberFormat="1" applyFont="1" applyFill="1" applyBorder="1" applyAlignment="1">
      <alignment vertical="center" wrapText="1"/>
    </xf>
    <xf numFmtId="0" fontId="6" fillId="0" borderId="2" xfId="8" applyFont="1" applyFill="1" applyBorder="1" applyAlignment="1">
      <alignment vertical="center" wrapText="1"/>
    </xf>
    <xf numFmtId="0" fontId="4" fillId="0" borderId="1" xfId="3" applyFont="1" applyFill="1" applyBorder="1" applyAlignment="1">
      <alignment horizontal="left" vertical="center" wrapText="1"/>
    </xf>
    <xf numFmtId="0" fontId="6" fillId="0" borderId="1" xfId="4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6" fillId="0" borderId="5" xfId="0" applyNumberFormat="1" applyFont="1" applyFill="1" applyBorder="1" applyAlignment="1">
      <alignment horizontal="center" vertical="center" wrapText="1"/>
    </xf>
    <xf numFmtId="2" fontId="6" fillId="0" borderId="13" xfId="0" applyNumberFormat="1" applyFont="1" applyFill="1" applyBorder="1" applyAlignment="1">
      <alignment horizontal="center" vertical="center" wrapText="1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0" xfId="0" applyNumberFormat="1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/>
    </xf>
    <xf numFmtId="0" fontId="6" fillId="0" borderId="13" xfId="3" applyFont="1" applyFill="1" applyBorder="1" applyAlignment="1">
      <alignment horizontal="center" vertical="center"/>
    </xf>
    <xf numFmtId="0" fontId="6" fillId="0" borderId="14" xfId="3" applyFont="1" applyFill="1" applyBorder="1" applyAlignment="1">
      <alignment horizontal="center" vertical="center"/>
    </xf>
    <xf numFmtId="0" fontId="6" fillId="0" borderId="10" xfId="3" applyFont="1" applyFill="1" applyBorder="1" applyAlignment="1">
      <alignment horizontal="center" vertical="center"/>
    </xf>
    <xf numFmtId="0" fontId="6" fillId="0" borderId="13" xfId="8" applyFont="1" applyFill="1" applyBorder="1" applyAlignment="1">
      <alignment horizontal="center" vertical="center" wrapText="1"/>
    </xf>
    <xf numFmtId="0" fontId="6" fillId="0" borderId="14" xfId="8" applyFont="1" applyFill="1" applyBorder="1" applyAlignment="1">
      <alignment horizontal="center" vertical="center" wrapText="1"/>
    </xf>
    <xf numFmtId="0" fontId="6" fillId="0" borderId="10" xfId="8" applyFont="1" applyFill="1" applyBorder="1" applyAlignment="1">
      <alignment horizontal="center" vertical="center" wrapText="1"/>
    </xf>
    <xf numFmtId="0" fontId="6" fillId="0" borderId="5" xfId="8" applyFont="1" applyFill="1" applyBorder="1" applyAlignment="1">
      <alignment horizontal="center" vertical="center" wrapText="1"/>
    </xf>
    <xf numFmtId="164" fontId="6" fillId="0" borderId="5" xfId="3" applyNumberFormat="1" applyFont="1" applyFill="1" applyBorder="1" applyAlignment="1">
      <alignment horizontal="center" vertical="center" wrapText="1"/>
    </xf>
    <xf numFmtId="0" fontId="4" fillId="0" borderId="5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12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6" fillId="0" borderId="7" xfId="3" applyFont="1" applyFill="1" applyBorder="1" applyAlignment="1">
      <alignment horizontal="left" vertical="center" wrapText="1" indent="2"/>
    </xf>
    <xf numFmtId="0" fontId="4" fillId="0" borderId="1" xfId="3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 indent="2"/>
    </xf>
    <xf numFmtId="0" fontId="6" fillId="0" borderId="1" xfId="0" applyFont="1" applyFill="1" applyBorder="1" applyAlignment="1">
      <alignment horizontal="left" vertical="center" wrapText="1" indent="2"/>
    </xf>
    <xf numFmtId="0" fontId="6" fillId="0" borderId="1" xfId="5" applyFont="1" applyFill="1" applyBorder="1" applyAlignment="1">
      <alignment horizontal="left" vertical="center" wrapText="1" indent="2"/>
    </xf>
    <xf numFmtId="0" fontId="6" fillId="0" borderId="2" xfId="5" applyFont="1" applyFill="1" applyBorder="1" applyAlignment="1">
      <alignment horizontal="left" vertical="center" wrapText="1" indent="2"/>
    </xf>
    <xf numFmtId="164" fontId="6" fillId="0" borderId="1" xfId="3" applyNumberFormat="1" applyFont="1" applyFill="1" applyBorder="1" applyAlignment="1">
      <alignment vertical="center" wrapText="1"/>
    </xf>
    <xf numFmtId="3" fontId="6" fillId="0" borderId="5" xfId="3" applyNumberFormat="1" applyFont="1" applyFill="1" applyBorder="1" applyAlignment="1">
      <alignment horizontal="right" vertical="center" wrapText="1"/>
    </xf>
    <xf numFmtId="3" fontId="6" fillId="0" borderId="1" xfId="0" applyNumberFormat="1" applyFont="1" applyFill="1" applyBorder="1" applyAlignment="1">
      <alignment horizontal="left" vertical="center" wrapText="1"/>
    </xf>
    <xf numFmtId="0" fontId="4" fillId="0" borderId="3" xfId="3" applyFont="1" applyFill="1" applyBorder="1" applyAlignment="1">
      <alignment horizontal="center" vertical="center" wrapText="1"/>
    </xf>
    <xf numFmtId="0" fontId="4" fillId="0" borderId="4" xfId="3" applyFont="1" applyFill="1" applyBorder="1" applyAlignment="1">
      <alignment horizontal="center" vertical="center" wrapText="1"/>
    </xf>
    <xf numFmtId="0" fontId="4" fillId="0" borderId="5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0" fontId="4" fillId="0" borderId="7" xfId="3" applyFont="1" applyFill="1" applyBorder="1" applyAlignment="1">
      <alignment horizontal="center" vertical="center" wrapText="1"/>
    </xf>
    <xf numFmtId="3" fontId="4" fillId="0" borderId="3" xfId="3" applyNumberFormat="1" applyFont="1" applyFill="1" applyBorder="1" applyAlignment="1">
      <alignment horizontal="center" vertical="center" wrapText="1"/>
    </xf>
    <xf numFmtId="3" fontId="4" fillId="0" borderId="5" xfId="3" applyNumberFormat="1" applyFont="1" applyFill="1" applyBorder="1" applyAlignment="1">
      <alignment horizontal="center" vertical="center" wrapText="1"/>
    </xf>
    <xf numFmtId="0" fontId="9" fillId="0" borderId="0" xfId="3" applyFont="1" applyFill="1" applyAlignment="1">
      <alignment horizontal="left" vertical="center" wrapText="1"/>
    </xf>
    <xf numFmtId="0" fontId="9" fillId="0" borderId="0" xfId="0" applyFont="1" applyFill="1" applyAlignment="1">
      <alignment horizontal="left"/>
    </xf>
    <xf numFmtId="0" fontId="4" fillId="0" borderId="1" xfId="3" applyFont="1" applyFill="1" applyBorder="1" applyAlignment="1">
      <alignment horizontal="center" vertical="center" wrapText="1"/>
    </xf>
    <xf numFmtId="0" fontId="4" fillId="0" borderId="6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textRotation="90" wrapText="1"/>
    </xf>
    <xf numFmtId="0" fontId="4" fillId="0" borderId="6" xfId="3" applyFont="1" applyFill="1" applyBorder="1" applyAlignment="1">
      <alignment horizontal="center" vertical="center" textRotation="90" wrapText="1"/>
    </xf>
    <xf numFmtId="0" fontId="4" fillId="0" borderId="7" xfId="3" applyFont="1" applyFill="1" applyBorder="1" applyAlignment="1">
      <alignment horizontal="center" vertical="center" textRotation="90" wrapText="1"/>
    </xf>
  </cellXfs>
  <cellStyles count="9">
    <cellStyle name="Dobry" xfId="2" builtinId="26"/>
    <cellStyle name="Dziesiętny" xfId="1" builtinId="3"/>
    <cellStyle name="Normalny" xfId="0" builtinId="0"/>
    <cellStyle name="Normalny 15" xfId="3" xr:uid="{00000000-0005-0000-0000-000003000000}"/>
    <cellStyle name="Normalny 2" xfId="4" xr:uid="{00000000-0005-0000-0000-000004000000}"/>
    <cellStyle name="Normalny 3" xfId="5" xr:uid="{00000000-0005-0000-0000-000005000000}"/>
    <cellStyle name="Normalny 7" xfId="6" xr:uid="{00000000-0005-0000-0000-000006000000}"/>
    <cellStyle name="Normalny 8" xfId="7" xr:uid="{00000000-0005-0000-0000-000007000000}"/>
    <cellStyle name="Normalny 9" xfId="8" xr:uid="{00000000-0005-0000-0000-000008000000}"/>
  </cellStyles>
  <dxfs count="0"/>
  <tableStyles count="0" defaultTableStyle="TableStyleMedium2" defaultPivotStyle="PivotStyleLight16"/>
  <colors>
    <mruColors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3"/>
  <sheetViews>
    <sheetView showGridLines="0" showZeros="0" tabSelected="1" topLeftCell="A341" zoomScale="90" zoomScaleNormal="90" zoomScaleSheetLayoutView="90" workbookViewId="0">
      <selection activeCell="B352" sqref="B352"/>
    </sheetView>
  </sheetViews>
  <sheetFormatPr defaultRowHeight="15"/>
  <cols>
    <col min="1" max="1" width="15" style="10" customWidth="1"/>
    <col min="2" max="2" width="64.7109375" style="9" customWidth="1"/>
    <col min="3" max="4" width="6.42578125" style="10" customWidth="1"/>
    <col min="5" max="5" width="11.5703125" style="10" customWidth="1"/>
    <col min="6" max="8" width="13.7109375" style="8" customWidth="1"/>
    <col min="9" max="16384" width="9.140625" style="9"/>
  </cols>
  <sheetData>
    <row r="1" spans="1:8">
      <c r="G1" s="220" t="s">
        <v>1335</v>
      </c>
    </row>
    <row r="2" spans="1:8">
      <c r="G2" s="221" t="s">
        <v>1336</v>
      </c>
    </row>
    <row r="3" spans="1:8">
      <c r="G3" s="221" t="s">
        <v>1333</v>
      </c>
    </row>
    <row r="4" spans="1:8">
      <c r="G4" s="221" t="s">
        <v>1337</v>
      </c>
    </row>
    <row r="6" spans="1:8" ht="15" customHeight="1">
      <c r="A6" s="238" t="s">
        <v>481</v>
      </c>
      <c r="B6" s="238"/>
      <c r="C6" s="238"/>
      <c r="D6" s="238"/>
      <c r="E6" s="238"/>
      <c r="F6" s="7"/>
    </row>
    <row r="7" spans="1:8" ht="4.5" customHeight="1">
      <c r="A7" s="238"/>
      <c r="B7" s="238"/>
      <c r="C7" s="238"/>
      <c r="D7" s="238"/>
      <c r="E7" s="238"/>
    </row>
    <row r="8" spans="1:8">
      <c r="A8" s="239" t="s">
        <v>739</v>
      </c>
      <c r="B8" s="239"/>
      <c r="F8" s="7"/>
      <c r="H8" s="11" t="s">
        <v>482</v>
      </c>
    </row>
    <row r="9" spans="1:8" s="6" customFormat="1" ht="24.75" customHeight="1">
      <c r="A9" s="240" t="s">
        <v>738</v>
      </c>
      <c r="B9" s="234" t="s">
        <v>0</v>
      </c>
      <c r="C9" s="242" t="s">
        <v>1</v>
      </c>
      <c r="D9" s="242" t="s">
        <v>2</v>
      </c>
      <c r="E9" s="234" t="s">
        <v>3</v>
      </c>
      <c r="F9" s="231" t="s">
        <v>1326</v>
      </c>
      <c r="G9" s="232"/>
      <c r="H9" s="233"/>
    </row>
    <row r="10" spans="1:8" s="6" customFormat="1" ht="22.5" customHeight="1">
      <c r="A10" s="240"/>
      <c r="B10" s="241"/>
      <c r="C10" s="243"/>
      <c r="D10" s="243"/>
      <c r="E10" s="241"/>
      <c r="F10" s="234" t="s">
        <v>4</v>
      </c>
      <c r="G10" s="236" t="s">
        <v>5</v>
      </c>
      <c r="H10" s="237"/>
    </row>
    <row r="11" spans="1:8" s="6" customFormat="1" ht="27" customHeight="1">
      <c r="A11" s="240"/>
      <c r="B11" s="235"/>
      <c r="C11" s="244"/>
      <c r="D11" s="244"/>
      <c r="E11" s="235"/>
      <c r="F11" s="235"/>
      <c r="G11" s="12" t="s">
        <v>6</v>
      </c>
      <c r="H11" s="12" t="s">
        <v>7</v>
      </c>
    </row>
    <row r="12" spans="1:8" s="6" customFormat="1" ht="13.5" customHeight="1">
      <c r="A12" s="13">
        <v>1</v>
      </c>
      <c r="B12" s="14">
        <v>2</v>
      </c>
      <c r="C12" s="14">
        <v>3</v>
      </c>
      <c r="D12" s="14">
        <v>4</v>
      </c>
      <c r="E12" s="13">
        <v>5</v>
      </c>
      <c r="F12" s="14">
        <v>6</v>
      </c>
      <c r="G12" s="13">
        <v>7</v>
      </c>
      <c r="H12" s="14">
        <v>8</v>
      </c>
    </row>
    <row r="13" spans="1:8" s="6" customFormat="1" ht="22.5" customHeight="1">
      <c r="A13" s="15"/>
      <c r="B13" s="16" t="s">
        <v>480</v>
      </c>
      <c r="C13" s="17"/>
      <c r="D13" s="17"/>
      <c r="E13" s="18"/>
      <c r="F13" s="19">
        <f t="shared" ref="F13:F23" si="0">G13+H13</f>
        <v>1551644138</v>
      </c>
      <c r="G13" s="19">
        <f>G27+G37+G67+G91+G336+G366+G594+G599+G715+G781+G823+G841</f>
        <v>1233634105</v>
      </c>
      <c r="H13" s="19">
        <f>H27+H37+H67+H91+H336+H366+H594+H599+H715+H781+H823+H841</f>
        <v>318010033</v>
      </c>
    </row>
    <row r="14" spans="1:8" s="6" customFormat="1" ht="22.5" customHeight="1">
      <c r="A14" s="15"/>
      <c r="B14" s="20" t="s">
        <v>8</v>
      </c>
      <c r="C14" s="17"/>
      <c r="D14" s="17"/>
      <c r="E14" s="18"/>
      <c r="F14" s="19">
        <f t="shared" si="0"/>
        <v>962555691</v>
      </c>
      <c r="G14" s="19">
        <f>G13-G15-G16-G17-G18-G19-G20-G21-G22-G23-G24-G25</f>
        <v>767315436</v>
      </c>
      <c r="H14" s="19">
        <f>H13-H15-H16-H17-H18-H19-H20-H21-H22-H23-H24-H25</f>
        <v>195240255</v>
      </c>
    </row>
    <row r="15" spans="1:8" s="6" customFormat="1" ht="22.5" customHeight="1">
      <c r="A15" s="15"/>
      <c r="B15" s="20" t="s">
        <v>1327</v>
      </c>
      <c r="C15" s="17"/>
      <c r="D15" s="17"/>
      <c r="E15" s="21"/>
      <c r="F15" s="19">
        <f t="shared" si="0"/>
        <v>208890263</v>
      </c>
      <c r="G15" s="19">
        <f>G43+G100+G106+G113+G118+G126+G191+G194+G217+G228+G289+G333+G489+G603+G796+G832+G840</f>
        <v>127901410</v>
      </c>
      <c r="H15" s="19">
        <f>H43+H100+H106+H113+H118+H126+H191+H194+H217+H228+H289+H333+H489+H603+H796+H832+H840</f>
        <v>80988853</v>
      </c>
    </row>
    <row r="16" spans="1:8" s="6" customFormat="1" ht="22.5" customHeight="1">
      <c r="A16" s="22"/>
      <c r="B16" s="20" t="s">
        <v>1328</v>
      </c>
      <c r="C16" s="17"/>
      <c r="D16" s="17"/>
      <c r="E16" s="23"/>
      <c r="F16" s="19">
        <f t="shared" si="0"/>
        <v>540157</v>
      </c>
      <c r="G16" s="19">
        <f>G795+G839+G42</f>
        <v>511232</v>
      </c>
      <c r="H16" s="19">
        <f>H795+H839+H42</f>
        <v>28925</v>
      </c>
    </row>
    <row r="17" spans="1:8" s="6" customFormat="1" ht="22.5" customHeight="1">
      <c r="A17" s="22"/>
      <c r="B17" s="20" t="s">
        <v>10</v>
      </c>
      <c r="C17" s="24"/>
      <c r="D17" s="24"/>
      <c r="E17" s="24"/>
      <c r="F17" s="19">
        <f t="shared" si="0"/>
        <v>68950000</v>
      </c>
      <c r="G17" s="19">
        <f>G49+G436+G483+G736+G800</f>
        <v>53950000</v>
      </c>
      <c r="H17" s="19">
        <f>H49+H436+H483+H736+H800</f>
        <v>15000000</v>
      </c>
    </row>
    <row r="18" spans="1:8" s="6" customFormat="1" ht="22.5" customHeight="1">
      <c r="A18" s="22"/>
      <c r="B18" s="20" t="s">
        <v>9</v>
      </c>
      <c r="C18" s="24"/>
      <c r="D18" s="24"/>
      <c r="E18" s="24"/>
      <c r="F18" s="19">
        <f t="shared" si="0"/>
        <v>27820000</v>
      </c>
      <c r="G18" s="19">
        <f>G103+G255</f>
        <v>27820000</v>
      </c>
      <c r="H18" s="19">
        <f>H103+H255</f>
        <v>0</v>
      </c>
    </row>
    <row r="19" spans="1:8" s="6" customFormat="1" ht="22.5" customHeight="1">
      <c r="A19" s="22"/>
      <c r="B19" s="20" t="s">
        <v>71</v>
      </c>
      <c r="C19" s="24"/>
      <c r="D19" s="24"/>
      <c r="E19" s="24"/>
      <c r="F19" s="19">
        <f t="shared" si="0"/>
        <v>5087960</v>
      </c>
      <c r="G19" s="19">
        <f>G172</f>
        <v>5087960</v>
      </c>
      <c r="H19" s="19">
        <f>H172</f>
        <v>0</v>
      </c>
    </row>
    <row r="20" spans="1:8" s="6" customFormat="1" ht="22.5" customHeight="1">
      <c r="A20" s="22"/>
      <c r="B20" s="20" t="s">
        <v>72</v>
      </c>
      <c r="C20" s="24"/>
      <c r="D20" s="24"/>
      <c r="E20" s="24"/>
      <c r="F20" s="19">
        <f t="shared" si="0"/>
        <v>5959870</v>
      </c>
      <c r="G20" s="19">
        <f>G263</f>
        <v>5959870</v>
      </c>
      <c r="H20" s="19">
        <f>H263</f>
        <v>0</v>
      </c>
    </row>
    <row r="21" spans="1:8" s="6" customFormat="1" ht="22.5" customHeight="1">
      <c r="A21" s="22"/>
      <c r="B21" s="20" t="s">
        <v>11</v>
      </c>
      <c r="C21" s="24"/>
      <c r="D21" s="24"/>
      <c r="E21" s="24"/>
      <c r="F21" s="19">
        <f t="shared" si="0"/>
        <v>228095000</v>
      </c>
      <c r="G21" s="19">
        <f>G105+G125+G136+G204+G206+G222+G243+G249+G275+G278+G725+G733+G741</f>
        <v>203695000</v>
      </c>
      <c r="H21" s="19">
        <f>H105+H125+H136+H204+H206+H222+H243+H249+H275+H278+H725+H733+H741</f>
        <v>24400000</v>
      </c>
    </row>
    <row r="22" spans="1:8" s="6" customFormat="1" ht="22.5" customHeight="1">
      <c r="A22" s="22"/>
      <c r="B22" s="20" t="s">
        <v>73</v>
      </c>
      <c r="C22" s="24"/>
      <c r="D22" s="24"/>
      <c r="E22" s="24"/>
      <c r="F22" s="19">
        <f t="shared" si="0"/>
        <v>782811</v>
      </c>
      <c r="G22" s="19">
        <f>G787+G791</f>
        <v>782811</v>
      </c>
      <c r="H22" s="19">
        <f>H787+H791</f>
        <v>0</v>
      </c>
    </row>
    <row r="23" spans="1:8" s="6" customFormat="1" ht="22.5" customHeight="1">
      <c r="A23" s="22"/>
      <c r="B23" s="20" t="s">
        <v>74</v>
      </c>
      <c r="C23" s="24"/>
      <c r="D23" s="24"/>
      <c r="E23" s="24"/>
      <c r="F23" s="19">
        <f t="shared" si="0"/>
        <v>16847987</v>
      </c>
      <c r="G23" s="25">
        <f>G378</f>
        <v>16847987</v>
      </c>
      <c r="H23" s="25">
        <f>H378</f>
        <v>0</v>
      </c>
    </row>
    <row r="24" spans="1:8" s="6" customFormat="1" ht="22.5" customHeight="1">
      <c r="A24" s="26"/>
      <c r="B24" s="27" t="s">
        <v>75</v>
      </c>
      <c r="C24" s="24"/>
      <c r="D24" s="24"/>
      <c r="E24" s="17"/>
      <c r="F24" s="19">
        <f>G24+H24</f>
        <v>6111000</v>
      </c>
      <c r="G24" s="19">
        <v>5161000</v>
      </c>
      <c r="H24" s="19">
        <v>950000</v>
      </c>
    </row>
    <row r="25" spans="1:8" s="6" customFormat="1" ht="22.5" customHeight="1">
      <c r="A25" s="22"/>
      <c r="B25" s="28" t="s">
        <v>76</v>
      </c>
      <c r="C25" s="24"/>
      <c r="D25" s="24"/>
      <c r="E25" s="17"/>
      <c r="F25" s="19">
        <f t="shared" ref="F25" si="1">G25+H25</f>
        <v>20003399</v>
      </c>
      <c r="G25" s="19">
        <v>18601399</v>
      </c>
      <c r="H25" s="19">
        <v>1402000</v>
      </c>
    </row>
    <row r="26" spans="1:8" s="6" customFormat="1" ht="2.25" customHeight="1">
      <c r="A26" s="29"/>
      <c r="B26" s="30"/>
      <c r="C26" s="30"/>
      <c r="D26" s="30"/>
      <c r="E26" s="31"/>
      <c r="F26" s="32"/>
      <c r="G26" s="33"/>
      <c r="H26" s="32"/>
    </row>
    <row r="27" spans="1:8" s="6" customFormat="1" ht="24" customHeight="1">
      <c r="A27" s="15"/>
      <c r="B27" s="187" t="s">
        <v>77</v>
      </c>
      <c r="C27" s="200"/>
      <c r="D27" s="200"/>
      <c r="E27" s="169"/>
      <c r="F27" s="19">
        <f>F28</f>
        <v>3268998</v>
      </c>
      <c r="G27" s="19"/>
      <c r="H27" s="19">
        <f>H28</f>
        <v>3268998</v>
      </c>
    </row>
    <row r="28" spans="1:8" s="6" customFormat="1" ht="24" customHeight="1">
      <c r="A28" s="15"/>
      <c r="B28" s="187" t="s">
        <v>78</v>
      </c>
      <c r="C28" s="200"/>
      <c r="D28" s="200"/>
      <c r="E28" s="169"/>
      <c r="F28" s="19">
        <f>G28+H28</f>
        <v>3268998</v>
      </c>
      <c r="G28" s="19">
        <f>G29+G30+G32+G34+G35+G36</f>
        <v>0</v>
      </c>
      <c r="H28" s="19">
        <f>H29+H30+H32+H34+H35+H36</f>
        <v>3268998</v>
      </c>
    </row>
    <row r="29" spans="1:8" s="6" customFormat="1" ht="24" customHeight="1">
      <c r="A29" s="52" t="s">
        <v>1137</v>
      </c>
      <c r="B29" s="53" t="s">
        <v>1138</v>
      </c>
      <c r="C29" s="48">
        <v>851</v>
      </c>
      <c r="D29" s="48">
        <v>85111</v>
      </c>
      <c r="E29" s="186" t="s">
        <v>79</v>
      </c>
      <c r="F29" s="51">
        <f t="shared" ref="F29:F35" si="2">G29+H29</f>
        <v>1850000</v>
      </c>
      <c r="G29" s="51"/>
      <c r="H29" s="51">
        <v>1850000</v>
      </c>
    </row>
    <row r="30" spans="1:8" s="6" customFormat="1" ht="24" customHeight="1">
      <c r="A30" s="34" t="s">
        <v>80</v>
      </c>
      <c r="B30" s="35" t="s">
        <v>81</v>
      </c>
      <c r="C30" s="40"/>
      <c r="D30" s="40"/>
      <c r="E30" s="173"/>
      <c r="F30" s="39">
        <f t="shared" si="2"/>
        <v>125405</v>
      </c>
      <c r="G30" s="39"/>
      <c r="H30" s="39">
        <f>H31</f>
        <v>125405</v>
      </c>
    </row>
    <row r="31" spans="1:8" s="6" customFormat="1" ht="21" customHeight="1">
      <c r="A31" s="41"/>
      <c r="B31" s="65" t="s">
        <v>8</v>
      </c>
      <c r="C31" s="43">
        <v>851</v>
      </c>
      <c r="D31" s="43">
        <v>85111</v>
      </c>
      <c r="E31" s="174" t="s">
        <v>79</v>
      </c>
      <c r="F31" s="44">
        <f t="shared" si="2"/>
        <v>125405</v>
      </c>
      <c r="G31" s="44"/>
      <c r="H31" s="44">
        <v>125405</v>
      </c>
    </row>
    <row r="32" spans="1:8" s="6" customFormat="1" ht="24" customHeight="1">
      <c r="A32" s="34" t="s">
        <v>82</v>
      </c>
      <c r="B32" s="35" t="s">
        <v>83</v>
      </c>
      <c r="C32" s="46"/>
      <c r="D32" s="46"/>
      <c r="E32" s="173"/>
      <c r="F32" s="39">
        <f t="shared" si="2"/>
        <v>148593</v>
      </c>
      <c r="G32" s="39"/>
      <c r="H32" s="39">
        <f>H33</f>
        <v>148593</v>
      </c>
    </row>
    <row r="33" spans="1:8" s="6" customFormat="1" ht="21.75" customHeight="1">
      <c r="A33" s="47"/>
      <c r="B33" s="56" t="s">
        <v>8</v>
      </c>
      <c r="C33" s="46">
        <v>851</v>
      </c>
      <c r="D33" s="46">
        <v>85111</v>
      </c>
      <c r="E33" s="175" t="s">
        <v>79</v>
      </c>
      <c r="F33" s="38">
        <f t="shared" si="2"/>
        <v>148593</v>
      </c>
      <c r="G33" s="38"/>
      <c r="H33" s="38">
        <v>148593</v>
      </c>
    </row>
    <row r="34" spans="1:8" s="6" customFormat="1" ht="24" customHeight="1">
      <c r="A34" s="48" t="s">
        <v>1240</v>
      </c>
      <c r="B34" s="49" t="s">
        <v>1241</v>
      </c>
      <c r="C34" s="50">
        <v>851</v>
      </c>
      <c r="D34" s="50">
        <v>85117</v>
      </c>
      <c r="E34" s="176" t="s">
        <v>79</v>
      </c>
      <c r="F34" s="51">
        <f t="shared" si="2"/>
        <v>300000</v>
      </c>
      <c r="G34" s="51"/>
      <c r="H34" s="51">
        <v>300000</v>
      </c>
    </row>
    <row r="35" spans="1:8" s="6" customFormat="1" ht="24" customHeight="1">
      <c r="A35" s="48" t="s">
        <v>872</v>
      </c>
      <c r="B35" s="49" t="s">
        <v>1334</v>
      </c>
      <c r="C35" s="50">
        <v>851</v>
      </c>
      <c r="D35" s="50">
        <v>85111</v>
      </c>
      <c r="E35" s="176" t="s">
        <v>79</v>
      </c>
      <c r="F35" s="51">
        <f t="shared" si="2"/>
        <v>765000</v>
      </c>
      <c r="G35" s="51"/>
      <c r="H35" s="51">
        <v>765000</v>
      </c>
    </row>
    <row r="36" spans="1:8" s="6" customFormat="1" ht="24" customHeight="1">
      <c r="A36" s="52" t="s">
        <v>1144</v>
      </c>
      <c r="B36" s="61" t="s">
        <v>1143</v>
      </c>
      <c r="C36" s="50">
        <v>851</v>
      </c>
      <c r="D36" s="50">
        <v>85111</v>
      </c>
      <c r="E36" s="176" t="s">
        <v>79</v>
      </c>
      <c r="F36" s="38">
        <f t="shared" ref="F36" si="3">G36+H36</f>
        <v>80000</v>
      </c>
      <c r="G36" s="51"/>
      <c r="H36" s="51">
        <v>80000</v>
      </c>
    </row>
    <row r="37" spans="1:8" s="6" customFormat="1" ht="24" customHeight="1">
      <c r="A37" s="15"/>
      <c r="B37" s="187" t="s">
        <v>84</v>
      </c>
      <c r="C37" s="200"/>
      <c r="D37" s="200"/>
      <c r="E37" s="169"/>
      <c r="F37" s="19">
        <f>G37+H37</f>
        <v>37834335</v>
      </c>
      <c r="G37" s="19">
        <f>+G38+G51+G61</f>
        <v>8420335</v>
      </c>
      <c r="H37" s="19">
        <f>+H38+H51+H61</f>
        <v>29414000</v>
      </c>
    </row>
    <row r="38" spans="1:8" s="6" customFormat="1" ht="24" customHeight="1">
      <c r="A38" s="15"/>
      <c r="B38" s="187" t="s">
        <v>85</v>
      </c>
      <c r="C38" s="201"/>
      <c r="D38" s="201"/>
      <c r="E38" s="168"/>
      <c r="F38" s="19">
        <f>G38+H38</f>
        <v>28774295</v>
      </c>
      <c r="G38" s="19">
        <f>G39+G40+G44+G45+G46+G47+G50</f>
        <v>3310295</v>
      </c>
      <c r="H38" s="19">
        <f>H39+H40+H44+H45+H46+H47+H50</f>
        <v>25464000</v>
      </c>
    </row>
    <row r="39" spans="1:8" s="6" customFormat="1" ht="24" customHeight="1">
      <c r="A39" s="52" t="s">
        <v>86</v>
      </c>
      <c r="B39" s="53" t="s">
        <v>87</v>
      </c>
      <c r="C39" s="54">
        <v>852</v>
      </c>
      <c r="D39" s="54">
        <v>85219</v>
      </c>
      <c r="E39" s="205" t="s">
        <v>88</v>
      </c>
      <c r="F39" s="51">
        <f>G39+H39</f>
        <v>1937935</v>
      </c>
      <c r="G39" s="51">
        <f>937935+1000000</f>
        <v>1937935</v>
      </c>
      <c r="H39" s="51"/>
    </row>
    <row r="40" spans="1:8" s="6" customFormat="1" ht="22.5" customHeight="1">
      <c r="A40" s="34" t="s">
        <v>483</v>
      </c>
      <c r="B40" s="35" t="s">
        <v>846</v>
      </c>
      <c r="C40" s="55"/>
      <c r="D40" s="55"/>
      <c r="E40" s="177"/>
      <c r="F40" s="39">
        <f t="shared" ref="F40:F43" si="4">G40+H40</f>
        <v>234000</v>
      </c>
      <c r="G40" s="39"/>
      <c r="H40" s="39">
        <f>SUM(H41:H43)</f>
        <v>234000</v>
      </c>
    </row>
    <row r="41" spans="1:8" s="58" customFormat="1" ht="22.5" customHeight="1">
      <c r="A41" s="47"/>
      <c r="B41" s="56" t="s">
        <v>8</v>
      </c>
      <c r="C41" s="57">
        <v>853</v>
      </c>
      <c r="D41" s="57">
        <v>85395</v>
      </c>
      <c r="E41" s="181" t="s">
        <v>484</v>
      </c>
      <c r="F41" s="38">
        <f t="shared" si="4"/>
        <v>50000</v>
      </c>
      <c r="G41" s="38"/>
      <c r="H41" s="38">
        <f>68400-18400</f>
        <v>50000</v>
      </c>
    </row>
    <row r="42" spans="1:8" s="58" customFormat="1" ht="22.5" customHeight="1">
      <c r="A42" s="47"/>
      <c r="B42" s="56" t="s">
        <v>1328</v>
      </c>
      <c r="C42" s="57">
        <v>853</v>
      </c>
      <c r="D42" s="57">
        <v>85395</v>
      </c>
      <c r="E42" s="181" t="s">
        <v>484</v>
      </c>
      <c r="F42" s="38">
        <f t="shared" si="4"/>
        <v>28925</v>
      </c>
      <c r="G42" s="38"/>
      <c r="H42" s="38">
        <v>28925</v>
      </c>
    </row>
    <row r="43" spans="1:8" s="6" customFormat="1" ht="22.5" customHeight="1">
      <c r="A43" s="41"/>
      <c r="B43" s="65" t="s">
        <v>1327</v>
      </c>
      <c r="C43" s="59">
        <v>853</v>
      </c>
      <c r="D43" s="59">
        <v>85395</v>
      </c>
      <c r="E43" s="182" t="s">
        <v>484</v>
      </c>
      <c r="F43" s="44">
        <f t="shared" si="4"/>
        <v>155075</v>
      </c>
      <c r="G43" s="44"/>
      <c r="H43" s="44">
        <v>155075</v>
      </c>
    </row>
    <row r="44" spans="1:8" s="6" customFormat="1" ht="24" customHeight="1">
      <c r="A44" s="52" t="s">
        <v>89</v>
      </c>
      <c r="B44" s="53" t="s">
        <v>485</v>
      </c>
      <c r="C44" s="54">
        <v>852</v>
      </c>
      <c r="D44" s="54">
        <v>85295</v>
      </c>
      <c r="E44" s="205" t="s">
        <v>88</v>
      </c>
      <c r="F44" s="51">
        <f>G44+H44</f>
        <v>772360</v>
      </c>
      <c r="G44" s="51">
        <v>772360</v>
      </c>
      <c r="H44" s="51"/>
    </row>
    <row r="45" spans="1:8" s="6" customFormat="1" ht="24" customHeight="1">
      <c r="A45" s="52" t="s">
        <v>1214</v>
      </c>
      <c r="B45" s="53" t="s">
        <v>1215</v>
      </c>
      <c r="C45" s="54">
        <v>851</v>
      </c>
      <c r="D45" s="54">
        <v>85195</v>
      </c>
      <c r="E45" s="205" t="s">
        <v>1213</v>
      </c>
      <c r="F45" s="51">
        <f>G45+H45</f>
        <v>600000</v>
      </c>
      <c r="G45" s="51">
        <v>600000</v>
      </c>
      <c r="H45" s="51"/>
    </row>
    <row r="46" spans="1:8" s="6" customFormat="1" ht="24" customHeight="1">
      <c r="A46" s="34" t="s">
        <v>740</v>
      </c>
      <c r="B46" s="35" t="s">
        <v>741</v>
      </c>
      <c r="C46" s="55">
        <v>852</v>
      </c>
      <c r="D46" s="55">
        <v>85295</v>
      </c>
      <c r="E46" s="206" t="s">
        <v>88</v>
      </c>
      <c r="F46" s="39">
        <f>G46+H46</f>
        <v>92939</v>
      </c>
      <c r="G46" s="39"/>
      <c r="H46" s="39">
        <v>92939</v>
      </c>
    </row>
    <row r="47" spans="1:8" s="6" customFormat="1" ht="22.5" customHeight="1">
      <c r="A47" s="60" t="s">
        <v>91</v>
      </c>
      <c r="B47" s="61" t="s">
        <v>92</v>
      </c>
      <c r="C47" s="55"/>
      <c r="D47" s="55"/>
      <c r="E47" s="206"/>
      <c r="F47" s="39">
        <f>G47+H47</f>
        <v>24907061</v>
      </c>
      <c r="G47" s="39"/>
      <c r="H47" s="39">
        <f>H48+H49</f>
        <v>24907061</v>
      </c>
    </row>
    <row r="48" spans="1:8" s="6" customFormat="1" ht="22.5" customHeight="1">
      <c r="A48" s="62"/>
      <c r="B48" s="56" t="s">
        <v>8</v>
      </c>
      <c r="C48" s="57">
        <v>852</v>
      </c>
      <c r="D48" s="57">
        <v>85202</v>
      </c>
      <c r="E48" s="207" t="s">
        <v>88</v>
      </c>
      <c r="F48" s="38">
        <f>+G48+H48</f>
        <v>9907061</v>
      </c>
      <c r="G48" s="38"/>
      <c r="H48" s="38">
        <f>11000000-1000000-92939</f>
        <v>9907061</v>
      </c>
    </row>
    <row r="49" spans="1:8" s="6" customFormat="1" ht="22.5" customHeight="1">
      <c r="A49" s="64"/>
      <c r="B49" s="65" t="s">
        <v>10</v>
      </c>
      <c r="C49" s="59">
        <v>852</v>
      </c>
      <c r="D49" s="59">
        <v>85202</v>
      </c>
      <c r="E49" s="208" t="s">
        <v>88</v>
      </c>
      <c r="F49" s="44">
        <f>+G49+H49</f>
        <v>15000000</v>
      </c>
      <c r="G49" s="44"/>
      <c r="H49" s="44">
        <v>15000000</v>
      </c>
    </row>
    <row r="50" spans="1:8" s="6" customFormat="1" ht="24" customHeight="1">
      <c r="A50" s="64" t="s">
        <v>1172</v>
      </c>
      <c r="B50" s="66" t="s">
        <v>1171</v>
      </c>
      <c r="C50" s="59">
        <v>852</v>
      </c>
      <c r="D50" s="59">
        <v>85202</v>
      </c>
      <c r="E50" s="208" t="s">
        <v>1173</v>
      </c>
      <c r="F50" s="39">
        <f t="shared" ref="F50:F55" si="5">G50+H50</f>
        <v>230000</v>
      </c>
      <c r="G50" s="39"/>
      <c r="H50" s="39">
        <v>230000</v>
      </c>
    </row>
    <row r="51" spans="1:8" s="6" customFormat="1" ht="24" customHeight="1">
      <c r="A51" s="15"/>
      <c r="B51" s="187" t="s">
        <v>93</v>
      </c>
      <c r="C51" s="201"/>
      <c r="D51" s="201"/>
      <c r="E51" s="168"/>
      <c r="F51" s="19">
        <f t="shared" si="5"/>
        <v>5110040</v>
      </c>
      <c r="G51" s="19">
        <f>SUM(G52:G60)</f>
        <v>5110040</v>
      </c>
      <c r="H51" s="19">
        <f>SUM(H52:H60)</f>
        <v>0</v>
      </c>
    </row>
    <row r="52" spans="1:8" s="6" customFormat="1" ht="24" customHeight="1">
      <c r="A52" s="52" t="s">
        <v>744</v>
      </c>
      <c r="B52" s="53" t="s">
        <v>745</v>
      </c>
      <c r="C52" s="54">
        <v>855</v>
      </c>
      <c r="D52" s="54">
        <v>85516</v>
      </c>
      <c r="E52" s="205" t="s">
        <v>23</v>
      </c>
      <c r="F52" s="51">
        <f t="shared" si="5"/>
        <v>300000</v>
      </c>
      <c r="G52" s="51">
        <v>300000</v>
      </c>
      <c r="H52" s="51"/>
    </row>
    <row r="53" spans="1:8" s="6" customFormat="1" ht="24" customHeight="1">
      <c r="A53" s="63" t="s">
        <v>1245</v>
      </c>
      <c r="B53" s="117" t="s">
        <v>1246</v>
      </c>
      <c r="C53" s="54">
        <v>855</v>
      </c>
      <c r="D53" s="54">
        <v>85516</v>
      </c>
      <c r="E53" s="205" t="s">
        <v>23</v>
      </c>
      <c r="F53" s="51">
        <f t="shared" si="5"/>
        <v>546000</v>
      </c>
      <c r="G53" s="51">
        <v>546000</v>
      </c>
      <c r="H53" s="51"/>
    </row>
    <row r="54" spans="1:8" s="6" customFormat="1" ht="24" customHeight="1">
      <c r="A54" s="67" t="s">
        <v>94</v>
      </c>
      <c r="B54" s="53" t="s">
        <v>95</v>
      </c>
      <c r="C54" s="68">
        <v>855</v>
      </c>
      <c r="D54" s="69">
        <v>85516</v>
      </c>
      <c r="E54" s="205" t="s">
        <v>23</v>
      </c>
      <c r="F54" s="51">
        <f t="shared" si="5"/>
        <v>2616616</v>
      </c>
      <c r="G54" s="70">
        <v>2616616</v>
      </c>
      <c r="H54" s="51"/>
    </row>
    <row r="55" spans="1:8" s="6" customFormat="1" ht="24" customHeight="1">
      <c r="A55" s="67" t="s">
        <v>746</v>
      </c>
      <c r="B55" s="53" t="s">
        <v>747</v>
      </c>
      <c r="C55" s="68">
        <v>855</v>
      </c>
      <c r="D55" s="69">
        <v>85516</v>
      </c>
      <c r="E55" s="205" t="s">
        <v>23</v>
      </c>
      <c r="F55" s="51">
        <f t="shared" si="5"/>
        <v>300000</v>
      </c>
      <c r="G55" s="70">
        <v>300000</v>
      </c>
      <c r="H55" s="51"/>
    </row>
    <row r="56" spans="1:8" s="6" customFormat="1" ht="24" customHeight="1">
      <c r="A56" s="67" t="s">
        <v>96</v>
      </c>
      <c r="B56" s="53" t="s">
        <v>97</v>
      </c>
      <c r="C56" s="68">
        <v>855</v>
      </c>
      <c r="D56" s="69">
        <v>85516</v>
      </c>
      <c r="E56" s="205" t="s">
        <v>23</v>
      </c>
      <c r="F56" s="70">
        <f>G56</f>
        <v>207424</v>
      </c>
      <c r="G56" s="70">
        <v>207424</v>
      </c>
      <c r="H56" s="70"/>
    </row>
    <row r="57" spans="1:8" s="6" customFormat="1" ht="24" customHeight="1">
      <c r="A57" s="67" t="s">
        <v>977</v>
      </c>
      <c r="B57" s="53" t="s">
        <v>976</v>
      </c>
      <c r="C57" s="68">
        <v>855</v>
      </c>
      <c r="D57" s="69">
        <v>85516</v>
      </c>
      <c r="E57" s="205" t="s">
        <v>23</v>
      </c>
      <c r="F57" s="70">
        <f>G57</f>
        <v>240000</v>
      </c>
      <c r="G57" s="70">
        <v>240000</v>
      </c>
      <c r="H57" s="70"/>
    </row>
    <row r="58" spans="1:8" s="6" customFormat="1" ht="24" customHeight="1">
      <c r="A58" s="67" t="s">
        <v>1076</v>
      </c>
      <c r="B58" s="53" t="s">
        <v>1075</v>
      </c>
      <c r="C58" s="68">
        <v>855</v>
      </c>
      <c r="D58" s="69">
        <v>85516</v>
      </c>
      <c r="E58" s="205" t="s">
        <v>23</v>
      </c>
      <c r="F58" s="70">
        <f>G58</f>
        <v>200000</v>
      </c>
      <c r="G58" s="70">
        <v>200000</v>
      </c>
      <c r="H58" s="70"/>
    </row>
    <row r="59" spans="1:8" s="6" customFormat="1" ht="24" customHeight="1">
      <c r="A59" s="67" t="s">
        <v>1157</v>
      </c>
      <c r="B59" s="53" t="s">
        <v>1158</v>
      </c>
      <c r="C59" s="68">
        <v>855</v>
      </c>
      <c r="D59" s="69">
        <v>85516</v>
      </c>
      <c r="E59" s="205" t="s">
        <v>23</v>
      </c>
      <c r="F59" s="70">
        <f>G59</f>
        <v>200000</v>
      </c>
      <c r="G59" s="70">
        <v>200000</v>
      </c>
      <c r="H59" s="70"/>
    </row>
    <row r="60" spans="1:8" s="6" customFormat="1" ht="24" customHeight="1">
      <c r="A60" s="67" t="s">
        <v>871</v>
      </c>
      <c r="B60" s="53" t="s">
        <v>748</v>
      </c>
      <c r="C60" s="68">
        <v>855</v>
      </c>
      <c r="D60" s="69">
        <v>85516</v>
      </c>
      <c r="E60" s="205" t="s">
        <v>23</v>
      </c>
      <c r="F60" s="70">
        <f>G60</f>
        <v>500000</v>
      </c>
      <c r="G60" s="70">
        <v>500000</v>
      </c>
      <c r="H60" s="70"/>
    </row>
    <row r="61" spans="1:8" s="6" customFormat="1" ht="24" customHeight="1">
      <c r="A61" s="15"/>
      <c r="B61" s="187" t="s">
        <v>98</v>
      </c>
      <c r="C61" s="201"/>
      <c r="D61" s="201"/>
      <c r="E61" s="168"/>
      <c r="F61" s="19">
        <f t="shared" ref="F61:F88" si="6">G61+H61</f>
        <v>3950000</v>
      </c>
      <c r="G61" s="19">
        <f>SUM(G62:G64)</f>
        <v>0</v>
      </c>
      <c r="H61" s="19">
        <f>SUM(H62:H65)</f>
        <v>3950000</v>
      </c>
    </row>
    <row r="62" spans="1:8" s="6" customFormat="1" ht="24" customHeight="1">
      <c r="A62" s="52" t="s">
        <v>519</v>
      </c>
      <c r="B62" s="53" t="s">
        <v>520</v>
      </c>
      <c r="C62" s="54">
        <v>853</v>
      </c>
      <c r="D62" s="54">
        <v>85395</v>
      </c>
      <c r="E62" s="205" t="s">
        <v>99</v>
      </c>
      <c r="F62" s="51">
        <f t="shared" si="6"/>
        <v>1000000</v>
      </c>
      <c r="G62" s="51"/>
      <c r="H62" s="51">
        <f>300000+700000</f>
        <v>1000000</v>
      </c>
    </row>
    <row r="63" spans="1:8" s="6" customFormat="1" ht="24" customHeight="1">
      <c r="A63" s="67" t="s">
        <v>100</v>
      </c>
      <c r="B63" s="53" t="s">
        <v>101</v>
      </c>
      <c r="C63" s="68">
        <v>853</v>
      </c>
      <c r="D63" s="69">
        <v>85395</v>
      </c>
      <c r="E63" s="205" t="s">
        <v>90</v>
      </c>
      <c r="F63" s="51">
        <f t="shared" si="6"/>
        <v>1500000</v>
      </c>
      <c r="G63" s="70"/>
      <c r="H63" s="51">
        <f>1200000+300000</f>
        <v>1500000</v>
      </c>
    </row>
    <row r="64" spans="1:8" s="6" customFormat="1" ht="24" customHeight="1">
      <c r="A64" s="67" t="s">
        <v>848</v>
      </c>
      <c r="B64" s="53" t="s">
        <v>849</v>
      </c>
      <c r="C64" s="68">
        <v>853</v>
      </c>
      <c r="D64" s="69">
        <v>85395</v>
      </c>
      <c r="E64" s="205" t="s">
        <v>850</v>
      </c>
      <c r="F64" s="70">
        <f>G64+H64</f>
        <v>100000</v>
      </c>
      <c r="G64" s="70"/>
      <c r="H64" s="51">
        <v>100000</v>
      </c>
    </row>
    <row r="65" spans="1:8" s="6" customFormat="1" ht="24" customHeight="1">
      <c r="A65" s="67" t="s">
        <v>910</v>
      </c>
      <c r="B65" s="53" t="s">
        <v>911</v>
      </c>
      <c r="C65" s="68">
        <v>853</v>
      </c>
      <c r="D65" s="69">
        <v>85395</v>
      </c>
      <c r="E65" s="205" t="s">
        <v>306</v>
      </c>
      <c r="F65" s="70">
        <f>G65+H65</f>
        <v>1350000</v>
      </c>
      <c r="G65" s="70"/>
      <c r="H65" s="51">
        <v>1350000</v>
      </c>
    </row>
    <row r="66" spans="1:8" s="6" customFormat="1" ht="24" customHeight="1">
      <c r="A66" s="71"/>
      <c r="B66" s="187" t="s">
        <v>737</v>
      </c>
      <c r="C66" s="201"/>
      <c r="D66" s="201"/>
      <c r="E66" s="168"/>
      <c r="F66" s="19">
        <f t="shared" si="6"/>
        <v>5316240</v>
      </c>
      <c r="G66" s="19">
        <f>G67</f>
        <v>4261240</v>
      </c>
      <c r="H66" s="19">
        <f>H67</f>
        <v>1055000</v>
      </c>
    </row>
    <row r="67" spans="1:8" s="6" customFormat="1" ht="24" customHeight="1">
      <c r="A67" s="15"/>
      <c r="B67" s="187" t="s">
        <v>102</v>
      </c>
      <c r="C67" s="200"/>
      <c r="D67" s="200"/>
      <c r="E67" s="169"/>
      <c r="F67" s="72">
        <f t="shared" si="6"/>
        <v>5316240</v>
      </c>
      <c r="G67" s="19">
        <f>G68+G69+G70+G71+G72+G73+G75+G77+G79+G81+G83+G85+G87+G89+G90</f>
        <v>4261240</v>
      </c>
      <c r="H67" s="19">
        <f>H68+H69+H70+H71+H72+H73+H75+H77+H79+H81+H83+H85+H87+H89+H90</f>
        <v>1055000</v>
      </c>
    </row>
    <row r="68" spans="1:8" s="6" customFormat="1" ht="24" customHeight="1">
      <c r="A68" s="34" t="s">
        <v>103</v>
      </c>
      <c r="B68" s="35" t="s">
        <v>104</v>
      </c>
      <c r="C68" s="36">
        <v>754</v>
      </c>
      <c r="D68" s="36">
        <v>75416</v>
      </c>
      <c r="E68" s="183" t="s">
        <v>23</v>
      </c>
      <c r="F68" s="39">
        <f t="shared" si="6"/>
        <v>598240</v>
      </c>
      <c r="G68" s="39">
        <v>598240</v>
      </c>
      <c r="H68" s="39"/>
    </row>
    <row r="69" spans="1:8" s="6" customFormat="1" ht="24" customHeight="1">
      <c r="A69" s="52" t="s">
        <v>105</v>
      </c>
      <c r="B69" s="53" t="s">
        <v>106</v>
      </c>
      <c r="C69" s="50">
        <v>754</v>
      </c>
      <c r="D69" s="50">
        <v>75412</v>
      </c>
      <c r="E69" s="205" t="s">
        <v>23</v>
      </c>
      <c r="F69" s="51">
        <f t="shared" si="6"/>
        <v>2000000</v>
      </c>
      <c r="G69" s="51">
        <f>1800000+200000</f>
        <v>2000000</v>
      </c>
      <c r="H69" s="51"/>
    </row>
    <row r="70" spans="1:8" s="6" customFormat="1" ht="24" customHeight="1">
      <c r="A70" s="52" t="s">
        <v>107</v>
      </c>
      <c r="B70" s="53" t="s">
        <v>108</v>
      </c>
      <c r="C70" s="50">
        <v>754</v>
      </c>
      <c r="D70" s="50">
        <v>75412</v>
      </c>
      <c r="E70" s="205" t="s">
        <v>23</v>
      </c>
      <c r="F70" s="51">
        <f t="shared" si="6"/>
        <v>100000</v>
      </c>
      <c r="G70" s="51">
        <v>100000</v>
      </c>
      <c r="H70" s="51"/>
    </row>
    <row r="71" spans="1:8" s="6" customFormat="1" ht="24" customHeight="1">
      <c r="A71" s="34" t="s">
        <v>955</v>
      </c>
      <c r="B71" s="35" t="s">
        <v>954</v>
      </c>
      <c r="C71" s="50">
        <v>754</v>
      </c>
      <c r="D71" s="50">
        <v>75412</v>
      </c>
      <c r="E71" s="205" t="s">
        <v>23</v>
      </c>
      <c r="F71" s="51">
        <f t="shared" si="6"/>
        <v>50000</v>
      </c>
      <c r="G71" s="39">
        <v>50000</v>
      </c>
      <c r="H71" s="39"/>
    </row>
    <row r="72" spans="1:8" s="6" customFormat="1" ht="24" customHeight="1">
      <c r="A72" s="34" t="s">
        <v>873</v>
      </c>
      <c r="B72" s="35" t="s">
        <v>893</v>
      </c>
      <c r="C72" s="40">
        <v>754</v>
      </c>
      <c r="D72" s="40">
        <v>75412</v>
      </c>
      <c r="E72" s="205" t="s">
        <v>23</v>
      </c>
      <c r="F72" s="51">
        <f t="shared" ref="F72" si="7">G72+H72</f>
        <v>800000</v>
      </c>
      <c r="G72" s="39">
        <v>800000</v>
      </c>
      <c r="H72" s="39"/>
    </row>
    <row r="73" spans="1:8" s="6" customFormat="1" ht="20.25" customHeight="1">
      <c r="A73" s="34" t="s">
        <v>634</v>
      </c>
      <c r="B73" s="124" t="s">
        <v>635</v>
      </c>
      <c r="C73" s="40"/>
      <c r="D73" s="40"/>
      <c r="E73" s="183"/>
      <c r="F73" s="39">
        <f t="shared" si="6"/>
        <v>950000</v>
      </c>
      <c r="G73" s="73">
        <f>SUM(G74)</f>
        <v>0</v>
      </c>
      <c r="H73" s="73">
        <f>SUM(H74)</f>
        <v>950000</v>
      </c>
    </row>
    <row r="74" spans="1:8" s="6" customFormat="1" ht="20.25" customHeight="1">
      <c r="A74" s="41"/>
      <c r="B74" s="65" t="s">
        <v>548</v>
      </c>
      <c r="C74" s="43">
        <v>754</v>
      </c>
      <c r="D74" s="43">
        <v>75411</v>
      </c>
      <c r="E74" s="185" t="s">
        <v>549</v>
      </c>
      <c r="F74" s="44">
        <f t="shared" si="6"/>
        <v>950000</v>
      </c>
      <c r="G74" s="75"/>
      <c r="H74" s="75">
        <v>950000</v>
      </c>
    </row>
    <row r="75" spans="1:8" s="6" customFormat="1" ht="20.25" customHeight="1">
      <c r="A75" s="34" t="s">
        <v>636</v>
      </c>
      <c r="B75" s="124" t="s">
        <v>662</v>
      </c>
      <c r="C75" s="40"/>
      <c r="D75" s="40"/>
      <c r="E75" s="183"/>
      <c r="F75" s="39">
        <f t="shared" si="6"/>
        <v>19000</v>
      </c>
      <c r="G75" s="73">
        <f>SUM(G76)</f>
        <v>0</v>
      </c>
      <c r="H75" s="73">
        <f>SUM(H76)</f>
        <v>19000</v>
      </c>
    </row>
    <row r="76" spans="1:8" s="6" customFormat="1" ht="20.25" customHeight="1">
      <c r="A76" s="41"/>
      <c r="B76" s="65" t="s">
        <v>547</v>
      </c>
      <c r="C76" s="43">
        <v>754</v>
      </c>
      <c r="D76" s="43">
        <v>75411</v>
      </c>
      <c r="E76" s="185" t="s">
        <v>549</v>
      </c>
      <c r="F76" s="44">
        <f t="shared" si="6"/>
        <v>19000</v>
      </c>
      <c r="G76" s="75"/>
      <c r="H76" s="75">
        <v>19000</v>
      </c>
    </row>
    <row r="77" spans="1:8" s="6" customFormat="1" ht="20.25" customHeight="1">
      <c r="A77" s="34" t="s">
        <v>637</v>
      </c>
      <c r="B77" s="124" t="s">
        <v>638</v>
      </c>
      <c r="C77" s="40"/>
      <c r="D77" s="40"/>
      <c r="E77" s="183"/>
      <c r="F77" s="39">
        <f t="shared" si="6"/>
        <v>48000</v>
      </c>
      <c r="G77" s="73">
        <f>SUM(G78)</f>
        <v>0</v>
      </c>
      <c r="H77" s="73">
        <f>SUM(H78)</f>
        <v>48000</v>
      </c>
    </row>
    <row r="78" spans="1:8" s="6" customFormat="1" ht="20.25" customHeight="1">
      <c r="A78" s="41"/>
      <c r="B78" s="65" t="s">
        <v>547</v>
      </c>
      <c r="C78" s="43">
        <v>754</v>
      </c>
      <c r="D78" s="43">
        <v>75411</v>
      </c>
      <c r="E78" s="185" t="s">
        <v>549</v>
      </c>
      <c r="F78" s="44">
        <f t="shared" si="6"/>
        <v>48000</v>
      </c>
      <c r="G78" s="75"/>
      <c r="H78" s="75">
        <v>48000</v>
      </c>
    </row>
    <row r="79" spans="1:8" s="6" customFormat="1" ht="20.25" customHeight="1">
      <c r="A79" s="34" t="s">
        <v>639</v>
      </c>
      <c r="B79" s="124" t="s">
        <v>663</v>
      </c>
      <c r="C79" s="40"/>
      <c r="D79" s="40"/>
      <c r="E79" s="183"/>
      <c r="F79" s="39">
        <f t="shared" si="6"/>
        <v>19000</v>
      </c>
      <c r="G79" s="73">
        <f>SUM(G80)</f>
        <v>0</v>
      </c>
      <c r="H79" s="73">
        <f>SUM(H80)</f>
        <v>19000</v>
      </c>
    </row>
    <row r="80" spans="1:8" s="6" customFormat="1" ht="20.25" customHeight="1">
      <c r="A80" s="41"/>
      <c r="B80" s="65" t="s">
        <v>547</v>
      </c>
      <c r="C80" s="43">
        <v>754</v>
      </c>
      <c r="D80" s="43">
        <v>75411</v>
      </c>
      <c r="E80" s="185" t="s">
        <v>549</v>
      </c>
      <c r="F80" s="44">
        <f t="shared" si="6"/>
        <v>19000</v>
      </c>
      <c r="G80" s="75"/>
      <c r="H80" s="75">
        <v>19000</v>
      </c>
    </row>
    <row r="81" spans="1:8" s="6" customFormat="1" ht="20.25" customHeight="1">
      <c r="A81" s="34" t="s">
        <v>640</v>
      </c>
      <c r="B81" s="124" t="s">
        <v>641</v>
      </c>
      <c r="C81" s="40"/>
      <c r="D81" s="40"/>
      <c r="E81" s="183"/>
      <c r="F81" s="39">
        <f t="shared" si="6"/>
        <v>19000</v>
      </c>
      <c r="G81" s="73">
        <f>SUM(G82)</f>
        <v>0</v>
      </c>
      <c r="H81" s="73">
        <f>SUM(H82)</f>
        <v>19000</v>
      </c>
    </row>
    <row r="82" spans="1:8" s="6" customFormat="1" ht="20.25" customHeight="1">
      <c r="A82" s="41"/>
      <c r="B82" s="65" t="s">
        <v>547</v>
      </c>
      <c r="C82" s="43">
        <v>754</v>
      </c>
      <c r="D82" s="43">
        <v>75411</v>
      </c>
      <c r="E82" s="185" t="s">
        <v>549</v>
      </c>
      <c r="F82" s="44">
        <f t="shared" si="6"/>
        <v>19000</v>
      </c>
      <c r="G82" s="75"/>
      <c r="H82" s="75">
        <v>19000</v>
      </c>
    </row>
    <row r="83" spans="1:8" s="6" customFormat="1" ht="20.25" customHeight="1">
      <c r="A83" s="47" t="s">
        <v>642</v>
      </c>
      <c r="B83" s="188" t="s">
        <v>551</v>
      </c>
      <c r="C83" s="46"/>
      <c r="D83" s="46"/>
      <c r="E83" s="184"/>
      <c r="F83" s="39">
        <f t="shared" si="6"/>
        <v>12000</v>
      </c>
      <c r="G83" s="77">
        <f>G84</f>
        <v>12000</v>
      </c>
      <c r="H83" s="77"/>
    </row>
    <row r="84" spans="1:8" s="6" customFormat="1" ht="20.25" customHeight="1">
      <c r="A84" s="47"/>
      <c r="B84" s="56" t="s">
        <v>547</v>
      </c>
      <c r="C84" s="46">
        <v>754</v>
      </c>
      <c r="D84" s="46">
        <v>75412</v>
      </c>
      <c r="E84" s="184" t="s">
        <v>550</v>
      </c>
      <c r="F84" s="44">
        <f t="shared" si="6"/>
        <v>12000</v>
      </c>
      <c r="G84" s="77">
        <v>12000</v>
      </c>
      <c r="H84" s="77"/>
    </row>
    <row r="85" spans="1:8" s="6" customFormat="1" ht="20.25" customHeight="1">
      <c r="A85" s="34" t="s">
        <v>643</v>
      </c>
      <c r="B85" s="124" t="s">
        <v>644</v>
      </c>
      <c r="C85" s="40"/>
      <c r="D85" s="40"/>
      <c r="E85" s="183"/>
      <c r="F85" s="39">
        <f t="shared" si="6"/>
        <v>27000</v>
      </c>
      <c r="G85" s="73">
        <f>SUM(G86)</f>
        <v>27000</v>
      </c>
      <c r="H85" s="73"/>
    </row>
    <row r="86" spans="1:8" s="6" customFormat="1" ht="20.25" customHeight="1">
      <c r="A86" s="41"/>
      <c r="B86" s="65" t="s">
        <v>547</v>
      </c>
      <c r="C86" s="43">
        <v>754</v>
      </c>
      <c r="D86" s="43">
        <v>75412</v>
      </c>
      <c r="E86" s="185" t="s">
        <v>550</v>
      </c>
      <c r="F86" s="44">
        <f t="shared" si="6"/>
        <v>27000</v>
      </c>
      <c r="G86" s="75">
        <v>27000</v>
      </c>
      <c r="H86" s="75"/>
    </row>
    <row r="87" spans="1:8" s="6" customFormat="1" ht="20.25" customHeight="1">
      <c r="A87" s="34" t="s">
        <v>645</v>
      </c>
      <c r="B87" s="124" t="s">
        <v>646</v>
      </c>
      <c r="C87" s="40"/>
      <c r="D87" s="40"/>
      <c r="E87" s="183"/>
      <c r="F87" s="39">
        <f t="shared" si="6"/>
        <v>54000</v>
      </c>
      <c r="G87" s="73">
        <f>SUM(G88)</f>
        <v>54000</v>
      </c>
      <c r="H87" s="73"/>
    </row>
    <row r="88" spans="1:8" s="6" customFormat="1" ht="20.25" customHeight="1">
      <c r="A88" s="41"/>
      <c r="B88" s="65" t="s">
        <v>547</v>
      </c>
      <c r="C88" s="46">
        <v>754</v>
      </c>
      <c r="D88" s="46">
        <v>75412</v>
      </c>
      <c r="E88" s="184" t="s">
        <v>550</v>
      </c>
      <c r="F88" s="44">
        <f t="shared" si="6"/>
        <v>54000</v>
      </c>
      <c r="G88" s="75">
        <v>54000</v>
      </c>
      <c r="H88" s="75"/>
    </row>
    <row r="89" spans="1:8" s="6" customFormat="1" ht="24" customHeight="1">
      <c r="A89" s="34" t="s">
        <v>874</v>
      </c>
      <c r="B89" s="35" t="s">
        <v>1325</v>
      </c>
      <c r="C89" s="40">
        <v>754</v>
      </c>
      <c r="D89" s="40">
        <v>75412</v>
      </c>
      <c r="E89" s="206" t="s">
        <v>550</v>
      </c>
      <c r="F89" s="51">
        <f t="shared" ref="F89" si="8">G89+H89</f>
        <v>600000</v>
      </c>
      <c r="G89" s="39">
        <v>600000</v>
      </c>
      <c r="H89" s="39"/>
    </row>
    <row r="90" spans="1:8" s="6" customFormat="1" ht="24" customHeight="1">
      <c r="A90" s="34" t="s">
        <v>1309</v>
      </c>
      <c r="B90" s="35" t="s">
        <v>1300</v>
      </c>
      <c r="C90" s="40">
        <v>754</v>
      </c>
      <c r="D90" s="40">
        <v>75412</v>
      </c>
      <c r="E90" s="206" t="s">
        <v>550</v>
      </c>
      <c r="F90" s="51">
        <f t="shared" ref="F90" si="9">G90+H90</f>
        <v>20000</v>
      </c>
      <c r="G90" s="39">
        <v>20000</v>
      </c>
      <c r="H90" s="39"/>
    </row>
    <row r="91" spans="1:8" s="6" customFormat="1" ht="24" customHeight="1">
      <c r="A91" s="15"/>
      <c r="B91" s="187" t="s">
        <v>111</v>
      </c>
      <c r="C91" s="200"/>
      <c r="D91" s="200"/>
      <c r="E91" s="169"/>
      <c r="F91" s="19">
        <f>G91+H91</f>
        <v>822116872</v>
      </c>
      <c r="G91" s="78">
        <f>G92+G95+G107+G109+G114+G330+G334</f>
        <v>584301024</v>
      </c>
      <c r="H91" s="78">
        <f>H92+H95+H107+H109+H114+H330+H334</f>
        <v>237815848</v>
      </c>
    </row>
    <row r="92" spans="1:8" s="6" customFormat="1" ht="24" customHeight="1">
      <c r="A92" s="79"/>
      <c r="B92" s="189" t="s">
        <v>16</v>
      </c>
      <c r="C92" s="189"/>
      <c r="D92" s="189"/>
      <c r="E92" s="80"/>
      <c r="F92" s="81">
        <f t="shared" ref="F92:F107" si="10">G92+H92</f>
        <v>1117073</v>
      </c>
      <c r="G92" s="81">
        <f>SUM(G93:G94)</f>
        <v>0</v>
      </c>
      <c r="H92" s="81">
        <f>SUM(H93:H94)</f>
        <v>1117073</v>
      </c>
    </row>
    <row r="93" spans="1:8" s="6" customFormat="1" ht="24" customHeight="1">
      <c r="A93" s="1" t="s">
        <v>17</v>
      </c>
      <c r="B93" s="2" t="s">
        <v>18</v>
      </c>
      <c r="C93" s="3">
        <v>600</v>
      </c>
      <c r="D93" s="3">
        <v>60015</v>
      </c>
      <c r="E93" s="209" t="s">
        <v>19</v>
      </c>
      <c r="F93" s="5">
        <f t="shared" si="10"/>
        <v>700000</v>
      </c>
      <c r="G93" s="5"/>
      <c r="H93" s="5">
        <v>700000</v>
      </c>
    </row>
    <row r="94" spans="1:8" s="6" customFormat="1" ht="24" customHeight="1">
      <c r="A94" s="82" t="s">
        <v>486</v>
      </c>
      <c r="B94" s="2" t="s">
        <v>487</v>
      </c>
      <c r="C94" s="3">
        <v>600</v>
      </c>
      <c r="D94" s="3">
        <v>60015</v>
      </c>
      <c r="E94" s="209" t="s">
        <v>20</v>
      </c>
      <c r="F94" s="5">
        <f t="shared" si="10"/>
        <v>417073</v>
      </c>
      <c r="G94" s="81"/>
      <c r="H94" s="5">
        <v>417073</v>
      </c>
    </row>
    <row r="95" spans="1:8" s="6" customFormat="1" ht="24" customHeight="1">
      <c r="A95" s="83"/>
      <c r="B95" s="190" t="s">
        <v>33</v>
      </c>
      <c r="C95" s="202"/>
      <c r="D95" s="202"/>
      <c r="E95" s="84"/>
      <c r="F95" s="85">
        <f t="shared" si="10"/>
        <v>339285118</v>
      </c>
      <c r="G95" s="85">
        <f>G96+G97+G98+G101+G102</f>
        <v>339285118</v>
      </c>
      <c r="H95" s="85">
        <f>H96+H97+H98+H101+H102</f>
        <v>0</v>
      </c>
    </row>
    <row r="96" spans="1:8" s="6" customFormat="1" ht="24" customHeight="1">
      <c r="A96" s="1" t="s">
        <v>34</v>
      </c>
      <c r="B96" s="2" t="s">
        <v>35</v>
      </c>
      <c r="C96" s="3">
        <v>600</v>
      </c>
      <c r="D96" s="3">
        <v>60016</v>
      </c>
      <c r="E96" s="209" t="s">
        <v>23</v>
      </c>
      <c r="F96" s="5">
        <f t="shared" si="10"/>
        <v>747939</v>
      </c>
      <c r="G96" s="5">
        <v>747939</v>
      </c>
      <c r="H96" s="5"/>
    </row>
    <row r="97" spans="1:8" s="6" customFormat="1" ht="24" customHeight="1">
      <c r="A97" s="1" t="s">
        <v>36</v>
      </c>
      <c r="B97" s="2" t="s">
        <v>37</v>
      </c>
      <c r="C97" s="3">
        <v>600</v>
      </c>
      <c r="D97" s="3">
        <v>60016</v>
      </c>
      <c r="E97" s="209" t="s">
        <v>19</v>
      </c>
      <c r="F97" s="5">
        <f t="shared" si="10"/>
        <v>1905160</v>
      </c>
      <c r="G97" s="5">
        <v>1905160</v>
      </c>
      <c r="H97" s="5"/>
    </row>
    <row r="98" spans="1:8" s="6" customFormat="1" ht="36">
      <c r="A98" s="86" t="s">
        <v>38</v>
      </c>
      <c r="B98" s="87" t="s">
        <v>731</v>
      </c>
      <c r="C98" s="88"/>
      <c r="D98" s="88"/>
      <c r="E98" s="210"/>
      <c r="F98" s="89">
        <f t="shared" si="10"/>
        <v>258636019</v>
      </c>
      <c r="G98" s="89">
        <f>G99+G100</f>
        <v>258636019</v>
      </c>
      <c r="H98" s="89">
        <f>H99+H100</f>
        <v>0</v>
      </c>
    </row>
    <row r="99" spans="1:8" s="6" customFormat="1" ht="21.75" customHeight="1">
      <c r="A99" s="90"/>
      <c r="B99" s="56" t="s">
        <v>8</v>
      </c>
      <c r="C99" s="92">
        <v>600</v>
      </c>
      <c r="D99" s="92">
        <v>60016</v>
      </c>
      <c r="E99" s="211" t="s">
        <v>23</v>
      </c>
      <c r="F99" s="93">
        <f t="shared" si="10"/>
        <v>188000000</v>
      </c>
      <c r="G99" s="94">
        <v>188000000</v>
      </c>
      <c r="H99" s="93"/>
    </row>
    <row r="100" spans="1:8" s="6" customFormat="1" ht="21.75" customHeight="1">
      <c r="A100" s="95"/>
      <c r="B100" s="65" t="s">
        <v>1327</v>
      </c>
      <c r="C100" s="96">
        <v>600</v>
      </c>
      <c r="D100" s="96">
        <v>60016</v>
      </c>
      <c r="E100" s="212" t="s">
        <v>23</v>
      </c>
      <c r="F100" s="97">
        <f t="shared" si="10"/>
        <v>70636019</v>
      </c>
      <c r="G100" s="97">
        <v>70636019</v>
      </c>
      <c r="H100" s="97"/>
    </row>
    <row r="101" spans="1:8" s="6" customFormat="1" ht="24" customHeight="1">
      <c r="A101" s="1" t="s">
        <v>39</v>
      </c>
      <c r="B101" s="2" t="s">
        <v>40</v>
      </c>
      <c r="C101" s="3">
        <v>600</v>
      </c>
      <c r="D101" s="3">
        <v>60016</v>
      </c>
      <c r="E101" s="209" t="s">
        <v>23</v>
      </c>
      <c r="F101" s="5">
        <f t="shared" si="10"/>
        <v>1772975</v>
      </c>
      <c r="G101" s="5">
        <v>1772975</v>
      </c>
      <c r="H101" s="5"/>
    </row>
    <row r="102" spans="1:8" s="6" customFormat="1" ht="24" customHeight="1">
      <c r="A102" s="90" t="s">
        <v>41</v>
      </c>
      <c r="B102" s="87" t="s">
        <v>42</v>
      </c>
      <c r="C102" s="88"/>
      <c r="D102" s="88"/>
      <c r="E102" s="210"/>
      <c r="F102" s="89">
        <f t="shared" si="10"/>
        <v>76223025</v>
      </c>
      <c r="G102" s="89">
        <f>SUM(G103:G106)</f>
        <v>76223025</v>
      </c>
      <c r="H102" s="89">
        <f>H104+H106</f>
        <v>0</v>
      </c>
    </row>
    <row r="103" spans="1:8" s="6" customFormat="1" ht="22.5" customHeight="1">
      <c r="A103" s="90"/>
      <c r="B103" s="167" t="s">
        <v>9</v>
      </c>
      <c r="C103" s="92">
        <v>600</v>
      </c>
      <c r="D103" s="92">
        <v>60016</v>
      </c>
      <c r="E103" s="211" t="s">
        <v>19</v>
      </c>
      <c r="F103" s="93">
        <f t="shared" si="10"/>
        <v>26320000</v>
      </c>
      <c r="G103" s="93">
        <f>27820000-1500000</f>
        <v>26320000</v>
      </c>
      <c r="H103" s="93"/>
    </row>
    <row r="104" spans="1:8" s="6" customFormat="1" ht="22.5" customHeight="1">
      <c r="A104" s="90"/>
      <c r="B104" s="56" t="s">
        <v>8</v>
      </c>
      <c r="C104" s="92">
        <v>600</v>
      </c>
      <c r="D104" s="92">
        <v>60016</v>
      </c>
      <c r="E104" s="211" t="s">
        <v>19</v>
      </c>
      <c r="F104" s="93">
        <f t="shared" si="10"/>
        <v>8680000</v>
      </c>
      <c r="G104" s="93">
        <f>35000000-26320000</f>
        <v>8680000</v>
      </c>
      <c r="H104" s="93"/>
    </row>
    <row r="105" spans="1:8" s="6" customFormat="1" ht="22.5" customHeight="1">
      <c r="A105" s="90"/>
      <c r="B105" s="56" t="s">
        <v>11</v>
      </c>
      <c r="C105" s="92">
        <v>600</v>
      </c>
      <c r="D105" s="92">
        <v>60016</v>
      </c>
      <c r="E105" s="179" t="s">
        <v>19</v>
      </c>
      <c r="F105" s="93">
        <f t="shared" si="10"/>
        <v>18961000</v>
      </c>
      <c r="G105" s="93">
        <v>18961000</v>
      </c>
      <c r="H105" s="93"/>
    </row>
    <row r="106" spans="1:8" s="6" customFormat="1" ht="22.5" customHeight="1">
      <c r="A106" s="95"/>
      <c r="B106" s="65" t="s">
        <v>1327</v>
      </c>
      <c r="C106" s="96">
        <v>600</v>
      </c>
      <c r="D106" s="96">
        <v>60016</v>
      </c>
      <c r="E106" s="212" t="s">
        <v>19</v>
      </c>
      <c r="F106" s="97">
        <f t="shared" si="10"/>
        <v>22262025</v>
      </c>
      <c r="G106" s="97">
        <v>22262025</v>
      </c>
      <c r="H106" s="97"/>
    </row>
    <row r="107" spans="1:8" s="6" customFormat="1" ht="24" customHeight="1">
      <c r="A107" s="79"/>
      <c r="B107" s="189" t="s">
        <v>43</v>
      </c>
      <c r="C107" s="203"/>
      <c r="D107" s="203"/>
      <c r="E107" s="98"/>
      <c r="F107" s="81">
        <f t="shared" si="10"/>
        <v>2188988</v>
      </c>
      <c r="G107" s="81">
        <f>G108</f>
        <v>2188988</v>
      </c>
      <c r="H107" s="81">
        <f>H108</f>
        <v>0</v>
      </c>
    </row>
    <row r="108" spans="1:8" s="6" customFormat="1" ht="24" customHeight="1">
      <c r="A108" s="1" t="s">
        <v>44</v>
      </c>
      <c r="B108" s="2" t="s">
        <v>45</v>
      </c>
      <c r="C108" s="3">
        <v>600</v>
      </c>
      <c r="D108" s="3">
        <v>60016</v>
      </c>
      <c r="E108" s="209" t="s">
        <v>19</v>
      </c>
      <c r="F108" s="5">
        <f>G108+H108</f>
        <v>2188988</v>
      </c>
      <c r="G108" s="5">
        <v>2188988</v>
      </c>
      <c r="H108" s="5"/>
    </row>
    <row r="109" spans="1:8" s="6" customFormat="1" ht="24" customHeight="1">
      <c r="A109" s="79"/>
      <c r="B109" s="189" t="s">
        <v>46</v>
      </c>
      <c r="C109" s="189"/>
      <c r="D109" s="189"/>
      <c r="E109" s="98"/>
      <c r="F109" s="81">
        <f t="shared" ref="F109:F113" si="11">G109+H109</f>
        <v>9179300</v>
      </c>
      <c r="G109" s="81">
        <f>G110</f>
        <v>9179300</v>
      </c>
      <c r="H109" s="81">
        <f>H110</f>
        <v>0</v>
      </c>
    </row>
    <row r="110" spans="1:8" s="6" customFormat="1" ht="24" customHeight="1">
      <c r="A110" s="86" t="s">
        <v>47</v>
      </c>
      <c r="B110" s="87" t="s">
        <v>48</v>
      </c>
      <c r="C110" s="88"/>
      <c r="D110" s="88"/>
      <c r="E110" s="178"/>
      <c r="F110" s="89">
        <f t="shared" si="11"/>
        <v>9179300</v>
      </c>
      <c r="G110" s="89">
        <f>SUM(G111:G113)</f>
        <v>9179300</v>
      </c>
      <c r="H110" s="89"/>
    </row>
    <row r="111" spans="1:8" s="6" customFormat="1" ht="22.5" customHeight="1">
      <c r="A111" s="90"/>
      <c r="B111" s="91"/>
      <c r="C111" s="92">
        <v>600</v>
      </c>
      <c r="D111" s="92">
        <v>60095</v>
      </c>
      <c r="E111" s="179" t="s">
        <v>20</v>
      </c>
      <c r="F111" s="93">
        <f t="shared" si="11"/>
        <v>5862727</v>
      </c>
      <c r="G111" s="93">
        <v>5862727</v>
      </c>
      <c r="H111" s="93"/>
    </row>
    <row r="112" spans="1:8" s="6" customFormat="1" ht="22.5" customHeight="1">
      <c r="A112" s="90"/>
      <c r="B112" s="56" t="s">
        <v>8</v>
      </c>
      <c r="C112" s="92">
        <v>600</v>
      </c>
      <c r="D112" s="92">
        <v>60095</v>
      </c>
      <c r="E112" s="179" t="s">
        <v>20</v>
      </c>
      <c r="F112" s="93">
        <f t="shared" si="11"/>
        <v>525000</v>
      </c>
      <c r="G112" s="93">
        <v>525000</v>
      </c>
      <c r="H112" s="93"/>
    </row>
    <row r="113" spans="1:8" s="6" customFormat="1" ht="22.5" customHeight="1">
      <c r="A113" s="95"/>
      <c r="B113" s="65" t="s">
        <v>1327</v>
      </c>
      <c r="C113" s="96">
        <v>600</v>
      </c>
      <c r="D113" s="96">
        <v>60095</v>
      </c>
      <c r="E113" s="212" t="s">
        <v>20</v>
      </c>
      <c r="F113" s="97">
        <f t="shared" si="11"/>
        <v>2791573</v>
      </c>
      <c r="G113" s="97">
        <v>2791573</v>
      </c>
      <c r="H113" s="97"/>
    </row>
    <row r="114" spans="1:8" s="6" customFormat="1" ht="24" customHeight="1">
      <c r="A114" s="15"/>
      <c r="B114" s="187" t="s">
        <v>736</v>
      </c>
      <c r="C114" s="200"/>
      <c r="D114" s="200"/>
      <c r="E114" s="169"/>
      <c r="F114" s="19">
        <f>G114+H114</f>
        <v>466532869</v>
      </c>
      <c r="G114" s="78">
        <f>SUM(G115,G119:G123,G127:G134,G137:G137,G139:G143,G145:G146,G148,G150,G152:G154,G156,G158,G160:G162,G163:G164,G166,G168,G170:G171,G173:G175,G176:G189,G192,G195:G200,G202,G205,G207:G213,G214:G214,G218:G220,G223:G226,G229:G240,G241,G244:G247,G250:G252,G253:G253,G256:G261,G264:G267,G269,G271,G273,G276,G279:G287,G290:G302,G303,G305,G307,G309,G311,G313,G315,G317,G319,G321,G323,G325,G327,G329:G329)</f>
        <v>229834094</v>
      </c>
      <c r="H114" s="78">
        <f>SUM(H115,H119:H123,H127:H134,H137:H137,H139:H143,H145:H146,H148,H150,H152:H154,H156,H158,H160:H162,H163:H164,H166,H168,H170:H171,H173:H175,H176:H189,H192,H195:H200,H202,H205,H207:H213,H214:H214,H218:H220,H223:H226,H229:H240,H241,H244:H247,H250:H252,H253:H253,H256:H261,H264:H267,H269,H271,H273,H276,H279:H287,H290:H302,H303,H305,H307,H309,H311,H313,H315,H317,H319,H321,H323,H325,H327,H329:H329)</f>
        <v>236698775</v>
      </c>
    </row>
    <row r="115" spans="1:8" s="6" customFormat="1" ht="24" customHeight="1">
      <c r="A115" s="86" t="s">
        <v>21</v>
      </c>
      <c r="B115" s="87" t="s">
        <v>22</v>
      </c>
      <c r="C115" s="88"/>
      <c r="D115" s="88"/>
      <c r="E115" s="210"/>
      <c r="F115" s="89">
        <f>G115+H115</f>
        <v>66156537</v>
      </c>
      <c r="G115" s="99">
        <f>G117+G118</f>
        <v>0</v>
      </c>
      <c r="H115" s="100">
        <f>H116+H117+H118</f>
        <v>66156537</v>
      </c>
    </row>
    <row r="116" spans="1:8" s="6" customFormat="1" ht="24" customHeight="1">
      <c r="A116" s="90"/>
      <c r="B116" s="101"/>
      <c r="C116" s="92">
        <v>600</v>
      </c>
      <c r="D116" s="92">
        <v>60015</v>
      </c>
      <c r="E116" s="211" t="s">
        <v>23</v>
      </c>
      <c r="F116" s="93">
        <f t="shared" ref="F116:F130" si="12">G116+H116</f>
        <v>3773962</v>
      </c>
      <c r="G116" s="102"/>
      <c r="H116" s="103">
        <v>3773962</v>
      </c>
    </row>
    <row r="117" spans="1:8" s="6" customFormat="1" ht="24" customHeight="1">
      <c r="A117" s="90"/>
      <c r="B117" s="56" t="s">
        <v>8</v>
      </c>
      <c r="C117" s="92">
        <v>600</v>
      </c>
      <c r="D117" s="92">
        <v>60015</v>
      </c>
      <c r="E117" s="211" t="s">
        <v>23</v>
      </c>
      <c r="F117" s="93">
        <f t="shared" si="12"/>
        <v>42580594</v>
      </c>
      <c r="G117" s="93"/>
      <c r="H117" s="93">
        <v>42580594</v>
      </c>
    </row>
    <row r="118" spans="1:8" s="6" customFormat="1" ht="24" customHeight="1">
      <c r="A118" s="95"/>
      <c r="B118" s="65" t="s">
        <v>1327</v>
      </c>
      <c r="C118" s="96">
        <v>600</v>
      </c>
      <c r="D118" s="96">
        <v>60015</v>
      </c>
      <c r="E118" s="212" t="s">
        <v>23</v>
      </c>
      <c r="F118" s="97">
        <f t="shared" si="12"/>
        <v>19801981</v>
      </c>
      <c r="G118" s="97"/>
      <c r="H118" s="97">
        <v>19801981</v>
      </c>
    </row>
    <row r="119" spans="1:8" s="6" customFormat="1" ht="24" customHeight="1">
      <c r="A119" s="82" t="s">
        <v>488</v>
      </c>
      <c r="B119" s="2" t="s">
        <v>489</v>
      </c>
      <c r="C119" s="3">
        <v>600</v>
      </c>
      <c r="D119" s="3">
        <v>60015</v>
      </c>
      <c r="E119" s="209" t="s">
        <v>23</v>
      </c>
      <c r="F119" s="5">
        <f t="shared" si="12"/>
        <v>1179324</v>
      </c>
      <c r="G119" s="5"/>
      <c r="H119" s="5">
        <v>1179324</v>
      </c>
    </row>
    <row r="120" spans="1:8" s="6" customFormat="1" ht="24" customHeight="1">
      <c r="A120" s="82" t="s">
        <v>490</v>
      </c>
      <c r="B120" s="2" t="s">
        <v>491</v>
      </c>
      <c r="C120" s="3">
        <v>600</v>
      </c>
      <c r="D120" s="3">
        <v>60015</v>
      </c>
      <c r="E120" s="209" t="s">
        <v>23</v>
      </c>
      <c r="F120" s="5">
        <f t="shared" si="12"/>
        <v>1125450</v>
      </c>
      <c r="G120" s="5"/>
      <c r="H120" s="5">
        <v>1125450</v>
      </c>
    </row>
    <row r="121" spans="1:8" s="6" customFormat="1" ht="24" customHeight="1">
      <c r="A121" s="82" t="s">
        <v>742</v>
      </c>
      <c r="B121" s="2" t="s">
        <v>743</v>
      </c>
      <c r="C121" s="3">
        <v>600</v>
      </c>
      <c r="D121" s="3">
        <v>60015</v>
      </c>
      <c r="E121" s="209" t="s">
        <v>19</v>
      </c>
      <c r="F121" s="5">
        <f t="shared" si="12"/>
        <v>2000000</v>
      </c>
      <c r="G121" s="5"/>
      <c r="H121" s="5">
        <v>2000000</v>
      </c>
    </row>
    <row r="122" spans="1:8" s="6" customFormat="1" ht="24" customHeight="1">
      <c r="A122" s="1" t="s">
        <v>24</v>
      </c>
      <c r="B122" s="2" t="s">
        <v>25</v>
      </c>
      <c r="C122" s="3">
        <v>600</v>
      </c>
      <c r="D122" s="3">
        <v>60015</v>
      </c>
      <c r="E122" s="209" t="s">
        <v>23</v>
      </c>
      <c r="F122" s="5">
        <f t="shared" si="12"/>
        <v>33800000</v>
      </c>
      <c r="G122" s="5"/>
      <c r="H122" s="5">
        <v>33800000</v>
      </c>
    </row>
    <row r="123" spans="1:8" s="6" customFormat="1" ht="22.5" customHeight="1">
      <c r="A123" s="86" t="s">
        <v>26</v>
      </c>
      <c r="B123" s="87" t="s">
        <v>27</v>
      </c>
      <c r="C123" s="88"/>
      <c r="D123" s="88"/>
      <c r="E123" s="210"/>
      <c r="F123" s="89">
        <f t="shared" si="12"/>
        <v>98346797</v>
      </c>
      <c r="G123" s="89">
        <f>G124+G126</f>
        <v>0</v>
      </c>
      <c r="H123" s="89">
        <f>SUM(H124:H126)</f>
        <v>98346797</v>
      </c>
    </row>
    <row r="124" spans="1:8" s="6" customFormat="1" ht="22.5" customHeight="1">
      <c r="A124" s="90"/>
      <c r="B124" s="56" t="s">
        <v>8</v>
      </c>
      <c r="C124" s="92">
        <v>600</v>
      </c>
      <c r="D124" s="92">
        <v>60015</v>
      </c>
      <c r="E124" s="211" t="s">
        <v>23</v>
      </c>
      <c r="F124" s="93">
        <f t="shared" si="12"/>
        <v>36140000</v>
      </c>
      <c r="G124" s="93"/>
      <c r="H124" s="93">
        <v>36140000</v>
      </c>
    </row>
    <row r="125" spans="1:8" s="6" customFormat="1" ht="22.5" customHeight="1">
      <c r="A125" s="90"/>
      <c r="B125" s="56" t="s">
        <v>11</v>
      </c>
      <c r="C125" s="92">
        <v>600</v>
      </c>
      <c r="D125" s="92">
        <v>60015</v>
      </c>
      <c r="E125" s="179" t="s">
        <v>23</v>
      </c>
      <c r="F125" s="93">
        <f t="shared" si="12"/>
        <v>1400000</v>
      </c>
      <c r="G125" s="93"/>
      <c r="H125" s="93">
        <v>1400000</v>
      </c>
    </row>
    <row r="126" spans="1:8" s="6" customFormat="1" ht="22.5" customHeight="1">
      <c r="A126" s="95"/>
      <c r="B126" s="65" t="s">
        <v>1327</v>
      </c>
      <c r="C126" s="96">
        <v>600</v>
      </c>
      <c r="D126" s="96">
        <v>60015</v>
      </c>
      <c r="E126" s="212" t="s">
        <v>23</v>
      </c>
      <c r="F126" s="97">
        <f t="shared" si="12"/>
        <v>60806797</v>
      </c>
      <c r="G126" s="97"/>
      <c r="H126" s="97">
        <v>60806797</v>
      </c>
    </row>
    <row r="127" spans="1:8" s="6" customFormat="1" ht="24" customHeight="1">
      <c r="A127" s="1" t="s">
        <v>28</v>
      </c>
      <c r="B127" s="2" t="s">
        <v>29</v>
      </c>
      <c r="C127" s="3">
        <v>600</v>
      </c>
      <c r="D127" s="3">
        <v>60016</v>
      </c>
      <c r="E127" s="209" t="s">
        <v>19</v>
      </c>
      <c r="F127" s="5">
        <f t="shared" si="12"/>
        <v>984000</v>
      </c>
      <c r="G127" s="5">
        <v>984000</v>
      </c>
      <c r="H127" s="5"/>
    </row>
    <row r="128" spans="1:8" s="6" customFormat="1" ht="24" customHeight="1">
      <c r="A128" s="1" t="s">
        <v>30</v>
      </c>
      <c r="B128" s="2" t="s">
        <v>31</v>
      </c>
      <c r="C128" s="3">
        <v>600</v>
      </c>
      <c r="D128" s="3">
        <v>60015</v>
      </c>
      <c r="E128" s="209" t="s">
        <v>19</v>
      </c>
      <c r="F128" s="5">
        <f t="shared" si="12"/>
        <v>196800</v>
      </c>
      <c r="G128" s="5"/>
      <c r="H128" s="5">
        <v>196800</v>
      </c>
    </row>
    <row r="129" spans="1:8" s="6" customFormat="1" ht="24" customHeight="1">
      <c r="A129" s="34" t="s">
        <v>112</v>
      </c>
      <c r="B129" s="35" t="s">
        <v>113</v>
      </c>
      <c r="C129" s="36">
        <v>600</v>
      </c>
      <c r="D129" s="36">
        <v>60015</v>
      </c>
      <c r="E129" s="183" t="s">
        <v>19</v>
      </c>
      <c r="F129" s="39">
        <f t="shared" si="12"/>
        <v>320000</v>
      </c>
      <c r="G129" s="73"/>
      <c r="H129" s="73">
        <v>320000</v>
      </c>
    </row>
    <row r="130" spans="1:8" s="6" customFormat="1" ht="24" customHeight="1">
      <c r="A130" s="52" t="s">
        <v>492</v>
      </c>
      <c r="B130" s="53" t="s">
        <v>732</v>
      </c>
      <c r="C130" s="68">
        <v>600</v>
      </c>
      <c r="D130" s="69">
        <v>60016</v>
      </c>
      <c r="E130" s="186" t="s">
        <v>23</v>
      </c>
      <c r="F130" s="51">
        <f t="shared" si="12"/>
        <v>550000</v>
      </c>
      <c r="G130" s="70">
        <v>550000</v>
      </c>
      <c r="H130" s="70"/>
    </row>
    <row r="131" spans="1:8" s="6" customFormat="1" ht="24" customHeight="1">
      <c r="A131" s="67" t="s">
        <v>114</v>
      </c>
      <c r="B131" s="53" t="s">
        <v>115</v>
      </c>
      <c r="C131" s="68">
        <v>600</v>
      </c>
      <c r="D131" s="69">
        <v>60015</v>
      </c>
      <c r="E131" s="205" t="s">
        <v>19</v>
      </c>
      <c r="F131" s="70">
        <f>+G131+H131</f>
        <v>279825</v>
      </c>
      <c r="G131" s="70"/>
      <c r="H131" s="70">
        <v>279825</v>
      </c>
    </row>
    <row r="132" spans="1:8" s="6" customFormat="1" ht="24" customHeight="1">
      <c r="A132" s="60" t="s">
        <v>647</v>
      </c>
      <c r="B132" s="35" t="s">
        <v>648</v>
      </c>
      <c r="C132" s="105">
        <v>600</v>
      </c>
      <c r="D132" s="106">
        <v>60016</v>
      </c>
      <c r="E132" s="206" t="s">
        <v>19</v>
      </c>
      <c r="F132" s="70">
        <f>+G132+H132</f>
        <v>70000</v>
      </c>
      <c r="G132" s="73">
        <v>70000</v>
      </c>
      <c r="H132" s="73"/>
    </row>
    <row r="133" spans="1:8" s="6" customFormat="1" ht="24" customHeight="1">
      <c r="A133" s="34" t="s">
        <v>116</v>
      </c>
      <c r="B133" s="35" t="s">
        <v>117</v>
      </c>
      <c r="C133" s="36">
        <v>600</v>
      </c>
      <c r="D133" s="36">
        <v>60016</v>
      </c>
      <c r="E133" s="206" t="s">
        <v>19</v>
      </c>
      <c r="F133" s="39">
        <f t="shared" ref="F133:F138" si="13">G133+H133</f>
        <v>366256</v>
      </c>
      <c r="G133" s="73">
        <f>363442+2814</f>
        <v>366256</v>
      </c>
      <c r="H133" s="73"/>
    </row>
    <row r="134" spans="1:8" s="6" customFormat="1" ht="22.5" customHeight="1">
      <c r="A134" s="34" t="s">
        <v>119</v>
      </c>
      <c r="B134" s="61" t="s">
        <v>120</v>
      </c>
      <c r="C134" s="36"/>
      <c r="D134" s="36"/>
      <c r="E134" s="206"/>
      <c r="F134" s="39">
        <f t="shared" si="13"/>
        <v>26300000</v>
      </c>
      <c r="G134" s="73"/>
      <c r="H134" s="73">
        <f>SUM(H135:H136)</f>
        <v>26300000</v>
      </c>
    </row>
    <row r="135" spans="1:8" s="6" customFormat="1" ht="22.5" customHeight="1">
      <c r="A135" s="47"/>
      <c r="B135" s="56" t="s">
        <v>8</v>
      </c>
      <c r="C135" s="45">
        <v>600</v>
      </c>
      <c r="D135" s="45">
        <v>60015</v>
      </c>
      <c r="E135" s="207" t="s">
        <v>19</v>
      </c>
      <c r="F135" s="38">
        <f t="shared" si="13"/>
        <v>3300000</v>
      </c>
      <c r="G135" s="77"/>
      <c r="H135" s="77">
        <v>3300000</v>
      </c>
    </row>
    <row r="136" spans="1:8" s="6" customFormat="1" ht="22.5" customHeight="1">
      <c r="A136" s="41"/>
      <c r="B136" s="65" t="s">
        <v>11</v>
      </c>
      <c r="C136" s="42">
        <v>600</v>
      </c>
      <c r="D136" s="42">
        <v>60015</v>
      </c>
      <c r="E136" s="208" t="s">
        <v>19</v>
      </c>
      <c r="F136" s="44">
        <f t="shared" si="13"/>
        <v>23000000</v>
      </c>
      <c r="G136" s="75"/>
      <c r="H136" s="75">
        <v>23000000</v>
      </c>
    </row>
    <row r="137" spans="1:8" s="6" customFormat="1" ht="22.5" customHeight="1">
      <c r="A137" s="34" t="s">
        <v>121</v>
      </c>
      <c r="B137" s="35" t="s">
        <v>122</v>
      </c>
      <c r="C137" s="36"/>
      <c r="D137" s="36"/>
      <c r="E137" s="183"/>
      <c r="F137" s="39">
        <f t="shared" si="13"/>
        <v>53751</v>
      </c>
      <c r="G137" s="73">
        <f>G138</f>
        <v>53751</v>
      </c>
      <c r="H137" s="73"/>
    </row>
    <row r="138" spans="1:8" s="6" customFormat="1" ht="22.5" customHeight="1">
      <c r="A138" s="41"/>
      <c r="B138" s="107" t="s">
        <v>110</v>
      </c>
      <c r="C138" s="108">
        <v>600</v>
      </c>
      <c r="D138" s="109">
        <v>60016</v>
      </c>
      <c r="E138" s="185" t="s">
        <v>19</v>
      </c>
      <c r="F138" s="44">
        <f t="shared" si="13"/>
        <v>53751</v>
      </c>
      <c r="G138" s="75">
        <v>53751</v>
      </c>
      <c r="H138" s="75"/>
    </row>
    <row r="139" spans="1:8" s="6" customFormat="1" ht="24" customHeight="1">
      <c r="A139" s="52" t="s">
        <v>123</v>
      </c>
      <c r="B139" s="110" t="s">
        <v>124</v>
      </c>
      <c r="C139" s="68">
        <v>600</v>
      </c>
      <c r="D139" s="69">
        <v>60016</v>
      </c>
      <c r="E139" s="186" t="s">
        <v>19</v>
      </c>
      <c r="F139" s="44">
        <f>G139</f>
        <v>58000</v>
      </c>
      <c r="G139" s="70">
        <v>58000</v>
      </c>
      <c r="H139" s="70"/>
    </row>
    <row r="140" spans="1:8" s="6" customFormat="1" ht="24" customHeight="1">
      <c r="A140" s="52" t="s">
        <v>1247</v>
      </c>
      <c r="B140" s="110" t="s">
        <v>1248</v>
      </c>
      <c r="C140" s="68">
        <v>600</v>
      </c>
      <c r="D140" s="69">
        <v>60016</v>
      </c>
      <c r="E140" s="186" t="s">
        <v>19</v>
      </c>
      <c r="F140" s="44">
        <f>G140</f>
        <v>250000</v>
      </c>
      <c r="G140" s="70">
        <v>250000</v>
      </c>
      <c r="H140" s="70"/>
    </row>
    <row r="141" spans="1:8" s="6" customFormat="1" ht="24" customHeight="1">
      <c r="A141" s="52" t="s">
        <v>649</v>
      </c>
      <c r="B141" s="110" t="s">
        <v>650</v>
      </c>
      <c r="C141" s="68">
        <v>600</v>
      </c>
      <c r="D141" s="69">
        <v>60016</v>
      </c>
      <c r="E141" s="186" t="s">
        <v>19</v>
      </c>
      <c r="F141" s="44">
        <f>G141</f>
        <v>50000</v>
      </c>
      <c r="G141" s="70">
        <v>50000</v>
      </c>
      <c r="H141" s="70"/>
    </row>
    <row r="142" spans="1:8" s="6" customFormat="1" ht="24" customHeight="1">
      <c r="A142" s="52" t="s">
        <v>125</v>
      </c>
      <c r="B142" s="49" t="s">
        <v>126</v>
      </c>
      <c r="C142" s="48">
        <v>600</v>
      </c>
      <c r="D142" s="48">
        <v>60016</v>
      </c>
      <c r="E142" s="205" t="s">
        <v>19</v>
      </c>
      <c r="F142" s="51">
        <f>G142</f>
        <v>134993</v>
      </c>
      <c r="G142" s="51">
        <v>134993</v>
      </c>
      <c r="H142" s="70"/>
    </row>
    <row r="143" spans="1:8" s="6" customFormat="1" ht="21" customHeight="1">
      <c r="A143" s="34" t="s">
        <v>127</v>
      </c>
      <c r="B143" s="124" t="s">
        <v>128</v>
      </c>
      <c r="C143" s="40"/>
      <c r="D143" s="40"/>
      <c r="E143" s="183"/>
      <c r="F143" s="39">
        <f t="shared" ref="F143:F144" si="14">G143+H143</f>
        <v>619000</v>
      </c>
      <c r="G143" s="73">
        <f>SUM(G144)</f>
        <v>619000</v>
      </c>
      <c r="H143" s="73"/>
    </row>
    <row r="144" spans="1:8" s="6" customFormat="1" ht="21" customHeight="1">
      <c r="A144" s="41"/>
      <c r="B144" s="65" t="s">
        <v>109</v>
      </c>
      <c r="C144" s="43">
        <v>600</v>
      </c>
      <c r="D144" s="43">
        <v>60016</v>
      </c>
      <c r="E144" s="185" t="s">
        <v>19</v>
      </c>
      <c r="F144" s="44">
        <f t="shared" si="14"/>
        <v>619000</v>
      </c>
      <c r="G144" s="75">
        <v>619000</v>
      </c>
      <c r="H144" s="75"/>
    </row>
    <row r="145" spans="1:8" s="6" customFormat="1" ht="21" customHeight="1">
      <c r="A145" s="52" t="s">
        <v>129</v>
      </c>
      <c r="B145" s="110" t="s">
        <v>130</v>
      </c>
      <c r="C145" s="50">
        <v>600</v>
      </c>
      <c r="D145" s="50">
        <v>60017</v>
      </c>
      <c r="E145" s="186" t="s">
        <v>19</v>
      </c>
      <c r="F145" s="51">
        <f>G145</f>
        <v>167280</v>
      </c>
      <c r="G145" s="70">
        <v>167280</v>
      </c>
      <c r="H145" s="70"/>
    </row>
    <row r="146" spans="1:8" s="6" customFormat="1" ht="21" customHeight="1">
      <c r="A146" s="34" t="s">
        <v>131</v>
      </c>
      <c r="B146" s="124" t="s">
        <v>132</v>
      </c>
      <c r="C146" s="40"/>
      <c r="D146" s="40"/>
      <c r="E146" s="183"/>
      <c r="F146" s="39">
        <f t="shared" ref="F146:F151" si="15">G146+H146</f>
        <v>135000</v>
      </c>
      <c r="G146" s="73"/>
      <c r="H146" s="73">
        <f>+H147</f>
        <v>135000</v>
      </c>
    </row>
    <row r="147" spans="1:8" s="6" customFormat="1" ht="21" customHeight="1">
      <c r="A147" s="41"/>
      <c r="B147" s="65" t="s">
        <v>109</v>
      </c>
      <c r="C147" s="43">
        <v>600</v>
      </c>
      <c r="D147" s="43">
        <v>60015</v>
      </c>
      <c r="E147" s="185" t="s">
        <v>19</v>
      </c>
      <c r="F147" s="44">
        <f t="shared" si="15"/>
        <v>135000</v>
      </c>
      <c r="G147" s="75"/>
      <c r="H147" s="75">
        <v>135000</v>
      </c>
    </row>
    <row r="148" spans="1:8" s="6" customFormat="1" ht="21" customHeight="1">
      <c r="A148" s="34" t="s">
        <v>133</v>
      </c>
      <c r="B148" s="124" t="s">
        <v>134</v>
      </c>
      <c r="C148" s="40"/>
      <c r="D148" s="40"/>
      <c r="E148" s="183"/>
      <c r="F148" s="39">
        <f t="shared" si="15"/>
        <v>200000</v>
      </c>
      <c r="G148" s="73"/>
      <c r="H148" s="73">
        <f>SUM(H149)</f>
        <v>200000</v>
      </c>
    </row>
    <row r="149" spans="1:8" s="6" customFormat="1" ht="21" customHeight="1">
      <c r="A149" s="41"/>
      <c r="B149" s="65" t="s">
        <v>109</v>
      </c>
      <c r="C149" s="43">
        <v>600</v>
      </c>
      <c r="D149" s="43">
        <v>60015</v>
      </c>
      <c r="E149" s="185" t="s">
        <v>19</v>
      </c>
      <c r="F149" s="44">
        <f t="shared" si="15"/>
        <v>200000</v>
      </c>
      <c r="G149" s="75"/>
      <c r="H149" s="75">
        <v>200000</v>
      </c>
    </row>
    <row r="150" spans="1:8" s="6" customFormat="1" ht="22.5" customHeight="1">
      <c r="A150" s="34" t="s">
        <v>135</v>
      </c>
      <c r="B150" s="124" t="s">
        <v>136</v>
      </c>
      <c r="C150" s="40"/>
      <c r="D150" s="40"/>
      <c r="E150" s="183"/>
      <c r="F150" s="39">
        <f t="shared" si="15"/>
        <v>230000</v>
      </c>
      <c r="G150" s="73">
        <f>SUM(G151)</f>
        <v>230000</v>
      </c>
      <c r="H150" s="73"/>
    </row>
    <row r="151" spans="1:8" s="6" customFormat="1" ht="22.5" customHeight="1">
      <c r="A151" s="41"/>
      <c r="B151" s="65" t="s">
        <v>109</v>
      </c>
      <c r="C151" s="43">
        <v>600</v>
      </c>
      <c r="D151" s="43">
        <v>60016</v>
      </c>
      <c r="E151" s="185" t="s">
        <v>19</v>
      </c>
      <c r="F151" s="44">
        <f t="shared" si="15"/>
        <v>230000</v>
      </c>
      <c r="G151" s="75">
        <v>230000</v>
      </c>
      <c r="H151" s="75"/>
    </row>
    <row r="152" spans="1:8" s="6" customFormat="1" ht="24" customHeight="1">
      <c r="A152" s="41" t="s">
        <v>137</v>
      </c>
      <c r="B152" s="191" t="s">
        <v>138</v>
      </c>
      <c r="C152" s="43">
        <v>600</v>
      </c>
      <c r="D152" s="43">
        <v>60017</v>
      </c>
      <c r="E152" s="185" t="s">
        <v>19</v>
      </c>
      <c r="F152" s="44">
        <f>G152</f>
        <v>200000</v>
      </c>
      <c r="G152" s="75">
        <v>200000</v>
      </c>
      <c r="H152" s="75"/>
    </row>
    <row r="153" spans="1:8" s="6" customFormat="1" ht="24" customHeight="1">
      <c r="A153" s="111" t="s">
        <v>139</v>
      </c>
      <c r="B153" s="61" t="s">
        <v>140</v>
      </c>
      <c r="C153" s="36">
        <v>600</v>
      </c>
      <c r="D153" s="36">
        <v>60016</v>
      </c>
      <c r="E153" s="206" t="s">
        <v>19</v>
      </c>
      <c r="F153" s="39">
        <f t="shared" ref="F153:F159" si="16">G153+H153</f>
        <v>199000</v>
      </c>
      <c r="G153" s="73">
        <v>199000</v>
      </c>
      <c r="H153" s="73"/>
    </row>
    <row r="154" spans="1:8" s="6" customFormat="1" ht="21.75" customHeight="1">
      <c r="A154" s="34" t="s">
        <v>521</v>
      </c>
      <c r="B154" s="124" t="s">
        <v>522</v>
      </c>
      <c r="C154" s="40"/>
      <c r="D154" s="40"/>
      <c r="E154" s="183"/>
      <c r="F154" s="112">
        <f t="shared" si="16"/>
        <v>170000</v>
      </c>
      <c r="G154" s="113">
        <f>SUM(G155)</f>
        <v>170000</v>
      </c>
      <c r="H154" s="113"/>
    </row>
    <row r="155" spans="1:8" s="6" customFormat="1" ht="21.75" customHeight="1">
      <c r="A155" s="41"/>
      <c r="B155" s="65" t="s">
        <v>109</v>
      </c>
      <c r="C155" s="43">
        <v>900</v>
      </c>
      <c r="D155" s="43">
        <v>90015</v>
      </c>
      <c r="E155" s="185" t="s">
        <v>19</v>
      </c>
      <c r="F155" s="114">
        <f t="shared" si="16"/>
        <v>170000</v>
      </c>
      <c r="G155" s="115">
        <v>170000</v>
      </c>
      <c r="H155" s="115"/>
    </row>
    <row r="156" spans="1:8" s="6" customFormat="1" ht="21.75" customHeight="1">
      <c r="A156" s="34" t="s">
        <v>141</v>
      </c>
      <c r="B156" s="124" t="s">
        <v>142</v>
      </c>
      <c r="C156" s="40"/>
      <c r="D156" s="40"/>
      <c r="E156" s="183"/>
      <c r="F156" s="39">
        <f t="shared" si="16"/>
        <v>130000</v>
      </c>
      <c r="G156" s="73">
        <f>SUM(G157)</f>
        <v>130000</v>
      </c>
      <c r="H156" s="73"/>
    </row>
    <row r="157" spans="1:8" s="6" customFormat="1" ht="21.75" customHeight="1">
      <c r="A157" s="41"/>
      <c r="B157" s="65" t="s">
        <v>109</v>
      </c>
      <c r="C157" s="43">
        <v>600</v>
      </c>
      <c r="D157" s="43">
        <v>60016</v>
      </c>
      <c r="E157" s="185" t="s">
        <v>19</v>
      </c>
      <c r="F157" s="44">
        <f t="shared" si="16"/>
        <v>130000</v>
      </c>
      <c r="G157" s="75">
        <v>130000</v>
      </c>
      <c r="H157" s="75"/>
    </row>
    <row r="158" spans="1:8" s="6" customFormat="1" ht="21.75" customHeight="1">
      <c r="A158" s="34" t="s">
        <v>143</v>
      </c>
      <c r="B158" s="124" t="s">
        <v>144</v>
      </c>
      <c r="C158" s="40"/>
      <c r="D158" s="40"/>
      <c r="E158" s="183"/>
      <c r="F158" s="39">
        <f t="shared" si="16"/>
        <v>747500</v>
      </c>
      <c r="G158" s="73">
        <f>SUM(G159)</f>
        <v>747500</v>
      </c>
      <c r="H158" s="73"/>
    </row>
    <row r="159" spans="1:8" s="6" customFormat="1" ht="21.75" customHeight="1">
      <c r="A159" s="41"/>
      <c r="B159" s="65" t="s">
        <v>109</v>
      </c>
      <c r="C159" s="43">
        <v>600</v>
      </c>
      <c r="D159" s="43">
        <v>60016</v>
      </c>
      <c r="E159" s="185" t="s">
        <v>19</v>
      </c>
      <c r="F159" s="44">
        <f t="shared" si="16"/>
        <v>747500</v>
      </c>
      <c r="G159" s="75">
        <v>747500</v>
      </c>
      <c r="H159" s="75"/>
    </row>
    <row r="160" spans="1:8" s="6" customFormat="1" ht="24" customHeight="1">
      <c r="A160" s="52" t="s">
        <v>145</v>
      </c>
      <c r="B160" s="110" t="s">
        <v>146</v>
      </c>
      <c r="C160" s="50">
        <v>900</v>
      </c>
      <c r="D160" s="50">
        <v>90015</v>
      </c>
      <c r="E160" s="186" t="s">
        <v>19</v>
      </c>
      <c r="F160" s="51">
        <f>G160</f>
        <v>49200</v>
      </c>
      <c r="G160" s="70">
        <v>49200</v>
      </c>
      <c r="H160" s="70"/>
    </row>
    <row r="161" spans="1:8" s="6" customFormat="1" ht="24" customHeight="1">
      <c r="A161" s="116" t="s">
        <v>147</v>
      </c>
      <c r="B161" s="49" t="s">
        <v>148</v>
      </c>
      <c r="C161" s="48">
        <v>600</v>
      </c>
      <c r="D161" s="48">
        <v>60016</v>
      </c>
      <c r="E161" s="205" t="s">
        <v>19</v>
      </c>
      <c r="F161" s="51">
        <f>G161+H161</f>
        <v>147500</v>
      </c>
      <c r="G161" s="70">
        <v>147500</v>
      </c>
      <c r="H161" s="70"/>
    </row>
    <row r="162" spans="1:8" s="6" customFormat="1" ht="24" customHeight="1">
      <c r="A162" s="116" t="s">
        <v>149</v>
      </c>
      <c r="B162" s="49" t="s">
        <v>150</v>
      </c>
      <c r="C162" s="48">
        <v>600</v>
      </c>
      <c r="D162" s="48">
        <v>60016</v>
      </c>
      <c r="E162" s="205" t="s">
        <v>19</v>
      </c>
      <c r="F162" s="51">
        <f t="shared" ref="F162:F169" si="17">G162+H162</f>
        <v>195570</v>
      </c>
      <c r="G162" s="70">
        <v>195570</v>
      </c>
      <c r="H162" s="70"/>
    </row>
    <row r="163" spans="1:8" s="6" customFormat="1" ht="24" customHeight="1">
      <c r="A163" s="116" t="s">
        <v>151</v>
      </c>
      <c r="B163" s="49" t="s">
        <v>152</v>
      </c>
      <c r="C163" s="48">
        <v>600</v>
      </c>
      <c r="D163" s="48">
        <v>60016</v>
      </c>
      <c r="E163" s="205" t="s">
        <v>19</v>
      </c>
      <c r="F163" s="51">
        <f t="shared" si="17"/>
        <v>378840</v>
      </c>
      <c r="G163" s="70">
        <v>378840</v>
      </c>
      <c r="H163" s="70"/>
    </row>
    <row r="164" spans="1:8" s="6" customFormat="1" ht="22.5" customHeight="1">
      <c r="A164" s="47" t="s">
        <v>153</v>
      </c>
      <c r="B164" s="117" t="s">
        <v>154</v>
      </c>
      <c r="C164" s="45"/>
      <c r="D164" s="76"/>
      <c r="E164" s="184"/>
      <c r="F164" s="38">
        <f t="shared" si="17"/>
        <v>100000</v>
      </c>
      <c r="G164" s="77"/>
      <c r="H164" s="77">
        <f>H165</f>
        <v>100000</v>
      </c>
    </row>
    <row r="165" spans="1:8" s="6" customFormat="1" ht="22.5" customHeight="1">
      <c r="A165" s="41"/>
      <c r="B165" s="107" t="s">
        <v>155</v>
      </c>
      <c r="C165" s="42">
        <v>600</v>
      </c>
      <c r="D165" s="42">
        <v>60015</v>
      </c>
      <c r="E165" s="185" t="s">
        <v>19</v>
      </c>
      <c r="F165" s="44">
        <f t="shared" si="17"/>
        <v>100000</v>
      </c>
      <c r="G165" s="75"/>
      <c r="H165" s="75">
        <v>100000</v>
      </c>
    </row>
    <row r="166" spans="1:8" s="6" customFormat="1" ht="22.5" customHeight="1">
      <c r="A166" s="47" t="s">
        <v>156</v>
      </c>
      <c r="B166" s="117" t="s">
        <v>157</v>
      </c>
      <c r="C166" s="45"/>
      <c r="D166" s="76"/>
      <c r="E166" s="184"/>
      <c r="F166" s="39">
        <f t="shared" si="17"/>
        <v>300000</v>
      </c>
      <c r="G166" s="77">
        <f>G167</f>
        <v>300000</v>
      </c>
      <c r="H166" s="77"/>
    </row>
    <row r="167" spans="1:8" s="6" customFormat="1" ht="22.5" customHeight="1">
      <c r="A167" s="41"/>
      <c r="B167" s="107" t="s">
        <v>155</v>
      </c>
      <c r="C167" s="42">
        <v>600</v>
      </c>
      <c r="D167" s="42">
        <v>60016</v>
      </c>
      <c r="E167" s="185" t="s">
        <v>19</v>
      </c>
      <c r="F167" s="44">
        <f t="shared" si="17"/>
        <v>300000</v>
      </c>
      <c r="G167" s="75">
        <v>300000</v>
      </c>
      <c r="H167" s="75"/>
    </row>
    <row r="168" spans="1:8" ht="22.5" customHeight="1">
      <c r="A168" s="34" t="s">
        <v>523</v>
      </c>
      <c r="B168" s="35" t="s">
        <v>524</v>
      </c>
      <c r="C168" s="36"/>
      <c r="D168" s="37"/>
      <c r="E168" s="183"/>
      <c r="F168" s="112">
        <f t="shared" si="17"/>
        <v>460000</v>
      </c>
      <c r="G168" s="113"/>
      <c r="H168" s="113">
        <f>H169</f>
        <v>460000</v>
      </c>
    </row>
    <row r="169" spans="1:8" ht="22.5" customHeight="1">
      <c r="A169" s="41"/>
      <c r="B169" s="107" t="s">
        <v>155</v>
      </c>
      <c r="C169" s="42">
        <v>600</v>
      </c>
      <c r="D169" s="42">
        <v>60015</v>
      </c>
      <c r="E169" s="185" t="s">
        <v>19</v>
      </c>
      <c r="F169" s="114">
        <f t="shared" si="17"/>
        <v>460000</v>
      </c>
      <c r="G169" s="115"/>
      <c r="H169" s="115">
        <v>460000</v>
      </c>
    </row>
    <row r="170" spans="1:8" ht="22.5" customHeight="1">
      <c r="A170" s="52" t="s">
        <v>651</v>
      </c>
      <c r="B170" s="118" t="s">
        <v>725</v>
      </c>
      <c r="C170" s="50">
        <v>600</v>
      </c>
      <c r="D170" s="50">
        <v>60016</v>
      </c>
      <c r="E170" s="186" t="s">
        <v>19</v>
      </c>
      <c r="F170" s="44">
        <f>G170</f>
        <v>1690000</v>
      </c>
      <c r="G170" s="119">
        <f>1000000+690000</f>
        <v>1690000</v>
      </c>
      <c r="H170" s="119"/>
    </row>
    <row r="171" spans="1:8" s="6" customFormat="1" ht="22.5" customHeight="1">
      <c r="A171" s="47" t="s">
        <v>158</v>
      </c>
      <c r="B171" s="117" t="s">
        <v>159</v>
      </c>
      <c r="C171" s="45"/>
      <c r="D171" s="45"/>
      <c r="E171" s="184"/>
      <c r="F171" s="38">
        <f t="shared" ref="F171:F175" si="18">G171+H171</f>
        <v>5087960</v>
      </c>
      <c r="G171" s="77">
        <f>SUM(G172:G172)</f>
        <v>5087960</v>
      </c>
      <c r="H171" s="77"/>
    </row>
    <row r="172" spans="1:8" s="6" customFormat="1" ht="22.5" customHeight="1">
      <c r="A172" s="120"/>
      <c r="B172" s="65" t="s">
        <v>71</v>
      </c>
      <c r="C172" s="42">
        <v>600</v>
      </c>
      <c r="D172" s="42">
        <v>60020</v>
      </c>
      <c r="E172" s="185" t="s">
        <v>118</v>
      </c>
      <c r="F172" s="44">
        <f t="shared" si="18"/>
        <v>5087960</v>
      </c>
      <c r="G172" s="75">
        <v>5087960</v>
      </c>
      <c r="H172" s="75"/>
    </row>
    <row r="173" spans="1:8" s="6" customFormat="1" ht="24" customHeight="1">
      <c r="A173" s="52" t="s">
        <v>160</v>
      </c>
      <c r="B173" s="110" t="s">
        <v>161</v>
      </c>
      <c r="C173" s="50">
        <v>600</v>
      </c>
      <c r="D173" s="50">
        <v>60016</v>
      </c>
      <c r="E173" s="186" t="s">
        <v>19</v>
      </c>
      <c r="F173" s="51">
        <f t="shared" si="18"/>
        <v>336657</v>
      </c>
      <c r="G173" s="70">
        <v>336657</v>
      </c>
      <c r="H173" s="70"/>
    </row>
    <row r="174" spans="1:8" s="6" customFormat="1" ht="27" customHeight="1">
      <c r="A174" s="41" t="s">
        <v>1249</v>
      </c>
      <c r="B174" s="191" t="s">
        <v>1250</v>
      </c>
      <c r="C174" s="43">
        <v>600</v>
      </c>
      <c r="D174" s="43">
        <v>60016</v>
      </c>
      <c r="E174" s="185" t="s">
        <v>19</v>
      </c>
      <c r="F174" s="44">
        <f t="shared" ref="F174" si="19">G174+H174</f>
        <v>400000</v>
      </c>
      <c r="G174" s="75">
        <v>400000</v>
      </c>
      <c r="H174" s="75"/>
    </row>
    <row r="175" spans="1:8" s="6" customFormat="1" ht="27" customHeight="1">
      <c r="A175" s="41" t="s">
        <v>749</v>
      </c>
      <c r="B175" s="191" t="s">
        <v>750</v>
      </c>
      <c r="C175" s="43">
        <v>600</v>
      </c>
      <c r="D175" s="43">
        <v>60016</v>
      </c>
      <c r="E175" s="185" t="s">
        <v>19</v>
      </c>
      <c r="F175" s="44">
        <f t="shared" si="18"/>
        <v>44157</v>
      </c>
      <c r="G175" s="75">
        <v>44157</v>
      </c>
      <c r="H175" s="75"/>
    </row>
    <row r="176" spans="1:8" ht="27" customHeight="1">
      <c r="A176" s="121" t="s">
        <v>493</v>
      </c>
      <c r="B176" s="110" t="s">
        <v>494</v>
      </c>
      <c r="C176" s="50">
        <v>600</v>
      </c>
      <c r="D176" s="50">
        <v>60016</v>
      </c>
      <c r="E176" s="186" t="s">
        <v>19</v>
      </c>
      <c r="F176" s="122">
        <f>G176</f>
        <v>421216</v>
      </c>
      <c r="G176" s="119">
        <v>421216</v>
      </c>
      <c r="H176" s="119"/>
    </row>
    <row r="177" spans="1:8" s="6" customFormat="1" ht="27" customHeight="1">
      <c r="A177" s="52" t="s">
        <v>162</v>
      </c>
      <c r="B177" s="110" t="s">
        <v>163</v>
      </c>
      <c r="C177" s="50">
        <v>600</v>
      </c>
      <c r="D177" s="50">
        <v>60016</v>
      </c>
      <c r="E177" s="186" t="s">
        <v>19</v>
      </c>
      <c r="F177" s="51">
        <f>G177+H177</f>
        <v>164820</v>
      </c>
      <c r="G177" s="70">
        <v>164820</v>
      </c>
      <c r="H177" s="70"/>
    </row>
    <row r="178" spans="1:8" ht="27" customHeight="1">
      <c r="A178" s="52" t="s">
        <v>525</v>
      </c>
      <c r="B178" s="110" t="s">
        <v>526</v>
      </c>
      <c r="C178" s="50">
        <v>600</v>
      </c>
      <c r="D178" s="50">
        <v>60015</v>
      </c>
      <c r="E178" s="186" t="s">
        <v>19</v>
      </c>
      <c r="F178" s="122">
        <f t="shared" ref="F178:F180" si="20">G178+H178</f>
        <v>132840</v>
      </c>
      <c r="G178" s="119"/>
      <c r="H178" s="119">
        <v>132840</v>
      </c>
    </row>
    <row r="179" spans="1:8" s="6" customFormat="1" ht="27" customHeight="1">
      <c r="A179" s="52" t="s">
        <v>164</v>
      </c>
      <c r="B179" s="110" t="s">
        <v>165</v>
      </c>
      <c r="C179" s="50">
        <v>600</v>
      </c>
      <c r="D179" s="50">
        <v>60016</v>
      </c>
      <c r="E179" s="186" t="s">
        <v>19</v>
      </c>
      <c r="F179" s="51">
        <f t="shared" si="20"/>
        <v>236160</v>
      </c>
      <c r="G179" s="70">
        <f>236160</f>
        <v>236160</v>
      </c>
      <c r="H179" s="70"/>
    </row>
    <row r="180" spans="1:8" s="6" customFormat="1" ht="27" customHeight="1">
      <c r="A180" s="52" t="s">
        <v>751</v>
      </c>
      <c r="B180" s="110" t="s">
        <v>752</v>
      </c>
      <c r="C180" s="50">
        <v>600</v>
      </c>
      <c r="D180" s="50">
        <v>60016</v>
      </c>
      <c r="E180" s="186" t="s">
        <v>19</v>
      </c>
      <c r="F180" s="51">
        <f t="shared" si="20"/>
        <v>47232</v>
      </c>
      <c r="G180" s="70">
        <v>47232</v>
      </c>
      <c r="H180" s="70"/>
    </row>
    <row r="181" spans="1:8" s="6" customFormat="1" ht="27" customHeight="1">
      <c r="A181" s="52" t="s">
        <v>166</v>
      </c>
      <c r="B181" s="110" t="s">
        <v>495</v>
      </c>
      <c r="C181" s="50">
        <v>900</v>
      </c>
      <c r="D181" s="50">
        <v>90015</v>
      </c>
      <c r="E181" s="186" t="s">
        <v>19</v>
      </c>
      <c r="F181" s="51">
        <f>G181+H181</f>
        <v>78123</v>
      </c>
      <c r="G181" s="70">
        <v>78123</v>
      </c>
      <c r="H181" s="70"/>
    </row>
    <row r="182" spans="1:8" s="6" customFormat="1" ht="27" customHeight="1">
      <c r="A182" s="52" t="s">
        <v>167</v>
      </c>
      <c r="B182" s="110" t="s">
        <v>168</v>
      </c>
      <c r="C182" s="50">
        <v>900</v>
      </c>
      <c r="D182" s="50">
        <v>90015</v>
      </c>
      <c r="E182" s="186" t="s">
        <v>19</v>
      </c>
      <c r="F182" s="51">
        <f>G182+H182</f>
        <v>36000</v>
      </c>
      <c r="G182" s="70">
        <v>36000</v>
      </c>
      <c r="H182" s="70"/>
    </row>
    <row r="183" spans="1:8" s="6" customFormat="1" ht="27" customHeight="1">
      <c r="A183" s="41" t="s">
        <v>753</v>
      </c>
      <c r="B183" s="191" t="s">
        <v>754</v>
      </c>
      <c r="C183" s="43">
        <v>900</v>
      </c>
      <c r="D183" s="43">
        <v>90015</v>
      </c>
      <c r="E183" s="185" t="s">
        <v>19</v>
      </c>
      <c r="F183" s="51">
        <f>G183+H183</f>
        <v>48328</v>
      </c>
      <c r="G183" s="75">
        <v>48328</v>
      </c>
      <c r="H183" s="75"/>
    </row>
    <row r="184" spans="1:8" s="6" customFormat="1" ht="27" customHeight="1">
      <c r="A184" s="41" t="s">
        <v>169</v>
      </c>
      <c r="B184" s="191" t="s">
        <v>170</v>
      </c>
      <c r="C184" s="43">
        <v>600</v>
      </c>
      <c r="D184" s="43">
        <v>60016</v>
      </c>
      <c r="E184" s="185" t="s">
        <v>19</v>
      </c>
      <c r="F184" s="44">
        <f t="shared" ref="F184:F187" si="21">G184</f>
        <v>350000</v>
      </c>
      <c r="G184" s="75">
        <v>350000</v>
      </c>
      <c r="H184" s="75"/>
    </row>
    <row r="185" spans="1:8" s="6" customFormat="1" ht="27" customHeight="1">
      <c r="A185" s="41" t="s">
        <v>171</v>
      </c>
      <c r="B185" s="191" t="s">
        <v>172</v>
      </c>
      <c r="C185" s="43">
        <v>600</v>
      </c>
      <c r="D185" s="43">
        <v>60016</v>
      </c>
      <c r="E185" s="185" t="s">
        <v>19</v>
      </c>
      <c r="F185" s="44">
        <f t="shared" si="21"/>
        <v>50000</v>
      </c>
      <c r="G185" s="75">
        <v>50000</v>
      </c>
      <c r="H185" s="75"/>
    </row>
    <row r="186" spans="1:8" s="6" customFormat="1" ht="27" customHeight="1">
      <c r="A186" s="41" t="s">
        <v>173</v>
      </c>
      <c r="B186" s="191" t="s">
        <v>174</v>
      </c>
      <c r="C186" s="43">
        <v>900</v>
      </c>
      <c r="D186" s="43">
        <v>90015</v>
      </c>
      <c r="E186" s="185" t="s">
        <v>19</v>
      </c>
      <c r="F186" s="44">
        <f t="shared" si="21"/>
        <v>113730</v>
      </c>
      <c r="G186" s="75">
        <v>113730</v>
      </c>
      <c r="H186" s="75"/>
    </row>
    <row r="187" spans="1:8" s="6" customFormat="1" ht="27" customHeight="1">
      <c r="A187" s="52" t="s">
        <v>176</v>
      </c>
      <c r="B187" s="110" t="s">
        <v>175</v>
      </c>
      <c r="C187" s="50">
        <v>600</v>
      </c>
      <c r="D187" s="50">
        <v>60016</v>
      </c>
      <c r="E187" s="186" t="s">
        <v>23</v>
      </c>
      <c r="F187" s="51">
        <f t="shared" si="21"/>
        <v>300000</v>
      </c>
      <c r="G187" s="70">
        <v>300000</v>
      </c>
      <c r="H187" s="70"/>
    </row>
    <row r="188" spans="1:8" s="6" customFormat="1" ht="27" customHeight="1">
      <c r="A188" s="52" t="s">
        <v>1164</v>
      </c>
      <c r="B188" s="110" t="s">
        <v>1165</v>
      </c>
      <c r="C188" s="50">
        <v>900</v>
      </c>
      <c r="D188" s="50">
        <v>90015</v>
      </c>
      <c r="E188" s="186" t="s">
        <v>19</v>
      </c>
      <c r="F188" s="51">
        <f>G188+H188</f>
        <v>200000</v>
      </c>
      <c r="G188" s="70">
        <v>200000</v>
      </c>
      <c r="H188" s="70"/>
    </row>
    <row r="189" spans="1:8" s="6" customFormat="1" ht="43.5" customHeight="1">
      <c r="A189" s="116" t="s">
        <v>177</v>
      </c>
      <c r="B189" s="49" t="s">
        <v>178</v>
      </c>
      <c r="C189" s="48"/>
      <c r="D189" s="48"/>
      <c r="E189" s="186"/>
      <c r="F189" s="51">
        <f t="shared" ref="F189:F194" si="22">G189+H189</f>
        <v>9300010</v>
      </c>
      <c r="G189" s="70">
        <f>G190+G191</f>
        <v>9300010</v>
      </c>
      <c r="H189" s="70"/>
    </row>
    <row r="190" spans="1:8" s="6" customFormat="1" ht="22.5" customHeight="1">
      <c r="A190" s="34"/>
      <c r="B190" s="224" t="s">
        <v>8</v>
      </c>
      <c r="C190" s="36">
        <v>600</v>
      </c>
      <c r="D190" s="36">
        <v>60016</v>
      </c>
      <c r="E190" s="183" t="s">
        <v>19</v>
      </c>
      <c r="F190" s="39">
        <f t="shared" si="22"/>
        <v>5990580</v>
      </c>
      <c r="G190" s="73">
        <v>5990580</v>
      </c>
      <c r="H190" s="73"/>
    </row>
    <row r="191" spans="1:8" s="6" customFormat="1" ht="22.5" customHeight="1">
      <c r="A191" s="41"/>
      <c r="B191" s="65" t="s">
        <v>1327</v>
      </c>
      <c r="C191" s="42">
        <v>600</v>
      </c>
      <c r="D191" s="42">
        <v>60016</v>
      </c>
      <c r="E191" s="185" t="s">
        <v>19</v>
      </c>
      <c r="F191" s="44">
        <f t="shared" si="22"/>
        <v>3309430</v>
      </c>
      <c r="G191" s="75">
        <v>3309430</v>
      </c>
      <c r="H191" s="75"/>
    </row>
    <row r="192" spans="1:8" s="6" customFormat="1" ht="39" customHeight="1">
      <c r="A192" s="123" t="s">
        <v>179</v>
      </c>
      <c r="B192" s="188" t="s">
        <v>180</v>
      </c>
      <c r="C192" s="45"/>
      <c r="D192" s="45"/>
      <c r="E192" s="184"/>
      <c r="F192" s="39">
        <f t="shared" si="22"/>
        <v>5282380</v>
      </c>
      <c r="G192" s="77">
        <f>G193+G194</f>
        <v>5282380</v>
      </c>
      <c r="H192" s="77"/>
    </row>
    <row r="193" spans="1:8" s="6" customFormat="1" ht="22.5" customHeight="1">
      <c r="A193" s="47"/>
      <c r="B193" s="56" t="s">
        <v>8</v>
      </c>
      <c r="C193" s="45">
        <v>600</v>
      </c>
      <c r="D193" s="45">
        <v>60016</v>
      </c>
      <c r="E193" s="184" t="s">
        <v>19</v>
      </c>
      <c r="F193" s="38">
        <f t="shared" si="22"/>
        <v>3096360</v>
      </c>
      <c r="G193" s="77">
        <v>3096360</v>
      </c>
      <c r="H193" s="77"/>
    </row>
    <row r="194" spans="1:8" s="6" customFormat="1" ht="22.5" customHeight="1">
      <c r="A194" s="41"/>
      <c r="B194" s="65" t="s">
        <v>1327</v>
      </c>
      <c r="C194" s="42">
        <v>600</v>
      </c>
      <c r="D194" s="42">
        <v>60016</v>
      </c>
      <c r="E194" s="185" t="s">
        <v>19</v>
      </c>
      <c r="F194" s="44">
        <f t="shared" si="22"/>
        <v>2186020</v>
      </c>
      <c r="G194" s="75">
        <v>2186020</v>
      </c>
      <c r="H194" s="75"/>
    </row>
    <row r="195" spans="1:8" s="6" customFormat="1" ht="24" customHeight="1">
      <c r="A195" s="52" t="s">
        <v>1200</v>
      </c>
      <c r="B195" s="49" t="s">
        <v>1199</v>
      </c>
      <c r="C195" s="48">
        <v>600</v>
      </c>
      <c r="D195" s="48">
        <v>60017</v>
      </c>
      <c r="E195" s="186" t="s">
        <v>19</v>
      </c>
      <c r="F195" s="51">
        <f>G195+H195</f>
        <v>200000</v>
      </c>
      <c r="G195" s="70">
        <v>200000</v>
      </c>
      <c r="H195" s="70"/>
    </row>
    <row r="196" spans="1:8" s="6" customFormat="1" ht="24" customHeight="1">
      <c r="A196" s="34" t="s">
        <v>181</v>
      </c>
      <c r="B196" s="124" t="s">
        <v>182</v>
      </c>
      <c r="C196" s="40">
        <v>600</v>
      </c>
      <c r="D196" s="40">
        <v>60016</v>
      </c>
      <c r="E196" s="183" t="s">
        <v>19</v>
      </c>
      <c r="F196" s="44">
        <f>G196+H196</f>
        <v>99630</v>
      </c>
      <c r="G196" s="73">
        <v>99630</v>
      </c>
      <c r="H196" s="73"/>
    </row>
    <row r="197" spans="1:8" s="6" customFormat="1" ht="24" customHeight="1">
      <c r="A197" s="52" t="s">
        <v>183</v>
      </c>
      <c r="B197" s="110" t="s">
        <v>184</v>
      </c>
      <c r="C197" s="50">
        <v>600</v>
      </c>
      <c r="D197" s="50">
        <v>60016</v>
      </c>
      <c r="E197" s="186" t="s">
        <v>19</v>
      </c>
      <c r="F197" s="51">
        <f>G197+H197</f>
        <v>42000</v>
      </c>
      <c r="G197" s="70">
        <v>42000</v>
      </c>
      <c r="H197" s="70"/>
    </row>
    <row r="198" spans="1:8" s="6" customFormat="1" ht="24" customHeight="1">
      <c r="A198" s="34" t="s">
        <v>1244</v>
      </c>
      <c r="B198" s="124" t="s">
        <v>1314</v>
      </c>
      <c r="C198" s="40">
        <v>600</v>
      </c>
      <c r="D198" s="40">
        <v>60016</v>
      </c>
      <c r="E198" s="185" t="s">
        <v>19</v>
      </c>
      <c r="F198" s="44">
        <f>G198+H198</f>
        <v>500000</v>
      </c>
      <c r="G198" s="73">
        <v>500000</v>
      </c>
      <c r="H198" s="73"/>
    </row>
    <row r="199" spans="1:8" s="6" customFormat="1" ht="24" customHeight="1">
      <c r="A199" s="52" t="s">
        <v>185</v>
      </c>
      <c r="B199" s="49" t="s">
        <v>186</v>
      </c>
      <c r="C199" s="48">
        <v>600</v>
      </c>
      <c r="D199" s="48">
        <v>60016</v>
      </c>
      <c r="E199" s="186" t="s">
        <v>23</v>
      </c>
      <c r="F199" s="51">
        <f>G199+H199</f>
        <v>500000</v>
      </c>
      <c r="G199" s="125">
        <v>500000</v>
      </c>
      <c r="H199" s="70"/>
    </row>
    <row r="200" spans="1:8" s="6" customFormat="1" ht="42" customHeight="1">
      <c r="A200" s="34" t="s">
        <v>187</v>
      </c>
      <c r="B200" s="61" t="s">
        <v>188</v>
      </c>
      <c r="C200" s="36"/>
      <c r="D200" s="36"/>
      <c r="E200" s="183"/>
      <c r="F200" s="39">
        <f t="shared" ref="F200:F208" si="23">G200+H200</f>
        <v>5800000</v>
      </c>
      <c r="G200" s="126">
        <f>SUM(G201:G201)</f>
        <v>5800000</v>
      </c>
      <c r="H200" s="73"/>
    </row>
    <row r="201" spans="1:8" s="6" customFormat="1" ht="22.5" customHeight="1">
      <c r="A201" s="47"/>
      <c r="B201" s="56" t="s">
        <v>189</v>
      </c>
      <c r="C201" s="45">
        <v>600</v>
      </c>
      <c r="D201" s="45">
        <v>60095</v>
      </c>
      <c r="E201" s="184" t="s">
        <v>190</v>
      </c>
      <c r="F201" s="38">
        <f t="shared" si="23"/>
        <v>5800000</v>
      </c>
      <c r="G201" s="127">
        <f>3000000+2800000</f>
        <v>5800000</v>
      </c>
      <c r="H201" s="77"/>
    </row>
    <row r="202" spans="1:8" s="6" customFormat="1" ht="22.5" customHeight="1">
      <c r="A202" s="34" t="s">
        <v>191</v>
      </c>
      <c r="B202" s="35" t="s">
        <v>733</v>
      </c>
      <c r="C202" s="36"/>
      <c r="D202" s="36"/>
      <c r="E202" s="183"/>
      <c r="F202" s="39">
        <f t="shared" si="23"/>
        <v>30639000</v>
      </c>
      <c r="G202" s="126">
        <f>SUM(G203:G204)</f>
        <v>30639000</v>
      </c>
      <c r="H202" s="73"/>
    </row>
    <row r="203" spans="1:8" s="6" customFormat="1" ht="22.5" customHeight="1">
      <c r="A203" s="47"/>
      <c r="B203" s="56" t="s">
        <v>8</v>
      </c>
      <c r="C203" s="45">
        <v>600</v>
      </c>
      <c r="D203" s="45">
        <v>60016</v>
      </c>
      <c r="E203" s="184" t="s">
        <v>19</v>
      </c>
      <c r="F203" s="38">
        <f t="shared" si="23"/>
        <v>2700000</v>
      </c>
      <c r="G203" s="127">
        <v>2700000</v>
      </c>
      <c r="H203" s="77"/>
    </row>
    <row r="204" spans="1:8" s="6" customFormat="1" ht="22.5" customHeight="1">
      <c r="A204" s="41"/>
      <c r="B204" s="65" t="s">
        <v>11</v>
      </c>
      <c r="C204" s="42">
        <v>600</v>
      </c>
      <c r="D204" s="42">
        <v>60016</v>
      </c>
      <c r="E204" s="185" t="s">
        <v>19</v>
      </c>
      <c r="F204" s="44">
        <f t="shared" si="23"/>
        <v>27939000</v>
      </c>
      <c r="G204" s="128">
        <v>27939000</v>
      </c>
      <c r="H204" s="75"/>
    </row>
    <row r="205" spans="1:8" s="6" customFormat="1" ht="22.5" customHeight="1">
      <c r="A205" s="34" t="s">
        <v>496</v>
      </c>
      <c r="B205" s="61" t="s">
        <v>518</v>
      </c>
      <c r="C205" s="36"/>
      <c r="D205" s="36"/>
      <c r="E205" s="183"/>
      <c r="F205" s="38">
        <f t="shared" si="23"/>
        <v>2680000</v>
      </c>
      <c r="G205" s="126">
        <f>SUM(G206:G206)</f>
        <v>2680000</v>
      </c>
      <c r="H205" s="73"/>
    </row>
    <row r="206" spans="1:8" s="6" customFormat="1" ht="24" customHeight="1">
      <c r="A206" s="41"/>
      <c r="B206" s="65" t="s">
        <v>11</v>
      </c>
      <c r="C206" s="42">
        <v>600</v>
      </c>
      <c r="D206" s="42">
        <v>60016</v>
      </c>
      <c r="E206" s="185" t="s">
        <v>23</v>
      </c>
      <c r="F206" s="44">
        <f t="shared" si="23"/>
        <v>2680000</v>
      </c>
      <c r="G206" s="128">
        <v>2680000</v>
      </c>
      <c r="H206" s="75"/>
    </row>
    <row r="207" spans="1:8" s="6" customFormat="1" ht="24" customHeight="1">
      <c r="A207" s="52" t="s">
        <v>755</v>
      </c>
      <c r="B207" s="49" t="s">
        <v>756</v>
      </c>
      <c r="C207" s="48">
        <v>900</v>
      </c>
      <c r="D207" s="48">
        <v>90015</v>
      </c>
      <c r="E207" s="186" t="s">
        <v>19</v>
      </c>
      <c r="F207" s="51">
        <f t="shared" si="23"/>
        <v>77649</v>
      </c>
      <c r="G207" s="125">
        <v>77649</v>
      </c>
      <c r="H207" s="70"/>
    </row>
    <row r="208" spans="1:8" s="6" customFormat="1" ht="24" customHeight="1">
      <c r="A208" s="41" t="s">
        <v>757</v>
      </c>
      <c r="B208" s="66" t="s">
        <v>758</v>
      </c>
      <c r="C208" s="42">
        <v>600</v>
      </c>
      <c r="D208" s="42">
        <v>60017</v>
      </c>
      <c r="E208" s="185" t="s">
        <v>19</v>
      </c>
      <c r="F208" s="51">
        <f t="shared" si="23"/>
        <v>34317</v>
      </c>
      <c r="G208" s="128">
        <v>34317</v>
      </c>
      <c r="H208" s="75"/>
    </row>
    <row r="209" spans="1:8" s="6" customFormat="1" ht="24" customHeight="1">
      <c r="A209" s="52" t="s">
        <v>192</v>
      </c>
      <c r="B209" s="49" t="s">
        <v>193</v>
      </c>
      <c r="C209" s="48">
        <v>600</v>
      </c>
      <c r="D209" s="48">
        <v>60016</v>
      </c>
      <c r="E209" s="186" t="s">
        <v>19</v>
      </c>
      <c r="F209" s="51">
        <f>G209+H209</f>
        <v>251785</v>
      </c>
      <c r="G209" s="125">
        <f>97785+154000</f>
        <v>251785</v>
      </c>
      <c r="H209" s="70"/>
    </row>
    <row r="210" spans="1:8" s="6" customFormat="1" ht="24" customHeight="1">
      <c r="A210" s="52" t="s">
        <v>934</v>
      </c>
      <c r="B210" s="49" t="s">
        <v>935</v>
      </c>
      <c r="C210" s="48">
        <v>600</v>
      </c>
      <c r="D210" s="48">
        <v>60016</v>
      </c>
      <c r="E210" s="186" t="s">
        <v>19</v>
      </c>
      <c r="F210" s="51">
        <f t="shared" ref="F210" si="24">G210+H210</f>
        <v>1400000</v>
      </c>
      <c r="G210" s="125">
        <v>1400000</v>
      </c>
      <c r="H210" s="70"/>
    </row>
    <row r="211" spans="1:8" s="6" customFormat="1" ht="24" customHeight="1">
      <c r="A211" s="52" t="s">
        <v>194</v>
      </c>
      <c r="B211" s="49" t="s">
        <v>195</v>
      </c>
      <c r="C211" s="48">
        <v>600</v>
      </c>
      <c r="D211" s="48">
        <v>60016</v>
      </c>
      <c r="E211" s="186" t="s">
        <v>23</v>
      </c>
      <c r="F211" s="51">
        <f>G211+H211</f>
        <v>1400000</v>
      </c>
      <c r="G211" s="70">
        <v>1400000</v>
      </c>
      <c r="H211" s="70"/>
    </row>
    <row r="212" spans="1:8" s="6" customFormat="1" ht="24" customHeight="1">
      <c r="A212" s="52" t="s">
        <v>497</v>
      </c>
      <c r="B212" s="49" t="s">
        <v>498</v>
      </c>
      <c r="C212" s="48">
        <v>600</v>
      </c>
      <c r="D212" s="48">
        <v>60016</v>
      </c>
      <c r="E212" s="186" t="s">
        <v>19</v>
      </c>
      <c r="F212" s="51">
        <f>G212+H212</f>
        <v>100000</v>
      </c>
      <c r="G212" s="70">
        <v>100000</v>
      </c>
      <c r="H212" s="70"/>
    </row>
    <row r="213" spans="1:8" s="6" customFormat="1" ht="24" customHeight="1">
      <c r="A213" s="52" t="s">
        <v>196</v>
      </c>
      <c r="B213" s="49" t="s">
        <v>197</v>
      </c>
      <c r="C213" s="48">
        <v>600</v>
      </c>
      <c r="D213" s="48">
        <v>60016</v>
      </c>
      <c r="E213" s="186" t="s">
        <v>19</v>
      </c>
      <c r="F213" s="51">
        <f>G213+H213</f>
        <v>1000000</v>
      </c>
      <c r="G213" s="125">
        <v>1000000</v>
      </c>
      <c r="H213" s="70"/>
    </row>
    <row r="214" spans="1:8" s="6" customFormat="1" ht="21.75" customHeight="1">
      <c r="A214" s="34" t="s">
        <v>499</v>
      </c>
      <c r="B214" s="61" t="s">
        <v>723</v>
      </c>
      <c r="C214" s="36"/>
      <c r="D214" s="36"/>
      <c r="E214" s="183"/>
      <c r="F214" s="39">
        <f t="shared" ref="F214:F240" si="25">G214+H214</f>
        <v>11918700</v>
      </c>
      <c r="G214" s="126">
        <f>SUM(G215:G217)</f>
        <v>11918700</v>
      </c>
      <c r="H214" s="73"/>
    </row>
    <row r="215" spans="1:8" s="6" customFormat="1" ht="21.75" customHeight="1">
      <c r="A215" s="47"/>
      <c r="B215" s="188"/>
      <c r="C215" s="45">
        <v>600</v>
      </c>
      <c r="D215" s="45">
        <v>60095</v>
      </c>
      <c r="E215" s="184" t="s">
        <v>190</v>
      </c>
      <c r="F215" s="38">
        <f t="shared" si="25"/>
        <v>1107000</v>
      </c>
      <c r="G215" s="127">
        <v>1107000</v>
      </c>
      <c r="H215" s="77"/>
    </row>
    <row r="216" spans="1:8" s="58" customFormat="1" ht="21.75" customHeight="1">
      <c r="A216" s="47"/>
      <c r="B216" s="56" t="s">
        <v>8</v>
      </c>
      <c r="C216" s="45">
        <v>600</v>
      </c>
      <c r="D216" s="45">
        <v>60095</v>
      </c>
      <c r="E216" s="184" t="s">
        <v>190</v>
      </c>
      <c r="F216" s="38">
        <f t="shared" si="25"/>
        <v>1621755</v>
      </c>
      <c r="G216" s="127">
        <v>1621755</v>
      </c>
      <c r="H216" s="77"/>
    </row>
    <row r="217" spans="1:8" s="6" customFormat="1" ht="21.75" customHeight="1">
      <c r="A217" s="41"/>
      <c r="B217" s="65" t="s">
        <v>1327</v>
      </c>
      <c r="C217" s="42">
        <v>600</v>
      </c>
      <c r="D217" s="42">
        <v>60095</v>
      </c>
      <c r="E217" s="185" t="s">
        <v>190</v>
      </c>
      <c r="F217" s="44">
        <f t="shared" si="25"/>
        <v>9189945</v>
      </c>
      <c r="G217" s="128">
        <v>9189945</v>
      </c>
      <c r="H217" s="75"/>
    </row>
    <row r="218" spans="1:8" s="6" customFormat="1" ht="24" customHeight="1">
      <c r="A218" s="52" t="s">
        <v>713</v>
      </c>
      <c r="B218" s="110" t="s">
        <v>666</v>
      </c>
      <c r="C218" s="50">
        <v>600</v>
      </c>
      <c r="D218" s="50">
        <v>60016</v>
      </c>
      <c r="E218" s="186" t="s">
        <v>19</v>
      </c>
      <c r="F218" s="51">
        <f t="shared" si="25"/>
        <v>50000</v>
      </c>
      <c r="G218" s="70">
        <v>50000</v>
      </c>
      <c r="H218" s="70"/>
    </row>
    <row r="219" spans="1:8" s="6" customFormat="1" ht="24" customHeight="1">
      <c r="A219" s="34" t="s">
        <v>759</v>
      </c>
      <c r="B219" s="124" t="s">
        <v>760</v>
      </c>
      <c r="C219" s="36">
        <v>600</v>
      </c>
      <c r="D219" s="36">
        <v>60016</v>
      </c>
      <c r="E219" s="186" t="s">
        <v>19</v>
      </c>
      <c r="F219" s="51">
        <f t="shared" si="25"/>
        <v>156949</v>
      </c>
      <c r="G219" s="73">
        <v>156949</v>
      </c>
      <c r="H219" s="73"/>
    </row>
    <row r="220" spans="1:8" s="6" customFormat="1" ht="21.75" customHeight="1">
      <c r="A220" s="34" t="s">
        <v>198</v>
      </c>
      <c r="B220" s="61" t="s">
        <v>199</v>
      </c>
      <c r="C220" s="36"/>
      <c r="D220" s="36"/>
      <c r="E220" s="183"/>
      <c r="F220" s="39">
        <f t="shared" si="25"/>
        <v>1500000</v>
      </c>
      <c r="G220" s="73">
        <f>SUM(G221:G222)</f>
        <v>1500000</v>
      </c>
      <c r="H220" s="73"/>
    </row>
    <row r="221" spans="1:8" s="6" customFormat="1" ht="21.75" customHeight="1">
      <c r="A221" s="47"/>
      <c r="B221" s="56" t="s">
        <v>8</v>
      </c>
      <c r="C221" s="45">
        <v>600</v>
      </c>
      <c r="D221" s="45">
        <v>60016</v>
      </c>
      <c r="E221" s="184" t="s">
        <v>19</v>
      </c>
      <c r="F221" s="38">
        <f t="shared" si="25"/>
        <v>500000</v>
      </c>
      <c r="G221" s="77">
        <v>500000</v>
      </c>
      <c r="H221" s="77"/>
    </row>
    <row r="222" spans="1:8" s="6" customFormat="1" ht="21.75" customHeight="1">
      <c r="A222" s="95"/>
      <c r="B222" s="222" t="s">
        <v>11</v>
      </c>
      <c r="C222" s="96">
        <v>600</v>
      </c>
      <c r="D222" s="96">
        <v>60016</v>
      </c>
      <c r="E222" s="180" t="s">
        <v>19</v>
      </c>
      <c r="F222" s="44">
        <f t="shared" si="25"/>
        <v>1000000</v>
      </c>
      <c r="G222" s="97">
        <v>1000000</v>
      </c>
      <c r="H222" s="97"/>
    </row>
    <row r="223" spans="1:8" s="6" customFormat="1" ht="24" customHeight="1">
      <c r="A223" s="4" t="s">
        <v>1139</v>
      </c>
      <c r="B223" s="129" t="s">
        <v>1140</v>
      </c>
      <c r="C223" s="3">
        <v>900</v>
      </c>
      <c r="D223" s="3">
        <v>90015</v>
      </c>
      <c r="E223" s="186" t="s">
        <v>19</v>
      </c>
      <c r="F223" s="51">
        <f t="shared" ref="F223" si="26">G223+H223</f>
        <v>140000</v>
      </c>
      <c r="G223" s="70">
        <v>140000</v>
      </c>
      <c r="H223" s="70"/>
    </row>
    <row r="224" spans="1:8" s="6" customFormat="1" ht="24" customHeight="1">
      <c r="A224" s="1" t="s">
        <v>1150</v>
      </c>
      <c r="B224" s="129" t="s">
        <v>1151</v>
      </c>
      <c r="C224" s="3">
        <v>900</v>
      </c>
      <c r="D224" s="3">
        <v>90015</v>
      </c>
      <c r="E224" s="186" t="s">
        <v>19</v>
      </c>
      <c r="F224" s="51">
        <f t="shared" ref="F224" si="27">G224+H224</f>
        <v>1000000</v>
      </c>
      <c r="G224" s="70">
        <v>1000000</v>
      </c>
      <c r="H224" s="70"/>
    </row>
    <row r="225" spans="1:8" s="6" customFormat="1" ht="24" customHeight="1">
      <c r="A225" s="1" t="s">
        <v>1222</v>
      </c>
      <c r="B225" s="129" t="s">
        <v>1223</v>
      </c>
      <c r="C225" s="3">
        <v>600</v>
      </c>
      <c r="D225" s="3">
        <v>60016</v>
      </c>
      <c r="E225" s="186" t="s">
        <v>19</v>
      </c>
      <c r="F225" s="51">
        <f t="shared" ref="F225" si="28">G225+H225</f>
        <v>200000</v>
      </c>
      <c r="G225" s="70">
        <v>200000</v>
      </c>
      <c r="H225" s="70"/>
    </row>
    <row r="226" spans="1:8" s="6" customFormat="1" ht="24" customHeight="1">
      <c r="A226" s="34" t="s">
        <v>200</v>
      </c>
      <c r="B226" s="61" t="s">
        <v>201</v>
      </c>
      <c r="C226" s="36"/>
      <c r="D226" s="36"/>
      <c r="E226" s="183"/>
      <c r="F226" s="39">
        <f t="shared" si="25"/>
        <v>16640104</v>
      </c>
      <c r="G226" s="73">
        <f>SUM(G227:G228)</f>
        <v>16640104</v>
      </c>
      <c r="H226" s="73"/>
    </row>
    <row r="227" spans="1:8" s="6" customFormat="1" ht="21.75" customHeight="1">
      <c r="A227" s="47"/>
      <c r="B227" s="56" t="s">
        <v>8</v>
      </c>
      <c r="C227" s="45">
        <v>600</v>
      </c>
      <c r="D227" s="45">
        <v>60016</v>
      </c>
      <c r="E227" s="184" t="s">
        <v>19</v>
      </c>
      <c r="F227" s="38">
        <f t="shared" si="25"/>
        <v>9265599</v>
      </c>
      <c r="G227" s="77">
        <v>9265599</v>
      </c>
      <c r="H227" s="77"/>
    </row>
    <row r="228" spans="1:8" s="6" customFormat="1" ht="21.75" customHeight="1">
      <c r="A228" s="41"/>
      <c r="B228" s="65" t="s">
        <v>1327</v>
      </c>
      <c r="C228" s="42">
        <v>600</v>
      </c>
      <c r="D228" s="42">
        <v>60016</v>
      </c>
      <c r="E228" s="185" t="s">
        <v>19</v>
      </c>
      <c r="F228" s="44">
        <f t="shared" si="25"/>
        <v>7374505</v>
      </c>
      <c r="G228" s="75">
        <v>7374505</v>
      </c>
      <c r="H228" s="75"/>
    </row>
    <row r="229" spans="1:8" s="6" customFormat="1" ht="24" customHeight="1">
      <c r="A229" s="41" t="s">
        <v>1227</v>
      </c>
      <c r="B229" s="66" t="s">
        <v>1228</v>
      </c>
      <c r="C229" s="3">
        <v>900</v>
      </c>
      <c r="D229" s="3">
        <v>90015</v>
      </c>
      <c r="E229" s="186" t="s">
        <v>19</v>
      </c>
      <c r="F229" s="51">
        <f t="shared" ref="F229:F231" si="29">G229+H229</f>
        <v>200000</v>
      </c>
      <c r="G229" s="70">
        <v>200000</v>
      </c>
      <c r="H229" s="70"/>
    </row>
    <row r="230" spans="1:8" s="6" customFormat="1" ht="24" customHeight="1">
      <c r="A230" s="52" t="s">
        <v>1280</v>
      </c>
      <c r="B230" s="49" t="s">
        <v>1279</v>
      </c>
      <c r="C230" s="48">
        <v>600</v>
      </c>
      <c r="D230" s="48">
        <v>60016</v>
      </c>
      <c r="E230" s="186" t="s">
        <v>19</v>
      </c>
      <c r="F230" s="51">
        <f t="shared" ref="F230" si="30">G230+H230</f>
        <v>700000</v>
      </c>
      <c r="G230" s="70">
        <v>700000</v>
      </c>
      <c r="H230" s="70"/>
    </row>
    <row r="231" spans="1:8" s="6" customFormat="1" ht="24" customHeight="1">
      <c r="A231" s="52" t="s">
        <v>1255</v>
      </c>
      <c r="B231" s="49" t="s">
        <v>1256</v>
      </c>
      <c r="C231" s="3">
        <v>600</v>
      </c>
      <c r="D231" s="3">
        <v>60015</v>
      </c>
      <c r="E231" s="186" t="s">
        <v>19</v>
      </c>
      <c r="F231" s="51">
        <f t="shared" si="29"/>
        <v>4500000</v>
      </c>
      <c r="G231" s="70"/>
      <c r="H231" s="70">
        <v>4500000</v>
      </c>
    </row>
    <row r="232" spans="1:8" s="6" customFormat="1" ht="24" customHeight="1">
      <c r="A232" s="41" t="s">
        <v>1259</v>
      </c>
      <c r="B232" s="66" t="s">
        <v>1260</v>
      </c>
      <c r="C232" s="3">
        <v>900</v>
      </c>
      <c r="D232" s="3">
        <v>90015</v>
      </c>
      <c r="E232" s="186" t="s">
        <v>19</v>
      </c>
      <c r="F232" s="51">
        <f t="shared" ref="F232" si="31">G232+H232</f>
        <v>250000</v>
      </c>
      <c r="G232" s="70">
        <v>250000</v>
      </c>
      <c r="H232" s="70"/>
    </row>
    <row r="233" spans="1:8" s="6" customFormat="1" ht="24" customHeight="1">
      <c r="A233" s="41" t="s">
        <v>1261</v>
      </c>
      <c r="B233" s="66" t="s">
        <v>1262</v>
      </c>
      <c r="C233" s="88">
        <v>600</v>
      </c>
      <c r="D233" s="88">
        <v>60016</v>
      </c>
      <c r="E233" s="186" t="s">
        <v>19</v>
      </c>
      <c r="F233" s="51">
        <f t="shared" ref="F233" si="32">G233+H233</f>
        <v>1000000</v>
      </c>
      <c r="G233" s="70">
        <v>1000000</v>
      </c>
      <c r="H233" s="70"/>
    </row>
    <row r="234" spans="1:8" s="6" customFormat="1" ht="24" customHeight="1">
      <c r="A234" s="41" t="s">
        <v>1263</v>
      </c>
      <c r="B234" s="66" t="s">
        <v>1264</v>
      </c>
      <c r="C234" s="3">
        <v>900</v>
      </c>
      <c r="D234" s="3">
        <v>90015</v>
      </c>
      <c r="E234" s="186" t="s">
        <v>19</v>
      </c>
      <c r="F234" s="51">
        <f t="shared" ref="F234" si="33">G234+H234</f>
        <v>200000</v>
      </c>
      <c r="G234" s="70">
        <v>200000</v>
      </c>
      <c r="H234" s="70"/>
    </row>
    <row r="235" spans="1:8" s="6" customFormat="1" ht="24" customHeight="1">
      <c r="A235" s="41" t="s">
        <v>1277</v>
      </c>
      <c r="B235" s="66" t="s">
        <v>1278</v>
      </c>
      <c r="C235" s="3">
        <v>900</v>
      </c>
      <c r="D235" s="3">
        <v>90015</v>
      </c>
      <c r="E235" s="186" t="s">
        <v>19</v>
      </c>
      <c r="F235" s="51">
        <f t="shared" ref="F235" si="34">G235+H235</f>
        <v>50000</v>
      </c>
      <c r="G235" s="70">
        <v>50000</v>
      </c>
      <c r="H235" s="70"/>
    </row>
    <row r="236" spans="1:8" s="6" customFormat="1" ht="24" customHeight="1">
      <c r="A236" s="52" t="s">
        <v>892</v>
      </c>
      <c r="B236" s="110" t="s">
        <v>868</v>
      </c>
      <c r="C236" s="50">
        <v>900</v>
      </c>
      <c r="D236" s="50">
        <v>90015</v>
      </c>
      <c r="E236" s="186" t="s">
        <v>19</v>
      </c>
      <c r="F236" s="51">
        <f t="shared" si="25"/>
        <v>50000</v>
      </c>
      <c r="G236" s="70">
        <v>50000</v>
      </c>
      <c r="H236" s="70"/>
    </row>
    <row r="237" spans="1:8" s="6" customFormat="1" ht="24" customHeight="1">
      <c r="A237" s="52" t="s">
        <v>1303</v>
      </c>
      <c r="B237" s="110" t="s">
        <v>1304</v>
      </c>
      <c r="C237" s="88">
        <v>600</v>
      </c>
      <c r="D237" s="88">
        <v>60016</v>
      </c>
      <c r="E237" s="186" t="s">
        <v>19</v>
      </c>
      <c r="F237" s="51">
        <f t="shared" ref="F237" si="35">G237+H237</f>
        <v>2000000</v>
      </c>
      <c r="G237" s="70">
        <v>2000000</v>
      </c>
      <c r="H237" s="70"/>
    </row>
    <row r="238" spans="1:8" s="6" customFormat="1" ht="24" customHeight="1">
      <c r="A238" s="52" t="s">
        <v>652</v>
      </c>
      <c r="B238" s="49" t="s">
        <v>653</v>
      </c>
      <c r="C238" s="48">
        <v>600</v>
      </c>
      <c r="D238" s="48">
        <v>60016</v>
      </c>
      <c r="E238" s="186" t="s">
        <v>19</v>
      </c>
      <c r="F238" s="51">
        <f t="shared" si="25"/>
        <v>220000</v>
      </c>
      <c r="G238" s="70">
        <v>220000</v>
      </c>
      <c r="H238" s="70"/>
    </row>
    <row r="239" spans="1:8" s="6" customFormat="1" ht="24" customHeight="1">
      <c r="A239" s="52" t="s">
        <v>654</v>
      </c>
      <c r="B239" s="53" t="s">
        <v>655</v>
      </c>
      <c r="C239" s="48">
        <v>600</v>
      </c>
      <c r="D239" s="48">
        <v>60016</v>
      </c>
      <c r="E239" s="186" t="s">
        <v>19</v>
      </c>
      <c r="F239" s="51">
        <f t="shared" si="25"/>
        <v>440000</v>
      </c>
      <c r="G239" s="70">
        <f>40000+400000</f>
        <v>440000</v>
      </c>
      <c r="H239" s="70"/>
    </row>
    <row r="240" spans="1:8" s="6" customFormat="1" ht="24" customHeight="1">
      <c r="A240" s="52" t="s">
        <v>202</v>
      </c>
      <c r="B240" s="193" t="s">
        <v>203</v>
      </c>
      <c r="C240" s="48">
        <v>600</v>
      </c>
      <c r="D240" s="48">
        <v>60016</v>
      </c>
      <c r="E240" s="186" t="s">
        <v>19</v>
      </c>
      <c r="F240" s="51">
        <f t="shared" si="25"/>
        <v>200000</v>
      </c>
      <c r="G240" s="70">
        <v>200000</v>
      </c>
      <c r="H240" s="70"/>
    </row>
    <row r="241" spans="1:8" s="6" customFormat="1" ht="21.75" customHeight="1">
      <c r="A241" s="34" t="s">
        <v>204</v>
      </c>
      <c r="B241" s="194" t="s">
        <v>205</v>
      </c>
      <c r="C241" s="36"/>
      <c r="D241" s="36"/>
      <c r="E241" s="183"/>
      <c r="F241" s="39">
        <f>G241+H241</f>
        <v>5300000</v>
      </c>
      <c r="G241" s="73">
        <f>SUM(G242:G243)</f>
        <v>5300000</v>
      </c>
      <c r="H241" s="73"/>
    </row>
    <row r="242" spans="1:8" s="6" customFormat="1" ht="21.75" customHeight="1">
      <c r="A242" s="41"/>
      <c r="B242" s="65" t="s">
        <v>8</v>
      </c>
      <c r="C242" s="42">
        <v>600</v>
      </c>
      <c r="D242" s="42">
        <v>60016</v>
      </c>
      <c r="E242" s="185" t="s">
        <v>19</v>
      </c>
      <c r="F242" s="44">
        <f>G242+H242</f>
        <v>2500000</v>
      </c>
      <c r="G242" s="75">
        <v>2500000</v>
      </c>
      <c r="H242" s="75"/>
    </row>
    <row r="243" spans="1:8" s="6" customFormat="1" ht="21.75" customHeight="1">
      <c r="A243" s="52"/>
      <c r="B243" s="225" t="s">
        <v>11</v>
      </c>
      <c r="C243" s="48">
        <v>600</v>
      </c>
      <c r="D243" s="48">
        <v>60016</v>
      </c>
      <c r="E243" s="186" t="s">
        <v>19</v>
      </c>
      <c r="F243" s="51">
        <f>G243+H243</f>
        <v>2800000</v>
      </c>
      <c r="G243" s="70">
        <v>2800000</v>
      </c>
      <c r="H243" s="70"/>
    </row>
    <row r="244" spans="1:8" s="6" customFormat="1" ht="24" customHeight="1">
      <c r="A244" s="52" t="s">
        <v>206</v>
      </c>
      <c r="B244" s="193" t="s">
        <v>207</v>
      </c>
      <c r="C244" s="48">
        <v>600</v>
      </c>
      <c r="D244" s="48">
        <v>60016</v>
      </c>
      <c r="E244" s="186" t="s">
        <v>19</v>
      </c>
      <c r="F244" s="51">
        <f>G244+H244</f>
        <v>350000</v>
      </c>
      <c r="G244" s="70">
        <v>350000</v>
      </c>
      <c r="H244" s="70"/>
    </row>
    <row r="245" spans="1:8" s="6" customFormat="1" ht="24" customHeight="1">
      <c r="A245" s="52" t="s">
        <v>208</v>
      </c>
      <c r="B245" s="193" t="s">
        <v>209</v>
      </c>
      <c r="C245" s="48">
        <v>600</v>
      </c>
      <c r="D245" s="48">
        <v>60015</v>
      </c>
      <c r="E245" s="186" t="s">
        <v>19</v>
      </c>
      <c r="F245" s="51">
        <f>G245+H245</f>
        <v>95202</v>
      </c>
      <c r="G245" s="125"/>
      <c r="H245" s="70">
        <v>95202</v>
      </c>
    </row>
    <row r="246" spans="1:8" s="6" customFormat="1" ht="24" customHeight="1">
      <c r="A246" s="52" t="s">
        <v>210</v>
      </c>
      <c r="B246" s="193" t="s">
        <v>211</v>
      </c>
      <c r="C246" s="48">
        <v>600</v>
      </c>
      <c r="D246" s="48">
        <v>60015</v>
      </c>
      <c r="E246" s="186" t="s">
        <v>19</v>
      </c>
      <c r="F246" s="51">
        <f t="shared" ref="F246:F253" si="36">G246+H246</f>
        <v>550000</v>
      </c>
      <c r="G246" s="70"/>
      <c r="H246" s="70">
        <f>50000+500000</f>
        <v>550000</v>
      </c>
    </row>
    <row r="247" spans="1:8" s="6" customFormat="1" ht="24" customHeight="1">
      <c r="A247" s="34" t="s">
        <v>212</v>
      </c>
      <c r="B247" s="35" t="s">
        <v>213</v>
      </c>
      <c r="C247" s="36"/>
      <c r="D247" s="36"/>
      <c r="E247" s="183"/>
      <c r="F247" s="39">
        <f t="shared" si="36"/>
        <v>8000000</v>
      </c>
      <c r="G247" s="73">
        <f>SUM(G248:G249)</f>
        <v>8000000</v>
      </c>
      <c r="H247" s="73"/>
    </row>
    <row r="248" spans="1:8" s="6" customFormat="1" ht="21.75" customHeight="1">
      <c r="A248" s="47"/>
      <c r="B248" s="56" t="s">
        <v>8</v>
      </c>
      <c r="C248" s="45">
        <v>600</v>
      </c>
      <c r="D248" s="45">
        <v>60016</v>
      </c>
      <c r="E248" s="184" t="s">
        <v>23</v>
      </c>
      <c r="F248" s="38">
        <f t="shared" si="36"/>
        <v>5000000</v>
      </c>
      <c r="G248" s="77">
        <v>5000000</v>
      </c>
      <c r="H248" s="77"/>
    </row>
    <row r="249" spans="1:8" s="6" customFormat="1" ht="21.75" customHeight="1">
      <c r="A249" s="41"/>
      <c r="B249" s="65" t="s">
        <v>11</v>
      </c>
      <c r="C249" s="42">
        <v>600</v>
      </c>
      <c r="D249" s="42">
        <v>60016</v>
      </c>
      <c r="E249" s="185" t="s">
        <v>23</v>
      </c>
      <c r="F249" s="44">
        <f t="shared" si="36"/>
        <v>3000000</v>
      </c>
      <c r="G249" s="75">
        <v>3000000</v>
      </c>
      <c r="H249" s="75"/>
    </row>
    <row r="250" spans="1:8" s="6" customFormat="1" ht="24" customHeight="1">
      <c r="A250" s="52" t="s">
        <v>214</v>
      </c>
      <c r="B250" s="53" t="s">
        <v>215</v>
      </c>
      <c r="C250" s="48">
        <v>600</v>
      </c>
      <c r="D250" s="48">
        <v>60016</v>
      </c>
      <c r="E250" s="186" t="s">
        <v>19</v>
      </c>
      <c r="F250" s="51">
        <f t="shared" si="36"/>
        <v>689173</v>
      </c>
      <c r="G250" s="70">
        <f>289173+400000</f>
        <v>689173</v>
      </c>
      <c r="H250" s="70"/>
    </row>
    <row r="251" spans="1:8" s="6" customFormat="1" ht="24" customHeight="1">
      <c r="A251" s="1" t="s">
        <v>216</v>
      </c>
      <c r="B251" s="129" t="s">
        <v>217</v>
      </c>
      <c r="C251" s="3">
        <v>600</v>
      </c>
      <c r="D251" s="3">
        <v>60016</v>
      </c>
      <c r="E251" s="140" t="s">
        <v>19</v>
      </c>
      <c r="F251" s="51">
        <f t="shared" si="36"/>
        <v>135685</v>
      </c>
      <c r="G251" s="5">
        <v>135685</v>
      </c>
      <c r="H251" s="5"/>
    </row>
    <row r="252" spans="1:8" ht="37.5" customHeight="1">
      <c r="A252" s="52" t="s">
        <v>527</v>
      </c>
      <c r="B252" s="53" t="s">
        <v>528</v>
      </c>
      <c r="C252" s="48">
        <v>600</v>
      </c>
      <c r="D252" s="48">
        <v>60016</v>
      </c>
      <c r="E252" s="186" t="s">
        <v>19</v>
      </c>
      <c r="F252" s="122">
        <f t="shared" si="36"/>
        <v>300000</v>
      </c>
      <c r="G252" s="119">
        <v>300000</v>
      </c>
      <c r="H252" s="119"/>
    </row>
    <row r="253" spans="1:8" s="6" customFormat="1" ht="21.75" customHeight="1">
      <c r="A253" s="34" t="s">
        <v>218</v>
      </c>
      <c r="B253" s="130" t="s">
        <v>219</v>
      </c>
      <c r="C253" s="36"/>
      <c r="D253" s="36"/>
      <c r="E253" s="183"/>
      <c r="F253" s="39">
        <f t="shared" si="36"/>
        <v>10590000</v>
      </c>
      <c r="G253" s="73">
        <f>SUM(G254:G255)</f>
        <v>10590000</v>
      </c>
      <c r="H253" s="73"/>
    </row>
    <row r="254" spans="1:8" s="6" customFormat="1" ht="21.75" customHeight="1">
      <c r="A254" s="47"/>
      <c r="B254" s="56" t="s">
        <v>8</v>
      </c>
      <c r="C254" s="45">
        <v>600</v>
      </c>
      <c r="D254" s="45">
        <v>60016</v>
      </c>
      <c r="E254" s="184" t="s">
        <v>19</v>
      </c>
      <c r="F254" s="38">
        <f>G254</f>
        <v>9090000</v>
      </c>
      <c r="G254" s="77">
        <f>3000000-1500000+7590000</f>
        <v>9090000</v>
      </c>
      <c r="H254" s="77"/>
    </row>
    <row r="255" spans="1:8" s="6" customFormat="1" ht="21.75" customHeight="1">
      <c r="A255" s="41"/>
      <c r="B255" s="65" t="s">
        <v>9</v>
      </c>
      <c r="C255" s="42">
        <v>600</v>
      </c>
      <c r="D255" s="42">
        <v>60016</v>
      </c>
      <c r="E255" s="185" t="s">
        <v>19</v>
      </c>
      <c r="F255" s="44">
        <f>G255+H255</f>
        <v>1500000</v>
      </c>
      <c r="G255" s="75">
        <v>1500000</v>
      </c>
      <c r="H255" s="75"/>
    </row>
    <row r="256" spans="1:8" s="6" customFormat="1" ht="24" customHeight="1">
      <c r="A256" s="41" t="s">
        <v>851</v>
      </c>
      <c r="B256" s="66" t="s">
        <v>852</v>
      </c>
      <c r="C256" s="42">
        <v>600</v>
      </c>
      <c r="D256" s="42">
        <v>60016</v>
      </c>
      <c r="E256" s="185" t="s">
        <v>19</v>
      </c>
      <c r="F256" s="51">
        <f t="shared" ref="F256" si="37">G256+H256</f>
        <v>150000</v>
      </c>
      <c r="G256" s="70">
        <v>150000</v>
      </c>
      <c r="H256" s="70"/>
    </row>
    <row r="257" spans="1:8" s="6" customFormat="1" ht="24" customHeight="1">
      <c r="A257" s="52" t="s">
        <v>220</v>
      </c>
      <c r="B257" s="53" t="s">
        <v>221</v>
      </c>
      <c r="C257" s="48">
        <v>600</v>
      </c>
      <c r="D257" s="48">
        <v>60016</v>
      </c>
      <c r="E257" s="186" t="s">
        <v>19</v>
      </c>
      <c r="F257" s="51">
        <f t="shared" ref="F257:F261" si="38">G257+H257</f>
        <v>305509</v>
      </c>
      <c r="G257" s="70">
        <v>305509</v>
      </c>
      <c r="H257" s="70"/>
    </row>
    <row r="258" spans="1:8" s="6" customFormat="1" ht="24" customHeight="1">
      <c r="A258" s="131" t="s">
        <v>761</v>
      </c>
      <c r="B258" s="53" t="s">
        <v>762</v>
      </c>
      <c r="C258" s="48">
        <v>600</v>
      </c>
      <c r="D258" s="48">
        <v>60016</v>
      </c>
      <c r="E258" s="186" t="s">
        <v>19</v>
      </c>
      <c r="F258" s="51">
        <f t="shared" si="38"/>
        <v>193910</v>
      </c>
      <c r="G258" s="70">
        <v>193910</v>
      </c>
      <c r="H258" s="70"/>
    </row>
    <row r="259" spans="1:8" s="6" customFormat="1" ht="24" customHeight="1">
      <c r="A259" s="131" t="s">
        <v>222</v>
      </c>
      <c r="B259" s="53" t="s">
        <v>223</v>
      </c>
      <c r="C259" s="48">
        <v>600</v>
      </c>
      <c r="D259" s="48">
        <v>60016</v>
      </c>
      <c r="E259" s="186" t="s">
        <v>19</v>
      </c>
      <c r="F259" s="51">
        <f t="shared" si="38"/>
        <v>2523541</v>
      </c>
      <c r="G259" s="70">
        <v>2523541</v>
      </c>
      <c r="H259" s="70"/>
    </row>
    <row r="260" spans="1:8" s="6" customFormat="1" ht="24" customHeight="1">
      <c r="A260" s="95" t="s">
        <v>224</v>
      </c>
      <c r="B260" s="132" t="s">
        <v>225</v>
      </c>
      <c r="C260" s="96">
        <v>600</v>
      </c>
      <c r="D260" s="96">
        <v>60016</v>
      </c>
      <c r="E260" s="180" t="s">
        <v>19</v>
      </c>
      <c r="F260" s="51">
        <f t="shared" si="38"/>
        <v>4144968</v>
      </c>
      <c r="G260" s="97">
        <f>144968+4000000</f>
        <v>4144968</v>
      </c>
      <c r="H260" s="97"/>
    </row>
    <row r="261" spans="1:8" s="6" customFormat="1" ht="24" customHeight="1">
      <c r="A261" s="133" t="s">
        <v>226</v>
      </c>
      <c r="B261" s="117" t="s">
        <v>227</v>
      </c>
      <c r="C261" s="36"/>
      <c r="D261" s="36"/>
      <c r="E261" s="183"/>
      <c r="F261" s="39">
        <f t="shared" si="38"/>
        <v>11659870</v>
      </c>
      <c r="G261" s="77">
        <f>G262+G263</f>
        <v>11659870</v>
      </c>
      <c r="H261" s="77"/>
    </row>
    <row r="262" spans="1:8" s="6" customFormat="1" ht="21" customHeight="1">
      <c r="A262" s="134"/>
      <c r="B262" s="56" t="s">
        <v>8</v>
      </c>
      <c r="C262" s="45">
        <v>600</v>
      </c>
      <c r="D262" s="45">
        <v>60016</v>
      </c>
      <c r="E262" s="184" t="s">
        <v>19</v>
      </c>
      <c r="F262" s="38">
        <f>G262+H262</f>
        <v>5700000</v>
      </c>
      <c r="G262" s="77">
        <f>5000000+700000</f>
        <v>5700000</v>
      </c>
      <c r="H262" s="77"/>
    </row>
    <row r="263" spans="1:8" s="6" customFormat="1" ht="21" customHeight="1">
      <c r="A263" s="135"/>
      <c r="B263" s="65" t="s">
        <v>72</v>
      </c>
      <c r="C263" s="42">
        <v>600</v>
      </c>
      <c r="D263" s="42">
        <v>60016</v>
      </c>
      <c r="E263" s="185" t="s">
        <v>19</v>
      </c>
      <c r="F263" s="44">
        <f>G263+H263</f>
        <v>5959870</v>
      </c>
      <c r="G263" s="75">
        <v>5959870</v>
      </c>
      <c r="H263" s="75"/>
    </row>
    <row r="264" spans="1:8" s="6" customFormat="1" ht="24" customHeight="1">
      <c r="A264" s="133" t="s">
        <v>228</v>
      </c>
      <c r="B264" s="35" t="s">
        <v>229</v>
      </c>
      <c r="C264" s="36">
        <v>600</v>
      </c>
      <c r="D264" s="36">
        <v>60016</v>
      </c>
      <c r="E264" s="183" t="s">
        <v>19</v>
      </c>
      <c r="F264" s="39">
        <f t="shared" ref="F264:F273" si="39">G264+H264</f>
        <v>383260</v>
      </c>
      <c r="G264" s="73">
        <v>383260</v>
      </c>
      <c r="H264" s="73"/>
    </row>
    <row r="265" spans="1:8" s="6" customFormat="1" ht="24" customHeight="1">
      <c r="A265" s="131" t="s">
        <v>230</v>
      </c>
      <c r="B265" s="53" t="s">
        <v>231</v>
      </c>
      <c r="C265" s="48">
        <v>600</v>
      </c>
      <c r="D265" s="48">
        <v>60016</v>
      </c>
      <c r="E265" s="186" t="s">
        <v>19</v>
      </c>
      <c r="F265" s="51">
        <f t="shared" si="39"/>
        <v>48462</v>
      </c>
      <c r="G265" s="70">
        <v>48462</v>
      </c>
      <c r="H265" s="70"/>
    </row>
    <row r="266" spans="1:8" ht="24" customHeight="1">
      <c r="A266" s="136" t="s">
        <v>656</v>
      </c>
      <c r="B266" s="53" t="s">
        <v>657</v>
      </c>
      <c r="C266" s="48">
        <v>600</v>
      </c>
      <c r="D266" s="48">
        <v>60016</v>
      </c>
      <c r="E266" s="186" t="s">
        <v>19</v>
      </c>
      <c r="F266" s="122">
        <f t="shared" si="39"/>
        <v>1680000</v>
      </c>
      <c r="G266" s="119">
        <f>500000+1180000</f>
        <v>1680000</v>
      </c>
      <c r="H266" s="119"/>
    </row>
    <row r="267" spans="1:8" s="6" customFormat="1" ht="20.25" customHeight="1">
      <c r="A267" s="133" t="s">
        <v>232</v>
      </c>
      <c r="B267" s="35" t="s">
        <v>233</v>
      </c>
      <c r="C267" s="36"/>
      <c r="D267" s="36"/>
      <c r="E267" s="183"/>
      <c r="F267" s="39">
        <f t="shared" si="39"/>
        <v>115000</v>
      </c>
      <c r="G267" s="73">
        <f>G268</f>
        <v>115000</v>
      </c>
      <c r="H267" s="73"/>
    </row>
    <row r="268" spans="1:8" s="6" customFormat="1" ht="20.25" customHeight="1">
      <c r="A268" s="41"/>
      <c r="B268" s="107" t="s">
        <v>234</v>
      </c>
      <c r="C268" s="43">
        <v>600</v>
      </c>
      <c r="D268" s="43">
        <v>60016</v>
      </c>
      <c r="E268" s="185" t="s">
        <v>19</v>
      </c>
      <c r="F268" s="44">
        <f t="shared" si="39"/>
        <v>115000</v>
      </c>
      <c r="G268" s="75">
        <v>115000</v>
      </c>
      <c r="H268" s="75"/>
    </row>
    <row r="269" spans="1:8" s="6" customFormat="1" ht="20.25" customHeight="1">
      <c r="A269" s="134" t="s">
        <v>235</v>
      </c>
      <c r="B269" s="117" t="s">
        <v>236</v>
      </c>
      <c r="C269" s="36"/>
      <c r="D269" s="36"/>
      <c r="E269" s="183"/>
      <c r="F269" s="39">
        <f t="shared" si="39"/>
        <v>100000</v>
      </c>
      <c r="G269" s="73">
        <f>G270</f>
        <v>100000</v>
      </c>
      <c r="H269" s="73"/>
    </row>
    <row r="270" spans="1:8" s="6" customFormat="1" ht="20.25" customHeight="1">
      <c r="A270" s="41"/>
      <c r="B270" s="107" t="s">
        <v>234</v>
      </c>
      <c r="C270" s="43">
        <v>600</v>
      </c>
      <c r="D270" s="43">
        <v>60016</v>
      </c>
      <c r="E270" s="185" t="s">
        <v>19</v>
      </c>
      <c r="F270" s="44">
        <f t="shared" si="39"/>
        <v>100000</v>
      </c>
      <c r="G270" s="75">
        <v>100000</v>
      </c>
      <c r="H270" s="75"/>
    </row>
    <row r="271" spans="1:8" s="6" customFormat="1" ht="20.25" customHeight="1">
      <c r="A271" s="134" t="s">
        <v>237</v>
      </c>
      <c r="B271" s="137" t="s">
        <v>238</v>
      </c>
      <c r="C271" s="45"/>
      <c r="D271" s="45"/>
      <c r="E271" s="184"/>
      <c r="F271" s="38">
        <f t="shared" si="39"/>
        <v>50000</v>
      </c>
      <c r="G271" s="77">
        <f>G272</f>
        <v>0</v>
      </c>
      <c r="H271" s="77">
        <f>H272</f>
        <v>50000</v>
      </c>
    </row>
    <row r="272" spans="1:8" s="6" customFormat="1" ht="20.25" customHeight="1">
      <c r="A272" s="41"/>
      <c r="B272" s="107" t="s">
        <v>234</v>
      </c>
      <c r="C272" s="43">
        <v>600</v>
      </c>
      <c r="D272" s="43">
        <v>60015</v>
      </c>
      <c r="E272" s="185" t="s">
        <v>19</v>
      </c>
      <c r="F272" s="44">
        <f t="shared" si="39"/>
        <v>50000</v>
      </c>
      <c r="G272" s="75"/>
      <c r="H272" s="75">
        <v>50000</v>
      </c>
    </row>
    <row r="273" spans="1:8" s="6" customFormat="1" ht="20.25" customHeight="1">
      <c r="A273" s="34" t="s">
        <v>239</v>
      </c>
      <c r="B273" s="124" t="s">
        <v>240</v>
      </c>
      <c r="C273" s="40"/>
      <c r="D273" s="40"/>
      <c r="E273" s="183"/>
      <c r="F273" s="39">
        <f t="shared" si="39"/>
        <v>19962000</v>
      </c>
      <c r="G273" s="73">
        <f>SUM(G274:G275)</f>
        <v>19962000</v>
      </c>
      <c r="H273" s="73"/>
    </row>
    <row r="274" spans="1:8" s="6" customFormat="1" ht="20.25" customHeight="1">
      <c r="A274" s="47"/>
      <c r="B274" s="56" t="s">
        <v>8</v>
      </c>
      <c r="C274" s="46">
        <v>600</v>
      </c>
      <c r="D274" s="46">
        <v>60095</v>
      </c>
      <c r="E274" s="184" t="s">
        <v>23</v>
      </c>
      <c r="F274" s="38">
        <f>G274+H274</f>
        <v>6942000</v>
      </c>
      <c r="G274" s="77">
        <v>6942000</v>
      </c>
      <c r="H274" s="77"/>
    </row>
    <row r="275" spans="1:8" s="6" customFormat="1" ht="20.25" customHeight="1">
      <c r="A275" s="41"/>
      <c r="B275" s="65" t="s">
        <v>11</v>
      </c>
      <c r="C275" s="43">
        <v>600</v>
      </c>
      <c r="D275" s="43">
        <v>60095</v>
      </c>
      <c r="E275" s="185" t="s">
        <v>23</v>
      </c>
      <c r="F275" s="44">
        <f>G275+H275</f>
        <v>13020000</v>
      </c>
      <c r="G275" s="75">
        <v>13020000</v>
      </c>
      <c r="H275" s="75"/>
    </row>
    <row r="276" spans="1:8" s="6" customFormat="1" ht="20.25" customHeight="1">
      <c r="A276" s="34" t="s">
        <v>241</v>
      </c>
      <c r="B276" s="124" t="s">
        <v>242</v>
      </c>
      <c r="C276" s="40"/>
      <c r="D276" s="40"/>
      <c r="E276" s="183"/>
      <c r="F276" s="39">
        <f t="shared" ref="F276" si="40">G276+H276</f>
        <v>17900000</v>
      </c>
      <c r="G276" s="73">
        <f>SUM(G277:G278)</f>
        <v>17900000</v>
      </c>
      <c r="H276" s="73"/>
    </row>
    <row r="277" spans="1:8" s="6" customFormat="1" ht="20.25" customHeight="1">
      <c r="A277" s="47"/>
      <c r="B277" s="56" t="s">
        <v>8</v>
      </c>
      <c r="C277" s="46">
        <v>600</v>
      </c>
      <c r="D277" s="46">
        <v>60016</v>
      </c>
      <c r="E277" s="184" t="s">
        <v>19</v>
      </c>
      <c r="F277" s="38">
        <f>G277+H277</f>
        <v>6300000</v>
      </c>
      <c r="G277" s="77">
        <v>6300000</v>
      </c>
      <c r="H277" s="77"/>
    </row>
    <row r="278" spans="1:8" s="6" customFormat="1" ht="20.25" customHeight="1">
      <c r="A278" s="41"/>
      <c r="B278" s="65" t="s">
        <v>11</v>
      </c>
      <c r="C278" s="43">
        <v>600</v>
      </c>
      <c r="D278" s="43">
        <v>60016</v>
      </c>
      <c r="E278" s="185" t="s">
        <v>19</v>
      </c>
      <c r="F278" s="44">
        <f>G278+H278</f>
        <v>11600000</v>
      </c>
      <c r="G278" s="75">
        <v>11600000</v>
      </c>
      <c r="H278" s="75"/>
    </row>
    <row r="279" spans="1:8" s="6" customFormat="1" ht="24" customHeight="1">
      <c r="A279" s="34" t="s">
        <v>243</v>
      </c>
      <c r="B279" s="124" t="s">
        <v>244</v>
      </c>
      <c r="C279" s="40">
        <v>600</v>
      </c>
      <c r="D279" s="40">
        <v>60016</v>
      </c>
      <c r="E279" s="183" t="s">
        <v>19</v>
      </c>
      <c r="F279" s="39">
        <f t="shared" ref="F279:F337" si="41">G279+H279</f>
        <v>420045</v>
      </c>
      <c r="G279" s="73">
        <v>420045</v>
      </c>
      <c r="H279" s="73"/>
    </row>
    <row r="280" spans="1:8" s="6" customFormat="1" ht="24" customHeight="1">
      <c r="A280" s="52" t="s">
        <v>245</v>
      </c>
      <c r="B280" s="110" t="s">
        <v>246</v>
      </c>
      <c r="C280" s="50">
        <v>600</v>
      </c>
      <c r="D280" s="50">
        <v>60016</v>
      </c>
      <c r="E280" s="186" t="s">
        <v>19</v>
      </c>
      <c r="F280" s="51">
        <f t="shared" si="41"/>
        <v>495570</v>
      </c>
      <c r="G280" s="70">
        <f>195570+300000</f>
        <v>495570</v>
      </c>
      <c r="H280" s="70"/>
    </row>
    <row r="281" spans="1:8" s="6" customFormat="1" ht="24" customHeight="1">
      <c r="A281" s="41" t="s">
        <v>247</v>
      </c>
      <c r="B281" s="191" t="s">
        <v>248</v>
      </c>
      <c r="C281" s="43">
        <v>600</v>
      </c>
      <c r="D281" s="43">
        <v>60016</v>
      </c>
      <c r="E281" s="185" t="s">
        <v>19</v>
      </c>
      <c r="F281" s="44">
        <f t="shared" si="41"/>
        <v>58424</v>
      </c>
      <c r="G281" s="75">
        <v>58424</v>
      </c>
      <c r="H281" s="75"/>
    </row>
    <row r="282" spans="1:8" s="6" customFormat="1" ht="24" customHeight="1">
      <c r="A282" s="52" t="s">
        <v>249</v>
      </c>
      <c r="B282" s="110" t="s">
        <v>250</v>
      </c>
      <c r="C282" s="50">
        <v>600</v>
      </c>
      <c r="D282" s="50">
        <v>60016</v>
      </c>
      <c r="E282" s="186" t="s">
        <v>19</v>
      </c>
      <c r="F282" s="51">
        <f t="shared" si="41"/>
        <v>936000</v>
      </c>
      <c r="G282" s="70">
        <f>216000+720000</f>
        <v>936000</v>
      </c>
      <c r="H282" s="70"/>
    </row>
    <row r="283" spans="1:8" ht="24" customHeight="1">
      <c r="A283" s="52" t="s">
        <v>658</v>
      </c>
      <c r="B283" s="110" t="s">
        <v>659</v>
      </c>
      <c r="C283" s="50">
        <v>600</v>
      </c>
      <c r="D283" s="50">
        <v>60016</v>
      </c>
      <c r="E283" s="186" t="s">
        <v>19</v>
      </c>
      <c r="F283" s="122">
        <f t="shared" si="41"/>
        <v>18640000</v>
      </c>
      <c r="G283" s="119">
        <f>8000000+10640000</f>
        <v>18640000</v>
      </c>
      <c r="H283" s="119"/>
    </row>
    <row r="284" spans="1:8" s="6" customFormat="1" ht="24" customHeight="1">
      <c r="A284" s="47" t="s">
        <v>251</v>
      </c>
      <c r="B284" s="144" t="s">
        <v>252</v>
      </c>
      <c r="C284" s="46">
        <v>600</v>
      </c>
      <c r="D284" s="46">
        <v>60016</v>
      </c>
      <c r="E284" s="184" t="s">
        <v>19</v>
      </c>
      <c r="F284" s="44">
        <f t="shared" si="41"/>
        <v>350000</v>
      </c>
      <c r="G284" s="77">
        <v>350000</v>
      </c>
      <c r="H284" s="77"/>
    </row>
    <row r="285" spans="1:8" s="6" customFormat="1" ht="24" customHeight="1">
      <c r="A285" s="52" t="s">
        <v>253</v>
      </c>
      <c r="B285" s="110" t="s">
        <v>254</v>
      </c>
      <c r="C285" s="50">
        <v>600</v>
      </c>
      <c r="D285" s="50">
        <v>60016</v>
      </c>
      <c r="E285" s="186" t="s">
        <v>19</v>
      </c>
      <c r="F285" s="51">
        <f t="shared" si="41"/>
        <v>194340</v>
      </c>
      <c r="G285" s="70">
        <v>194340</v>
      </c>
      <c r="H285" s="70"/>
    </row>
    <row r="286" spans="1:8" s="6" customFormat="1" ht="24" customHeight="1">
      <c r="A286" s="52" t="s">
        <v>255</v>
      </c>
      <c r="B286" s="110" t="s">
        <v>256</v>
      </c>
      <c r="C286" s="50">
        <v>600</v>
      </c>
      <c r="D286" s="50">
        <v>60016</v>
      </c>
      <c r="E286" s="186" t="s">
        <v>19</v>
      </c>
      <c r="F286" s="51">
        <f t="shared" si="41"/>
        <v>129888</v>
      </c>
      <c r="G286" s="70">
        <v>129888</v>
      </c>
      <c r="H286" s="70"/>
    </row>
    <row r="287" spans="1:8" s="6" customFormat="1" ht="24" customHeight="1">
      <c r="A287" s="138" t="s">
        <v>257</v>
      </c>
      <c r="B287" s="195" t="s">
        <v>258</v>
      </c>
      <c r="C287" s="36"/>
      <c r="D287" s="36"/>
      <c r="E287" s="213"/>
      <c r="F287" s="39">
        <f t="shared" si="41"/>
        <v>7558107</v>
      </c>
      <c r="G287" s="73">
        <f>SUM(G288:G289)</f>
        <v>7558107</v>
      </c>
      <c r="H287" s="73"/>
    </row>
    <row r="288" spans="1:8" s="6" customFormat="1" ht="24" customHeight="1">
      <c r="A288" s="139"/>
      <c r="B288" s="56" t="s">
        <v>8</v>
      </c>
      <c r="C288" s="45">
        <v>600</v>
      </c>
      <c r="D288" s="45">
        <v>60016</v>
      </c>
      <c r="E288" s="214" t="s">
        <v>19</v>
      </c>
      <c r="F288" s="38">
        <f t="shared" si="41"/>
        <v>1841476</v>
      </c>
      <c r="G288" s="77">
        <v>1841476</v>
      </c>
      <c r="H288" s="77"/>
    </row>
    <row r="289" spans="1:8" s="6" customFormat="1" ht="24" customHeight="1">
      <c r="A289" s="41"/>
      <c r="B289" s="65" t="s">
        <v>1327</v>
      </c>
      <c r="C289" s="42">
        <v>600</v>
      </c>
      <c r="D289" s="42">
        <v>60016</v>
      </c>
      <c r="E289" s="215" t="s">
        <v>19</v>
      </c>
      <c r="F289" s="44">
        <f t="shared" si="41"/>
        <v>5716631</v>
      </c>
      <c r="G289" s="75">
        <v>5716631</v>
      </c>
      <c r="H289" s="75"/>
    </row>
    <row r="290" spans="1:8" s="6" customFormat="1" ht="24" customHeight="1">
      <c r="A290" s="52" t="s">
        <v>259</v>
      </c>
      <c r="B290" s="110" t="s">
        <v>260</v>
      </c>
      <c r="C290" s="50">
        <v>600</v>
      </c>
      <c r="D290" s="50">
        <v>60016</v>
      </c>
      <c r="E290" s="186" t="s">
        <v>19</v>
      </c>
      <c r="F290" s="51">
        <f t="shared" si="41"/>
        <v>500000</v>
      </c>
      <c r="G290" s="70">
        <v>500000</v>
      </c>
      <c r="H290" s="70"/>
    </row>
    <row r="291" spans="1:8" s="6" customFormat="1" ht="24" customHeight="1">
      <c r="A291" s="52" t="s">
        <v>261</v>
      </c>
      <c r="B291" s="110" t="s">
        <v>262</v>
      </c>
      <c r="C291" s="50">
        <v>600</v>
      </c>
      <c r="D291" s="50">
        <v>60016</v>
      </c>
      <c r="E291" s="186" t="s">
        <v>19</v>
      </c>
      <c r="F291" s="51">
        <f t="shared" si="41"/>
        <v>1000000</v>
      </c>
      <c r="G291" s="70">
        <v>1000000</v>
      </c>
      <c r="H291" s="70"/>
    </row>
    <row r="292" spans="1:8" s="6" customFormat="1" ht="24" customHeight="1">
      <c r="A292" s="34" t="s">
        <v>263</v>
      </c>
      <c r="B292" s="124" t="s">
        <v>264</v>
      </c>
      <c r="C292" s="40">
        <v>600</v>
      </c>
      <c r="D292" s="40">
        <v>60016</v>
      </c>
      <c r="E292" s="183" t="s">
        <v>19</v>
      </c>
      <c r="F292" s="39">
        <f t="shared" si="41"/>
        <v>98769</v>
      </c>
      <c r="G292" s="73">
        <v>98769</v>
      </c>
      <c r="H292" s="73"/>
    </row>
    <row r="293" spans="1:8" s="6" customFormat="1" ht="24" customHeight="1">
      <c r="A293" s="52" t="s">
        <v>265</v>
      </c>
      <c r="B293" s="110" t="s">
        <v>266</v>
      </c>
      <c r="C293" s="50">
        <v>600</v>
      </c>
      <c r="D293" s="50">
        <v>60016</v>
      </c>
      <c r="E293" s="186" t="s">
        <v>19</v>
      </c>
      <c r="F293" s="51">
        <f t="shared" si="41"/>
        <v>348585</v>
      </c>
      <c r="G293" s="70">
        <v>348585</v>
      </c>
      <c r="H293" s="70"/>
    </row>
    <row r="294" spans="1:8" s="6" customFormat="1" ht="24" customHeight="1">
      <c r="A294" s="52" t="s">
        <v>763</v>
      </c>
      <c r="B294" s="110" t="s">
        <v>764</v>
      </c>
      <c r="C294" s="50">
        <v>600</v>
      </c>
      <c r="D294" s="50">
        <v>60016</v>
      </c>
      <c r="E294" s="186" t="s">
        <v>19</v>
      </c>
      <c r="F294" s="51">
        <f t="shared" si="41"/>
        <v>358210</v>
      </c>
      <c r="G294" s="70">
        <f>158210+200000</f>
        <v>358210</v>
      </c>
      <c r="H294" s="70"/>
    </row>
    <row r="295" spans="1:8" s="6" customFormat="1" ht="24" customHeight="1">
      <c r="A295" s="52" t="s">
        <v>267</v>
      </c>
      <c r="B295" s="110" t="s">
        <v>268</v>
      </c>
      <c r="C295" s="50">
        <v>600</v>
      </c>
      <c r="D295" s="50">
        <v>60016</v>
      </c>
      <c r="E295" s="186" t="s">
        <v>19</v>
      </c>
      <c r="F295" s="51">
        <f t="shared" si="41"/>
        <v>180810</v>
      </c>
      <c r="G295" s="70">
        <v>180810</v>
      </c>
      <c r="H295" s="70"/>
    </row>
    <row r="296" spans="1:8" s="6" customFormat="1" ht="24" customHeight="1">
      <c r="A296" s="52" t="s">
        <v>269</v>
      </c>
      <c r="B296" s="110" t="s">
        <v>270</v>
      </c>
      <c r="C296" s="50">
        <v>600</v>
      </c>
      <c r="D296" s="50">
        <v>60016</v>
      </c>
      <c r="E296" s="186" t="s">
        <v>19</v>
      </c>
      <c r="F296" s="51">
        <f t="shared" si="41"/>
        <v>74477</v>
      </c>
      <c r="G296" s="70">
        <v>74477</v>
      </c>
      <c r="H296" s="70"/>
    </row>
    <row r="297" spans="1:8" s="6" customFormat="1" ht="24" customHeight="1">
      <c r="A297" s="52" t="s">
        <v>271</v>
      </c>
      <c r="B297" s="110" t="s">
        <v>272</v>
      </c>
      <c r="C297" s="50">
        <v>600</v>
      </c>
      <c r="D297" s="50">
        <v>60016</v>
      </c>
      <c r="E297" s="186" t="s">
        <v>19</v>
      </c>
      <c r="F297" s="51">
        <f t="shared" si="41"/>
        <v>308100</v>
      </c>
      <c r="G297" s="70">
        <v>308100</v>
      </c>
      <c r="H297" s="70"/>
    </row>
    <row r="298" spans="1:8" ht="24" customHeight="1">
      <c r="A298" s="52" t="s">
        <v>660</v>
      </c>
      <c r="B298" s="110" t="s">
        <v>661</v>
      </c>
      <c r="C298" s="50">
        <v>600</v>
      </c>
      <c r="D298" s="50">
        <v>60016</v>
      </c>
      <c r="E298" s="186" t="s">
        <v>19</v>
      </c>
      <c r="F298" s="122">
        <f t="shared" si="41"/>
        <v>100000</v>
      </c>
      <c r="G298" s="119">
        <v>100000</v>
      </c>
      <c r="H298" s="119"/>
    </row>
    <row r="299" spans="1:8" s="6" customFormat="1" ht="24" customHeight="1">
      <c r="A299" s="41" t="s">
        <v>273</v>
      </c>
      <c r="B299" s="191" t="s">
        <v>274</v>
      </c>
      <c r="C299" s="43">
        <v>600</v>
      </c>
      <c r="D299" s="43">
        <v>60016</v>
      </c>
      <c r="E299" s="185" t="s">
        <v>19</v>
      </c>
      <c r="F299" s="44">
        <f t="shared" si="41"/>
        <v>132594</v>
      </c>
      <c r="G299" s="75">
        <v>132594</v>
      </c>
      <c r="H299" s="75"/>
    </row>
    <row r="300" spans="1:8" s="6" customFormat="1" ht="24" customHeight="1">
      <c r="A300" s="34" t="s">
        <v>275</v>
      </c>
      <c r="B300" s="124" t="s">
        <v>276</v>
      </c>
      <c r="C300" s="43">
        <v>600</v>
      </c>
      <c r="D300" s="43">
        <v>60015</v>
      </c>
      <c r="E300" s="185" t="s">
        <v>19</v>
      </c>
      <c r="F300" s="39">
        <f t="shared" si="41"/>
        <v>269000</v>
      </c>
      <c r="G300" s="75"/>
      <c r="H300" s="75">
        <v>269000</v>
      </c>
    </row>
    <row r="301" spans="1:8" ht="24" customHeight="1">
      <c r="A301" s="52" t="s">
        <v>664</v>
      </c>
      <c r="B301" s="110" t="s">
        <v>665</v>
      </c>
      <c r="C301" s="50">
        <v>600</v>
      </c>
      <c r="D301" s="50">
        <v>60016</v>
      </c>
      <c r="E301" s="186" t="s">
        <v>19</v>
      </c>
      <c r="F301" s="122">
        <f t="shared" si="41"/>
        <v>100000</v>
      </c>
      <c r="G301" s="119">
        <v>100000</v>
      </c>
      <c r="H301" s="119"/>
    </row>
    <row r="302" spans="1:8" ht="24" customHeight="1">
      <c r="A302" s="34" t="s">
        <v>853</v>
      </c>
      <c r="B302" s="124" t="s">
        <v>854</v>
      </c>
      <c r="C302" s="40">
        <v>600</v>
      </c>
      <c r="D302" s="40">
        <v>60015</v>
      </c>
      <c r="E302" s="183" t="s">
        <v>19</v>
      </c>
      <c r="F302" s="122">
        <f t="shared" si="41"/>
        <v>150000</v>
      </c>
      <c r="G302" s="113"/>
      <c r="H302" s="113">
        <v>150000</v>
      </c>
    </row>
    <row r="303" spans="1:8" s="6" customFormat="1" ht="22.5" customHeight="1">
      <c r="A303" s="34" t="s">
        <v>552</v>
      </c>
      <c r="B303" s="124" t="s">
        <v>553</v>
      </c>
      <c r="C303" s="40"/>
      <c r="D303" s="40"/>
      <c r="E303" s="183"/>
      <c r="F303" s="39">
        <f t="shared" si="41"/>
        <v>104000</v>
      </c>
      <c r="G303" s="73">
        <f>SUM(G304)</f>
        <v>104000</v>
      </c>
      <c r="H303" s="73"/>
    </row>
    <row r="304" spans="1:8" s="6" customFormat="1" ht="22.5" customHeight="1">
      <c r="A304" s="41"/>
      <c r="B304" s="65" t="s">
        <v>548</v>
      </c>
      <c r="C304" s="43">
        <v>600</v>
      </c>
      <c r="D304" s="43">
        <v>60016</v>
      </c>
      <c r="E304" s="185" t="s">
        <v>19</v>
      </c>
      <c r="F304" s="44">
        <f t="shared" si="41"/>
        <v>104000</v>
      </c>
      <c r="G304" s="75">
        <v>104000</v>
      </c>
      <c r="H304" s="75"/>
    </row>
    <row r="305" spans="1:8" s="6" customFormat="1" ht="22.5" customHeight="1">
      <c r="A305" s="34" t="s">
        <v>554</v>
      </c>
      <c r="B305" s="124" t="s">
        <v>702</v>
      </c>
      <c r="C305" s="40"/>
      <c r="D305" s="40"/>
      <c r="E305" s="183"/>
      <c r="F305" s="39">
        <f t="shared" si="41"/>
        <v>100000</v>
      </c>
      <c r="G305" s="73">
        <f>SUM(G306)</f>
        <v>100000</v>
      </c>
      <c r="H305" s="73"/>
    </row>
    <row r="306" spans="1:8" s="6" customFormat="1" ht="22.5" customHeight="1">
      <c r="A306" s="41"/>
      <c r="B306" s="65" t="s">
        <v>548</v>
      </c>
      <c r="C306" s="43">
        <v>600</v>
      </c>
      <c r="D306" s="43">
        <v>60095</v>
      </c>
      <c r="E306" s="185" t="s">
        <v>19</v>
      </c>
      <c r="F306" s="44">
        <f t="shared" si="41"/>
        <v>100000</v>
      </c>
      <c r="G306" s="75">
        <v>100000</v>
      </c>
      <c r="H306" s="75"/>
    </row>
    <row r="307" spans="1:8" s="6" customFormat="1" ht="22.5" customHeight="1">
      <c r="A307" s="34" t="s">
        <v>555</v>
      </c>
      <c r="B307" s="124" t="s">
        <v>703</v>
      </c>
      <c r="C307" s="40"/>
      <c r="D307" s="40"/>
      <c r="E307" s="183"/>
      <c r="F307" s="39">
        <f t="shared" si="41"/>
        <v>360000</v>
      </c>
      <c r="G307" s="73">
        <f>SUM(G308)</f>
        <v>360000</v>
      </c>
      <c r="H307" s="73"/>
    </row>
    <row r="308" spans="1:8" s="6" customFormat="1" ht="22.5" customHeight="1">
      <c r="A308" s="41"/>
      <c r="B308" s="65" t="s">
        <v>547</v>
      </c>
      <c r="C308" s="43">
        <v>900</v>
      </c>
      <c r="D308" s="43">
        <v>90015</v>
      </c>
      <c r="E308" s="185" t="s">
        <v>19</v>
      </c>
      <c r="F308" s="44">
        <f t="shared" si="41"/>
        <v>360000</v>
      </c>
      <c r="G308" s="75">
        <v>360000</v>
      </c>
      <c r="H308" s="75"/>
    </row>
    <row r="309" spans="1:8" s="6" customFormat="1" ht="22.5" customHeight="1">
      <c r="A309" s="34" t="s">
        <v>556</v>
      </c>
      <c r="B309" s="124" t="s">
        <v>704</v>
      </c>
      <c r="C309" s="40"/>
      <c r="D309" s="40"/>
      <c r="E309" s="183"/>
      <c r="F309" s="39">
        <f t="shared" si="41"/>
        <v>50000</v>
      </c>
      <c r="G309" s="73">
        <f>SUM(G310)</f>
        <v>50000</v>
      </c>
      <c r="H309" s="73"/>
    </row>
    <row r="310" spans="1:8" s="6" customFormat="1" ht="22.5" customHeight="1">
      <c r="A310" s="41"/>
      <c r="B310" s="65" t="s">
        <v>547</v>
      </c>
      <c r="C310" s="43">
        <v>600</v>
      </c>
      <c r="D310" s="43">
        <v>60016</v>
      </c>
      <c r="E310" s="185" t="s">
        <v>19</v>
      </c>
      <c r="F310" s="44">
        <f t="shared" si="41"/>
        <v>50000</v>
      </c>
      <c r="G310" s="75">
        <v>50000</v>
      </c>
      <c r="H310" s="75"/>
    </row>
    <row r="311" spans="1:8" s="6" customFormat="1" ht="22.5" customHeight="1">
      <c r="A311" s="34" t="s">
        <v>557</v>
      </c>
      <c r="B311" s="124" t="s">
        <v>705</v>
      </c>
      <c r="C311" s="40"/>
      <c r="D311" s="40"/>
      <c r="E311" s="183"/>
      <c r="F311" s="39">
        <f t="shared" si="41"/>
        <v>272000</v>
      </c>
      <c r="G311" s="73">
        <f>SUM(G312)</f>
        <v>0</v>
      </c>
      <c r="H311" s="73">
        <f>SUM(H312)</f>
        <v>272000</v>
      </c>
    </row>
    <row r="312" spans="1:8" s="6" customFormat="1" ht="22.5" customHeight="1">
      <c r="A312" s="41"/>
      <c r="B312" s="65" t="s">
        <v>547</v>
      </c>
      <c r="C312" s="43">
        <v>600</v>
      </c>
      <c r="D312" s="43">
        <v>60015</v>
      </c>
      <c r="E312" s="185" t="s">
        <v>19</v>
      </c>
      <c r="F312" s="44">
        <f t="shared" si="41"/>
        <v>272000</v>
      </c>
      <c r="G312" s="75"/>
      <c r="H312" s="75">
        <v>272000</v>
      </c>
    </row>
    <row r="313" spans="1:8" s="6" customFormat="1" ht="24.75" customHeight="1">
      <c r="A313" s="34" t="s">
        <v>558</v>
      </c>
      <c r="B313" s="124" t="s">
        <v>706</v>
      </c>
      <c r="C313" s="40"/>
      <c r="D313" s="40"/>
      <c r="E313" s="183"/>
      <c r="F313" s="39">
        <f t="shared" si="41"/>
        <v>20000</v>
      </c>
      <c r="G313" s="73">
        <f>SUM(G314)</f>
        <v>20000</v>
      </c>
      <c r="H313" s="73"/>
    </row>
    <row r="314" spans="1:8" s="6" customFormat="1" ht="21" customHeight="1">
      <c r="A314" s="41"/>
      <c r="B314" s="65" t="s">
        <v>547</v>
      </c>
      <c r="C314" s="43">
        <v>600</v>
      </c>
      <c r="D314" s="43">
        <v>60016</v>
      </c>
      <c r="E314" s="185" t="s">
        <v>19</v>
      </c>
      <c r="F314" s="44">
        <f t="shared" si="41"/>
        <v>20000</v>
      </c>
      <c r="G314" s="75">
        <v>20000</v>
      </c>
      <c r="H314" s="75"/>
    </row>
    <row r="315" spans="1:8" s="6" customFormat="1" ht="21.75" customHeight="1">
      <c r="A315" s="34" t="s">
        <v>559</v>
      </c>
      <c r="B315" s="124" t="s">
        <v>707</v>
      </c>
      <c r="C315" s="40"/>
      <c r="D315" s="40"/>
      <c r="E315" s="183"/>
      <c r="F315" s="39">
        <f t="shared" si="41"/>
        <v>91000</v>
      </c>
      <c r="G315" s="73">
        <f>SUM(G316)</f>
        <v>91000</v>
      </c>
      <c r="H315" s="73"/>
    </row>
    <row r="316" spans="1:8" s="6" customFormat="1" ht="21.75" customHeight="1">
      <c r="A316" s="41"/>
      <c r="B316" s="65" t="s">
        <v>547</v>
      </c>
      <c r="C316" s="43">
        <v>900</v>
      </c>
      <c r="D316" s="43">
        <v>90015</v>
      </c>
      <c r="E316" s="185" t="s">
        <v>19</v>
      </c>
      <c r="F316" s="44">
        <f t="shared" si="41"/>
        <v>91000</v>
      </c>
      <c r="G316" s="75">
        <v>91000</v>
      </c>
      <c r="H316" s="75"/>
    </row>
    <row r="317" spans="1:8" s="6" customFormat="1" ht="21.75" customHeight="1">
      <c r="A317" s="52" t="s">
        <v>560</v>
      </c>
      <c r="B317" s="110" t="s">
        <v>708</v>
      </c>
      <c r="C317" s="50"/>
      <c r="D317" s="50"/>
      <c r="E317" s="186"/>
      <c r="F317" s="51">
        <f t="shared" si="41"/>
        <v>120000</v>
      </c>
      <c r="G317" s="70">
        <f>SUM(G318)</f>
        <v>120000</v>
      </c>
      <c r="H317" s="70"/>
    </row>
    <row r="318" spans="1:8" s="6" customFormat="1" ht="21.75" customHeight="1">
      <c r="A318" s="52"/>
      <c r="B318" s="225" t="s">
        <v>547</v>
      </c>
      <c r="C318" s="50">
        <v>600</v>
      </c>
      <c r="D318" s="50">
        <v>60016</v>
      </c>
      <c r="E318" s="186" t="s">
        <v>19</v>
      </c>
      <c r="F318" s="51">
        <f t="shared" si="41"/>
        <v>120000</v>
      </c>
      <c r="G318" s="70">
        <v>120000</v>
      </c>
      <c r="H318" s="70"/>
    </row>
    <row r="319" spans="1:8" s="6" customFormat="1" ht="21.75" customHeight="1">
      <c r="A319" s="34" t="s">
        <v>561</v>
      </c>
      <c r="B319" s="124" t="s">
        <v>709</v>
      </c>
      <c r="C319" s="40"/>
      <c r="D319" s="40"/>
      <c r="E319" s="183"/>
      <c r="F319" s="39">
        <f t="shared" si="41"/>
        <v>66000</v>
      </c>
      <c r="G319" s="73">
        <f>SUM(G320)</f>
        <v>66000</v>
      </c>
      <c r="H319" s="73"/>
    </row>
    <row r="320" spans="1:8" s="6" customFormat="1" ht="21.75" customHeight="1">
      <c r="A320" s="41"/>
      <c r="B320" s="65" t="s">
        <v>547</v>
      </c>
      <c r="C320" s="43">
        <v>900</v>
      </c>
      <c r="D320" s="43">
        <v>90015</v>
      </c>
      <c r="E320" s="185" t="s">
        <v>19</v>
      </c>
      <c r="F320" s="44">
        <f t="shared" si="41"/>
        <v>66000</v>
      </c>
      <c r="G320" s="75">
        <v>66000</v>
      </c>
      <c r="H320" s="75"/>
    </row>
    <row r="321" spans="1:8" s="6" customFormat="1" ht="21.75" customHeight="1">
      <c r="A321" s="34" t="s">
        <v>562</v>
      </c>
      <c r="B321" s="124" t="s">
        <v>710</v>
      </c>
      <c r="C321" s="40"/>
      <c r="D321" s="40"/>
      <c r="E321" s="183"/>
      <c r="F321" s="39">
        <f t="shared" si="41"/>
        <v>30000</v>
      </c>
      <c r="G321" s="73">
        <f>SUM(G322)</f>
        <v>30000</v>
      </c>
      <c r="H321" s="73"/>
    </row>
    <row r="322" spans="1:8" s="6" customFormat="1" ht="21.75" customHeight="1">
      <c r="A322" s="41"/>
      <c r="B322" s="65" t="s">
        <v>547</v>
      </c>
      <c r="C322" s="43">
        <v>900</v>
      </c>
      <c r="D322" s="43">
        <v>90015</v>
      </c>
      <c r="E322" s="185" t="s">
        <v>19</v>
      </c>
      <c r="F322" s="44">
        <f t="shared" si="41"/>
        <v>30000</v>
      </c>
      <c r="G322" s="75">
        <v>30000</v>
      </c>
      <c r="H322" s="75"/>
    </row>
    <row r="323" spans="1:8" s="6" customFormat="1" ht="21.75" customHeight="1">
      <c r="A323" s="34" t="s">
        <v>563</v>
      </c>
      <c r="B323" s="124" t="s">
        <v>564</v>
      </c>
      <c r="C323" s="40"/>
      <c r="D323" s="40"/>
      <c r="E323" s="183"/>
      <c r="F323" s="39">
        <f t="shared" si="41"/>
        <v>80000</v>
      </c>
      <c r="G323" s="73">
        <f>SUM(G324)</f>
        <v>0</v>
      </c>
      <c r="H323" s="73">
        <f>SUM(H324)</f>
        <v>80000</v>
      </c>
    </row>
    <row r="324" spans="1:8" s="6" customFormat="1" ht="21.75" customHeight="1">
      <c r="A324" s="41"/>
      <c r="B324" s="65" t="s">
        <v>547</v>
      </c>
      <c r="C324" s="43">
        <v>600</v>
      </c>
      <c r="D324" s="43">
        <v>60015</v>
      </c>
      <c r="E324" s="185" t="s">
        <v>19</v>
      </c>
      <c r="F324" s="44">
        <f t="shared" si="41"/>
        <v>80000</v>
      </c>
      <c r="G324" s="75"/>
      <c r="H324" s="75">
        <v>80000</v>
      </c>
    </row>
    <row r="325" spans="1:8" s="6" customFormat="1" ht="21.75" customHeight="1">
      <c r="A325" s="34" t="s">
        <v>565</v>
      </c>
      <c r="B325" s="124" t="s">
        <v>711</v>
      </c>
      <c r="C325" s="40"/>
      <c r="D325" s="40"/>
      <c r="E325" s="183"/>
      <c r="F325" s="39">
        <f t="shared" si="41"/>
        <v>100000</v>
      </c>
      <c r="G325" s="73">
        <f>SUM(G326)</f>
        <v>100000</v>
      </c>
      <c r="H325" s="73"/>
    </row>
    <row r="326" spans="1:8" s="6" customFormat="1" ht="21.75" customHeight="1">
      <c r="A326" s="41"/>
      <c r="B326" s="65" t="s">
        <v>547</v>
      </c>
      <c r="C326" s="43">
        <v>900</v>
      </c>
      <c r="D326" s="43">
        <v>90015</v>
      </c>
      <c r="E326" s="185" t="s">
        <v>19</v>
      </c>
      <c r="F326" s="44">
        <f t="shared" si="41"/>
        <v>100000</v>
      </c>
      <c r="G326" s="75">
        <v>100000</v>
      </c>
      <c r="H326" s="75"/>
    </row>
    <row r="327" spans="1:8" s="6" customFormat="1" ht="21.75" customHeight="1">
      <c r="A327" s="34" t="s">
        <v>712</v>
      </c>
      <c r="B327" s="124" t="s">
        <v>719</v>
      </c>
      <c r="C327" s="40"/>
      <c r="D327" s="40"/>
      <c r="E327" s="183"/>
      <c r="F327" s="39">
        <f t="shared" si="41"/>
        <v>15000</v>
      </c>
      <c r="G327" s="73">
        <f>SUM(G328)</f>
        <v>15000</v>
      </c>
      <c r="H327" s="73"/>
    </row>
    <row r="328" spans="1:8" s="6" customFormat="1" ht="21.75" customHeight="1">
      <c r="A328" s="41"/>
      <c r="B328" s="65" t="s">
        <v>547</v>
      </c>
      <c r="C328" s="43">
        <v>900</v>
      </c>
      <c r="D328" s="43">
        <v>90015</v>
      </c>
      <c r="E328" s="185" t="s">
        <v>19</v>
      </c>
      <c r="F328" s="44">
        <f t="shared" si="41"/>
        <v>15000</v>
      </c>
      <c r="G328" s="75">
        <v>15000</v>
      </c>
      <c r="H328" s="75"/>
    </row>
    <row r="329" spans="1:8" s="6" customFormat="1" ht="24" customHeight="1">
      <c r="A329" s="52" t="s">
        <v>277</v>
      </c>
      <c r="B329" s="110" t="s">
        <v>734</v>
      </c>
      <c r="C329" s="50">
        <v>900</v>
      </c>
      <c r="D329" s="50">
        <v>90017</v>
      </c>
      <c r="E329" s="186" t="s">
        <v>19</v>
      </c>
      <c r="F329" s="51">
        <f t="shared" si="41"/>
        <v>385000</v>
      </c>
      <c r="G329" s="70">
        <v>385000</v>
      </c>
      <c r="H329" s="70"/>
    </row>
    <row r="330" spans="1:8" s="6" customFormat="1" ht="24" customHeight="1">
      <c r="A330" s="1"/>
      <c r="B330" s="196" t="s">
        <v>49</v>
      </c>
      <c r="C330" s="3"/>
      <c r="D330" s="3"/>
      <c r="E330" s="140"/>
      <c r="F330" s="81">
        <f t="shared" si="41"/>
        <v>300001</v>
      </c>
      <c r="G330" s="81">
        <f>G331</f>
        <v>300001</v>
      </c>
      <c r="H330" s="81">
        <f>H331</f>
        <v>0</v>
      </c>
    </row>
    <row r="331" spans="1:8" s="6" customFormat="1" ht="24" customHeight="1">
      <c r="A331" s="86" t="s">
        <v>50</v>
      </c>
      <c r="B331" s="87" t="s">
        <v>51</v>
      </c>
      <c r="C331" s="88"/>
      <c r="D331" s="88"/>
      <c r="E331" s="178"/>
      <c r="F331" s="89">
        <f t="shared" si="41"/>
        <v>300001</v>
      </c>
      <c r="G331" s="89">
        <f>G332+G333</f>
        <v>300001</v>
      </c>
      <c r="H331" s="89"/>
    </row>
    <row r="332" spans="1:8" s="6" customFormat="1" ht="21.75" customHeight="1">
      <c r="A332" s="90"/>
      <c r="B332" s="56" t="s">
        <v>8</v>
      </c>
      <c r="C332" s="92">
        <v>600</v>
      </c>
      <c r="D332" s="92">
        <v>60016</v>
      </c>
      <c r="E332" s="179" t="s">
        <v>23</v>
      </c>
      <c r="F332" s="93">
        <f t="shared" si="41"/>
        <v>178049</v>
      </c>
      <c r="G332" s="93">
        <v>178049</v>
      </c>
      <c r="H332" s="93"/>
    </row>
    <row r="333" spans="1:8" s="6" customFormat="1" ht="21.75" customHeight="1">
      <c r="A333" s="95"/>
      <c r="B333" s="65" t="s">
        <v>1327</v>
      </c>
      <c r="C333" s="96">
        <v>600</v>
      </c>
      <c r="D333" s="96">
        <v>60016</v>
      </c>
      <c r="E333" s="180" t="s">
        <v>23</v>
      </c>
      <c r="F333" s="97">
        <f t="shared" si="41"/>
        <v>121952</v>
      </c>
      <c r="G333" s="97">
        <v>121952</v>
      </c>
      <c r="H333" s="97"/>
    </row>
    <row r="334" spans="1:8" s="6" customFormat="1" ht="24" customHeight="1">
      <c r="A334" s="1"/>
      <c r="B334" s="196" t="s">
        <v>52</v>
      </c>
      <c r="C334" s="3"/>
      <c r="D334" s="3"/>
      <c r="E334" s="140"/>
      <c r="F334" s="81">
        <f t="shared" si="41"/>
        <v>3513523</v>
      </c>
      <c r="G334" s="81">
        <f>G335</f>
        <v>3513523</v>
      </c>
      <c r="H334" s="81">
        <f>H335</f>
        <v>0</v>
      </c>
    </row>
    <row r="335" spans="1:8" s="6" customFormat="1" ht="24" customHeight="1">
      <c r="A335" s="86" t="s">
        <v>53</v>
      </c>
      <c r="B335" s="87" t="s">
        <v>54</v>
      </c>
      <c r="C335" s="88">
        <v>600</v>
      </c>
      <c r="D335" s="88">
        <v>60095</v>
      </c>
      <c r="E335" s="210" t="s">
        <v>20</v>
      </c>
      <c r="F335" s="89">
        <f t="shared" si="41"/>
        <v>3513523</v>
      </c>
      <c r="G335" s="89">
        <f>2013523+1500000</f>
        <v>3513523</v>
      </c>
      <c r="H335" s="141"/>
    </row>
    <row r="336" spans="1:8" s="6" customFormat="1" ht="24" customHeight="1">
      <c r="A336" s="15"/>
      <c r="B336" s="187" t="s">
        <v>278</v>
      </c>
      <c r="C336" s="200"/>
      <c r="D336" s="200"/>
      <c r="E336" s="169"/>
      <c r="F336" s="19">
        <f t="shared" si="41"/>
        <v>1938000</v>
      </c>
      <c r="G336" s="78">
        <f>G337+G347</f>
        <v>1938000</v>
      </c>
      <c r="H336" s="78"/>
    </row>
    <row r="337" spans="1:8" s="6" customFormat="1" ht="24" customHeight="1">
      <c r="A337" s="15"/>
      <c r="B337" s="187" t="s">
        <v>279</v>
      </c>
      <c r="C337" s="200"/>
      <c r="D337" s="200"/>
      <c r="E337" s="169"/>
      <c r="F337" s="19">
        <f t="shared" si="41"/>
        <v>1178000</v>
      </c>
      <c r="G337" s="78">
        <f>SUM(G338:G346)</f>
        <v>1178000</v>
      </c>
      <c r="H337" s="78">
        <f>SUM(H338:H346)</f>
        <v>0</v>
      </c>
    </row>
    <row r="338" spans="1:8" s="6" customFormat="1" ht="24" customHeight="1">
      <c r="A338" s="136" t="s">
        <v>500</v>
      </c>
      <c r="B338" s="53" t="s">
        <v>501</v>
      </c>
      <c r="C338" s="48">
        <v>710</v>
      </c>
      <c r="D338" s="48">
        <v>71035</v>
      </c>
      <c r="E338" s="216" t="s">
        <v>280</v>
      </c>
      <c r="F338" s="51">
        <f>G338+H338</f>
        <v>400000</v>
      </c>
      <c r="G338" s="70">
        <v>400000</v>
      </c>
      <c r="H338" s="70"/>
    </row>
    <row r="339" spans="1:8" s="6" customFormat="1" ht="24" customHeight="1">
      <c r="A339" s="136" t="s">
        <v>281</v>
      </c>
      <c r="B339" s="53" t="s">
        <v>282</v>
      </c>
      <c r="C339" s="48">
        <v>710</v>
      </c>
      <c r="D339" s="48">
        <v>71035</v>
      </c>
      <c r="E339" s="216" t="s">
        <v>280</v>
      </c>
      <c r="F339" s="51">
        <f>G339+H339</f>
        <v>170000</v>
      </c>
      <c r="G339" s="70">
        <f>120000+50000</f>
        <v>170000</v>
      </c>
      <c r="H339" s="70"/>
    </row>
    <row r="340" spans="1:8" s="6" customFormat="1" ht="24" customHeight="1">
      <c r="A340" s="136" t="s">
        <v>765</v>
      </c>
      <c r="B340" s="53" t="s">
        <v>766</v>
      </c>
      <c r="C340" s="48">
        <v>710</v>
      </c>
      <c r="D340" s="48">
        <v>71035</v>
      </c>
      <c r="E340" s="216" t="s">
        <v>280</v>
      </c>
      <c r="F340" s="51">
        <f t="shared" ref="F340:F344" si="42">G340+H340</f>
        <v>91600</v>
      </c>
      <c r="G340" s="70">
        <v>91600</v>
      </c>
      <c r="H340" s="70"/>
    </row>
    <row r="341" spans="1:8" s="6" customFormat="1" ht="24" customHeight="1">
      <c r="A341" s="136" t="s">
        <v>1211</v>
      </c>
      <c r="B341" s="53" t="s">
        <v>1212</v>
      </c>
      <c r="C341" s="48">
        <v>710</v>
      </c>
      <c r="D341" s="48">
        <v>71035</v>
      </c>
      <c r="E341" s="216" t="s">
        <v>280</v>
      </c>
      <c r="F341" s="51">
        <f t="shared" ref="F341" si="43">G341+H341</f>
        <v>100000</v>
      </c>
      <c r="G341" s="70">
        <v>100000</v>
      </c>
      <c r="H341" s="70"/>
    </row>
    <row r="342" spans="1:8" s="6" customFormat="1" ht="24" customHeight="1">
      <c r="A342" s="136" t="s">
        <v>1229</v>
      </c>
      <c r="B342" s="53" t="s">
        <v>1230</v>
      </c>
      <c r="C342" s="48">
        <v>710</v>
      </c>
      <c r="D342" s="48">
        <v>71035</v>
      </c>
      <c r="E342" s="216" t="s">
        <v>280</v>
      </c>
      <c r="F342" s="51">
        <f t="shared" ref="F342" si="44">G342+H342</f>
        <v>200000</v>
      </c>
      <c r="G342" s="70">
        <v>200000</v>
      </c>
      <c r="H342" s="70"/>
    </row>
    <row r="343" spans="1:8" s="6" customFormat="1" ht="24" customHeight="1">
      <c r="A343" s="136" t="s">
        <v>902</v>
      </c>
      <c r="B343" s="53" t="s">
        <v>903</v>
      </c>
      <c r="C343" s="48">
        <v>710</v>
      </c>
      <c r="D343" s="48">
        <v>71035</v>
      </c>
      <c r="E343" s="216" t="s">
        <v>280</v>
      </c>
      <c r="F343" s="51">
        <f t="shared" ref="F343" si="45">G343+H343</f>
        <v>40000</v>
      </c>
      <c r="G343" s="70">
        <v>40000</v>
      </c>
      <c r="H343" s="70"/>
    </row>
    <row r="344" spans="1:8" s="6" customFormat="1" ht="24" customHeight="1">
      <c r="A344" s="136" t="s">
        <v>767</v>
      </c>
      <c r="B344" s="53" t="s">
        <v>768</v>
      </c>
      <c r="C344" s="48">
        <v>710</v>
      </c>
      <c r="D344" s="48">
        <v>71035</v>
      </c>
      <c r="E344" s="216" t="s">
        <v>280</v>
      </c>
      <c r="F344" s="51">
        <f t="shared" si="42"/>
        <v>6400</v>
      </c>
      <c r="G344" s="70">
        <v>6400</v>
      </c>
      <c r="H344" s="70"/>
    </row>
    <row r="345" spans="1:8" s="6" customFormat="1" ht="24" customHeight="1">
      <c r="A345" s="136" t="s">
        <v>904</v>
      </c>
      <c r="B345" s="53" t="s">
        <v>905</v>
      </c>
      <c r="C345" s="48">
        <v>710</v>
      </c>
      <c r="D345" s="48">
        <v>71035</v>
      </c>
      <c r="E345" s="216" t="s">
        <v>280</v>
      </c>
      <c r="F345" s="51">
        <f t="shared" ref="F345" si="46">G345+H345</f>
        <v>70000</v>
      </c>
      <c r="G345" s="70">
        <v>70000</v>
      </c>
      <c r="H345" s="70"/>
    </row>
    <row r="346" spans="1:8" s="6" customFormat="1" ht="24" customHeight="1">
      <c r="A346" s="136" t="s">
        <v>1251</v>
      </c>
      <c r="B346" s="53" t="s">
        <v>1252</v>
      </c>
      <c r="C346" s="48">
        <v>710</v>
      </c>
      <c r="D346" s="48">
        <v>71035</v>
      </c>
      <c r="E346" s="216" t="s">
        <v>280</v>
      </c>
      <c r="F346" s="51">
        <f t="shared" ref="F346" si="47">G346+H346</f>
        <v>100000</v>
      </c>
      <c r="G346" s="70">
        <v>100000</v>
      </c>
      <c r="H346" s="70"/>
    </row>
    <row r="347" spans="1:8" s="6" customFormat="1" ht="24" customHeight="1">
      <c r="A347" s="142"/>
      <c r="B347" s="187" t="s">
        <v>283</v>
      </c>
      <c r="C347" s="200"/>
      <c r="D347" s="200"/>
      <c r="E347" s="170"/>
      <c r="F347" s="19">
        <f>G347+H347</f>
        <v>760000</v>
      </c>
      <c r="G347" s="78">
        <f>G348+G350+G352+G354+G356+G358+G360+G362+G364</f>
        <v>760000</v>
      </c>
      <c r="H347" s="78">
        <f>H352+H354+H356+H358+H360+H362+H364</f>
        <v>0</v>
      </c>
    </row>
    <row r="348" spans="1:8" s="6" customFormat="1" ht="21.75" customHeight="1">
      <c r="A348" s="133" t="s">
        <v>769</v>
      </c>
      <c r="B348" s="35" t="s">
        <v>770</v>
      </c>
      <c r="C348" s="36"/>
      <c r="D348" s="36"/>
      <c r="E348" s="183"/>
      <c r="F348" s="39">
        <f t="shared" ref="F348:F349" si="48">G348+H348</f>
        <v>55000</v>
      </c>
      <c r="G348" s="73">
        <f>G349</f>
        <v>55000</v>
      </c>
      <c r="H348" s="73"/>
    </row>
    <row r="349" spans="1:8" s="6" customFormat="1" ht="21.75" customHeight="1">
      <c r="A349" s="41"/>
      <c r="B349" s="107" t="s">
        <v>155</v>
      </c>
      <c r="C349" s="43">
        <v>900</v>
      </c>
      <c r="D349" s="43">
        <v>90095</v>
      </c>
      <c r="E349" s="185" t="s">
        <v>19</v>
      </c>
      <c r="F349" s="44">
        <f t="shared" si="48"/>
        <v>55000</v>
      </c>
      <c r="G349" s="75">
        <v>55000</v>
      </c>
      <c r="H349" s="75"/>
    </row>
    <row r="350" spans="1:8" s="6" customFormat="1" ht="21.75" customHeight="1">
      <c r="A350" s="133" t="s">
        <v>771</v>
      </c>
      <c r="B350" s="35" t="s">
        <v>772</v>
      </c>
      <c r="C350" s="36"/>
      <c r="D350" s="36"/>
      <c r="E350" s="183"/>
      <c r="F350" s="39">
        <f t="shared" ref="F350:F351" si="49">G350+H350</f>
        <v>45000</v>
      </c>
      <c r="G350" s="73">
        <f>G351</f>
        <v>45000</v>
      </c>
      <c r="H350" s="73"/>
    </row>
    <row r="351" spans="1:8" s="6" customFormat="1" ht="21.75" customHeight="1">
      <c r="A351" s="41"/>
      <c r="B351" s="107" t="s">
        <v>155</v>
      </c>
      <c r="C351" s="43">
        <v>900</v>
      </c>
      <c r="D351" s="43">
        <v>90095</v>
      </c>
      <c r="E351" s="185" t="s">
        <v>19</v>
      </c>
      <c r="F351" s="44">
        <f t="shared" si="49"/>
        <v>45000</v>
      </c>
      <c r="G351" s="75">
        <v>45000</v>
      </c>
      <c r="H351" s="75"/>
    </row>
    <row r="352" spans="1:8" s="6" customFormat="1" ht="21.75" customHeight="1">
      <c r="A352" s="133" t="s">
        <v>284</v>
      </c>
      <c r="B352" s="35" t="s">
        <v>285</v>
      </c>
      <c r="C352" s="36"/>
      <c r="D352" s="36"/>
      <c r="E352" s="183"/>
      <c r="F352" s="39">
        <f t="shared" ref="F352:F365" si="50">G352+H352</f>
        <v>105000</v>
      </c>
      <c r="G352" s="73">
        <f>G353</f>
        <v>105000</v>
      </c>
      <c r="H352" s="73"/>
    </row>
    <row r="353" spans="1:8" s="6" customFormat="1" ht="21.75" customHeight="1">
      <c r="A353" s="41"/>
      <c r="B353" s="107" t="s">
        <v>109</v>
      </c>
      <c r="C353" s="43">
        <v>921</v>
      </c>
      <c r="D353" s="43">
        <v>92195</v>
      </c>
      <c r="E353" s="185" t="s">
        <v>12</v>
      </c>
      <c r="F353" s="44">
        <f t="shared" si="50"/>
        <v>105000</v>
      </c>
      <c r="G353" s="75">
        <v>105000</v>
      </c>
      <c r="H353" s="75"/>
    </row>
    <row r="354" spans="1:8" s="6" customFormat="1" ht="21" customHeight="1">
      <c r="A354" s="133" t="s">
        <v>286</v>
      </c>
      <c r="B354" s="35" t="s">
        <v>287</v>
      </c>
      <c r="C354" s="36"/>
      <c r="D354" s="36"/>
      <c r="E354" s="183"/>
      <c r="F354" s="39">
        <f t="shared" si="50"/>
        <v>125000</v>
      </c>
      <c r="G354" s="73">
        <f>G355</f>
        <v>125000</v>
      </c>
      <c r="H354" s="73"/>
    </row>
    <row r="355" spans="1:8" s="6" customFormat="1" ht="22.5" customHeight="1">
      <c r="A355" s="41"/>
      <c r="B355" s="107" t="s">
        <v>109</v>
      </c>
      <c r="C355" s="43">
        <v>921</v>
      </c>
      <c r="D355" s="43">
        <v>92195</v>
      </c>
      <c r="E355" s="185" t="s">
        <v>12</v>
      </c>
      <c r="F355" s="44">
        <f t="shared" si="50"/>
        <v>125000</v>
      </c>
      <c r="G355" s="75">
        <v>125000</v>
      </c>
      <c r="H355" s="75"/>
    </row>
    <row r="356" spans="1:8" s="6" customFormat="1" ht="21.75" customHeight="1">
      <c r="A356" s="133" t="s">
        <v>288</v>
      </c>
      <c r="B356" s="35" t="s">
        <v>287</v>
      </c>
      <c r="C356" s="36"/>
      <c r="D356" s="36"/>
      <c r="E356" s="183"/>
      <c r="F356" s="39">
        <f t="shared" si="50"/>
        <v>60000</v>
      </c>
      <c r="G356" s="73">
        <f>G357</f>
        <v>60000</v>
      </c>
      <c r="H356" s="73"/>
    </row>
    <row r="357" spans="1:8" s="6" customFormat="1" ht="21.75" customHeight="1">
      <c r="A357" s="41"/>
      <c r="B357" s="107" t="s">
        <v>109</v>
      </c>
      <c r="C357" s="43">
        <v>900</v>
      </c>
      <c r="D357" s="43">
        <v>90095</v>
      </c>
      <c r="E357" s="185" t="s">
        <v>19</v>
      </c>
      <c r="F357" s="44">
        <f t="shared" si="50"/>
        <v>60000</v>
      </c>
      <c r="G357" s="75">
        <v>60000</v>
      </c>
      <c r="H357" s="75"/>
    </row>
    <row r="358" spans="1:8" s="6" customFormat="1" ht="21.75" customHeight="1">
      <c r="A358" s="133" t="s">
        <v>289</v>
      </c>
      <c r="B358" s="35" t="s">
        <v>285</v>
      </c>
      <c r="C358" s="36"/>
      <c r="D358" s="36"/>
      <c r="E358" s="183"/>
      <c r="F358" s="39">
        <f t="shared" si="50"/>
        <v>60000</v>
      </c>
      <c r="G358" s="73">
        <f>G359</f>
        <v>60000</v>
      </c>
      <c r="H358" s="73"/>
    </row>
    <row r="359" spans="1:8" s="6" customFormat="1" ht="21.75" customHeight="1">
      <c r="A359" s="41"/>
      <c r="B359" s="107" t="s">
        <v>109</v>
      </c>
      <c r="C359" s="43">
        <v>900</v>
      </c>
      <c r="D359" s="43">
        <v>90095</v>
      </c>
      <c r="E359" s="185" t="s">
        <v>19</v>
      </c>
      <c r="F359" s="44">
        <f t="shared" si="50"/>
        <v>60000</v>
      </c>
      <c r="G359" s="75">
        <v>60000</v>
      </c>
      <c r="H359" s="75"/>
    </row>
    <row r="360" spans="1:8" s="6" customFormat="1" ht="21.75" customHeight="1">
      <c r="A360" s="133" t="s">
        <v>290</v>
      </c>
      <c r="B360" s="35" t="s">
        <v>291</v>
      </c>
      <c r="C360" s="36"/>
      <c r="D360" s="36"/>
      <c r="E360" s="183"/>
      <c r="F360" s="39">
        <f t="shared" si="50"/>
        <v>60000</v>
      </c>
      <c r="G360" s="73">
        <f>G361</f>
        <v>60000</v>
      </c>
      <c r="H360" s="73"/>
    </row>
    <row r="361" spans="1:8" s="6" customFormat="1" ht="21.75" customHeight="1">
      <c r="A361" s="41"/>
      <c r="B361" s="107" t="s">
        <v>109</v>
      </c>
      <c r="C361" s="43">
        <v>900</v>
      </c>
      <c r="D361" s="43">
        <v>90095</v>
      </c>
      <c r="E361" s="185" t="s">
        <v>19</v>
      </c>
      <c r="F361" s="44">
        <f t="shared" si="50"/>
        <v>60000</v>
      </c>
      <c r="G361" s="75">
        <v>60000</v>
      </c>
      <c r="H361" s="75"/>
    </row>
    <row r="362" spans="1:8" s="6" customFormat="1" ht="21.75" customHeight="1">
      <c r="A362" s="133" t="s">
        <v>292</v>
      </c>
      <c r="B362" s="35" t="s">
        <v>291</v>
      </c>
      <c r="C362" s="36"/>
      <c r="D362" s="36"/>
      <c r="E362" s="183"/>
      <c r="F362" s="39">
        <f t="shared" si="50"/>
        <v>95000</v>
      </c>
      <c r="G362" s="73">
        <f>SUM(G363:G363)</f>
        <v>95000</v>
      </c>
      <c r="H362" s="73"/>
    </row>
    <row r="363" spans="1:8" s="6" customFormat="1" ht="21.75" customHeight="1">
      <c r="A363" s="41"/>
      <c r="B363" s="107" t="s">
        <v>109</v>
      </c>
      <c r="C363" s="43">
        <v>921</v>
      </c>
      <c r="D363" s="43">
        <v>92195</v>
      </c>
      <c r="E363" s="185" t="s">
        <v>12</v>
      </c>
      <c r="F363" s="44">
        <f t="shared" si="50"/>
        <v>95000</v>
      </c>
      <c r="G363" s="75">
        <v>95000</v>
      </c>
      <c r="H363" s="75"/>
    </row>
    <row r="364" spans="1:8" s="6" customFormat="1" ht="21.75" customHeight="1">
      <c r="A364" s="34" t="s">
        <v>667</v>
      </c>
      <c r="B364" s="124" t="s">
        <v>668</v>
      </c>
      <c r="C364" s="40"/>
      <c r="D364" s="40"/>
      <c r="E364" s="183"/>
      <c r="F364" s="39">
        <f t="shared" si="50"/>
        <v>155000</v>
      </c>
      <c r="G364" s="73">
        <f>SUM(G365)</f>
        <v>155000</v>
      </c>
      <c r="H364" s="73"/>
    </row>
    <row r="365" spans="1:8" s="6" customFormat="1" ht="21.75" customHeight="1">
      <c r="A365" s="41"/>
      <c r="B365" s="65" t="s">
        <v>547</v>
      </c>
      <c r="C365" s="43">
        <v>630</v>
      </c>
      <c r="D365" s="43">
        <v>63095</v>
      </c>
      <c r="E365" s="185" t="s">
        <v>190</v>
      </c>
      <c r="F365" s="44">
        <f t="shared" si="50"/>
        <v>155000</v>
      </c>
      <c r="G365" s="75">
        <v>155000</v>
      </c>
      <c r="H365" s="75"/>
    </row>
    <row r="366" spans="1:8" s="6" customFormat="1" ht="24" customHeight="1">
      <c r="A366" s="15"/>
      <c r="B366" s="187" t="s">
        <v>293</v>
      </c>
      <c r="C366" s="200"/>
      <c r="D366" s="200"/>
      <c r="E366" s="169"/>
      <c r="F366" s="19">
        <f t="shared" ref="F366:F371" si="51">G366+H366</f>
        <v>120740321</v>
      </c>
      <c r="G366" s="78">
        <f>G367+G579</f>
        <v>120740321</v>
      </c>
      <c r="H366" s="78">
        <f>H367+H579</f>
        <v>0</v>
      </c>
    </row>
    <row r="367" spans="1:8" s="6" customFormat="1" ht="24" customHeight="1">
      <c r="A367" s="15"/>
      <c r="B367" s="187" t="s">
        <v>294</v>
      </c>
      <c r="C367" s="200"/>
      <c r="D367" s="200"/>
      <c r="E367" s="169"/>
      <c r="F367" s="19">
        <f t="shared" si="51"/>
        <v>109130026</v>
      </c>
      <c r="G367" s="78">
        <f>SUM(G368:G376,G379,G381,G382:G390,G392:G396,G398,G399:G407,G410:G422,G424:G434,G437:G438,G440,G442:G442,G444:G445,G447,G449,G451,G453,G455,G457,G459,G461,G463,G465,G467,G469,G471:G474,G476:G477,G479,G481,G484:G488,G490:G496,G497,G499,G501,G503,G505,G507,G509,G511,G513,G515,G517,G519,G521,G523,G525,G527,G529,,G531,G533,G535,G537,G539,G541,G543,G545,G547,G549,G551,G553,G555,G557,G559,G561,G563,G565,G567,G569,G571,G573,G575,G577)</f>
        <v>109130026</v>
      </c>
      <c r="H367" s="78">
        <f>SUM(H368:H376,H379,H381,H382:H390,H392:H396,H398,H399:H407,H410:H422,H424:H434,H437:H438,H440,H442:H442,H445,H447,H449,H451,H453,H455,H457,H459,H461,H463,H465,H467,H469,H471:H474,H476:H477,H479,H481,H484:H488,H490:H496,H497,H499,H501,H503,H505,H507,H509,H511,H513,H515,H517,H519,H521,H523,H525,H527,H529,,H531,H533,H535,H537,H539,H541,H543,H545,H547,H549,H551,H553,H555,H557,H559,H561,H563,H565,H567,H569,H571,H573,H575,H577)</f>
        <v>0</v>
      </c>
    </row>
    <row r="368" spans="1:8" s="6" customFormat="1" ht="24" customHeight="1">
      <c r="A368" s="52" t="s">
        <v>773</v>
      </c>
      <c r="B368" s="53" t="s">
        <v>875</v>
      </c>
      <c r="C368" s="48">
        <v>900</v>
      </c>
      <c r="D368" s="48">
        <v>90005</v>
      </c>
      <c r="E368" s="186" t="s">
        <v>295</v>
      </c>
      <c r="F368" s="122">
        <f t="shared" si="51"/>
        <v>500000</v>
      </c>
      <c r="G368" s="70">
        <v>500000</v>
      </c>
      <c r="H368" s="70"/>
    </row>
    <row r="369" spans="1:8" s="6" customFormat="1" ht="24" customHeight="1">
      <c r="A369" s="52" t="s">
        <v>1031</v>
      </c>
      <c r="B369" s="53" t="s">
        <v>1032</v>
      </c>
      <c r="C369" s="48">
        <v>900</v>
      </c>
      <c r="D369" s="48">
        <v>90004</v>
      </c>
      <c r="E369" s="186" t="s">
        <v>190</v>
      </c>
      <c r="F369" s="122">
        <f t="shared" si="51"/>
        <v>50000</v>
      </c>
      <c r="G369" s="70">
        <v>50000</v>
      </c>
      <c r="H369" s="70"/>
    </row>
    <row r="370" spans="1:8" ht="24" customHeight="1">
      <c r="A370" s="52" t="s">
        <v>529</v>
      </c>
      <c r="B370" s="53" t="s">
        <v>530</v>
      </c>
      <c r="C370" s="48">
        <v>900</v>
      </c>
      <c r="D370" s="48">
        <v>90004</v>
      </c>
      <c r="E370" s="186" t="s">
        <v>296</v>
      </c>
      <c r="F370" s="122">
        <f t="shared" si="51"/>
        <v>300000</v>
      </c>
      <c r="G370" s="119">
        <v>300000</v>
      </c>
      <c r="H370" s="119"/>
    </row>
    <row r="371" spans="1:8" ht="24" customHeight="1">
      <c r="A371" s="52" t="s">
        <v>774</v>
      </c>
      <c r="B371" s="53" t="s">
        <v>775</v>
      </c>
      <c r="C371" s="48">
        <v>900</v>
      </c>
      <c r="D371" s="48">
        <v>90095</v>
      </c>
      <c r="E371" s="186" t="s">
        <v>190</v>
      </c>
      <c r="F371" s="122">
        <f t="shared" si="51"/>
        <v>349200</v>
      </c>
      <c r="G371" s="119">
        <f>49200+300000</f>
        <v>349200</v>
      </c>
      <c r="H371" s="119"/>
    </row>
    <row r="372" spans="1:8" s="6" customFormat="1" ht="24" customHeight="1">
      <c r="A372" s="52" t="s">
        <v>297</v>
      </c>
      <c r="B372" s="53" t="s">
        <v>298</v>
      </c>
      <c r="C372" s="48">
        <v>900</v>
      </c>
      <c r="D372" s="48">
        <v>90095</v>
      </c>
      <c r="E372" s="186" t="s">
        <v>295</v>
      </c>
      <c r="F372" s="51">
        <f t="shared" ref="F372" si="52">G372+H372</f>
        <v>1500000</v>
      </c>
      <c r="G372" s="70">
        <v>1500000</v>
      </c>
      <c r="H372" s="70"/>
    </row>
    <row r="373" spans="1:8" s="6" customFormat="1" ht="24" customHeight="1">
      <c r="A373" s="47" t="s">
        <v>299</v>
      </c>
      <c r="B373" s="117" t="s">
        <v>300</v>
      </c>
      <c r="C373" s="45">
        <v>900</v>
      </c>
      <c r="D373" s="45">
        <v>90005</v>
      </c>
      <c r="E373" s="184" t="s">
        <v>295</v>
      </c>
      <c r="F373" s="38">
        <f>G373+H373</f>
        <v>191526</v>
      </c>
      <c r="G373" s="77">
        <v>191526</v>
      </c>
      <c r="H373" s="77"/>
    </row>
    <row r="374" spans="1:8" s="6" customFormat="1" ht="24" customHeight="1">
      <c r="A374" s="48" t="s">
        <v>1330</v>
      </c>
      <c r="B374" s="53" t="s">
        <v>776</v>
      </c>
      <c r="C374" s="48">
        <v>900</v>
      </c>
      <c r="D374" s="48">
        <v>90095</v>
      </c>
      <c r="E374" s="186" t="s">
        <v>190</v>
      </c>
      <c r="F374" s="51">
        <f t="shared" ref="F374" si="53">G374+H374</f>
        <v>42250</v>
      </c>
      <c r="G374" s="70">
        <v>42250</v>
      </c>
      <c r="H374" s="70"/>
    </row>
    <row r="375" spans="1:8" s="6" customFormat="1" ht="24" customHeight="1">
      <c r="A375" s="52" t="s">
        <v>301</v>
      </c>
      <c r="B375" s="110" t="s">
        <v>302</v>
      </c>
      <c r="C375" s="48">
        <v>921</v>
      </c>
      <c r="D375" s="48">
        <v>92120</v>
      </c>
      <c r="E375" s="186" t="s">
        <v>190</v>
      </c>
      <c r="F375" s="51">
        <f t="shared" ref="F375:F381" si="54">G375+H375</f>
        <v>110000</v>
      </c>
      <c r="G375" s="70">
        <f>10000+100000</f>
        <v>110000</v>
      </c>
      <c r="H375" s="70"/>
    </row>
    <row r="376" spans="1:8" s="6" customFormat="1" ht="24" customHeight="1">
      <c r="A376" s="60" t="s">
        <v>303</v>
      </c>
      <c r="B376" s="61" t="s">
        <v>304</v>
      </c>
      <c r="C376" s="37"/>
      <c r="D376" s="37"/>
      <c r="E376" s="183"/>
      <c r="F376" s="73">
        <f t="shared" si="54"/>
        <v>24417372</v>
      </c>
      <c r="G376" s="73">
        <f>SUM(G377:G378)</f>
        <v>24417372</v>
      </c>
      <c r="H376" s="73"/>
    </row>
    <row r="377" spans="1:8" s="6" customFormat="1" ht="21.75" customHeight="1">
      <c r="A377" s="62"/>
      <c r="B377" s="56" t="s">
        <v>305</v>
      </c>
      <c r="C377" s="76">
        <v>900</v>
      </c>
      <c r="D377" s="76">
        <v>90005</v>
      </c>
      <c r="E377" s="184" t="s">
        <v>296</v>
      </c>
      <c r="F377" s="77">
        <f t="shared" si="54"/>
        <v>7569385</v>
      </c>
      <c r="G377" s="77">
        <v>7569385</v>
      </c>
      <c r="H377" s="77"/>
    </row>
    <row r="378" spans="1:8" s="6" customFormat="1" ht="21.75" customHeight="1">
      <c r="A378" s="64"/>
      <c r="B378" s="65" t="s">
        <v>74</v>
      </c>
      <c r="C378" s="74">
        <v>900</v>
      </c>
      <c r="D378" s="74">
        <v>90005</v>
      </c>
      <c r="E378" s="185" t="s">
        <v>296</v>
      </c>
      <c r="F378" s="75">
        <f t="shared" si="54"/>
        <v>16847987</v>
      </c>
      <c r="G378" s="75">
        <v>16847987</v>
      </c>
      <c r="H378" s="75"/>
    </row>
    <row r="379" spans="1:8" s="6" customFormat="1" ht="24" customHeight="1">
      <c r="A379" s="62" t="s">
        <v>777</v>
      </c>
      <c r="B379" s="188" t="s">
        <v>778</v>
      </c>
      <c r="C379" s="76"/>
      <c r="D379" s="76"/>
      <c r="E379" s="184"/>
      <c r="F379" s="39">
        <f t="shared" si="54"/>
        <v>470000</v>
      </c>
      <c r="G379" s="73">
        <f>G380</f>
        <v>470000</v>
      </c>
      <c r="H379" s="77"/>
    </row>
    <row r="380" spans="1:8" s="6" customFormat="1" ht="24" customHeight="1">
      <c r="A380" s="64"/>
      <c r="B380" s="65" t="s">
        <v>110</v>
      </c>
      <c r="C380" s="74">
        <v>900</v>
      </c>
      <c r="D380" s="74">
        <v>90095</v>
      </c>
      <c r="E380" s="185" t="s">
        <v>190</v>
      </c>
      <c r="F380" s="44">
        <f t="shared" si="54"/>
        <v>470000</v>
      </c>
      <c r="G380" s="75">
        <v>470000</v>
      </c>
      <c r="H380" s="75"/>
    </row>
    <row r="381" spans="1:8" s="6" customFormat="1" ht="24" customHeight="1">
      <c r="A381" s="67" t="s">
        <v>779</v>
      </c>
      <c r="B381" s="49" t="s">
        <v>780</v>
      </c>
      <c r="C381" s="104">
        <v>900</v>
      </c>
      <c r="D381" s="104">
        <v>90095</v>
      </c>
      <c r="E381" s="186" t="s">
        <v>190</v>
      </c>
      <c r="F381" s="51">
        <f t="shared" si="54"/>
        <v>62300</v>
      </c>
      <c r="G381" s="70">
        <f>12300+50000</f>
        <v>62300</v>
      </c>
      <c r="H381" s="70"/>
    </row>
    <row r="382" spans="1:8" s="6" customFormat="1" ht="24" customHeight="1">
      <c r="A382" s="52" t="s">
        <v>307</v>
      </c>
      <c r="B382" s="197" t="s">
        <v>308</v>
      </c>
      <c r="C382" s="50">
        <v>900</v>
      </c>
      <c r="D382" s="50">
        <v>90095</v>
      </c>
      <c r="E382" s="186" t="s">
        <v>190</v>
      </c>
      <c r="F382" s="51">
        <f t="shared" ref="F382" si="55">G382+H382</f>
        <v>10000</v>
      </c>
      <c r="G382" s="70">
        <v>10000</v>
      </c>
      <c r="H382" s="70"/>
    </row>
    <row r="383" spans="1:8" s="6" customFormat="1" ht="24" customHeight="1">
      <c r="A383" s="52" t="s">
        <v>309</v>
      </c>
      <c r="B383" s="49" t="s">
        <v>310</v>
      </c>
      <c r="C383" s="48">
        <v>900</v>
      </c>
      <c r="D383" s="48">
        <v>90013</v>
      </c>
      <c r="E383" s="186" t="s">
        <v>23</v>
      </c>
      <c r="F383" s="51">
        <f t="shared" ref="F383:F395" si="56">G383+H383</f>
        <v>1534043</v>
      </c>
      <c r="G383" s="70">
        <v>1534043</v>
      </c>
      <c r="H383" s="70"/>
    </row>
    <row r="384" spans="1:8" s="6" customFormat="1" ht="24" customHeight="1">
      <c r="A384" s="52" t="s">
        <v>311</v>
      </c>
      <c r="B384" s="49" t="s">
        <v>312</v>
      </c>
      <c r="C384" s="48">
        <v>900</v>
      </c>
      <c r="D384" s="48">
        <v>90004</v>
      </c>
      <c r="E384" s="186" t="s">
        <v>190</v>
      </c>
      <c r="F384" s="51">
        <f t="shared" si="56"/>
        <v>8003442</v>
      </c>
      <c r="G384" s="70">
        <f>3653442+4350000</f>
        <v>8003442</v>
      </c>
      <c r="H384" s="70"/>
    </row>
    <row r="385" spans="1:8" s="6" customFormat="1" ht="24" customHeight="1">
      <c r="A385" s="34" t="s">
        <v>783</v>
      </c>
      <c r="B385" s="61" t="s">
        <v>784</v>
      </c>
      <c r="C385" s="48">
        <v>900</v>
      </c>
      <c r="D385" s="48">
        <v>90004</v>
      </c>
      <c r="E385" s="183" t="s">
        <v>190</v>
      </c>
      <c r="F385" s="39">
        <f t="shared" si="56"/>
        <v>300000</v>
      </c>
      <c r="G385" s="73">
        <v>300000</v>
      </c>
      <c r="H385" s="73"/>
    </row>
    <row r="386" spans="1:8" s="6" customFormat="1" ht="24" customHeight="1">
      <c r="A386" s="48" t="s">
        <v>1039</v>
      </c>
      <c r="B386" s="49" t="s">
        <v>1040</v>
      </c>
      <c r="C386" s="104">
        <v>900</v>
      </c>
      <c r="D386" s="104">
        <v>90095</v>
      </c>
      <c r="E386" s="186" t="s">
        <v>190</v>
      </c>
      <c r="F386" s="51">
        <f t="shared" si="56"/>
        <v>350000</v>
      </c>
      <c r="G386" s="70">
        <v>350000</v>
      </c>
      <c r="H386" s="70"/>
    </row>
    <row r="387" spans="1:8" s="6" customFormat="1" ht="24" customHeight="1">
      <c r="A387" s="34" t="s">
        <v>313</v>
      </c>
      <c r="B387" s="35" t="s">
        <v>314</v>
      </c>
      <c r="C387" s="48">
        <v>921</v>
      </c>
      <c r="D387" s="36">
        <v>92120</v>
      </c>
      <c r="E387" s="183" t="s">
        <v>190</v>
      </c>
      <c r="F387" s="39">
        <f t="shared" si="56"/>
        <v>2929988</v>
      </c>
      <c r="G387" s="73">
        <v>2929988</v>
      </c>
      <c r="H387" s="73"/>
    </row>
    <row r="388" spans="1:8" s="6" customFormat="1" ht="24" customHeight="1">
      <c r="A388" s="52" t="s">
        <v>781</v>
      </c>
      <c r="B388" s="53" t="s">
        <v>782</v>
      </c>
      <c r="C388" s="48">
        <v>900</v>
      </c>
      <c r="D388" s="48">
        <v>90095</v>
      </c>
      <c r="E388" s="186" t="s">
        <v>190</v>
      </c>
      <c r="F388" s="51">
        <f t="shared" si="56"/>
        <v>332728</v>
      </c>
      <c r="G388" s="70">
        <v>332728</v>
      </c>
      <c r="H388" s="70"/>
    </row>
    <row r="389" spans="1:8" s="6" customFormat="1" ht="24" customHeight="1">
      <c r="A389" s="52" t="s">
        <v>785</v>
      </c>
      <c r="B389" s="53" t="s">
        <v>786</v>
      </c>
      <c r="C389" s="48">
        <v>900</v>
      </c>
      <c r="D389" s="48">
        <v>90095</v>
      </c>
      <c r="E389" s="186" t="s">
        <v>190</v>
      </c>
      <c r="F389" s="51">
        <f t="shared" si="56"/>
        <v>20000</v>
      </c>
      <c r="G389" s="70">
        <v>20000</v>
      </c>
      <c r="H389" s="70"/>
    </row>
    <row r="390" spans="1:8" s="6" customFormat="1" ht="24" customHeight="1">
      <c r="A390" s="34" t="s">
        <v>315</v>
      </c>
      <c r="B390" s="35" t="s">
        <v>122</v>
      </c>
      <c r="C390" s="45"/>
      <c r="D390" s="36"/>
      <c r="E390" s="183"/>
      <c r="F390" s="39">
        <f t="shared" si="56"/>
        <v>646249</v>
      </c>
      <c r="G390" s="73">
        <f>G391</f>
        <v>646249</v>
      </c>
      <c r="H390" s="73"/>
    </row>
    <row r="391" spans="1:8" s="6" customFormat="1" ht="24" customHeight="1">
      <c r="A391" s="47"/>
      <c r="B391" s="143" t="s">
        <v>110</v>
      </c>
      <c r="C391" s="45">
        <v>900</v>
      </c>
      <c r="D391" s="45">
        <v>90004</v>
      </c>
      <c r="E391" s="184" t="s">
        <v>190</v>
      </c>
      <c r="F391" s="38">
        <f t="shared" si="56"/>
        <v>646249</v>
      </c>
      <c r="G391" s="77">
        <v>646249</v>
      </c>
      <c r="H391" s="77"/>
    </row>
    <row r="392" spans="1:8" s="6" customFormat="1" ht="24" customHeight="1">
      <c r="A392" s="48" t="s">
        <v>1123</v>
      </c>
      <c r="B392" s="118" t="s">
        <v>1124</v>
      </c>
      <c r="C392" s="48">
        <v>900</v>
      </c>
      <c r="D392" s="48">
        <v>90004</v>
      </c>
      <c r="E392" s="186" t="s">
        <v>190</v>
      </c>
      <c r="F392" s="51">
        <f t="shared" ref="F392" si="57">G392+H392</f>
        <v>300000</v>
      </c>
      <c r="G392" s="70">
        <v>300000</v>
      </c>
      <c r="H392" s="70"/>
    </row>
    <row r="393" spans="1:8" s="6" customFormat="1" ht="24" customHeight="1">
      <c r="A393" s="48" t="s">
        <v>787</v>
      </c>
      <c r="B393" s="118" t="s">
        <v>788</v>
      </c>
      <c r="C393" s="48">
        <v>900</v>
      </c>
      <c r="D393" s="48">
        <v>90095</v>
      </c>
      <c r="E393" s="186" t="s">
        <v>190</v>
      </c>
      <c r="F393" s="51">
        <f t="shared" si="56"/>
        <v>25000</v>
      </c>
      <c r="G393" s="70">
        <v>25000</v>
      </c>
      <c r="H393" s="70"/>
    </row>
    <row r="394" spans="1:8" s="6" customFormat="1" ht="24" customHeight="1">
      <c r="A394" s="48" t="s">
        <v>789</v>
      </c>
      <c r="B394" s="118" t="s">
        <v>790</v>
      </c>
      <c r="C394" s="48">
        <v>900</v>
      </c>
      <c r="D394" s="48">
        <v>90004</v>
      </c>
      <c r="E394" s="186" t="s">
        <v>190</v>
      </c>
      <c r="F394" s="51">
        <f t="shared" si="56"/>
        <v>223617</v>
      </c>
      <c r="G394" s="70">
        <v>223617</v>
      </c>
      <c r="H394" s="70"/>
    </row>
    <row r="395" spans="1:8" s="6" customFormat="1" ht="24" customHeight="1">
      <c r="A395" s="48" t="s">
        <v>791</v>
      </c>
      <c r="B395" s="118" t="s">
        <v>792</v>
      </c>
      <c r="C395" s="48">
        <v>900</v>
      </c>
      <c r="D395" s="48">
        <v>90095</v>
      </c>
      <c r="E395" s="186" t="s">
        <v>190</v>
      </c>
      <c r="F395" s="51">
        <f t="shared" si="56"/>
        <v>50000</v>
      </c>
      <c r="G395" s="70">
        <v>50000</v>
      </c>
      <c r="H395" s="70"/>
    </row>
    <row r="396" spans="1:8" s="6" customFormat="1" ht="22.5" customHeight="1">
      <c r="A396" s="47" t="s">
        <v>316</v>
      </c>
      <c r="B396" s="144" t="s">
        <v>317</v>
      </c>
      <c r="C396" s="45"/>
      <c r="D396" s="45"/>
      <c r="E396" s="184"/>
      <c r="F396" s="39">
        <f t="shared" ref="F396:F434" si="58">G396+H396</f>
        <v>100000</v>
      </c>
      <c r="G396" s="73">
        <f>G397</f>
        <v>100000</v>
      </c>
      <c r="H396" s="77"/>
    </row>
    <row r="397" spans="1:8" s="6" customFormat="1" ht="22.5" customHeight="1">
      <c r="A397" s="41"/>
      <c r="B397" s="107" t="s">
        <v>109</v>
      </c>
      <c r="C397" s="42">
        <v>900</v>
      </c>
      <c r="D397" s="42">
        <v>90095</v>
      </c>
      <c r="E397" s="185" t="s">
        <v>190</v>
      </c>
      <c r="F397" s="44">
        <f t="shared" si="58"/>
        <v>100000</v>
      </c>
      <c r="G397" s="75">
        <v>100000</v>
      </c>
      <c r="H397" s="75"/>
    </row>
    <row r="398" spans="1:8" s="6" customFormat="1" ht="24" customHeight="1">
      <c r="A398" s="41" t="s">
        <v>793</v>
      </c>
      <c r="B398" s="145" t="s">
        <v>794</v>
      </c>
      <c r="C398" s="42">
        <v>900</v>
      </c>
      <c r="D398" s="42">
        <v>90095</v>
      </c>
      <c r="E398" s="185" t="s">
        <v>190</v>
      </c>
      <c r="F398" s="51">
        <f>G398+H398</f>
        <v>100000</v>
      </c>
      <c r="G398" s="70">
        <v>100000</v>
      </c>
      <c r="H398" s="70"/>
    </row>
    <row r="399" spans="1:8" s="6" customFormat="1" ht="24" customHeight="1">
      <c r="A399" s="52" t="s">
        <v>693</v>
      </c>
      <c r="B399" s="110" t="s">
        <v>694</v>
      </c>
      <c r="C399" s="48">
        <v>900</v>
      </c>
      <c r="D399" s="48">
        <v>90004</v>
      </c>
      <c r="E399" s="186" t="s">
        <v>190</v>
      </c>
      <c r="F399" s="51">
        <f t="shared" si="58"/>
        <v>1050000</v>
      </c>
      <c r="G399" s="70">
        <f>500000+550000</f>
        <v>1050000</v>
      </c>
      <c r="H399" s="70"/>
    </row>
    <row r="400" spans="1:8" s="6" customFormat="1" ht="24" customHeight="1">
      <c r="A400" s="34" t="s">
        <v>924</v>
      </c>
      <c r="B400" s="124" t="s">
        <v>925</v>
      </c>
      <c r="C400" s="42">
        <v>900</v>
      </c>
      <c r="D400" s="42">
        <v>90095</v>
      </c>
      <c r="E400" s="185" t="s">
        <v>19</v>
      </c>
      <c r="F400" s="51">
        <f>G400+H400</f>
        <v>25000</v>
      </c>
      <c r="G400" s="73">
        <v>25000</v>
      </c>
      <c r="H400" s="73"/>
    </row>
    <row r="401" spans="1:8" s="6" customFormat="1" ht="24" customHeight="1">
      <c r="A401" s="34" t="s">
        <v>928</v>
      </c>
      <c r="B401" s="124" t="s">
        <v>929</v>
      </c>
      <c r="C401" s="36">
        <v>900</v>
      </c>
      <c r="D401" s="36">
        <v>90004</v>
      </c>
      <c r="E401" s="185" t="s">
        <v>190</v>
      </c>
      <c r="F401" s="51">
        <f>G401+H401</f>
        <v>400000</v>
      </c>
      <c r="G401" s="73">
        <v>400000</v>
      </c>
      <c r="H401" s="73"/>
    </row>
    <row r="402" spans="1:8" s="6" customFormat="1" ht="24" customHeight="1">
      <c r="A402" s="34" t="s">
        <v>956</v>
      </c>
      <c r="B402" s="124" t="s">
        <v>957</v>
      </c>
      <c r="C402" s="36">
        <v>900</v>
      </c>
      <c r="D402" s="36">
        <v>90095</v>
      </c>
      <c r="E402" s="185" t="s">
        <v>190</v>
      </c>
      <c r="F402" s="51">
        <f>G402+H402</f>
        <v>500000</v>
      </c>
      <c r="G402" s="73">
        <v>500000</v>
      </c>
      <c r="H402" s="73"/>
    </row>
    <row r="403" spans="1:8" s="6" customFormat="1" ht="24" customHeight="1">
      <c r="A403" s="34" t="s">
        <v>1041</v>
      </c>
      <c r="B403" s="124" t="s">
        <v>1042</v>
      </c>
      <c r="C403" s="36">
        <v>900</v>
      </c>
      <c r="D403" s="36">
        <v>90004</v>
      </c>
      <c r="E403" s="185" t="s">
        <v>190</v>
      </c>
      <c r="F403" s="51">
        <f>G403+H403</f>
        <v>200000</v>
      </c>
      <c r="G403" s="73">
        <v>200000</v>
      </c>
      <c r="H403" s="73"/>
    </row>
    <row r="404" spans="1:8" s="6" customFormat="1" ht="24" customHeight="1">
      <c r="A404" s="34" t="s">
        <v>1043</v>
      </c>
      <c r="B404" s="124" t="s">
        <v>1044</v>
      </c>
      <c r="C404" s="36">
        <v>900</v>
      </c>
      <c r="D404" s="36">
        <v>90004</v>
      </c>
      <c r="E404" s="185" t="s">
        <v>190</v>
      </c>
      <c r="F404" s="51">
        <f>G404+H404</f>
        <v>200000</v>
      </c>
      <c r="G404" s="73">
        <v>200000</v>
      </c>
      <c r="H404" s="73"/>
    </row>
    <row r="405" spans="1:8" s="6" customFormat="1" ht="24" customHeight="1">
      <c r="A405" s="34" t="s">
        <v>1113</v>
      </c>
      <c r="B405" s="124" t="s">
        <v>1114</v>
      </c>
      <c r="C405" s="36">
        <v>900</v>
      </c>
      <c r="D405" s="36">
        <v>90095</v>
      </c>
      <c r="E405" s="185" t="s">
        <v>190</v>
      </c>
      <c r="F405" s="51">
        <f t="shared" ref="F405:F406" si="59">G405+H405</f>
        <v>650000</v>
      </c>
      <c r="G405" s="73">
        <v>650000</v>
      </c>
      <c r="H405" s="73"/>
    </row>
    <row r="406" spans="1:8" s="6" customFormat="1" ht="24" customHeight="1">
      <c r="A406" s="52" t="s">
        <v>1115</v>
      </c>
      <c r="B406" s="110" t="s">
        <v>1116</v>
      </c>
      <c r="C406" s="48">
        <v>900</v>
      </c>
      <c r="D406" s="48">
        <v>90095</v>
      </c>
      <c r="E406" s="186" t="s">
        <v>190</v>
      </c>
      <c r="F406" s="51">
        <f t="shared" si="59"/>
        <v>500000</v>
      </c>
      <c r="G406" s="70">
        <v>500000</v>
      </c>
      <c r="H406" s="70"/>
    </row>
    <row r="407" spans="1:8" s="6" customFormat="1" ht="24" customHeight="1">
      <c r="A407" s="34" t="s">
        <v>318</v>
      </c>
      <c r="B407" s="35" t="s">
        <v>319</v>
      </c>
      <c r="C407" s="36"/>
      <c r="D407" s="36"/>
      <c r="E407" s="183"/>
      <c r="F407" s="39">
        <f t="shared" si="58"/>
        <v>750000</v>
      </c>
      <c r="G407" s="73">
        <f>SUM(G408:G409)</f>
        <v>750000</v>
      </c>
      <c r="H407" s="73"/>
    </row>
    <row r="408" spans="1:8" s="6" customFormat="1" ht="21.75" customHeight="1">
      <c r="A408" s="47"/>
      <c r="B408" s="56" t="s">
        <v>8</v>
      </c>
      <c r="C408" s="45">
        <v>900</v>
      </c>
      <c r="D408" s="45">
        <v>90004</v>
      </c>
      <c r="E408" s="184" t="s">
        <v>190</v>
      </c>
      <c r="F408" s="38">
        <f t="shared" ref="F408" si="60">G408+H408</f>
        <v>300000</v>
      </c>
      <c r="G408" s="77">
        <v>300000</v>
      </c>
      <c r="H408" s="77"/>
    </row>
    <row r="409" spans="1:8" s="6" customFormat="1" ht="21.75" customHeight="1">
      <c r="A409" s="41"/>
      <c r="B409" s="107" t="s">
        <v>109</v>
      </c>
      <c r="C409" s="42">
        <v>900</v>
      </c>
      <c r="D409" s="42">
        <v>90004</v>
      </c>
      <c r="E409" s="185" t="s">
        <v>190</v>
      </c>
      <c r="F409" s="44">
        <f t="shared" si="58"/>
        <v>450000</v>
      </c>
      <c r="G409" s="75">
        <v>450000</v>
      </c>
      <c r="H409" s="75"/>
    </row>
    <row r="410" spans="1:8" s="6" customFormat="1" ht="24" customHeight="1">
      <c r="A410" s="41" t="s">
        <v>1130</v>
      </c>
      <c r="B410" s="145" t="s">
        <v>1131</v>
      </c>
      <c r="C410" s="42">
        <v>900</v>
      </c>
      <c r="D410" s="42">
        <v>90004</v>
      </c>
      <c r="E410" s="185" t="s">
        <v>190</v>
      </c>
      <c r="F410" s="51">
        <f t="shared" ref="F410" si="61">G410+H410</f>
        <v>80000</v>
      </c>
      <c r="G410" s="70">
        <v>80000</v>
      </c>
      <c r="H410" s="70"/>
    </row>
    <row r="411" spans="1:8" s="6" customFormat="1" ht="24" customHeight="1">
      <c r="A411" s="41" t="s">
        <v>1145</v>
      </c>
      <c r="B411" s="145" t="s">
        <v>1146</v>
      </c>
      <c r="C411" s="42">
        <v>900</v>
      </c>
      <c r="D411" s="42">
        <v>90095</v>
      </c>
      <c r="E411" s="185" t="s">
        <v>190</v>
      </c>
      <c r="F411" s="51">
        <f t="shared" ref="F411" si="62">G411+H411</f>
        <v>200000</v>
      </c>
      <c r="G411" s="70">
        <v>200000</v>
      </c>
      <c r="H411" s="70"/>
    </row>
    <row r="412" spans="1:8" s="6" customFormat="1" ht="24" customHeight="1">
      <c r="A412" s="41" t="s">
        <v>1159</v>
      </c>
      <c r="B412" s="145" t="s">
        <v>1160</v>
      </c>
      <c r="C412" s="42">
        <v>900</v>
      </c>
      <c r="D412" s="42">
        <v>90095</v>
      </c>
      <c r="E412" s="185" t="s">
        <v>190</v>
      </c>
      <c r="F412" s="51">
        <f t="shared" ref="F412" si="63">G412+H412</f>
        <v>150000</v>
      </c>
      <c r="G412" s="70">
        <v>150000</v>
      </c>
      <c r="H412" s="70"/>
    </row>
    <row r="413" spans="1:8" s="6" customFormat="1" ht="24" customHeight="1">
      <c r="A413" s="41" t="s">
        <v>1189</v>
      </c>
      <c r="B413" s="145" t="s">
        <v>1190</v>
      </c>
      <c r="C413" s="42">
        <v>900</v>
      </c>
      <c r="D413" s="42">
        <v>90095</v>
      </c>
      <c r="E413" s="185" t="s">
        <v>190</v>
      </c>
      <c r="F413" s="51">
        <f t="shared" ref="F413" si="64">G413+H413</f>
        <v>400000</v>
      </c>
      <c r="G413" s="70">
        <v>400000</v>
      </c>
      <c r="H413" s="70"/>
    </row>
    <row r="414" spans="1:8" s="6" customFormat="1" ht="24" customHeight="1">
      <c r="A414" s="52" t="s">
        <v>1201</v>
      </c>
      <c r="B414" s="118" t="s">
        <v>1202</v>
      </c>
      <c r="C414" s="48">
        <v>900</v>
      </c>
      <c r="D414" s="48">
        <v>90095</v>
      </c>
      <c r="E414" s="186" t="s">
        <v>190</v>
      </c>
      <c r="F414" s="51">
        <f t="shared" ref="F414:F415" si="65">G414+H414</f>
        <v>600000</v>
      </c>
      <c r="G414" s="70">
        <v>600000</v>
      </c>
      <c r="H414" s="70"/>
    </row>
    <row r="415" spans="1:8" s="6" customFormat="1" ht="24" customHeight="1">
      <c r="A415" s="41" t="s">
        <v>1203</v>
      </c>
      <c r="B415" s="145" t="s">
        <v>1204</v>
      </c>
      <c r="C415" s="42">
        <v>921</v>
      </c>
      <c r="D415" s="42">
        <v>92120</v>
      </c>
      <c r="E415" s="185" t="s">
        <v>190</v>
      </c>
      <c r="F415" s="51">
        <f t="shared" si="65"/>
        <v>150000</v>
      </c>
      <c r="G415" s="70">
        <v>150000</v>
      </c>
      <c r="H415" s="70"/>
    </row>
    <row r="416" spans="1:8" s="6" customFormat="1" ht="24" customHeight="1">
      <c r="A416" s="41" t="s">
        <v>1231</v>
      </c>
      <c r="B416" s="145" t="s">
        <v>1233</v>
      </c>
      <c r="C416" s="42">
        <v>900</v>
      </c>
      <c r="D416" s="42">
        <v>90004</v>
      </c>
      <c r="E416" s="185" t="s">
        <v>190</v>
      </c>
      <c r="F416" s="51">
        <f t="shared" ref="F416:F417" si="66">G416+H416</f>
        <v>500000</v>
      </c>
      <c r="G416" s="70">
        <v>500000</v>
      </c>
      <c r="H416" s="70"/>
    </row>
    <row r="417" spans="1:8" s="6" customFormat="1" ht="24" customHeight="1">
      <c r="A417" s="41" t="s">
        <v>1232</v>
      </c>
      <c r="B417" s="145" t="s">
        <v>1234</v>
      </c>
      <c r="C417" s="42">
        <v>900</v>
      </c>
      <c r="D417" s="42">
        <v>90004</v>
      </c>
      <c r="E417" s="185" t="s">
        <v>190</v>
      </c>
      <c r="F417" s="51">
        <f t="shared" si="66"/>
        <v>2500000</v>
      </c>
      <c r="G417" s="70">
        <v>2500000</v>
      </c>
      <c r="H417" s="70"/>
    </row>
    <row r="418" spans="1:8" s="6" customFormat="1" ht="24" customHeight="1">
      <c r="A418" s="52" t="s">
        <v>1242</v>
      </c>
      <c r="B418" s="118" t="s">
        <v>1243</v>
      </c>
      <c r="C418" s="48">
        <v>900</v>
      </c>
      <c r="D418" s="48">
        <v>90004</v>
      </c>
      <c r="E418" s="186" t="s">
        <v>190</v>
      </c>
      <c r="F418" s="51">
        <f t="shared" ref="F418" si="67">G418+H418</f>
        <v>1000000</v>
      </c>
      <c r="G418" s="70">
        <v>1000000</v>
      </c>
      <c r="H418" s="70"/>
    </row>
    <row r="419" spans="1:8" s="6" customFormat="1" ht="24" customHeight="1">
      <c r="A419" s="41" t="s">
        <v>1253</v>
      </c>
      <c r="B419" s="145" t="s">
        <v>1254</v>
      </c>
      <c r="C419" s="42">
        <v>900</v>
      </c>
      <c r="D419" s="42">
        <v>90004</v>
      </c>
      <c r="E419" s="185" t="s">
        <v>190</v>
      </c>
      <c r="F419" s="51">
        <f t="shared" ref="F419:F420" si="68">G419+H419</f>
        <v>200000</v>
      </c>
      <c r="G419" s="70">
        <v>200000</v>
      </c>
      <c r="H419" s="70"/>
    </row>
    <row r="420" spans="1:8" s="6" customFormat="1" ht="24" customHeight="1">
      <c r="A420" s="41" t="s">
        <v>1267</v>
      </c>
      <c r="B420" s="145" t="s">
        <v>1268</v>
      </c>
      <c r="C420" s="42">
        <v>900</v>
      </c>
      <c r="D420" s="42">
        <v>90095</v>
      </c>
      <c r="E420" s="185" t="s">
        <v>190</v>
      </c>
      <c r="F420" s="51">
        <f t="shared" si="68"/>
        <v>100000</v>
      </c>
      <c r="G420" s="70">
        <v>100000</v>
      </c>
      <c r="H420" s="70"/>
    </row>
    <row r="421" spans="1:8" s="6" customFormat="1" ht="24" customHeight="1">
      <c r="A421" s="41" t="s">
        <v>876</v>
      </c>
      <c r="B421" s="66" t="s">
        <v>857</v>
      </c>
      <c r="C421" s="43">
        <v>900</v>
      </c>
      <c r="D421" s="43">
        <v>90095</v>
      </c>
      <c r="E421" s="185" t="s">
        <v>190</v>
      </c>
      <c r="F421" s="51">
        <f t="shared" si="58"/>
        <v>80000</v>
      </c>
      <c r="G421" s="70">
        <v>80000</v>
      </c>
      <c r="H421" s="70"/>
    </row>
    <row r="422" spans="1:8" s="6" customFormat="1" ht="22.5" customHeight="1">
      <c r="A422" s="47" t="s">
        <v>320</v>
      </c>
      <c r="B422" s="117" t="s">
        <v>321</v>
      </c>
      <c r="C422" s="45"/>
      <c r="D422" s="76"/>
      <c r="E422" s="184"/>
      <c r="F422" s="39">
        <f t="shared" si="58"/>
        <v>280000</v>
      </c>
      <c r="G422" s="77">
        <f>G423</f>
        <v>280000</v>
      </c>
      <c r="H422" s="77"/>
    </row>
    <row r="423" spans="1:8" s="6" customFormat="1" ht="22.5" customHeight="1">
      <c r="A423" s="41"/>
      <c r="B423" s="107" t="s">
        <v>109</v>
      </c>
      <c r="C423" s="42">
        <v>900</v>
      </c>
      <c r="D423" s="42">
        <v>90095</v>
      </c>
      <c r="E423" s="185" t="s">
        <v>190</v>
      </c>
      <c r="F423" s="44">
        <f t="shared" si="58"/>
        <v>280000</v>
      </c>
      <c r="G423" s="75">
        <v>280000</v>
      </c>
      <c r="H423" s="75"/>
    </row>
    <row r="424" spans="1:8" s="6" customFormat="1" ht="24" customHeight="1">
      <c r="A424" s="52" t="s">
        <v>877</v>
      </c>
      <c r="B424" s="49" t="s">
        <v>861</v>
      </c>
      <c r="C424" s="50">
        <v>900</v>
      </c>
      <c r="D424" s="50">
        <v>90004</v>
      </c>
      <c r="E424" s="186" t="s">
        <v>190</v>
      </c>
      <c r="F424" s="51">
        <f t="shared" si="58"/>
        <v>300000</v>
      </c>
      <c r="G424" s="70">
        <v>300000</v>
      </c>
      <c r="H424" s="70"/>
    </row>
    <row r="425" spans="1:8" s="6" customFormat="1" ht="24" customHeight="1">
      <c r="A425" s="41" t="s">
        <v>878</v>
      </c>
      <c r="B425" s="66" t="s">
        <v>860</v>
      </c>
      <c r="C425" s="43">
        <v>900</v>
      </c>
      <c r="D425" s="43">
        <v>90004</v>
      </c>
      <c r="E425" s="185" t="s">
        <v>190</v>
      </c>
      <c r="F425" s="51">
        <f t="shared" si="58"/>
        <v>100000</v>
      </c>
      <c r="G425" s="70">
        <v>100000</v>
      </c>
      <c r="H425" s="70"/>
    </row>
    <row r="426" spans="1:8" s="6" customFormat="1" ht="24" customHeight="1">
      <c r="A426" s="41" t="s">
        <v>1033</v>
      </c>
      <c r="B426" s="66" t="s">
        <v>1034</v>
      </c>
      <c r="C426" s="43">
        <v>900</v>
      </c>
      <c r="D426" s="43">
        <v>90004</v>
      </c>
      <c r="E426" s="185" t="s">
        <v>190</v>
      </c>
      <c r="F426" s="51">
        <f t="shared" ref="F426" si="69">G426+H426</f>
        <v>2000000</v>
      </c>
      <c r="G426" s="70">
        <v>2000000</v>
      </c>
      <c r="H426" s="70"/>
    </row>
    <row r="427" spans="1:8" s="6" customFormat="1" ht="24" customHeight="1">
      <c r="A427" s="41" t="s">
        <v>880</v>
      </c>
      <c r="B427" s="66" t="s">
        <v>867</v>
      </c>
      <c r="C427" s="43">
        <v>900</v>
      </c>
      <c r="D427" s="43">
        <v>90004</v>
      </c>
      <c r="E427" s="185" t="s">
        <v>190</v>
      </c>
      <c r="F427" s="51">
        <f t="shared" ref="F427:F428" si="70">G427+H427</f>
        <v>150000</v>
      </c>
      <c r="G427" s="70">
        <v>150000</v>
      </c>
      <c r="H427" s="70"/>
    </row>
    <row r="428" spans="1:8" s="6" customFormat="1" ht="24" customHeight="1">
      <c r="A428" s="41" t="s">
        <v>881</v>
      </c>
      <c r="B428" s="66" t="s">
        <v>869</v>
      </c>
      <c r="C428" s="43">
        <v>900</v>
      </c>
      <c r="D428" s="43">
        <v>90004</v>
      </c>
      <c r="E428" s="185" t="s">
        <v>190</v>
      </c>
      <c r="F428" s="51">
        <f t="shared" si="70"/>
        <v>300000</v>
      </c>
      <c r="G428" s="70">
        <v>300000</v>
      </c>
      <c r="H428" s="70"/>
    </row>
    <row r="429" spans="1:8" s="6" customFormat="1" ht="24" customHeight="1">
      <c r="A429" s="41" t="s">
        <v>879</v>
      </c>
      <c r="B429" s="66" t="s">
        <v>866</v>
      </c>
      <c r="C429" s="43">
        <v>900</v>
      </c>
      <c r="D429" s="43">
        <v>90095</v>
      </c>
      <c r="E429" s="185" t="s">
        <v>190</v>
      </c>
      <c r="F429" s="51">
        <f t="shared" si="58"/>
        <v>500000</v>
      </c>
      <c r="G429" s="70">
        <v>500000</v>
      </c>
      <c r="H429" s="70"/>
    </row>
    <row r="430" spans="1:8" s="6" customFormat="1" ht="24" customHeight="1">
      <c r="A430" s="41" t="s">
        <v>1191</v>
      </c>
      <c r="B430" s="66" t="s">
        <v>1192</v>
      </c>
      <c r="C430" s="43">
        <v>900</v>
      </c>
      <c r="D430" s="43">
        <v>90095</v>
      </c>
      <c r="E430" s="185" t="s">
        <v>190</v>
      </c>
      <c r="F430" s="51">
        <f t="shared" ref="F430" si="71">G430+H430</f>
        <v>600000</v>
      </c>
      <c r="G430" s="70">
        <v>600000</v>
      </c>
      <c r="H430" s="70"/>
    </row>
    <row r="431" spans="1:8" s="6" customFormat="1" ht="24" customHeight="1">
      <c r="A431" s="52" t="s">
        <v>1301</v>
      </c>
      <c r="B431" s="49" t="s">
        <v>1302</v>
      </c>
      <c r="C431" s="50">
        <v>900</v>
      </c>
      <c r="D431" s="50">
        <v>90095</v>
      </c>
      <c r="E431" s="186" t="s">
        <v>190</v>
      </c>
      <c r="F431" s="51">
        <f t="shared" ref="F431" si="72">G431+H431</f>
        <v>800000</v>
      </c>
      <c r="G431" s="70">
        <v>800000</v>
      </c>
      <c r="H431" s="70"/>
    </row>
    <row r="432" spans="1:8" s="6" customFormat="1" ht="24" customHeight="1">
      <c r="A432" s="48" t="s">
        <v>898</v>
      </c>
      <c r="B432" s="49" t="s">
        <v>899</v>
      </c>
      <c r="C432" s="50">
        <v>900</v>
      </c>
      <c r="D432" s="50">
        <v>90095</v>
      </c>
      <c r="E432" s="185" t="s">
        <v>190</v>
      </c>
      <c r="F432" s="51">
        <f t="shared" ref="F432" si="73">G432+H432</f>
        <v>1067000</v>
      </c>
      <c r="G432" s="70">
        <v>1067000</v>
      </c>
      <c r="H432" s="70"/>
    </row>
    <row r="433" spans="1:8" s="6" customFormat="1" ht="24" customHeight="1">
      <c r="A433" s="52" t="s">
        <v>894</v>
      </c>
      <c r="B433" s="49" t="s">
        <v>895</v>
      </c>
      <c r="C433" s="50">
        <v>900</v>
      </c>
      <c r="D433" s="50">
        <v>90004</v>
      </c>
      <c r="E433" s="186" t="s">
        <v>190</v>
      </c>
      <c r="F433" s="51">
        <f t="shared" si="58"/>
        <v>100000</v>
      </c>
      <c r="G433" s="70">
        <v>100000</v>
      </c>
      <c r="H433" s="70"/>
    </row>
    <row r="434" spans="1:8" s="6" customFormat="1" ht="21" customHeight="1">
      <c r="A434" s="34" t="s">
        <v>322</v>
      </c>
      <c r="B434" s="124" t="s">
        <v>323</v>
      </c>
      <c r="C434" s="36"/>
      <c r="D434" s="36"/>
      <c r="E434" s="183"/>
      <c r="F434" s="39">
        <f t="shared" si="58"/>
        <v>3000000</v>
      </c>
      <c r="G434" s="73">
        <f>SUM(G435:G436)</f>
        <v>3000000</v>
      </c>
      <c r="H434" s="73"/>
    </row>
    <row r="435" spans="1:8" s="6" customFormat="1" ht="21" customHeight="1">
      <c r="A435" s="47"/>
      <c r="B435" s="143" t="s">
        <v>305</v>
      </c>
      <c r="C435" s="45">
        <v>900</v>
      </c>
      <c r="D435" s="45">
        <v>90004</v>
      </c>
      <c r="E435" s="184" t="s">
        <v>190</v>
      </c>
      <c r="F435" s="38">
        <f>G435</f>
        <v>500000</v>
      </c>
      <c r="G435" s="77">
        <v>500000</v>
      </c>
      <c r="H435" s="77"/>
    </row>
    <row r="436" spans="1:8" s="6" customFormat="1" ht="21" customHeight="1">
      <c r="A436" s="41"/>
      <c r="B436" s="65" t="s">
        <v>10</v>
      </c>
      <c r="C436" s="42">
        <v>900</v>
      </c>
      <c r="D436" s="42">
        <v>90004</v>
      </c>
      <c r="E436" s="185" t="s">
        <v>190</v>
      </c>
      <c r="F436" s="44">
        <f>+G436+H436</f>
        <v>2500000</v>
      </c>
      <c r="G436" s="75">
        <v>2500000</v>
      </c>
      <c r="H436" s="75"/>
    </row>
    <row r="437" spans="1:8" s="6" customFormat="1" ht="24" customHeight="1">
      <c r="A437" s="48" t="s">
        <v>795</v>
      </c>
      <c r="B437" s="49" t="s">
        <v>796</v>
      </c>
      <c r="C437" s="48">
        <v>900</v>
      </c>
      <c r="D437" s="48">
        <v>90004</v>
      </c>
      <c r="E437" s="186" t="s">
        <v>190</v>
      </c>
      <c r="F437" s="51">
        <f>G437+H437</f>
        <v>6150</v>
      </c>
      <c r="G437" s="70">
        <v>6150</v>
      </c>
      <c r="H437" s="70"/>
    </row>
    <row r="438" spans="1:8" s="6" customFormat="1" ht="21" customHeight="1">
      <c r="A438" s="47" t="s">
        <v>502</v>
      </c>
      <c r="B438" s="117" t="s">
        <v>503</v>
      </c>
      <c r="C438" s="76"/>
      <c r="D438" s="76"/>
      <c r="E438" s="184"/>
      <c r="F438" s="38">
        <f>G438+H438</f>
        <v>100000</v>
      </c>
      <c r="G438" s="77">
        <f>G439</f>
        <v>100000</v>
      </c>
      <c r="H438" s="77"/>
    </row>
    <row r="439" spans="1:8" s="6" customFormat="1" ht="21" customHeight="1">
      <c r="A439" s="41"/>
      <c r="B439" s="107" t="s">
        <v>517</v>
      </c>
      <c r="C439" s="42">
        <v>900</v>
      </c>
      <c r="D439" s="42">
        <v>90095</v>
      </c>
      <c r="E439" s="185" t="s">
        <v>190</v>
      </c>
      <c r="F439" s="44">
        <f>G439+H439</f>
        <v>100000</v>
      </c>
      <c r="G439" s="75">
        <v>100000</v>
      </c>
      <c r="H439" s="75"/>
    </row>
    <row r="440" spans="1:8" s="6" customFormat="1" ht="21" customHeight="1">
      <c r="A440" s="47" t="s">
        <v>324</v>
      </c>
      <c r="B440" s="117" t="s">
        <v>325</v>
      </c>
      <c r="C440" s="45"/>
      <c r="D440" s="76"/>
      <c r="E440" s="184"/>
      <c r="F440" s="38">
        <f t="shared" ref="F440:F473" si="74">G440+H440</f>
        <v>485081</v>
      </c>
      <c r="G440" s="77">
        <f>G441</f>
        <v>485081</v>
      </c>
      <c r="H440" s="77"/>
    </row>
    <row r="441" spans="1:8" s="6" customFormat="1" ht="21" customHeight="1">
      <c r="A441" s="41"/>
      <c r="B441" s="107" t="s">
        <v>109</v>
      </c>
      <c r="C441" s="42">
        <v>900</v>
      </c>
      <c r="D441" s="42">
        <v>90004</v>
      </c>
      <c r="E441" s="185" t="s">
        <v>190</v>
      </c>
      <c r="F441" s="44">
        <f t="shared" si="74"/>
        <v>485081</v>
      </c>
      <c r="G441" s="75">
        <v>485081</v>
      </c>
      <c r="H441" s="75"/>
    </row>
    <row r="442" spans="1:8" s="6" customFormat="1" ht="21" customHeight="1">
      <c r="A442" s="47" t="s">
        <v>326</v>
      </c>
      <c r="B442" s="117" t="s">
        <v>327</v>
      </c>
      <c r="C442" s="45"/>
      <c r="D442" s="76"/>
      <c r="E442" s="184"/>
      <c r="F442" s="38">
        <f t="shared" si="74"/>
        <v>780000</v>
      </c>
      <c r="G442" s="77">
        <f>G443</f>
        <v>780000</v>
      </c>
      <c r="H442" s="77"/>
    </row>
    <row r="443" spans="1:8" s="6" customFormat="1" ht="21" customHeight="1">
      <c r="A443" s="41"/>
      <c r="B443" s="107" t="s">
        <v>109</v>
      </c>
      <c r="C443" s="42">
        <v>900</v>
      </c>
      <c r="D443" s="42">
        <v>90004</v>
      </c>
      <c r="E443" s="185" t="s">
        <v>190</v>
      </c>
      <c r="F443" s="44">
        <f t="shared" si="74"/>
        <v>780000</v>
      </c>
      <c r="G443" s="75">
        <v>780000</v>
      </c>
      <c r="H443" s="75"/>
    </row>
    <row r="444" spans="1:8" s="6" customFormat="1" ht="24" customHeight="1">
      <c r="A444" s="48" t="s">
        <v>967</v>
      </c>
      <c r="B444" s="118" t="s">
        <v>1329</v>
      </c>
      <c r="C444" s="48">
        <v>900</v>
      </c>
      <c r="D444" s="48">
        <v>90095</v>
      </c>
      <c r="E444" s="186" t="s">
        <v>190</v>
      </c>
      <c r="F444" s="51">
        <f t="shared" ref="F444" si="75">G444+H444</f>
        <v>700000</v>
      </c>
      <c r="G444" s="70">
        <v>700000</v>
      </c>
      <c r="H444" s="70"/>
    </row>
    <row r="445" spans="1:8" s="6" customFormat="1" ht="21.75" customHeight="1">
      <c r="A445" s="47" t="s">
        <v>328</v>
      </c>
      <c r="B445" s="117" t="s">
        <v>329</v>
      </c>
      <c r="C445" s="45"/>
      <c r="D445" s="76"/>
      <c r="E445" s="184"/>
      <c r="F445" s="39">
        <f t="shared" si="74"/>
        <v>450000</v>
      </c>
      <c r="G445" s="77">
        <f>G446</f>
        <v>450000</v>
      </c>
      <c r="H445" s="77"/>
    </row>
    <row r="446" spans="1:8" s="6" customFormat="1" ht="21.75" customHeight="1">
      <c r="A446" s="41"/>
      <c r="B446" s="107" t="s">
        <v>109</v>
      </c>
      <c r="C446" s="42">
        <v>900</v>
      </c>
      <c r="D446" s="42">
        <v>90004</v>
      </c>
      <c r="E446" s="185" t="s">
        <v>190</v>
      </c>
      <c r="F446" s="44">
        <f t="shared" si="74"/>
        <v>450000</v>
      </c>
      <c r="G446" s="75">
        <v>450000</v>
      </c>
      <c r="H446" s="75"/>
    </row>
    <row r="447" spans="1:8" s="6" customFormat="1" ht="21.75" customHeight="1">
      <c r="A447" s="52" t="s">
        <v>330</v>
      </c>
      <c r="B447" s="53" t="s">
        <v>331</v>
      </c>
      <c r="C447" s="48"/>
      <c r="D447" s="104"/>
      <c r="E447" s="186"/>
      <c r="F447" s="51">
        <f t="shared" si="74"/>
        <v>258000</v>
      </c>
      <c r="G447" s="70">
        <f>G448</f>
        <v>258000</v>
      </c>
      <c r="H447" s="70"/>
    </row>
    <row r="448" spans="1:8" s="6" customFormat="1" ht="21.75" customHeight="1">
      <c r="A448" s="52"/>
      <c r="B448" s="226" t="s">
        <v>109</v>
      </c>
      <c r="C448" s="48">
        <v>900</v>
      </c>
      <c r="D448" s="48">
        <v>90095</v>
      </c>
      <c r="E448" s="186" t="s">
        <v>190</v>
      </c>
      <c r="F448" s="51">
        <f t="shared" si="74"/>
        <v>258000</v>
      </c>
      <c r="G448" s="70">
        <v>258000</v>
      </c>
      <c r="H448" s="70"/>
    </row>
    <row r="449" spans="1:8" s="6" customFormat="1" ht="21.75" customHeight="1">
      <c r="A449" s="34" t="s">
        <v>332</v>
      </c>
      <c r="B449" s="35" t="s">
        <v>333</v>
      </c>
      <c r="C449" s="45"/>
      <c r="D449" s="36"/>
      <c r="E449" s="183"/>
      <c r="F449" s="39">
        <f t="shared" si="74"/>
        <v>100000</v>
      </c>
      <c r="G449" s="73">
        <f>G450</f>
        <v>100000</v>
      </c>
      <c r="H449" s="73"/>
    </row>
    <row r="450" spans="1:8" s="6" customFormat="1" ht="21.75" customHeight="1">
      <c r="A450" s="41"/>
      <c r="B450" s="107" t="s">
        <v>109</v>
      </c>
      <c r="C450" s="42">
        <v>900</v>
      </c>
      <c r="D450" s="42">
        <v>90095</v>
      </c>
      <c r="E450" s="185" t="s">
        <v>190</v>
      </c>
      <c r="F450" s="44">
        <f t="shared" si="74"/>
        <v>100000</v>
      </c>
      <c r="G450" s="75">
        <v>100000</v>
      </c>
      <c r="H450" s="75"/>
    </row>
    <row r="451" spans="1:8" s="6" customFormat="1" ht="21.75" customHeight="1">
      <c r="A451" s="34" t="s">
        <v>334</v>
      </c>
      <c r="B451" s="35" t="s">
        <v>669</v>
      </c>
      <c r="C451" s="36"/>
      <c r="D451" s="36"/>
      <c r="E451" s="183"/>
      <c r="F451" s="39">
        <f t="shared" si="74"/>
        <v>100000</v>
      </c>
      <c r="G451" s="73">
        <f>G452</f>
        <v>100000</v>
      </c>
      <c r="H451" s="73"/>
    </row>
    <row r="452" spans="1:8" s="6" customFormat="1" ht="21.75" customHeight="1">
      <c r="A452" s="41"/>
      <c r="B452" s="107" t="s">
        <v>109</v>
      </c>
      <c r="C452" s="42">
        <v>900</v>
      </c>
      <c r="D452" s="42">
        <v>90004</v>
      </c>
      <c r="E452" s="185" t="s">
        <v>190</v>
      </c>
      <c r="F452" s="44">
        <f t="shared" si="74"/>
        <v>100000</v>
      </c>
      <c r="G452" s="75">
        <v>100000</v>
      </c>
      <c r="H452" s="75"/>
    </row>
    <row r="453" spans="1:8" s="6" customFormat="1" ht="21.75" customHeight="1">
      <c r="A453" s="47" t="s">
        <v>335</v>
      </c>
      <c r="B453" s="117" t="s">
        <v>336</v>
      </c>
      <c r="C453" s="45"/>
      <c r="D453" s="76"/>
      <c r="E453" s="184"/>
      <c r="F453" s="39">
        <f t="shared" si="74"/>
        <v>400000</v>
      </c>
      <c r="G453" s="77">
        <f>G454</f>
        <v>400000</v>
      </c>
      <c r="H453" s="77"/>
    </row>
    <row r="454" spans="1:8" s="6" customFormat="1" ht="21.75" customHeight="1">
      <c r="A454" s="41"/>
      <c r="B454" s="107" t="s">
        <v>109</v>
      </c>
      <c r="C454" s="42">
        <v>900</v>
      </c>
      <c r="D454" s="42">
        <v>90004</v>
      </c>
      <c r="E454" s="185" t="s">
        <v>190</v>
      </c>
      <c r="F454" s="44">
        <f t="shared" si="74"/>
        <v>400000</v>
      </c>
      <c r="G454" s="75">
        <v>400000</v>
      </c>
      <c r="H454" s="75"/>
    </row>
    <row r="455" spans="1:8" s="6" customFormat="1" ht="21.75" customHeight="1">
      <c r="A455" s="47" t="s">
        <v>337</v>
      </c>
      <c r="B455" s="117" t="s">
        <v>338</v>
      </c>
      <c r="C455" s="45"/>
      <c r="D455" s="76"/>
      <c r="E455" s="184"/>
      <c r="F455" s="39">
        <f t="shared" si="74"/>
        <v>580000</v>
      </c>
      <c r="G455" s="77">
        <f>G456</f>
        <v>580000</v>
      </c>
      <c r="H455" s="77"/>
    </row>
    <row r="456" spans="1:8" s="6" customFormat="1" ht="21.75" customHeight="1">
      <c r="A456" s="41"/>
      <c r="B456" s="107" t="s">
        <v>109</v>
      </c>
      <c r="C456" s="42">
        <v>900</v>
      </c>
      <c r="D456" s="42">
        <v>90004</v>
      </c>
      <c r="E456" s="185" t="s">
        <v>190</v>
      </c>
      <c r="F456" s="44">
        <f t="shared" si="74"/>
        <v>580000</v>
      </c>
      <c r="G456" s="75">
        <v>580000</v>
      </c>
      <c r="H456" s="75"/>
    </row>
    <row r="457" spans="1:8" s="6" customFormat="1" ht="21.75" customHeight="1">
      <c r="A457" s="47" t="s">
        <v>339</v>
      </c>
      <c r="B457" s="117" t="s">
        <v>340</v>
      </c>
      <c r="C457" s="45"/>
      <c r="D457" s="76"/>
      <c r="E457" s="184"/>
      <c r="F457" s="39">
        <f t="shared" si="74"/>
        <v>270000</v>
      </c>
      <c r="G457" s="77">
        <f>G458</f>
        <v>270000</v>
      </c>
      <c r="H457" s="77"/>
    </row>
    <row r="458" spans="1:8" s="6" customFormat="1" ht="21.75" customHeight="1">
      <c r="A458" s="41"/>
      <c r="B458" s="107" t="s">
        <v>109</v>
      </c>
      <c r="C458" s="42">
        <v>900</v>
      </c>
      <c r="D458" s="42">
        <v>90004</v>
      </c>
      <c r="E458" s="185" t="s">
        <v>190</v>
      </c>
      <c r="F458" s="44">
        <f t="shared" si="74"/>
        <v>270000</v>
      </c>
      <c r="G458" s="75">
        <v>270000</v>
      </c>
      <c r="H458" s="75"/>
    </row>
    <row r="459" spans="1:8" s="6" customFormat="1" ht="21.75" customHeight="1">
      <c r="A459" s="47" t="s">
        <v>341</v>
      </c>
      <c r="B459" s="117" t="s">
        <v>342</v>
      </c>
      <c r="C459" s="45"/>
      <c r="D459" s="76"/>
      <c r="E459" s="184"/>
      <c r="F459" s="39">
        <f t="shared" si="74"/>
        <v>320000</v>
      </c>
      <c r="G459" s="77">
        <f>G460</f>
        <v>320000</v>
      </c>
      <c r="H459" s="77"/>
    </row>
    <row r="460" spans="1:8" s="6" customFormat="1" ht="21.75" customHeight="1">
      <c r="A460" s="41"/>
      <c r="B460" s="107" t="s">
        <v>109</v>
      </c>
      <c r="C460" s="42">
        <v>900</v>
      </c>
      <c r="D460" s="42">
        <v>90004</v>
      </c>
      <c r="E460" s="185" t="s">
        <v>190</v>
      </c>
      <c r="F460" s="44">
        <f t="shared" si="74"/>
        <v>320000</v>
      </c>
      <c r="G460" s="75">
        <v>320000</v>
      </c>
      <c r="H460" s="75"/>
    </row>
    <row r="461" spans="1:8" s="6" customFormat="1" ht="21.75" customHeight="1">
      <c r="A461" s="47" t="s">
        <v>343</v>
      </c>
      <c r="B461" s="117" t="s">
        <v>344</v>
      </c>
      <c r="C461" s="45"/>
      <c r="D461" s="76"/>
      <c r="E461" s="184"/>
      <c r="F461" s="39">
        <f t="shared" si="74"/>
        <v>500000</v>
      </c>
      <c r="G461" s="77">
        <f>G462</f>
        <v>500000</v>
      </c>
      <c r="H461" s="77"/>
    </row>
    <row r="462" spans="1:8" s="6" customFormat="1" ht="21.75" customHeight="1">
      <c r="A462" s="41"/>
      <c r="B462" s="107" t="s">
        <v>109</v>
      </c>
      <c r="C462" s="42">
        <v>900</v>
      </c>
      <c r="D462" s="42">
        <v>90095</v>
      </c>
      <c r="E462" s="185" t="s">
        <v>190</v>
      </c>
      <c r="F462" s="44">
        <f t="shared" si="74"/>
        <v>500000</v>
      </c>
      <c r="G462" s="75">
        <v>500000</v>
      </c>
      <c r="H462" s="75"/>
    </row>
    <row r="463" spans="1:8" s="6" customFormat="1" ht="21.75" customHeight="1">
      <c r="A463" s="47" t="s">
        <v>345</v>
      </c>
      <c r="B463" s="117" t="s">
        <v>346</v>
      </c>
      <c r="C463" s="45"/>
      <c r="D463" s="76"/>
      <c r="E463" s="184"/>
      <c r="F463" s="38">
        <f t="shared" si="74"/>
        <v>485225</v>
      </c>
      <c r="G463" s="77">
        <f>G464</f>
        <v>485225</v>
      </c>
      <c r="H463" s="77"/>
    </row>
    <row r="464" spans="1:8" s="6" customFormat="1" ht="21.75" customHeight="1">
      <c r="A464" s="41"/>
      <c r="B464" s="107" t="s">
        <v>109</v>
      </c>
      <c r="C464" s="42">
        <v>900</v>
      </c>
      <c r="D464" s="42">
        <v>90004</v>
      </c>
      <c r="E464" s="185" t="s">
        <v>190</v>
      </c>
      <c r="F464" s="44">
        <f t="shared" si="74"/>
        <v>485225</v>
      </c>
      <c r="G464" s="75">
        <v>485225</v>
      </c>
      <c r="H464" s="75"/>
    </row>
    <row r="465" spans="1:8" s="6" customFormat="1" ht="21.75" customHeight="1">
      <c r="A465" s="47" t="s">
        <v>347</v>
      </c>
      <c r="B465" s="117" t="s">
        <v>348</v>
      </c>
      <c r="C465" s="45"/>
      <c r="D465" s="76"/>
      <c r="E465" s="184"/>
      <c r="F465" s="38">
        <f t="shared" si="74"/>
        <v>400000</v>
      </c>
      <c r="G465" s="77">
        <f>G466</f>
        <v>400000</v>
      </c>
      <c r="H465" s="77"/>
    </row>
    <row r="466" spans="1:8" s="6" customFormat="1" ht="21.75" customHeight="1">
      <c r="A466" s="41"/>
      <c r="B466" s="107" t="s">
        <v>109</v>
      </c>
      <c r="C466" s="42">
        <v>900</v>
      </c>
      <c r="D466" s="42">
        <v>90095</v>
      </c>
      <c r="E466" s="185" t="s">
        <v>190</v>
      </c>
      <c r="F466" s="44">
        <f t="shared" si="74"/>
        <v>400000</v>
      </c>
      <c r="G466" s="75">
        <v>400000</v>
      </c>
      <c r="H466" s="75"/>
    </row>
    <row r="467" spans="1:8" s="6" customFormat="1" ht="21.75" customHeight="1">
      <c r="A467" s="52" t="s">
        <v>349</v>
      </c>
      <c r="B467" s="53" t="s">
        <v>350</v>
      </c>
      <c r="C467" s="48"/>
      <c r="D467" s="104"/>
      <c r="E467" s="186"/>
      <c r="F467" s="51">
        <f t="shared" si="74"/>
        <v>295000</v>
      </c>
      <c r="G467" s="70">
        <f>G468</f>
        <v>295000</v>
      </c>
      <c r="H467" s="70"/>
    </row>
    <row r="468" spans="1:8" s="6" customFormat="1" ht="21.75" customHeight="1">
      <c r="A468" s="52"/>
      <c r="B468" s="226" t="s">
        <v>109</v>
      </c>
      <c r="C468" s="48">
        <v>900</v>
      </c>
      <c r="D468" s="48">
        <v>90095</v>
      </c>
      <c r="E468" s="186" t="s">
        <v>190</v>
      </c>
      <c r="F468" s="51">
        <f t="shared" si="74"/>
        <v>295000</v>
      </c>
      <c r="G468" s="70">
        <v>295000</v>
      </c>
      <c r="H468" s="70"/>
    </row>
    <row r="469" spans="1:8" s="6" customFormat="1" ht="21.75" customHeight="1">
      <c r="A469" s="47" t="s">
        <v>351</v>
      </c>
      <c r="B469" s="117" t="s">
        <v>136</v>
      </c>
      <c r="C469" s="45"/>
      <c r="D469" s="76"/>
      <c r="E469" s="184"/>
      <c r="F469" s="38">
        <f t="shared" si="74"/>
        <v>250000</v>
      </c>
      <c r="G469" s="77">
        <f>G470</f>
        <v>250000</v>
      </c>
      <c r="H469" s="77"/>
    </row>
    <row r="470" spans="1:8" s="6" customFormat="1" ht="21.75" customHeight="1">
      <c r="A470" s="41"/>
      <c r="B470" s="107" t="s">
        <v>109</v>
      </c>
      <c r="C470" s="42">
        <v>900</v>
      </c>
      <c r="D470" s="42">
        <v>90095</v>
      </c>
      <c r="E470" s="185" t="s">
        <v>190</v>
      </c>
      <c r="F470" s="44">
        <f t="shared" si="74"/>
        <v>250000</v>
      </c>
      <c r="G470" s="75">
        <v>250000</v>
      </c>
      <c r="H470" s="75"/>
    </row>
    <row r="471" spans="1:8" s="6" customFormat="1" ht="24" customHeight="1">
      <c r="A471" s="52" t="s">
        <v>352</v>
      </c>
      <c r="B471" s="53" t="s">
        <v>353</v>
      </c>
      <c r="C471" s="48">
        <v>900</v>
      </c>
      <c r="D471" s="48">
        <v>90004</v>
      </c>
      <c r="E471" s="186" t="s">
        <v>190</v>
      </c>
      <c r="F471" s="51">
        <f t="shared" si="74"/>
        <v>40000</v>
      </c>
      <c r="G471" s="70">
        <v>40000</v>
      </c>
      <c r="H471" s="70"/>
    </row>
    <row r="472" spans="1:8" s="6" customFormat="1" ht="24" customHeight="1">
      <c r="A472" s="52" t="s">
        <v>354</v>
      </c>
      <c r="B472" s="53" t="s">
        <v>355</v>
      </c>
      <c r="C472" s="50">
        <v>900</v>
      </c>
      <c r="D472" s="50">
        <v>90004</v>
      </c>
      <c r="E472" s="186" t="s">
        <v>190</v>
      </c>
      <c r="F472" s="51">
        <f t="shared" si="74"/>
        <v>3100000</v>
      </c>
      <c r="G472" s="70">
        <f>100000+3000000</f>
        <v>3100000</v>
      </c>
      <c r="H472" s="70"/>
    </row>
    <row r="473" spans="1:8" s="6" customFormat="1" ht="24" customHeight="1">
      <c r="A473" s="52" t="s">
        <v>356</v>
      </c>
      <c r="B473" s="49" t="s">
        <v>357</v>
      </c>
      <c r="C473" s="48">
        <v>900</v>
      </c>
      <c r="D473" s="48">
        <v>90095</v>
      </c>
      <c r="E473" s="186" t="s">
        <v>190</v>
      </c>
      <c r="F473" s="51">
        <f t="shared" si="74"/>
        <v>71000</v>
      </c>
      <c r="G473" s="70">
        <v>71000</v>
      </c>
      <c r="H473" s="70"/>
    </row>
    <row r="474" spans="1:8" ht="27" customHeight="1">
      <c r="A474" s="34" t="s">
        <v>531</v>
      </c>
      <c r="B474" s="124" t="s">
        <v>532</v>
      </c>
      <c r="C474" s="36"/>
      <c r="D474" s="36"/>
      <c r="E474" s="183"/>
      <c r="F474" s="112">
        <f>G474</f>
        <v>300000</v>
      </c>
      <c r="G474" s="113">
        <f>G475</f>
        <v>300000</v>
      </c>
      <c r="H474" s="113"/>
    </row>
    <row r="475" spans="1:8" ht="21.75" customHeight="1">
      <c r="A475" s="41"/>
      <c r="B475" s="56" t="s">
        <v>8</v>
      </c>
      <c r="C475" s="45">
        <v>900</v>
      </c>
      <c r="D475" s="45">
        <v>90005</v>
      </c>
      <c r="E475" s="184" t="s">
        <v>296</v>
      </c>
      <c r="F475" s="146">
        <f>G475</f>
        <v>300000</v>
      </c>
      <c r="G475" s="147">
        <v>300000</v>
      </c>
      <c r="H475" s="147"/>
    </row>
    <row r="476" spans="1:8" s="6" customFormat="1" ht="24" customHeight="1">
      <c r="A476" s="47" t="s">
        <v>358</v>
      </c>
      <c r="B476" s="110" t="s">
        <v>359</v>
      </c>
      <c r="C476" s="48">
        <v>900</v>
      </c>
      <c r="D476" s="48">
        <v>90004</v>
      </c>
      <c r="E476" s="186" t="s">
        <v>190</v>
      </c>
      <c r="F476" s="51">
        <f t="shared" ref="F476:F483" si="76">G476+H476</f>
        <v>10400000</v>
      </c>
      <c r="G476" s="70">
        <f>9700000+700000</f>
        <v>10400000</v>
      </c>
      <c r="H476" s="70"/>
    </row>
    <row r="477" spans="1:8" s="6" customFormat="1" ht="22.5" customHeight="1">
      <c r="A477" s="34" t="s">
        <v>361</v>
      </c>
      <c r="B477" s="117" t="s">
        <v>362</v>
      </c>
      <c r="C477" s="45"/>
      <c r="D477" s="45"/>
      <c r="E477" s="184"/>
      <c r="F477" s="38">
        <f t="shared" si="76"/>
        <v>500000</v>
      </c>
      <c r="G477" s="77">
        <f>G478</f>
        <v>500000</v>
      </c>
      <c r="H477" s="77"/>
    </row>
    <row r="478" spans="1:8" s="6" customFormat="1" ht="22.5" customHeight="1">
      <c r="A478" s="41"/>
      <c r="B478" s="107" t="s">
        <v>360</v>
      </c>
      <c r="C478" s="42">
        <v>900</v>
      </c>
      <c r="D478" s="42">
        <v>90004</v>
      </c>
      <c r="E478" s="185" t="s">
        <v>190</v>
      </c>
      <c r="F478" s="44">
        <f t="shared" si="76"/>
        <v>500000</v>
      </c>
      <c r="G478" s="75">
        <v>500000</v>
      </c>
      <c r="H478" s="75"/>
    </row>
    <row r="479" spans="1:8" s="6" customFormat="1" ht="22.5" customHeight="1">
      <c r="A479" s="34" t="s">
        <v>363</v>
      </c>
      <c r="B479" s="35" t="s">
        <v>364</v>
      </c>
      <c r="C479" s="36"/>
      <c r="D479" s="36"/>
      <c r="E479" s="183"/>
      <c r="F479" s="39">
        <f t="shared" si="76"/>
        <v>700000</v>
      </c>
      <c r="G479" s="73">
        <f>G480</f>
        <v>700000</v>
      </c>
      <c r="H479" s="73"/>
    </row>
    <row r="480" spans="1:8" s="6" customFormat="1" ht="22.5" customHeight="1">
      <c r="A480" s="41"/>
      <c r="B480" s="107" t="s">
        <v>360</v>
      </c>
      <c r="C480" s="42">
        <v>900</v>
      </c>
      <c r="D480" s="42">
        <v>90004</v>
      </c>
      <c r="E480" s="185" t="s">
        <v>190</v>
      </c>
      <c r="F480" s="44">
        <f t="shared" si="76"/>
        <v>700000</v>
      </c>
      <c r="G480" s="75">
        <v>700000</v>
      </c>
      <c r="H480" s="75"/>
    </row>
    <row r="481" spans="1:8" s="6" customFormat="1" ht="24" customHeight="1">
      <c r="A481" s="34" t="s">
        <v>504</v>
      </c>
      <c r="B481" s="124" t="s">
        <v>505</v>
      </c>
      <c r="C481" s="36"/>
      <c r="D481" s="36"/>
      <c r="E481" s="183"/>
      <c r="F481" s="39">
        <f t="shared" si="76"/>
        <v>6294000</v>
      </c>
      <c r="G481" s="73">
        <f>SUM(G482:G483)</f>
        <v>6294000</v>
      </c>
      <c r="H481" s="73"/>
    </row>
    <row r="482" spans="1:8" s="58" customFormat="1" ht="21.75" customHeight="1">
      <c r="A482" s="47"/>
      <c r="B482" s="56" t="s">
        <v>8</v>
      </c>
      <c r="C482" s="45">
        <v>900</v>
      </c>
      <c r="D482" s="45">
        <v>90004</v>
      </c>
      <c r="E482" s="184" t="s">
        <v>190</v>
      </c>
      <c r="F482" s="38">
        <f t="shared" si="76"/>
        <v>1294000</v>
      </c>
      <c r="G482" s="77">
        <v>1294000</v>
      </c>
      <c r="H482" s="77"/>
    </row>
    <row r="483" spans="1:8" s="58" customFormat="1" ht="21.75" customHeight="1">
      <c r="A483" s="41"/>
      <c r="B483" s="56" t="s">
        <v>10</v>
      </c>
      <c r="C483" s="42">
        <v>900</v>
      </c>
      <c r="D483" s="42">
        <v>90004</v>
      </c>
      <c r="E483" s="185" t="s">
        <v>190</v>
      </c>
      <c r="F483" s="44">
        <f t="shared" si="76"/>
        <v>5000000</v>
      </c>
      <c r="G483" s="75">
        <v>5000000</v>
      </c>
      <c r="H483" s="75"/>
    </row>
    <row r="484" spans="1:8" s="6" customFormat="1" ht="24" customHeight="1">
      <c r="A484" s="52" t="s">
        <v>365</v>
      </c>
      <c r="B484" s="110" t="s">
        <v>366</v>
      </c>
      <c r="C484" s="48">
        <v>925</v>
      </c>
      <c r="D484" s="48">
        <v>92504</v>
      </c>
      <c r="E484" s="186" t="s">
        <v>23</v>
      </c>
      <c r="F484" s="51">
        <f t="shared" ref="F484:F489" si="77">G484+H484</f>
        <v>7250000</v>
      </c>
      <c r="G484" s="70">
        <v>7250000</v>
      </c>
      <c r="H484" s="70"/>
    </row>
    <row r="485" spans="1:8" s="6" customFormat="1" ht="24" customHeight="1">
      <c r="A485" s="52" t="s">
        <v>906</v>
      </c>
      <c r="B485" s="110" t="s">
        <v>1307</v>
      </c>
      <c r="C485" s="48">
        <v>900</v>
      </c>
      <c r="D485" s="48">
        <v>90004</v>
      </c>
      <c r="E485" s="186" t="s">
        <v>190</v>
      </c>
      <c r="F485" s="51">
        <f t="shared" si="77"/>
        <v>500000</v>
      </c>
      <c r="G485" s="70">
        <v>500000</v>
      </c>
      <c r="H485" s="70"/>
    </row>
    <row r="486" spans="1:8" s="6" customFormat="1" ht="24" customHeight="1">
      <c r="A486" s="52" t="s">
        <v>864</v>
      </c>
      <c r="B486" s="110" t="s">
        <v>865</v>
      </c>
      <c r="C486" s="48">
        <v>900</v>
      </c>
      <c r="D486" s="48">
        <v>90004</v>
      </c>
      <c r="E486" s="186" t="s">
        <v>190</v>
      </c>
      <c r="F486" s="51">
        <f t="shared" si="77"/>
        <v>50000</v>
      </c>
      <c r="G486" s="70">
        <v>50000</v>
      </c>
      <c r="H486" s="70"/>
    </row>
    <row r="487" spans="1:8" s="6" customFormat="1" ht="24" customHeight="1">
      <c r="A487" s="34" t="s">
        <v>858</v>
      </c>
      <c r="B487" s="124" t="s">
        <v>859</v>
      </c>
      <c r="C487" s="36">
        <v>900</v>
      </c>
      <c r="D487" s="36">
        <v>90095</v>
      </c>
      <c r="E487" s="183" t="s">
        <v>190</v>
      </c>
      <c r="F487" s="51">
        <f t="shared" si="77"/>
        <v>100000</v>
      </c>
      <c r="G487" s="73">
        <v>100000</v>
      </c>
      <c r="H487" s="73"/>
    </row>
    <row r="488" spans="1:8" s="6" customFormat="1" ht="25.5" customHeight="1">
      <c r="A488" s="34" t="s">
        <v>367</v>
      </c>
      <c r="B488" s="35" t="s">
        <v>368</v>
      </c>
      <c r="C488" s="55"/>
      <c r="D488" s="55"/>
      <c r="E488" s="183"/>
      <c r="F488" s="39">
        <f t="shared" si="77"/>
        <v>36800</v>
      </c>
      <c r="G488" s="73">
        <f>SUM(G489:G489)</f>
        <v>36800</v>
      </c>
      <c r="H488" s="73"/>
    </row>
    <row r="489" spans="1:8" s="6" customFormat="1" ht="19.5" customHeight="1">
      <c r="A489" s="41"/>
      <c r="B489" s="65" t="s">
        <v>1327</v>
      </c>
      <c r="C489" s="42">
        <v>900</v>
      </c>
      <c r="D489" s="42">
        <v>90005</v>
      </c>
      <c r="E489" s="185" t="s">
        <v>99</v>
      </c>
      <c r="F489" s="44">
        <f t="shared" si="77"/>
        <v>36800</v>
      </c>
      <c r="G489" s="75">
        <v>36800</v>
      </c>
      <c r="H489" s="75"/>
    </row>
    <row r="490" spans="1:8" ht="24" customHeight="1">
      <c r="A490" s="52" t="s">
        <v>670</v>
      </c>
      <c r="B490" s="53" t="s">
        <v>671</v>
      </c>
      <c r="C490" s="104">
        <v>921</v>
      </c>
      <c r="D490" s="104">
        <v>92120</v>
      </c>
      <c r="E490" s="186" t="s">
        <v>190</v>
      </c>
      <c r="F490" s="122">
        <f t="shared" ref="F490:F494" si="78">G490</f>
        <v>220000</v>
      </c>
      <c r="G490" s="119">
        <v>220000</v>
      </c>
      <c r="H490" s="119"/>
    </row>
    <row r="491" spans="1:8" ht="24" customHeight="1">
      <c r="A491" s="52" t="s">
        <v>862</v>
      </c>
      <c r="B491" s="53" t="s">
        <v>863</v>
      </c>
      <c r="C491" s="104">
        <v>900</v>
      </c>
      <c r="D491" s="104">
        <v>90095</v>
      </c>
      <c r="E491" s="186" t="s">
        <v>190</v>
      </c>
      <c r="F491" s="122">
        <f t="shared" ref="F491" si="79">G491</f>
        <v>80000</v>
      </c>
      <c r="G491" s="119">
        <v>80000</v>
      </c>
      <c r="H491" s="119"/>
    </row>
    <row r="492" spans="1:8" ht="24" customHeight="1">
      <c r="A492" s="52" t="s">
        <v>901</v>
      </c>
      <c r="B492" s="53" t="s">
        <v>900</v>
      </c>
      <c r="C492" s="104">
        <v>900</v>
      </c>
      <c r="D492" s="104">
        <v>90004</v>
      </c>
      <c r="E492" s="186" t="s">
        <v>190</v>
      </c>
      <c r="F492" s="122">
        <f t="shared" ref="F492:F493" si="80">G492</f>
        <v>150000</v>
      </c>
      <c r="G492" s="119">
        <v>150000</v>
      </c>
      <c r="H492" s="119"/>
    </row>
    <row r="493" spans="1:8" ht="24" customHeight="1">
      <c r="A493" s="52" t="s">
        <v>968</v>
      </c>
      <c r="B493" s="53" t="s">
        <v>969</v>
      </c>
      <c r="C493" s="104">
        <v>900</v>
      </c>
      <c r="D493" s="104">
        <v>90095</v>
      </c>
      <c r="E493" s="186" t="s">
        <v>190</v>
      </c>
      <c r="F493" s="122">
        <f t="shared" si="80"/>
        <v>300000</v>
      </c>
      <c r="G493" s="119">
        <v>300000</v>
      </c>
      <c r="H493" s="119"/>
    </row>
    <row r="494" spans="1:8" ht="24" customHeight="1">
      <c r="A494" s="52" t="s">
        <v>797</v>
      </c>
      <c r="B494" s="53" t="s">
        <v>798</v>
      </c>
      <c r="C494" s="104">
        <v>900</v>
      </c>
      <c r="D494" s="104">
        <v>90095</v>
      </c>
      <c r="E494" s="186" t="s">
        <v>190</v>
      </c>
      <c r="F494" s="122">
        <f t="shared" si="78"/>
        <v>30000</v>
      </c>
      <c r="G494" s="119">
        <v>30000</v>
      </c>
      <c r="H494" s="119"/>
    </row>
    <row r="495" spans="1:8" ht="24" customHeight="1">
      <c r="A495" s="52" t="s">
        <v>1125</v>
      </c>
      <c r="B495" s="53" t="s">
        <v>1126</v>
      </c>
      <c r="C495" s="104">
        <v>900</v>
      </c>
      <c r="D495" s="104">
        <v>90095</v>
      </c>
      <c r="E495" s="186" t="s">
        <v>190</v>
      </c>
      <c r="F495" s="122">
        <f t="shared" ref="F495" si="81">G495</f>
        <v>100000</v>
      </c>
      <c r="G495" s="119">
        <v>100000</v>
      </c>
      <c r="H495" s="119"/>
    </row>
    <row r="496" spans="1:8" s="6" customFormat="1" ht="24" customHeight="1">
      <c r="A496" s="52" t="s">
        <v>369</v>
      </c>
      <c r="B496" s="53" t="s">
        <v>370</v>
      </c>
      <c r="C496" s="104">
        <v>900</v>
      </c>
      <c r="D496" s="104">
        <v>90095</v>
      </c>
      <c r="E496" s="186" t="s">
        <v>190</v>
      </c>
      <c r="F496" s="51">
        <f>G496</f>
        <v>2500000</v>
      </c>
      <c r="G496" s="70">
        <v>2500000</v>
      </c>
      <c r="H496" s="70"/>
    </row>
    <row r="497" spans="1:8" s="6" customFormat="1" ht="21.75" customHeight="1">
      <c r="A497" s="34" t="s">
        <v>566</v>
      </c>
      <c r="B497" s="124" t="s">
        <v>730</v>
      </c>
      <c r="C497" s="40"/>
      <c r="D497" s="40"/>
      <c r="E497" s="183"/>
      <c r="F497" s="39">
        <f t="shared" ref="F497:F560" si="82">G497+H497</f>
        <v>250000</v>
      </c>
      <c r="G497" s="73">
        <f>SUM(G498)</f>
        <v>250000</v>
      </c>
      <c r="H497" s="73"/>
    </row>
    <row r="498" spans="1:8" s="6" customFormat="1" ht="21.75" customHeight="1">
      <c r="A498" s="41"/>
      <c r="B498" s="65" t="s">
        <v>548</v>
      </c>
      <c r="C498" s="43">
        <v>921</v>
      </c>
      <c r="D498" s="43">
        <v>92120</v>
      </c>
      <c r="E498" s="185" t="s">
        <v>190</v>
      </c>
      <c r="F498" s="44">
        <f t="shared" si="82"/>
        <v>250000</v>
      </c>
      <c r="G498" s="75">
        <v>250000</v>
      </c>
      <c r="H498" s="75"/>
    </row>
    <row r="499" spans="1:8" s="6" customFormat="1" ht="21" customHeight="1">
      <c r="A499" s="34" t="s">
        <v>567</v>
      </c>
      <c r="B499" s="124" t="s">
        <v>568</v>
      </c>
      <c r="C499" s="40"/>
      <c r="D499" s="40"/>
      <c r="E499" s="183"/>
      <c r="F499" s="39">
        <f t="shared" si="82"/>
        <v>1500000</v>
      </c>
      <c r="G499" s="73">
        <f>SUM(G500)</f>
        <v>1500000</v>
      </c>
      <c r="H499" s="73"/>
    </row>
    <row r="500" spans="1:8" s="6" customFormat="1" ht="21" customHeight="1">
      <c r="A500" s="41"/>
      <c r="B500" s="65" t="s">
        <v>548</v>
      </c>
      <c r="C500" s="43">
        <v>900</v>
      </c>
      <c r="D500" s="43">
        <v>90004</v>
      </c>
      <c r="E500" s="185" t="s">
        <v>190</v>
      </c>
      <c r="F500" s="44">
        <f t="shared" si="82"/>
        <v>1500000</v>
      </c>
      <c r="G500" s="75">
        <v>1500000</v>
      </c>
      <c r="H500" s="75"/>
    </row>
    <row r="501" spans="1:8" s="6" customFormat="1" ht="21" customHeight="1">
      <c r="A501" s="34" t="s">
        <v>569</v>
      </c>
      <c r="B501" s="124" t="s">
        <v>570</v>
      </c>
      <c r="C501" s="40"/>
      <c r="D501" s="40"/>
      <c r="E501" s="183"/>
      <c r="F501" s="39">
        <f t="shared" si="82"/>
        <v>200000</v>
      </c>
      <c r="G501" s="73">
        <f>SUM(G502)</f>
        <v>200000</v>
      </c>
      <c r="H501" s="73"/>
    </row>
    <row r="502" spans="1:8" s="6" customFormat="1" ht="21" customHeight="1">
      <c r="A502" s="41"/>
      <c r="B502" s="65" t="s">
        <v>548</v>
      </c>
      <c r="C502" s="43">
        <v>900</v>
      </c>
      <c r="D502" s="43">
        <v>90004</v>
      </c>
      <c r="E502" s="185" t="s">
        <v>190</v>
      </c>
      <c r="F502" s="44">
        <f t="shared" si="82"/>
        <v>200000</v>
      </c>
      <c r="G502" s="75">
        <v>200000</v>
      </c>
      <c r="H502" s="75"/>
    </row>
    <row r="503" spans="1:8" s="6" customFormat="1" ht="21" customHeight="1">
      <c r="A503" s="34" t="s">
        <v>571</v>
      </c>
      <c r="B503" s="124" t="s">
        <v>672</v>
      </c>
      <c r="C503" s="40"/>
      <c r="D503" s="40"/>
      <c r="E503" s="183"/>
      <c r="F503" s="39">
        <f t="shared" si="82"/>
        <v>50000</v>
      </c>
      <c r="G503" s="73">
        <f>SUM(G504)</f>
        <v>50000</v>
      </c>
      <c r="H503" s="73"/>
    </row>
    <row r="504" spans="1:8" s="6" customFormat="1" ht="21" customHeight="1">
      <c r="A504" s="41"/>
      <c r="B504" s="65" t="s">
        <v>547</v>
      </c>
      <c r="C504" s="43">
        <v>900</v>
      </c>
      <c r="D504" s="43">
        <v>90004</v>
      </c>
      <c r="E504" s="185" t="s">
        <v>190</v>
      </c>
      <c r="F504" s="44">
        <f t="shared" si="82"/>
        <v>50000</v>
      </c>
      <c r="G504" s="75">
        <v>50000</v>
      </c>
      <c r="H504" s="75"/>
    </row>
    <row r="505" spans="1:8" s="6" customFormat="1" ht="21" customHeight="1">
      <c r="A505" s="34" t="s">
        <v>572</v>
      </c>
      <c r="B505" s="124" t="s">
        <v>729</v>
      </c>
      <c r="C505" s="40"/>
      <c r="D505" s="40"/>
      <c r="E505" s="183"/>
      <c r="F505" s="39">
        <f t="shared" si="82"/>
        <v>50000</v>
      </c>
      <c r="G505" s="73">
        <f>SUM(G506)</f>
        <v>50000</v>
      </c>
      <c r="H505" s="73"/>
    </row>
    <row r="506" spans="1:8" s="6" customFormat="1" ht="21" customHeight="1">
      <c r="A506" s="41"/>
      <c r="B506" s="65" t="s">
        <v>547</v>
      </c>
      <c r="C506" s="43">
        <v>900</v>
      </c>
      <c r="D506" s="43">
        <v>90004</v>
      </c>
      <c r="E506" s="185" t="s">
        <v>190</v>
      </c>
      <c r="F506" s="44">
        <f t="shared" si="82"/>
        <v>50000</v>
      </c>
      <c r="G506" s="75">
        <v>50000</v>
      </c>
      <c r="H506" s="75"/>
    </row>
    <row r="507" spans="1:8" s="6" customFormat="1" ht="21" customHeight="1">
      <c r="A507" s="34" t="s">
        <v>573</v>
      </c>
      <c r="B507" s="124" t="s">
        <v>574</v>
      </c>
      <c r="C507" s="40"/>
      <c r="D507" s="40"/>
      <c r="E507" s="183"/>
      <c r="F507" s="39">
        <f t="shared" si="82"/>
        <v>200000</v>
      </c>
      <c r="G507" s="73">
        <f>SUM(G508)</f>
        <v>200000</v>
      </c>
      <c r="H507" s="73"/>
    </row>
    <row r="508" spans="1:8" s="6" customFormat="1" ht="21" customHeight="1">
      <c r="A508" s="41"/>
      <c r="B508" s="65" t="s">
        <v>547</v>
      </c>
      <c r="C508" s="43">
        <v>900</v>
      </c>
      <c r="D508" s="43">
        <v>90095</v>
      </c>
      <c r="E508" s="185" t="s">
        <v>190</v>
      </c>
      <c r="F508" s="44">
        <f t="shared" si="82"/>
        <v>200000</v>
      </c>
      <c r="G508" s="75">
        <v>200000</v>
      </c>
      <c r="H508" s="75"/>
    </row>
    <row r="509" spans="1:8" s="6" customFormat="1" ht="21" customHeight="1">
      <c r="A509" s="34" t="s">
        <v>575</v>
      </c>
      <c r="B509" s="124" t="s">
        <v>576</v>
      </c>
      <c r="C509" s="40"/>
      <c r="D509" s="40"/>
      <c r="E509" s="183"/>
      <c r="F509" s="39">
        <f t="shared" si="82"/>
        <v>60000</v>
      </c>
      <c r="G509" s="73">
        <f>SUM(G510)</f>
        <v>60000</v>
      </c>
      <c r="H509" s="73"/>
    </row>
    <row r="510" spans="1:8" s="6" customFormat="1" ht="21" customHeight="1">
      <c r="A510" s="41"/>
      <c r="B510" s="65" t="s">
        <v>547</v>
      </c>
      <c r="C510" s="43">
        <v>900</v>
      </c>
      <c r="D510" s="43">
        <v>90004</v>
      </c>
      <c r="E510" s="185" t="s">
        <v>190</v>
      </c>
      <c r="F510" s="44">
        <f t="shared" si="82"/>
        <v>60000</v>
      </c>
      <c r="G510" s="75">
        <v>60000</v>
      </c>
      <c r="H510" s="75"/>
    </row>
    <row r="511" spans="1:8" s="6" customFormat="1" ht="21" customHeight="1">
      <c r="A511" s="34" t="s">
        <v>577</v>
      </c>
      <c r="B511" s="124" t="s">
        <v>578</v>
      </c>
      <c r="C511" s="40"/>
      <c r="D511" s="40"/>
      <c r="E511" s="183"/>
      <c r="F511" s="39">
        <f t="shared" si="82"/>
        <v>40000</v>
      </c>
      <c r="G511" s="73">
        <f>SUM(G512)</f>
        <v>40000</v>
      </c>
      <c r="H511" s="73"/>
    </row>
    <row r="512" spans="1:8" s="6" customFormat="1" ht="21" customHeight="1">
      <c r="A512" s="41"/>
      <c r="B512" s="65" t="s">
        <v>547</v>
      </c>
      <c r="C512" s="43">
        <v>900</v>
      </c>
      <c r="D512" s="43">
        <v>90095</v>
      </c>
      <c r="E512" s="185" t="s">
        <v>190</v>
      </c>
      <c r="F512" s="44">
        <f t="shared" si="82"/>
        <v>40000</v>
      </c>
      <c r="G512" s="75">
        <v>40000</v>
      </c>
      <c r="H512" s="75"/>
    </row>
    <row r="513" spans="1:8" s="6" customFormat="1" ht="21" customHeight="1">
      <c r="A513" s="34" t="s">
        <v>579</v>
      </c>
      <c r="B513" s="124" t="s">
        <v>580</v>
      </c>
      <c r="C513" s="40"/>
      <c r="D513" s="40"/>
      <c r="E513" s="183"/>
      <c r="F513" s="39">
        <f t="shared" si="82"/>
        <v>400000</v>
      </c>
      <c r="G513" s="73">
        <f>SUM(G514)</f>
        <v>400000</v>
      </c>
      <c r="H513" s="73"/>
    </row>
    <row r="514" spans="1:8" s="6" customFormat="1" ht="21" customHeight="1">
      <c r="A514" s="41"/>
      <c r="B514" s="65" t="s">
        <v>547</v>
      </c>
      <c r="C514" s="43">
        <v>900</v>
      </c>
      <c r="D514" s="43">
        <v>90004</v>
      </c>
      <c r="E514" s="185" t="s">
        <v>190</v>
      </c>
      <c r="F514" s="44">
        <f t="shared" si="82"/>
        <v>400000</v>
      </c>
      <c r="G514" s="75">
        <v>400000</v>
      </c>
      <c r="H514" s="75"/>
    </row>
    <row r="515" spans="1:8" s="6" customFormat="1" ht="21" customHeight="1">
      <c r="A515" s="34" t="s">
        <v>581</v>
      </c>
      <c r="B515" s="124" t="s">
        <v>582</v>
      </c>
      <c r="C515" s="40"/>
      <c r="D515" s="40"/>
      <c r="E515" s="183"/>
      <c r="F515" s="39">
        <f t="shared" si="82"/>
        <v>153000</v>
      </c>
      <c r="G515" s="73">
        <f>SUM(G516)</f>
        <v>153000</v>
      </c>
      <c r="H515" s="73"/>
    </row>
    <row r="516" spans="1:8" s="6" customFormat="1" ht="21" customHeight="1">
      <c r="A516" s="41"/>
      <c r="B516" s="65" t="s">
        <v>547</v>
      </c>
      <c r="C516" s="43">
        <v>900</v>
      </c>
      <c r="D516" s="43">
        <v>90095</v>
      </c>
      <c r="E516" s="185" t="s">
        <v>190</v>
      </c>
      <c r="F516" s="44">
        <f t="shared" si="82"/>
        <v>153000</v>
      </c>
      <c r="G516" s="75">
        <v>153000</v>
      </c>
      <c r="H516" s="75"/>
    </row>
    <row r="517" spans="1:8" s="6" customFormat="1" ht="21" customHeight="1">
      <c r="A517" s="34" t="s">
        <v>583</v>
      </c>
      <c r="B517" s="124" t="s">
        <v>673</v>
      </c>
      <c r="C517" s="40"/>
      <c r="D517" s="40"/>
      <c r="E517" s="183"/>
      <c r="F517" s="39">
        <f t="shared" si="82"/>
        <v>20000</v>
      </c>
      <c r="G517" s="73">
        <f>SUM(G518)</f>
        <v>20000</v>
      </c>
      <c r="H517" s="73"/>
    </row>
    <row r="518" spans="1:8" s="6" customFormat="1" ht="21" customHeight="1">
      <c r="A518" s="41"/>
      <c r="B518" s="65" t="s">
        <v>547</v>
      </c>
      <c r="C518" s="43">
        <v>900</v>
      </c>
      <c r="D518" s="43">
        <v>90095</v>
      </c>
      <c r="E518" s="185" t="s">
        <v>190</v>
      </c>
      <c r="F518" s="44">
        <f t="shared" si="82"/>
        <v>20000</v>
      </c>
      <c r="G518" s="75">
        <v>20000</v>
      </c>
      <c r="H518" s="75"/>
    </row>
    <row r="519" spans="1:8" s="6" customFormat="1" ht="21" customHeight="1">
      <c r="A519" s="34" t="s">
        <v>584</v>
      </c>
      <c r="B519" s="124" t="s">
        <v>585</v>
      </c>
      <c r="C519" s="40"/>
      <c r="D519" s="40"/>
      <c r="E519" s="183"/>
      <c r="F519" s="39">
        <f t="shared" si="82"/>
        <v>30000</v>
      </c>
      <c r="G519" s="73">
        <f>SUM(G520)</f>
        <v>30000</v>
      </c>
      <c r="H519" s="73"/>
    </row>
    <row r="520" spans="1:8" s="6" customFormat="1" ht="21" customHeight="1">
      <c r="A520" s="41"/>
      <c r="B520" s="65" t="s">
        <v>547</v>
      </c>
      <c r="C520" s="43">
        <v>900</v>
      </c>
      <c r="D520" s="43">
        <v>90004</v>
      </c>
      <c r="E520" s="185" t="s">
        <v>190</v>
      </c>
      <c r="F520" s="44">
        <f t="shared" si="82"/>
        <v>30000</v>
      </c>
      <c r="G520" s="75">
        <v>30000</v>
      </c>
      <c r="H520" s="75"/>
    </row>
    <row r="521" spans="1:8" s="6" customFormat="1" ht="21" customHeight="1">
      <c r="A521" s="34" t="s">
        <v>586</v>
      </c>
      <c r="B521" s="124" t="s">
        <v>728</v>
      </c>
      <c r="C521" s="40"/>
      <c r="D521" s="40"/>
      <c r="E521" s="183"/>
      <c r="F521" s="39">
        <f t="shared" si="82"/>
        <v>72800</v>
      </c>
      <c r="G521" s="73">
        <f>SUM(G522)</f>
        <v>72800</v>
      </c>
      <c r="H521" s="73"/>
    </row>
    <row r="522" spans="1:8" s="6" customFormat="1" ht="21" customHeight="1">
      <c r="A522" s="41"/>
      <c r="B522" s="65" t="s">
        <v>547</v>
      </c>
      <c r="C522" s="43">
        <v>900</v>
      </c>
      <c r="D522" s="43">
        <v>90095</v>
      </c>
      <c r="E522" s="185" t="s">
        <v>190</v>
      </c>
      <c r="F522" s="44">
        <f t="shared" si="82"/>
        <v>72800</v>
      </c>
      <c r="G522" s="75">
        <v>72800</v>
      </c>
      <c r="H522" s="75"/>
    </row>
    <row r="523" spans="1:8" s="6" customFormat="1" ht="21" customHeight="1">
      <c r="A523" s="34" t="s">
        <v>587</v>
      </c>
      <c r="B523" s="124" t="s">
        <v>674</v>
      </c>
      <c r="C523" s="40"/>
      <c r="D523" s="40"/>
      <c r="E523" s="183"/>
      <c r="F523" s="39">
        <f t="shared" si="82"/>
        <v>100000</v>
      </c>
      <c r="G523" s="73">
        <f>SUM(G524)</f>
        <v>100000</v>
      </c>
      <c r="H523" s="73"/>
    </row>
    <row r="524" spans="1:8" s="6" customFormat="1" ht="21" customHeight="1">
      <c r="A524" s="41"/>
      <c r="B524" s="65" t="s">
        <v>547</v>
      </c>
      <c r="C524" s="43">
        <v>900</v>
      </c>
      <c r="D524" s="43">
        <v>90095</v>
      </c>
      <c r="E524" s="185" t="s">
        <v>190</v>
      </c>
      <c r="F524" s="44">
        <f t="shared" si="82"/>
        <v>100000</v>
      </c>
      <c r="G524" s="75">
        <v>100000</v>
      </c>
      <c r="H524" s="75"/>
    </row>
    <row r="525" spans="1:8" s="6" customFormat="1" ht="21" customHeight="1">
      <c r="A525" s="34" t="s">
        <v>588</v>
      </c>
      <c r="B525" s="124" t="s">
        <v>589</v>
      </c>
      <c r="C525" s="40"/>
      <c r="D525" s="40"/>
      <c r="E525" s="183"/>
      <c r="F525" s="39">
        <f t="shared" si="82"/>
        <v>400000</v>
      </c>
      <c r="G525" s="73">
        <f>SUM(G526)</f>
        <v>400000</v>
      </c>
      <c r="H525" s="73"/>
    </row>
    <row r="526" spans="1:8" s="6" customFormat="1" ht="21" customHeight="1">
      <c r="A526" s="41"/>
      <c r="B526" s="65" t="s">
        <v>547</v>
      </c>
      <c r="C526" s="43">
        <v>900</v>
      </c>
      <c r="D526" s="43">
        <v>90004</v>
      </c>
      <c r="E526" s="185" t="s">
        <v>190</v>
      </c>
      <c r="F526" s="44">
        <f t="shared" si="82"/>
        <v>400000</v>
      </c>
      <c r="G526" s="75">
        <v>400000</v>
      </c>
      <c r="H526" s="75"/>
    </row>
    <row r="527" spans="1:8" s="6" customFormat="1" ht="21" customHeight="1">
      <c r="A527" s="34" t="s">
        <v>590</v>
      </c>
      <c r="B527" s="124" t="s">
        <v>675</v>
      </c>
      <c r="C527" s="40"/>
      <c r="D527" s="40"/>
      <c r="E527" s="183"/>
      <c r="F527" s="39">
        <f t="shared" si="82"/>
        <v>60000</v>
      </c>
      <c r="G527" s="73">
        <f>SUM(G528)</f>
        <v>60000</v>
      </c>
      <c r="H527" s="73"/>
    </row>
    <row r="528" spans="1:8" s="6" customFormat="1" ht="21" customHeight="1">
      <c r="A528" s="41"/>
      <c r="B528" s="65" t="s">
        <v>547</v>
      </c>
      <c r="C528" s="43">
        <v>900</v>
      </c>
      <c r="D528" s="43">
        <v>90095</v>
      </c>
      <c r="E528" s="185" t="s">
        <v>190</v>
      </c>
      <c r="F528" s="44">
        <f t="shared" si="82"/>
        <v>60000</v>
      </c>
      <c r="G528" s="75">
        <v>60000</v>
      </c>
      <c r="H528" s="75"/>
    </row>
    <row r="529" spans="1:8" s="6" customFormat="1" ht="21" customHeight="1">
      <c r="A529" s="34" t="s">
        <v>591</v>
      </c>
      <c r="B529" s="124" t="s">
        <v>676</v>
      </c>
      <c r="C529" s="40"/>
      <c r="D529" s="40"/>
      <c r="E529" s="183"/>
      <c r="F529" s="39">
        <f t="shared" si="82"/>
        <v>40000</v>
      </c>
      <c r="G529" s="73">
        <f>SUM(G530)</f>
        <v>40000</v>
      </c>
      <c r="H529" s="73"/>
    </row>
    <row r="530" spans="1:8" s="6" customFormat="1" ht="21" customHeight="1">
      <c r="A530" s="41"/>
      <c r="B530" s="65" t="s">
        <v>547</v>
      </c>
      <c r="C530" s="43">
        <v>900</v>
      </c>
      <c r="D530" s="43">
        <v>90004</v>
      </c>
      <c r="E530" s="185" t="s">
        <v>190</v>
      </c>
      <c r="F530" s="44">
        <f t="shared" si="82"/>
        <v>40000</v>
      </c>
      <c r="G530" s="75">
        <v>40000</v>
      </c>
      <c r="H530" s="75"/>
    </row>
    <row r="531" spans="1:8" s="6" customFormat="1" ht="21" customHeight="1">
      <c r="A531" s="34" t="s">
        <v>592</v>
      </c>
      <c r="B531" s="124" t="s">
        <v>677</v>
      </c>
      <c r="C531" s="40"/>
      <c r="D531" s="40"/>
      <c r="E531" s="183"/>
      <c r="F531" s="39">
        <f t="shared" si="82"/>
        <v>30000</v>
      </c>
      <c r="G531" s="73">
        <f>SUM(G532)</f>
        <v>30000</v>
      </c>
      <c r="H531" s="73"/>
    </row>
    <row r="532" spans="1:8" s="6" customFormat="1" ht="21" customHeight="1">
      <c r="A532" s="41"/>
      <c r="B532" s="65" t="s">
        <v>547</v>
      </c>
      <c r="C532" s="43">
        <v>900</v>
      </c>
      <c r="D532" s="43">
        <v>90095</v>
      </c>
      <c r="E532" s="185" t="s">
        <v>190</v>
      </c>
      <c r="F532" s="44">
        <f t="shared" si="82"/>
        <v>30000</v>
      </c>
      <c r="G532" s="75">
        <v>30000</v>
      </c>
      <c r="H532" s="75"/>
    </row>
    <row r="533" spans="1:8" s="6" customFormat="1" ht="21" customHeight="1">
      <c r="A533" s="34" t="s">
        <v>593</v>
      </c>
      <c r="B533" s="124" t="s">
        <v>594</v>
      </c>
      <c r="C533" s="40"/>
      <c r="D533" s="40"/>
      <c r="E533" s="183"/>
      <c r="F533" s="39">
        <f t="shared" si="82"/>
        <v>579265</v>
      </c>
      <c r="G533" s="73">
        <f>SUM(G534)</f>
        <v>579265</v>
      </c>
      <c r="H533" s="73"/>
    </row>
    <row r="534" spans="1:8" s="6" customFormat="1" ht="21" customHeight="1">
      <c r="A534" s="41"/>
      <c r="B534" s="65" t="s">
        <v>547</v>
      </c>
      <c r="C534" s="43">
        <v>900</v>
      </c>
      <c r="D534" s="43">
        <v>90004</v>
      </c>
      <c r="E534" s="185" t="s">
        <v>190</v>
      </c>
      <c r="F534" s="44">
        <f t="shared" si="82"/>
        <v>579265</v>
      </c>
      <c r="G534" s="75">
        <v>579265</v>
      </c>
      <c r="H534" s="75"/>
    </row>
    <row r="535" spans="1:8" s="6" customFormat="1" ht="21" customHeight="1">
      <c r="A535" s="34" t="s">
        <v>595</v>
      </c>
      <c r="B535" s="124" t="s">
        <v>596</v>
      </c>
      <c r="C535" s="40"/>
      <c r="D535" s="40"/>
      <c r="E535" s="183"/>
      <c r="F535" s="39">
        <f t="shared" si="82"/>
        <v>100000</v>
      </c>
      <c r="G535" s="73">
        <f>SUM(G536)</f>
        <v>100000</v>
      </c>
      <c r="H535" s="73"/>
    </row>
    <row r="536" spans="1:8" s="6" customFormat="1" ht="21" customHeight="1">
      <c r="A536" s="41"/>
      <c r="B536" s="65" t="s">
        <v>547</v>
      </c>
      <c r="C536" s="43">
        <v>900</v>
      </c>
      <c r="D536" s="43">
        <v>90004</v>
      </c>
      <c r="E536" s="185" t="s">
        <v>190</v>
      </c>
      <c r="F536" s="44">
        <f t="shared" si="82"/>
        <v>100000</v>
      </c>
      <c r="G536" s="75">
        <v>100000</v>
      </c>
      <c r="H536" s="75"/>
    </row>
    <row r="537" spans="1:8" s="6" customFormat="1" ht="21" customHeight="1">
      <c r="A537" s="34" t="s">
        <v>597</v>
      </c>
      <c r="B537" s="124" t="s">
        <v>678</v>
      </c>
      <c r="C537" s="40"/>
      <c r="D537" s="40"/>
      <c r="E537" s="183"/>
      <c r="F537" s="39">
        <f t="shared" si="82"/>
        <v>149990</v>
      </c>
      <c r="G537" s="73">
        <f>SUM(G538)</f>
        <v>149990</v>
      </c>
      <c r="H537" s="73"/>
    </row>
    <row r="538" spans="1:8" s="6" customFormat="1" ht="21" customHeight="1">
      <c r="A538" s="41"/>
      <c r="B538" s="65" t="s">
        <v>547</v>
      </c>
      <c r="C538" s="43">
        <v>900</v>
      </c>
      <c r="D538" s="43">
        <v>90095</v>
      </c>
      <c r="E538" s="185" t="s">
        <v>190</v>
      </c>
      <c r="F538" s="44">
        <f t="shared" si="82"/>
        <v>149990</v>
      </c>
      <c r="G538" s="75">
        <v>149990</v>
      </c>
      <c r="H538" s="75"/>
    </row>
    <row r="539" spans="1:8" s="6" customFormat="1" ht="21" customHeight="1">
      <c r="A539" s="34" t="s">
        <v>598</v>
      </c>
      <c r="B539" s="124" t="s">
        <v>599</v>
      </c>
      <c r="C539" s="40"/>
      <c r="D539" s="40"/>
      <c r="E539" s="183"/>
      <c r="F539" s="39">
        <f t="shared" si="82"/>
        <v>444000</v>
      </c>
      <c r="G539" s="73">
        <f>SUM(G540)</f>
        <v>444000</v>
      </c>
      <c r="H539" s="73"/>
    </row>
    <row r="540" spans="1:8" s="6" customFormat="1" ht="21" customHeight="1">
      <c r="A540" s="41"/>
      <c r="B540" s="65" t="s">
        <v>547</v>
      </c>
      <c r="C540" s="43">
        <v>900</v>
      </c>
      <c r="D540" s="43">
        <v>90004</v>
      </c>
      <c r="E540" s="185" t="s">
        <v>190</v>
      </c>
      <c r="F540" s="44">
        <f t="shared" si="82"/>
        <v>444000</v>
      </c>
      <c r="G540" s="75">
        <v>444000</v>
      </c>
      <c r="H540" s="75"/>
    </row>
    <row r="541" spans="1:8" s="6" customFormat="1" ht="21" customHeight="1">
      <c r="A541" s="34" t="s">
        <v>600</v>
      </c>
      <c r="B541" s="124" t="s">
        <v>601</v>
      </c>
      <c r="C541" s="40"/>
      <c r="D541" s="40"/>
      <c r="E541" s="183"/>
      <c r="F541" s="39">
        <f t="shared" si="82"/>
        <v>30000</v>
      </c>
      <c r="G541" s="73">
        <f>SUM(G542)</f>
        <v>30000</v>
      </c>
      <c r="H541" s="73"/>
    </row>
    <row r="542" spans="1:8" s="6" customFormat="1" ht="21" customHeight="1">
      <c r="A542" s="41"/>
      <c r="B542" s="65" t="s">
        <v>547</v>
      </c>
      <c r="C542" s="43">
        <v>900</v>
      </c>
      <c r="D542" s="43">
        <v>90004</v>
      </c>
      <c r="E542" s="185" t="s">
        <v>190</v>
      </c>
      <c r="F542" s="44">
        <f t="shared" si="82"/>
        <v>30000</v>
      </c>
      <c r="G542" s="75">
        <v>30000</v>
      </c>
      <c r="H542" s="75"/>
    </row>
    <row r="543" spans="1:8" s="6" customFormat="1" ht="21" customHeight="1">
      <c r="A543" s="34" t="s">
        <v>602</v>
      </c>
      <c r="B543" s="124" t="s">
        <v>603</v>
      </c>
      <c r="C543" s="40"/>
      <c r="D543" s="40"/>
      <c r="E543" s="183"/>
      <c r="F543" s="39">
        <f t="shared" si="82"/>
        <v>600000</v>
      </c>
      <c r="G543" s="73">
        <f>SUM(G544)</f>
        <v>600000</v>
      </c>
      <c r="H543" s="73"/>
    </row>
    <row r="544" spans="1:8" s="6" customFormat="1" ht="21" customHeight="1">
      <c r="A544" s="41"/>
      <c r="B544" s="65" t="s">
        <v>547</v>
      </c>
      <c r="C544" s="43">
        <v>900</v>
      </c>
      <c r="D544" s="43">
        <v>90004</v>
      </c>
      <c r="E544" s="185" t="s">
        <v>190</v>
      </c>
      <c r="F544" s="44">
        <f t="shared" si="82"/>
        <v>600000</v>
      </c>
      <c r="G544" s="75">
        <v>600000</v>
      </c>
      <c r="H544" s="75"/>
    </row>
    <row r="545" spans="1:8" s="6" customFormat="1" ht="21" customHeight="1">
      <c r="A545" s="34" t="s">
        <v>604</v>
      </c>
      <c r="B545" s="124" t="s">
        <v>605</v>
      </c>
      <c r="C545" s="40"/>
      <c r="D545" s="40"/>
      <c r="E545" s="183"/>
      <c r="F545" s="39">
        <f t="shared" si="82"/>
        <v>35000</v>
      </c>
      <c r="G545" s="73">
        <f>SUM(G546)</f>
        <v>35000</v>
      </c>
      <c r="H545" s="73"/>
    </row>
    <row r="546" spans="1:8" s="6" customFormat="1" ht="21" customHeight="1">
      <c r="A546" s="41"/>
      <c r="B546" s="65" t="s">
        <v>547</v>
      </c>
      <c r="C546" s="43">
        <v>900</v>
      </c>
      <c r="D546" s="43">
        <v>90095</v>
      </c>
      <c r="E546" s="185" t="s">
        <v>190</v>
      </c>
      <c r="F546" s="44">
        <f t="shared" si="82"/>
        <v>35000</v>
      </c>
      <c r="G546" s="75">
        <v>35000</v>
      </c>
      <c r="H546" s="75"/>
    </row>
    <row r="547" spans="1:8" s="6" customFormat="1" ht="21" customHeight="1">
      <c r="A547" s="47" t="s">
        <v>606</v>
      </c>
      <c r="B547" s="188" t="s">
        <v>607</v>
      </c>
      <c r="C547" s="46"/>
      <c r="D547" s="46"/>
      <c r="E547" s="184"/>
      <c r="F547" s="39">
        <f t="shared" si="82"/>
        <v>500000</v>
      </c>
      <c r="G547" s="73">
        <f>SUM(G548)</f>
        <v>500000</v>
      </c>
      <c r="H547" s="77"/>
    </row>
    <row r="548" spans="1:8" s="6" customFormat="1" ht="21" customHeight="1">
      <c r="A548" s="41"/>
      <c r="B548" s="65" t="s">
        <v>547</v>
      </c>
      <c r="C548" s="43">
        <v>900</v>
      </c>
      <c r="D548" s="43">
        <v>90095</v>
      </c>
      <c r="E548" s="185" t="s">
        <v>190</v>
      </c>
      <c r="F548" s="44">
        <f t="shared" si="82"/>
        <v>500000</v>
      </c>
      <c r="G548" s="75">
        <v>500000</v>
      </c>
      <c r="H548" s="75"/>
    </row>
    <row r="549" spans="1:8" s="6" customFormat="1" ht="21" customHeight="1">
      <c r="A549" s="34" t="s">
        <v>608</v>
      </c>
      <c r="B549" s="124" t="s">
        <v>679</v>
      </c>
      <c r="C549" s="40"/>
      <c r="D549" s="40"/>
      <c r="E549" s="183"/>
      <c r="F549" s="39">
        <f t="shared" si="82"/>
        <v>100000</v>
      </c>
      <c r="G549" s="73">
        <f>SUM(G550)</f>
        <v>100000</v>
      </c>
      <c r="H549" s="73"/>
    </row>
    <row r="550" spans="1:8" s="6" customFormat="1" ht="21" customHeight="1">
      <c r="A550" s="41"/>
      <c r="B550" s="65" t="s">
        <v>547</v>
      </c>
      <c r="C550" s="43">
        <v>900</v>
      </c>
      <c r="D550" s="43">
        <v>90095</v>
      </c>
      <c r="E550" s="185" t="s">
        <v>190</v>
      </c>
      <c r="F550" s="44">
        <f t="shared" si="82"/>
        <v>100000</v>
      </c>
      <c r="G550" s="75">
        <v>100000</v>
      </c>
      <c r="H550" s="75"/>
    </row>
    <row r="551" spans="1:8" s="6" customFormat="1" ht="21" customHeight="1">
      <c r="A551" s="34" t="s">
        <v>609</v>
      </c>
      <c r="B551" s="124" t="s">
        <v>610</v>
      </c>
      <c r="C551" s="40"/>
      <c r="D551" s="40"/>
      <c r="E551" s="183"/>
      <c r="F551" s="39">
        <f t="shared" si="82"/>
        <v>300000</v>
      </c>
      <c r="G551" s="73">
        <f>SUM(G552)</f>
        <v>300000</v>
      </c>
      <c r="H551" s="73"/>
    </row>
    <row r="552" spans="1:8" s="6" customFormat="1" ht="21" customHeight="1">
      <c r="A552" s="41"/>
      <c r="B552" s="65" t="s">
        <v>547</v>
      </c>
      <c r="C552" s="43">
        <v>900</v>
      </c>
      <c r="D552" s="43">
        <v>90004</v>
      </c>
      <c r="E552" s="185" t="s">
        <v>190</v>
      </c>
      <c r="F552" s="44">
        <f t="shared" si="82"/>
        <v>300000</v>
      </c>
      <c r="G552" s="75">
        <v>300000</v>
      </c>
      <c r="H552" s="75"/>
    </row>
    <row r="553" spans="1:8" s="6" customFormat="1" ht="21" customHeight="1">
      <c r="A553" s="34" t="s">
        <v>611</v>
      </c>
      <c r="B553" s="124" t="s">
        <v>612</v>
      </c>
      <c r="C553" s="40"/>
      <c r="D553" s="40"/>
      <c r="E553" s="183"/>
      <c r="F553" s="39">
        <f t="shared" si="82"/>
        <v>40000</v>
      </c>
      <c r="G553" s="73">
        <f>SUM(G554)</f>
        <v>40000</v>
      </c>
      <c r="H553" s="73"/>
    </row>
    <row r="554" spans="1:8" s="6" customFormat="1" ht="21" customHeight="1">
      <c r="A554" s="41"/>
      <c r="B554" s="65" t="s">
        <v>547</v>
      </c>
      <c r="C554" s="43">
        <v>900</v>
      </c>
      <c r="D554" s="43">
        <v>90004</v>
      </c>
      <c r="E554" s="185" t="s">
        <v>190</v>
      </c>
      <c r="F554" s="44">
        <f t="shared" si="82"/>
        <v>40000</v>
      </c>
      <c r="G554" s="75">
        <v>40000</v>
      </c>
      <c r="H554" s="75"/>
    </row>
    <row r="555" spans="1:8" s="6" customFormat="1" ht="21" customHeight="1">
      <c r="A555" s="34" t="s">
        <v>613</v>
      </c>
      <c r="B555" s="124" t="s">
        <v>680</v>
      </c>
      <c r="C555" s="40"/>
      <c r="D555" s="40"/>
      <c r="E555" s="183"/>
      <c r="F555" s="39">
        <f t="shared" si="82"/>
        <v>60000</v>
      </c>
      <c r="G555" s="73">
        <f>SUM(G556)</f>
        <v>60000</v>
      </c>
      <c r="H555" s="73"/>
    </row>
    <row r="556" spans="1:8" s="6" customFormat="1" ht="21" customHeight="1">
      <c r="A556" s="41"/>
      <c r="B556" s="65" t="s">
        <v>547</v>
      </c>
      <c r="C556" s="43">
        <v>900</v>
      </c>
      <c r="D556" s="43">
        <v>90095</v>
      </c>
      <c r="E556" s="185" t="s">
        <v>190</v>
      </c>
      <c r="F556" s="44">
        <f t="shared" si="82"/>
        <v>60000</v>
      </c>
      <c r="G556" s="75">
        <v>60000</v>
      </c>
      <c r="H556" s="75"/>
    </row>
    <row r="557" spans="1:8" s="6" customFormat="1" ht="21" customHeight="1">
      <c r="A557" s="34" t="s">
        <v>614</v>
      </c>
      <c r="B557" s="124" t="s">
        <v>615</v>
      </c>
      <c r="C557" s="40"/>
      <c r="D557" s="40"/>
      <c r="E557" s="183"/>
      <c r="F557" s="39">
        <f t="shared" si="82"/>
        <v>35000</v>
      </c>
      <c r="G557" s="73">
        <f>SUM(G558)</f>
        <v>35000</v>
      </c>
      <c r="H557" s="73"/>
    </row>
    <row r="558" spans="1:8" s="6" customFormat="1" ht="21" customHeight="1">
      <c r="A558" s="41"/>
      <c r="B558" s="65" t="s">
        <v>547</v>
      </c>
      <c r="C558" s="43">
        <v>900</v>
      </c>
      <c r="D558" s="43">
        <v>90095</v>
      </c>
      <c r="E558" s="185" t="s">
        <v>190</v>
      </c>
      <c r="F558" s="44">
        <f t="shared" si="82"/>
        <v>35000</v>
      </c>
      <c r="G558" s="75">
        <v>35000</v>
      </c>
      <c r="H558" s="75"/>
    </row>
    <row r="559" spans="1:8" s="6" customFormat="1" ht="21" customHeight="1">
      <c r="A559" s="34" t="s">
        <v>616</v>
      </c>
      <c r="B559" s="124" t="s">
        <v>617</v>
      </c>
      <c r="C559" s="40"/>
      <c r="D559" s="40"/>
      <c r="E559" s="183"/>
      <c r="F559" s="39">
        <f t="shared" si="82"/>
        <v>30000</v>
      </c>
      <c r="G559" s="73">
        <f>SUM(G560)</f>
        <v>30000</v>
      </c>
      <c r="H559" s="73"/>
    </row>
    <row r="560" spans="1:8" s="6" customFormat="1" ht="21" customHeight="1">
      <c r="A560" s="41"/>
      <c r="B560" s="65" t="s">
        <v>547</v>
      </c>
      <c r="C560" s="43">
        <v>900</v>
      </c>
      <c r="D560" s="43">
        <v>90004</v>
      </c>
      <c r="E560" s="185" t="s">
        <v>190</v>
      </c>
      <c r="F560" s="44">
        <f t="shared" si="82"/>
        <v>30000</v>
      </c>
      <c r="G560" s="75">
        <v>30000</v>
      </c>
      <c r="H560" s="75"/>
    </row>
    <row r="561" spans="1:8" s="6" customFormat="1" ht="21" customHeight="1">
      <c r="A561" s="34" t="s">
        <v>618</v>
      </c>
      <c r="B561" s="124" t="s">
        <v>619</v>
      </c>
      <c r="C561" s="40"/>
      <c r="D561" s="40"/>
      <c r="E561" s="183"/>
      <c r="F561" s="39">
        <f t="shared" ref="F561:F581" si="83">G561+H561</f>
        <v>30000</v>
      </c>
      <c r="G561" s="73">
        <f>SUM(G562)</f>
        <v>30000</v>
      </c>
      <c r="H561" s="73"/>
    </row>
    <row r="562" spans="1:8" s="6" customFormat="1" ht="21" customHeight="1">
      <c r="A562" s="41"/>
      <c r="B562" s="65" t="s">
        <v>547</v>
      </c>
      <c r="C562" s="43">
        <v>900</v>
      </c>
      <c r="D562" s="43">
        <v>90095</v>
      </c>
      <c r="E562" s="185" t="s">
        <v>190</v>
      </c>
      <c r="F562" s="44">
        <f t="shared" si="83"/>
        <v>30000</v>
      </c>
      <c r="G562" s="75">
        <v>30000</v>
      </c>
      <c r="H562" s="75"/>
    </row>
    <row r="563" spans="1:8" s="6" customFormat="1" ht="21" customHeight="1">
      <c r="A563" s="34" t="s">
        <v>620</v>
      </c>
      <c r="B563" s="124" t="s">
        <v>681</v>
      </c>
      <c r="C563" s="40"/>
      <c r="D563" s="40"/>
      <c r="E563" s="183"/>
      <c r="F563" s="39">
        <f t="shared" si="83"/>
        <v>60000</v>
      </c>
      <c r="G563" s="73">
        <f>SUM(G564)</f>
        <v>60000</v>
      </c>
      <c r="H563" s="73"/>
    </row>
    <row r="564" spans="1:8" s="6" customFormat="1" ht="21" customHeight="1">
      <c r="A564" s="41"/>
      <c r="B564" s="65" t="s">
        <v>547</v>
      </c>
      <c r="C564" s="43">
        <v>900</v>
      </c>
      <c r="D564" s="43">
        <v>90095</v>
      </c>
      <c r="E564" s="185" t="s">
        <v>190</v>
      </c>
      <c r="F564" s="44">
        <f t="shared" si="83"/>
        <v>60000</v>
      </c>
      <c r="G564" s="75">
        <v>60000</v>
      </c>
      <c r="H564" s="75"/>
    </row>
    <row r="565" spans="1:8" s="6" customFormat="1" ht="21" customHeight="1">
      <c r="A565" s="34" t="s">
        <v>621</v>
      </c>
      <c r="B565" s="124" t="s">
        <v>622</v>
      </c>
      <c r="C565" s="40"/>
      <c r="D565" s="40"/>
      <c r="E565" s="183"/>
      <c r="F565" s="39">
        <f t="shared" si="83"/>
        <v>360000</v>
      </c>
      <c r="G565" s="73">
        <f>SUM(G566)</f>
        <v>360000</v>
      </c>
      <c r="H565" s="73"/>
    </row>
    <row r="566" spans="1:8" s="6" customFormat="1" ht="21" customHeight="1">
      <c r="A566" s="41"/>
      <c r="B566" s="65" t="s">
        <v>547</v>
      </c>
      <c r="C566" s="43">
        <v>900</v>
      </c>
      <c r="D566" s="43">
        <v>90095</v>
      </c>
      <c r="E566" s="185" t="s">
        <v>190</v>
      </c>
      <c r="F566" s="44">
        <f t="shared" si="83"/>
        <v>360000</v>
      </c>
      <c r="G566" s="75">
        <v>360000</v>
      </c>
      <c r="H566" s="75"/>
    </row>
    <row r="567" spans="1:8" s="6" customFormat="1" ht="21" customHeight="1">
      <c r="A567" s="34" t="s">
        <v>623</v>
      </c>
      <c r="B567" s="124" t="s">
        <v>682</v>
      </c>
      <c r="C567" s="40"/>
      <c r="D567" s="40"/>
      <c r="E567" s="183"/>
      <c r="F567" s="39">
        <f t="shared" si="83"/>
        <v>40000</v>
      </c>
      <c r="G567" s="73">
        <f>SUM(G568)</f>
        <v>40000</v>
      </c>
      <c r="H567" s="73"/>
    </row>
    <row r="568" spans="1:8" s="6" customFormat="1" ht="21" customHeight="1">
      <c r="A568" s="41"/>
      <c r="B568" s="65" t="s">
        <v>547</v>
      </c>
      <c r="C568" s="43">
        <v>900</v>
      </c>
      <c r="D568" s="43">
        <v>90095</v>
      </c>
      <c r="E568" s="185" t="s">
        <v>190</v>
      </c>
      <c r="F568" s="44">
        <f t="shared" si="83"/>
        <v>40000</v>
      </c>
      <c r="G568" s="75">
        <v>40000</v>
      </c>
      <c r="H568" s="75"/>
    </row>
    <row r="569" spans="1:8" s="6" customFormat="1" ht="21" customHeight="1">
      <c r="A569" s="34" t="s">
        <v>689</v>
      </c>
      <c r="B569" s="124" t="s">
        <v>690</v>
      </c>
      <c r="C569" s="40"/>
      <c r="D569" s="40"/>
      <c r="E569" s="183"/>
      <c r="F569" s="39">
        <f t="shared" si="83"/>
        <v>100000</v>
      </c>
      <c r="G569" s="73">
        <f>SUM(G570)</f>
        <v>100000</v>
      </c>
      <c r="H569" s="73"/>
    </row>
    <row r="570" spans="1:8" s="6" customFormat="1" ht="21" customHeight="1">
      <c r="A570" s="41"/>
      <c r="B570" s="65" t="s">
        <v>547</v>
      </c>
      <c r="C570" s="43">
        <v>900</v>
      </c>
      <c r="D570" s="43">
        <v>90095</v>
      </c>
      <c r="E570" s="185" t="s">
        <v>190</v>
      </c>
      <c r="F570" s="44">
        <f t="shared" si="83"/>
        <v>100000</v>
      </c>
      <c r="G570" s="75">
        <v>100000</v>
      </c>
      <c r="H570" s="75"/>
    </row>
    <row r="571" spans="1:8" s="6" customFormat="1" ht="21" customHeight="1">
      <c r="A571" s="34" t="s">
        <v>691</v>
      </c>
      <c r="B571" s="124" t="s">
        <v>692</v>
      </c>
      <c r="C571" s="40"/>
      <c r="D571" s="40"/>
      <c r="E571" s="183"/>
      <c r="F571" s="39">
        <f t="shared" si="83"/>
        <v>60000</v>
      </c>
      <c r="G571" s="73">
        <f>SUM(G572)</f>
        <v>60000</v>
      </c>
      <c r="H571" s="73"/>
    </row>
    <row r="572" spans="1:8" s="6" customFormat="1" ht="21" customHeight="1">
      <c r="A572" s="41"/>
      <c r="B572" s="65" t="s">
        <v>547</v>
      </c>
      <c r="C572" s="43">
        <v>900</v>
      </c>
      <c r="D572" s="43">
        <v>90095</v>
      </c>
      <c r="E572" s="185" t="s">
        <v>190</v>
      </c>
      <c r="F572" s="44">
        <f t="shared" si="83"/>
        <v>60000</v>
      </c>
      <c r="G572" s="75">
        <v>60000</v>
      </c>
      <c r="H572" s="75"/>
    </row>
    <row r="573" spans="1:8" s="6" customFormat="1" ht="21" customHeight="1">
      <c r="A573" s="34" t="s">
        <v>683</v>
      </c>
      <c r="B573" s="124" t="s">
        <v>684</v>
      </c>
      <c r="C573" s="40"/>
      <c r="D573" s="40"/>
      <c r="E573" s="183"/>
      <c r="F573" s="39">
        <f t="shared" si="83"/>
        <v>40000</v>
      </c>
      <c r="G573" s="73">
        <f>SUM(G574)</f>
        <v>40000</v>
      </c>
      <c r="H573" s="73"/>
    </row>
    <row r="574" spans="1:8" s="6" customFormat="1" ht="21" customHeight="1">
      <c r="A574" s="41"/>
      <c r="B574" s="65" t="s">
        <v>547</v>
      </c>
      <c r="C574" s="43">
        <v>900</v>
      </c>
      <c r="D574" s="43">
        <v>90095</v>
      </c>
      <c r="E574" s="185" t="s">
        <v>190</v>
      </c>
      <c r="F574" s="44">
        <f t="shared" si="83"/>
        <v>40000</v>
      </c>
      <c r="G574" s="75">
        <v>40000</v>
      </c>
      <c r="H574" s="75"/>
    </row>
    <row r="575" spans="1:8" s="6" customFormat="1" ht="21" customHeight="1">
      <c r="A575" s="34" t="s">
        <v>685</v>
      </c>
      <c r="B575" s="124" t="s">
        <v>686</v>
      </c>
      <c r="C575" s="40"/>
      <c r="D575" s="40"/>
      <c r="E575" s="183"/>
      <c r="F575" s="39">
        <f t="shared" si="83"/>
        <v>30000</v>
      </c>
      <c r="G575" s="73">
        <f>SUM(G576)</f>
        <v>30000</v>
      </c>
      <c r="H575" s="73"/>
    </row>
    <row r="576" spans="1:8" s="6" customFormat="1" ht="21" customHeight="1">
      <c r="A576" s="41"/>
      <c r="B576" s="65" t="s">
        <v>547</v>
      </c>
      <c r="C576" s="43">
        <v>900</v>
      </c>
      <c r="D576" s="43">
        <v>90095</v>
      </c>
      <c r="E576" s="185" t="s">
        <v>190</v>
      </c>
      <c r="F576" s="44">
        <f t="shared" si="83"/>
        <v>30000</v>
      </c>
      <c r="G576" s="75">
        <v>30000</v>
      </c>
      <c r="H576" s="75"/>
    </row>
    <row r="577" spans="1:8" s="6" customFormat="1" ht="21" customHeight="1">
      <c r="A577" s="34" t="s">
        <v>687</v>
      </c>
      <c r="B577" s="124" t="s">
        <v>688</v>
      </c>
      <c r="C577" s="40"/>
      <c r="D577" s="40"/>
      <c r="E577" s="183"/>
      <c r="F577" s="39">
        <f t="shared" si="83"/>
        <v>200000</v>
      </c>
      <c r="G577" s="73">
        <f>SUM(G578)</f>
        <v>200000</v>
      </c>
      <c r="H577" s="73"/>
    </row>
    <row r="578" spans="1:8" s="6" customFormat="1" ht="21" customHeight="1">
      <c r="A578" s="41"/>
      <c r="B578" s="65" t="s">
        <v>547</v>
      </c>
      <c r="C578" s="43">
        <v>900</v>
      </c>
      <c r="D578" s="43">
        <v>90095</v>
      </c>
      <c r="E578" s="185" t="s">
        <v>190</v>
      </c>
      <c r="F578" s="44">
        <f t="shared" si="83"/>
        <v>200000</v>
      </c>
      <c r="G578" s="75">
        <v>200000</v>
      </c>
      <c r="H578" s="75"/>
    </row>
    <row r="579" spans="1:8" s="6" customFormat="1" ht="25.5" customHeight="1">
      <c r="A579" s="15"/>
      <c r="B579" s="198" t="s">
        <v>371</v>
      </c>
      <c r="C579" s="204"/>
      <c r="D579" s="204"/>
      <c r="E579" s="169"/>
      <c r="F579" s="19">
        <f t="shared" si="83"/>
        <v>11610295</v>
      </c>
      <c r="G579" s="78">
        <f>SUM(G580:G590,G592:G593)</f>
        <v>11610295</v>
      </c>
      <c r="H579" s="78">
        <f>SUM(H580:H590,H592:H593)</f>
        <v>0</v>
      </c>
    </row>
    <row r="580" spans="1:8" s="6" customFormat="1" ht="25.5" customHeight="1">
      <c r="A580" s="52" t="s">
        <v>372</v>
      </c>
      <c r="B580" s="53" t="s">
        <v>373</v>
      </c>
      <c r="C580" s="104">
        <v>900</v>
      </c>
      <c r="D580" s="104">
        <v>90095</v>
      </c>
      <c r="E580" s="186" t="s">
        <v>295</v>
      </c>
      <c r="F580" s="51">
        <f t="shared" si="83"/>
        <v>668510</v>
      </c>
      <c r="G580" s="70">
        <f>168510+500000</f>
        <v>668510</v>
      </c>
      <c r="H580" s="70"/>
    </row>
    <row r="581" spans="1:8" ht="25.5" customHeight="1">
      <c r="A581" s="52" t="s">
        <v>533</v>
      </c>
      <c r="B581" s="53" t="s">
        <v>534</v>
      </c>
      <c r="C581" s="104">
        <v>900</v>
      </c>
      <c r="D581" s="104">
        <v>90001</v>
      </c>
      <c r="E581" s="186" t="s">
        <v>295</v>
      </c>
      <c r="F581" s="122">
        <f t="shared" si="83"/>
        <v>5000000</v>
      </c>
      <c r="G581" s="119">
        <v>5000000</v>
      </c>
      <c r="H581" s="119"/>
    </row>
    <row r="582" spans="1:8" ht="25.5" customHeight="1">
      <c r="A582" s="48" t="s">
        <v>535</v>
      </c>
      <c r="B582" s="53" t="s">
        <v>536</v>
      </c>
      <c r="C582" s="104">
        <v>900</v>
      </c>
      <c r="D582" s="104">
        <v>90001</v>
      </c>
      <c r="E582" s="186" t="s">
        <v>296</v>
      </c>
      <c r="F582" s="122">
        <f>G582</f>
        <v>300000</v>
      </c>
      <c r="G582" s="119">
        <v>300000</v>
      </c>
      <c r="H582" s="119"/>
    </row>
    <row r="583" spans="1:8" ht="24" customHeight="1">
      <c r="A583" s="48" t="s">
        <v>799</v>
      </c>
      <c r="B583" s="53" t="s">
        <v>800</v>
      </c>
      <c r="C583" s="104">
        <v>900</v>
      </c>
      <c r="D583" s="104">
        <v>90095</v>
      </c>
      <c r="E583" s="186" t="s">
        <v>19</v>
      </c>
      <c r="F583" s="122">
        <f>G583</f>
        <v>477366</v>
      </c>
      <c r="G583" s="119">
        <f>177366+300000</f>
        <v>477366</v>
      </c>
      <c r="H583" s="119"/>
    </row>
    <row r="584" spans="1:8" s="6" customFormat="1" ht="24" customHeight="1">
      <c r="A584" s="34" t="s">
        <v>374</v>
      </c>
      <c r="B584" s="35" t="s">
        <v>375</v>
      </c>
      <c r="C584" s="37">
        <v>900</v>
      </c>
      <c r="D584" s="37">
        <v>90095</v>
      </c>
      <c r="E584" s="183" t="s">
        <v>295</v>
      </c>
      <c r="F584" s="39">
        <f t="shared" ref="F584:F596" si="84">G584+H584</f>
        <v>904671</v>
      </c>
      <c r="G584" s="73">
        <f>404671+500000</f>
        <v>904671</v>
      </c>
      <c r="H584" s="73"/>
    </row>
    <row r="585" spans="1:8" s="6" customFormat="1" ht="24" customHeight="1">
      <c r="A585" s="52" t="s">
        <v>376</v>
      </c>
      <c r="B585" s="53" t="s">
        <v>377</v>
      </c>
      <c r="C585" s="104">
        <v>900</v>
      </c>
      <c r="D585" s="104">
        <v>90095</v>
      </c>
      <c r="E585" s="186" t="s">
        <v>295</v>
      </c>
      <c r="F585" s="51">
        <f t="shared" si="84"/>
        <v>1000000</v>
      </c>
      <c r="G585" s="70">
        <v>1000000</v>
      </c>
      <c r="H585" s="70"/>
    </row>
    <row r="586" spans="1:8" s="6" customFormat="1" ht="24" customHeight="1">
      <c r="A586" s="34" t="s">
        <v>506</v>
      </c>
      <c r="B586" s="35" t="s">
        <v>507</v>
      </c>
      <c r="C586" s="104">
        <v>900</v>
      </c>
      <c r="D586" s="104">
        <v>90095</v>
      </c>
      <c r="E586" s="186" t="s">
        <v>295</v>
      </c>
      <c r="F586" s="51">
        <f t="shared" si="84"/>
        <v>689500</v>
      </c>
      <c r="G586" s="73">
        <v>689500</v>
      </c>
      <c r="H586" s="73"/>
    </row>
    <row r="587" spans="1:8" s="6" customFormat="1" ht="24" customHeight="1">
      <c r="A587" s="34" t="s">
        <v>378</v>
      </c>
      <c r="B587" s="35" t="s">
        <v>379</v>
      </c>
      <c r="C587" s="37">
        <v>900</v>
      </c>
      <c r="D587" s="37">
        <v>90095</v>
      </c>
      <c r="E587" s="183" t="s">
        <v>295</v>
      </c>
      <c r="F587" s="39">
        <f t="shared" si="84"/>
        <v>595968</v>
      </c>
      <c r="G587" s="73">
        <f>445968+150000</f>
        <v>595968</v>
      </c>
      <c r="H587" s="73"/>
    </row>
    <row r="588" spans="1:8" s="6" customFormat="1" ht="24" customHeight="1">
      <c r="A588" s="34" t="s">
        <v>537</v>
      </c>
      <c r="B588" s="35" t="s">
        <v>538</v>
      </c>
      <c r="C588" s="37">
        <v>900</v>
      </c>
      <c r="D588" s="37">
        <v>90095</v>
      </c>
      <c r="E588" s="183" t="s">
        <v>295</v>
      </c>
      <c r="F588" s="39">
        <f t="shared" si="84"/>
        <v>544280</v>
      </c>
      <c r="G588" s="73">
        <f>44280+500000</f>
        <v>544280</v>
      </c>
      <c r="H588" s="73"/>
    </row>
    <row r="589" spans="1:8" s="6" customFormat="1" ht="24" customHeight="1">
      <c r="A589" s="34" t="s">
        <v>508</v>
      </c>
      <c r="B589" s="35" t="s">
        <v>509</v>
      </c>
      <c r="C589" s="104">
        <v>900</v>
      </c>
      <c r="D589" s="104">
        <v>90095</v>
      </c>
      <c r="E589" s="183" t="s">
        <v>295</v>
      </c>
      <c r="F589" s="39">
        <f t="shared" si="84"/>
        <v>480000</v>
      </c>
      <c r="G589" s="73">
        <v>480000</v>
      </c>
      <c r="H589" s="73"/>
    </row>
    <row r="590" spans="1:8" s="6" customFormat="1" ht="21.75" customHeight="1">
      <c r="A590" s="34" t="s">
        <v>695</v>
      </c>
      <c r="B590" s="124" t="s">
        <v>714</v>
      </c>
      <c r="C590" s="40"/>
      <c r="D590" s="40"/>
      <c r="E590" s="183"/>
      <c r="F590" s="39">
        <f t="shared" si="84"/>
        <v>150000</v>
      </c>
      <c r="G590" s="73">
        <f>SUM(G591)</f>
        <v>150000</v>
      </c>
      <c r="H590" s="73"/>
    </row>
    <row r="591" spans="1:8" s="6" customFormat="1" ht="21.75" customHeight="1">
      <c r="A591" s="41"/>
      <c r="B591" s="65" t="s">
        <v>547</v>
      </c>
      <c r="C591" s="43">
        <v>900</v>
      </c>
      <c r="D591" s="43">
        <v>90095</v>
      </c>
      <c r="E591" s="185" t="s">
        <v>190</v>
      </c>
      <c r="F591" s="44">
        <f t="shared" si="84"/>
        <v>150000</v>
      </c>
      <c r="G591" s="75">
        <v>150000</v>
      </c>
      <c r="H591" s="75"/>
    </row>
    <row r="592" spans="1:8" s="6" customFormat="1" ht="24" customHeight="1">
      <c r="A592" s="48" t="s">
        <v>882</v>
      </c>
      <c r="B592" s="49" t="s">
        <v>801</v>
      </c>
      <c r="C592" s="50">
        <v>900</v>
      </c>
      <c r="D592" s="50">
        <v>90095</v>
      </c>
      <c r="E592" s="186" t="s">
        <v>295</v>
      </c>
      <c r="F592" s="51">
        <f t="shared" ref="F592:F593" si="85">G592+H592</f>
        <v>400000</v>
      </c>
      <c r="G592" s="70">
        <v>400000</v>
      </c>
      <c r="H592" s="70"/>
    </row>
    <row r="593" spans="1:8" s="6" customFormat="1" ht="24" customHeight="1">
      <c r="A593" s="48" t="s">
        <v>883</v>
      </c>
      <c r="B593" s="49" t="s">
        <v>802</v>
      </c>
      <c r="C593" s="104">
        <v>900</v>
      </c>
      <c r="D593" s="104">
        <v>90095</v>
      </c>
      <c r="E593" s="186" t="s">
        <v>295</v>
      </c>
      <c r="F593" s="51">
        <f t="shared" si="85"/>
        <v>400000</v>
      </c>
      <c r="G593" s="70">
        <v>400000</v>
      </c>
      <c r="H593" s="70"/>
    </row>
    <row r="594" spans="1:8" s="6" customFormat="1" ht="24" customHeight="1">
      <c r="A594" s="15"/>
      <c r="B594" s="187" t="s">
        <v>380</v>
      </c>
      <c r="C594" s="200"/>
      <c r="D594" s="200"/>
      <c r="E594" s="169"/>
      <c r="F594" s="19">
        <f t="shared" si="84"/>
        <v>1000000</v>
      </c>
      <c r="G594" s="78">
        <f>G595</f>
        <v>1000000</v>
      </c>
      <c r="H594" s="78"/>
    </row>
    <row r="595" spans="1:8" s="6" customFormat="1" ht="24" customHeight="1">
      <c r="A595" s="15"/>
      <c r="B595" s="187" t="s">
        <v>381</v>
      </c>
      <c r="C595" s="200"/>
      <c r="D595" s="200"/>
      <c r="E595" s="169"/>
      <c r="F595" s="19">
        <f t="shared" si="84"/>
        <v>1000000</v>
      </c>
      <c r="G595" s="78">
        <f>G596</f>
        <v>1000000</v>
      </c>
      <c r="H595" s="78"/>
    </row>
    <row r="596" spans="1:8" ht="24" customHeight="1">
      <c r="A596" s="34" t="s">
        <v>539</v>
      </c>
      <c r="B596" s="61" t="s">
        <v>540</v>
      </c>
      <c r="C596" s="36"/>
      <c r="D596" s="36"/>
      <c r="E596" s="183"/>
      <c r="F596" s="112">
        <f t="shared" si="84"/>
        <v>1000000</v>
      </c>
      <c r="G596" s="113">
        <f>+G597+G598</f>
        <v>1000000</v>
      </c>
      <c r="H596" s="148"/>
    </row>
    <row r="597" spans="1:8" s="150" customFormat="1" ht="21.75" customHeight="1">
      <c r="A597" s="47"/>
      <c r="B597" s="188"/>
      <c r="C597" s="45">
        <v>700</v>
      </c>
      <c r="D597" s="45">
        <v>70005</v>
      </c>
      <c r="E597" s="184" t="s">
        <v>99</v>
      </c>
      <c r="F597" s="146">
        <f>+G597+H597</f>
        <v>250000</v>
      </c>
      <c r="G597" s="147">
        <f>50000+200000</f>
        <v>250000</v>
      </c>
      <c r="H597" s="149"/>
    </row>
    <row r="598" spans="1:8" ht="21.75" customHeight="1">
      <c r="A598" s="47"/>
      <c r="B598" s="188"/>
      <c r="C598" s="45">
        <v>700</v>
      </c>
      <c r="D598" s="45">
        <v>70007</v>
      </c>
      <c r="E598" s="184" t="s">
        <v>99</v>
      </c>
      <c r="F598" s="146">
        <f>+G598+H598</f>
        <v>750000</v>
      </c>
      <c r="G598" s="147">
        <f>150000+600000</f>
        <v>750000</v>
      </c>
      <c r="H598" s="149"/>
    </row>
    <row r="599" spans="1:8" s="6" customFormat="1" ht="24" customHeight="1">
      <c r="A599" s="15"/>
      <c r="B599" s="187" t="s">
        <v>382</v>
      </c>
      <c r="C599" s="200"/>
      <c r="D599" s="200"/>
      <c r="E599" s="169"/>
      <c r="F599" s="19">
        <f>G599+H599</f>
        <v>109688825</v>
      </c>
      <c r="G599" s="78">
        <f>G600</f>
        <v>101372638</v>
      </c>
      <c r="H599" s="78">
        <f>H600</f>
        <v>8316187</v>
      </c>
    </row>
    <row r="600" spans="1:8" s="6" customFormat="1" ht="24" customHeight="1">
      <c r="A600" s="15"/>
      <c r="B600" s="187" t="s">
        <v>721</v>
      </c>
      <c r="C600" s="200"/>
      <c r="D600" s="200"/>
      <c r="E600" s="169"/>
      <c r="F600" s="19">
        <f>G600+H600</f>
        <v>109688825</v>
      </c>
      <c r="G600" s="78">
        <f>SUM(G601,G604:G659,G660,G662,G664,G666:G714)</f>
        <v>101372638</v>
      </c>
      <c r="H600" s="78">
        <f>SUM(H601,H604:H659,H660,H662,H664,H666:H714)</f>
        <v>8316187</v>
      </c>
    </row>
    <row r="601" spans="1:8" s="6" customFormat="1" ht="22.5" customHeight="1">
      <c r="A601" s="52" t="s">
        <v>383</v>
      </c>
      <c r="B601" s="110" t="s">
        <v>384</v>
      </c>
      <c r="C601" s="48"/>
      <c r="D601" s="48"/>
      <c r="E601" s="172"/>
      <c r="F601" s="51">
        <f>G601+H601</f>
        <v>1944150</v>
      </c>
      <c r="G601" s="70">
        <f>+G602+G603</f>
        <v>1944150</v>
      </c>
      <c r="H601" s="70"/>
    </row>
    <row r="602" spans="1:8" s="6" customFormat="1" ht="22.5" customHeight="1">
      <c r="A602" s="34"/>
      <c r="B602" s="227" t="s">
        <v>305</v>
      </c>
      <c r="C602" s="36">
        <v>801</v>
      </c>
      <c r="D602" s="36">
        <v>80195</v>
      </c>
      <c r="E602" s="177" t="s">
        <v>385</v>
      </c>
      <c r="F602" s="39">
        <f>+G602+H602</f>
        <v>995784</v>
      </c>
      <c r="G602" s="73">
        <v>995784</v>
      </c>
      <c r="H602" s="73"/>
    </row>
    <row r="603" spans="1:8" s="6" customFormat="1" ht="22.5" customHeight="1">
      <c r="A603" s="41"/>
      <c r="B603" s="107" t="s">
        <v>1327</v>
      </c>
      <c r="C603" s="42">
        <v>801</v>
      </c>
      <c r="D603" s="42">
        <v>80195</v>
      </c>
      <c r="E603" s="182" t="s">
        <v>385</v>
      </c>
      <c r="F603" s="44">
        <f>+G603+H603</f>
        <v>948366</v>
      </c>
      <c r="G603" s="75">
        <v>948366</v>
      </c>
      <c r="H603" s="75"/>
    </row>
    <row r="604" spans="1:8" s="6" customFormat="1" ht="24" customHeight="1">
      <c r="A604" s="52" t="s">
        <v>803</v>
      </c>
      <c r="B604" s="118" t="s">
        <v>804</v>
      </c>
      <c r="C604" s="48">
        <v>854</v>
      </c>
      <c r="D604" s="48">
        <v>85407</v>
      </c>
      <c r="E604" s="172" t="s">
        <v>306</v>
      </c>
      <c r="F604" s="51">
        <f>G604+H604</f>
        <v>718400</v>
      </c>
      <c r="G604" s="70"/>
      <c r="H604" s="70">
        <v>718400</v>
      </c>
    </row>
    <row r="605" spans="1:8" s="6" customFormat="1" ht="24" customHeight="1">
      <c r="A605" s="52" t="s">
        <v>386</v>
      </c>
      <c r="B605" s="53" t="s">
        <v>387</v>
      </c>
      <c r="C605" s="48">
        <v>801</v>
      </c>
      <c r="D605" s="48">
        <v>80101</v>
      </c>
      <c r="E605" s="172" t="s">
        <v>385</v>
      </c>
      <c r="F605" s="51">
        <f>G605+H605</f>
        <v>3899192</v>
      </c>
      <c r="G605" s="70">
        <f>3891192+8000</f>
        <v>3899192</v>
      </c>
      <c r="H605" s="70"/>
    </row>
    <row r="606" spans="1:8" s="6" customFormat="1" ht="24" customHeight="1">
      <c r="A606" s="52" t="s">
        <v>388</v>
      </c>
      <c r="B606" s="110" t="s">
        <v>389</v>
      </c>
      <c r="C606" s="48">
        <v>854</v>
      </c>
      <c r="D606" s="48">
        <v>85495</v>
      </c>
      <c r="E606" s="186" t="s">
        <v>385</v>
      </c>
      <c r="F606" s="51">
        <f>G606+H606</f>
        <v>4731687</v>
      </c>
      <c r="G606" s="70"/>
      <c r="H606" s="70">
        <v>4731687</v>
      </c>
    </row>
    <row r="607" spans="1:8" s="6" customFormat="1" ht="24" customHeight="1">
      <c r="A607" s="52" t="s">
        <v>390</v>
      </c>
      <c r="B607" s="110" t="s">
        <v>391</v>
      </c>
      <c r="C607" s="48">
        <v>801</v>
      </c>
      <c r="D607" s="48">
        <v>80195</v>
      </c>
      <c r="E607" s="186" t="s">
        <v>392</v>
      </c>
      <c r="F607" s="51">
        <f t="shared" ref="F607:F618" si="86">G607</f>
        <v>910800</v>
      </c>
      <c r="G607" s="70">
        <v>910800</v>
      </c>
      <c r="H607" s="70"/>
    </row>
    <row r="608" spans="1:8" s="6" customFormat="1" ht="24" customHeight="1">
      <c r="A608" s="52" t="s">
        <v>393</v>
      </c>
      <c r="B608" s="49" t="s">
        <v>394</v>
      </c>
      <c r="C608" s="50">
        <v>801</v>
      </c>
      <c r="D608" s="50">
        <v>80101</v>
      </c>
      <c r="E608" s="186" t="s">
        <v>385</v>
      </c>
      <c r="F608" s="51">
        <f t="shared" si="86"/>
        <v>300000</v>
      </c>
      <c r="G608" s="70">
        <v>300000</v>
      </c>
      <c r="H608" s="70"/>
    </row>
    <row r="609" spans="1:8" s="6" customFormat="1" ht="24" customHeight="1">
      <c r="A609" s="52" t="s">
        <v>907</v>
      </c>
      <c r="B609" s="110" t="s">
        <v>908</v>
      </c>
      <c r="C609" s="48">
        <v>801</v>
      </c>
      <c r="D609" s="48">
        <v>80101</v>
      </c>
      <c r="E609" s="186" t="s">
        <v>909</v>
      </c>
      <c r="F609" s="51">
        <f t="shared" ref="F609" si="87">G609</f>
        <v>500000</v>
      </c>
      <c r="G609" s="70">
        <v>500000</v>
      </c>
      <c r="H609" s="70"/>
    </row>
    <row r="610" spans="1:8" s="6" customFormat="1" ht="24" customHeight="1">
      <c r="A610" s="52" t="s">
        <v>915</v>
      </c>
      <c r="B610" s="49" t="s">
        <v>916</v>
      </c>
      <c r="C610" s="48">
        <v>801</v>
      </c>
      <c r="D610" s="48">
        <v>80104</v>
      </c>
      <c r="E610" s="186" t="s">
        <v>917</v>
      </c>
      <c r="F610" s="51">
        <f t="shared" si="86"/>
        <v>60000</v>
      </c>
      <c r="G610" s="70">
        <v>60000</v>
      </c>
      <c r="H610" s="70"/>
    </row>
    <row r="611" spans="1:8" s="6" customFormat="1" ht="24" customHeight="1">
      <c r="A611" s="52" t="s">
        <v>918</v>
      </c>
      <c r="B611" s="49" t="s">
        <v>919</v>
      </c>
      <c r="C611" s="48">
        <v>801</v>
      </c>
      <c r="D611" s="48">
        <v>80101</v>
      </c>
      <c r="E611" s="186" t="s">
        <v>920</v>
      </c>
      <c r="F611" s="51">
        <f t="shared" si="86"/>
        <v>60000</v>
      </c>
      <c r="G611" s="70">
        <v>60000</v>
      </c>
      <c r="H611" s="70"/>
    </row>
    <row r="612" spans="1:8" s="6" customFormat="1" ht="24" customHeight="1">
      <c r="A612" s="52" t="s">
        <v>921</v>
      </c>
      <c r="B612" s="49" t="s">
        <v>922</v>
      </c>
      <c r="C612" s="48">
        <v>801</v>
      </c>
      <c r="D612" s="48">
        <v>80101</v>
      </c>
      <c r="E612" s="186" t="s">
        <v>923</v>
      </c>
      <c r="F612" s="51">
        <f t="shared" si="86"/>
        <v>70000</v>
      </c>
      <c r="G612" s="70">
        <v>70000</v>
      </c>
      <c r="H612" s="70"/>
    </row>
    <row r="613" spans="1:8" s="6" customFormat="1" ht="24" customHeight="1">
      <c r="A613" s="52" t="s">
        <v>936</v>
      </c>
      <c r="B613" s="49" t="s">
        <v>937</v>
      </c>
      <c r="C613" s="48">
        <v>801</v>
      </c>
      <c r="D613" s="48">
        <v>80101</v>
      </c>
      <c r="E613" s="186" t="s">
        <v>385</v>
      </c>
      <c r="F613" s="51">
        <f t="shared" si="86"/>
        <v>400000</v>
      </c>
      <c r="G613" s="70">
        <v>400000</v>
      </c>
      <c r="H613" s="70"/>
    </row>
    <row r="614" spans="1:8" s="6" customFormat="1" ht="24" customHeight="1">
      <c r="A614" s="52" t="s">
        <v>1305</v>
      </c>
      <c r="B614" s="49" t="s">
        <v>1306</v>
      </c>
      <c r="C614" s="48">
        <v>801</v>
      </c>
      <c r="D614" s="48">
        <v>80104</v>
      </c>
      <c r="E614" s="186" t="s">
        <v>938</v>
      </c>
      <c r="F614" s="51">
        <f t="shared" si="86"/>
        <v>240000</v>
      </c>
      <c r="G614" s="70">
        <v>240000</v>
      </c>
      <c r="H614" s="70"/>
    </row>
    <row r="615" spans="1:8" s="6" customFormat="1" ht="24" customHeight="1">
      <c r="A615" s="52" t="s">
        <v>941</v>
      </c>
      <c r="B615" s="49" t="s">
        <v>942</v>
      </c>
      <c r="C615" s="48">
        <v>801</v>
      </c>
      <c r="D615" s="48">
        <v>80101</v>
      </c>
      <c r="E615" s="186" t="s">
        <v>943</v>
      </c>
      <c r="F615" s="51">
        <f t="shared" si="86"/>
        <v>350000</v>
      </c>
      <c r="G615" s="70">
        <v>350000</v>
      </c>
      <c r="H615" s="70"/>
    </row>
    <row r="616" spans="1:8" s="6" customFormat="1" ht="24" customHeight="1">
      <c r="A616" s="52" t="s">
        <v>946</v>
      </c>
      <c r="B616" s="49" t="s">
        <v>947</v>
      </c>
      <c r="C616" s="48">
        <v>801</v>
      </c>
      <c r="D616" s="48">
        <v>80101</v>
      </c>
      <c r="E616" s="186" t="s">
        <v>948</v>
      </c>
      <c r="F616" s="51">
        <f t="shared" si="86"/>
        <v>390000</v>
      </c>
      <c r="G616" s="70">
        <f>250000+140000</f>
        <v>390000</v>
      </c>
      <c r="H616" s="70"/>
    </row>
    <row r="617" spans="1:8" s="6" customFormat="1" ht="24" customHeight="1">
      <c r="A617" s="52" t="s">
        <v>951</v>
      </c>
      <c r="B617" s="49" t="s">
        <v>952</v>
      </c>
      <c r="C617" s="48">
        <v>801</v>
      </c>
      <c r="D617" s="48">
        <v>80104</v>
      </c>
      <c r="E617" s="186" t="s">
        <v>953</v>
      </c>
      <c r="F617" s="51">
        <f t="shared" si="86"/>
        <v>300000</v>
      </c>
      <c r="G617" s="70">
        <v>300000</v>
      </c>
      <c r="H617" s="70"/>
    </row>
    <row r="618" spans="1:8" s="6" customFormat="1" ht="24" customHeight="1">
      <c r="A618" s="52" t="s">
        <v>959</v>
      </c>
      <c r="B618" s="49" t="s">
        <v>958</v>
      </c>
      <c r="C618" s="48">
        <v>801</v>
      </c>
      <c r="D618" s="48">
        <v>80101</v>
      </c>
      <c r="E618" s="186" t="s">
        <v>960</v>
      </c>
      <c r="F618" s="51">
        <f t="shared" si="86"/>
        <v>300000</v>
      </c>
      <c r="G618" s="70">
        <v>300000</v>
      </c>
      <c r="H618" s="70"/>
    </row>
    <row r="619" spans="1:8" s="6" customFormat="1" ht="24" customHeight="1">
      <c r="A619" s="52" t="s">
        <v>961</v>
      </c>
      <c r="B619" s="49" t="s">
        <v>962</v>
      </c>
      <c r="C619" s="48">
        <v>801</v>
      </c>
      <c r="D619" s="48">
        <v>80102</v>
      </c>
      <c r="E619" s="186" t="s">
        <v>385</v>
      </c>
      <c r="F619" s="51">
        <f>G619+H619</f>
        <v>10000</v>
      </c>
      <c r="G619" s="70"/>
      <c r="H619" s="70">
        <v>10000</v>
      </c>
    </row>
    <row r="620" spans="1:8" s="6" customFormat="1" ht="24" customHeight="1">
      <c r="A620" s="52" t="s">
        <v>963</v>
      </c>
      <c r="B620" s="49" t="s">
        <v>1338</v>
      </c>
      <c r="C620" s="50">
        <v>801</v>
      </c>
      <c r="D620" s="50">
        <v>80120</v>
      </c>
      <c r="E620" s="186" t="s">
        <v>964</v>
      </c>
      <c r="F620" s="51">
        <f>G620+H620</f>
        <v>100000</v>
      </c>
      <c r="G620" s="70"/>
      <c r="H620" s="70">
        <v>100000</v>
      </c>
    </row>
    <row r="621" spans="1:8" s="6" customFormat="1" ht="24" customHeight="1">
      <c r="A621" s="52" t="s">
        <v>970</v>
      </c>
      <c r="B621" s="49" t="s">
        <v>971</v>
      </c>
      <c r="C621" s="48">
        <v>801</v>
      </c>
      <c r="D621" s="48">
        <v>80101</v>
      </c>
      <c r="E621" s="186" t="s">
        <v>972</v>
      </c>
      <c r="F621" s="51">
        <f t="shared" ref="F621:F622" si="88">G621+H621</f>
        <v>250000</v>
      </c>
      <c r="G621" s="70">
        <v>250000</v>
      </c>
      <c r="H621" s="70"/>
    </row>
    <row r="622" spans="1:8" s="6" customFormat="1" ht="24" customHeight="1">
      <c r="A622" s="52" t="s">
        <v>973</v>
      </c>
      <c r="B622" s="49" t="s">
        <v>974</v>
      </c>
      <c r="C622" s="48">
        <v>801</v>
      </c>
      <c r="D622" s="48">
        <v>80101</v>
      </c>
      <c r="E622" s="186" t="s">
        <v>975</v>
      </c>
      <c r="F622" s="51">
        <f t="shared" si="88"/>
        <v>120000</v>
      </c>
      <c r="G622" s="70">
        <v>120000</v>
      </c>
      <c r="H622" s="70"/>
    </row>
    <row r="623" spans="1:8" s="6" customFormat="1" ht="24" customHeight="1">
      <c r="A623" s="52" t="s">
        <v>978</v>
      </c>
      <c r="B623" s="49" t="s">
        <v>979</v>
      </c>
      <c r="C623" s="48">
        <v>801</v>
      </c>
      <c r="D623" s="48">
        <v>80101</v>
      </c>
      <c r="E623" s="186" t="s">
        <v>385</v>
      </c>
      <c r="F623" s="51">
        <f t="shared" ref="F623" si="89">G623+H623</f>
        <v>350000</v>
      </c>
      <c r="G623" s="70">
        <v>350000</v>
      </c>
      <c r="H623" s="70"/>
    </row>
    <row r="624" spans="1:8" s="6" customFormat="1" ht="24" customHeight="1">
      <c r="A624" s="52" t="s">
        <v>1099</v>
      </c>
      <c r="B624" s="49" t="s">
        <v>1100</v>
      </c>
      <c r="C624" s="48">
        <v>801</v>
      </c>
      <c r="D624" s="48">
        <v>80101</v>
      </c>
      <c r="E624" s="186" t="s">
        <v>1101</v>
      </c>
      <c r="F624" s="51">
        <f t="shared" ref="F624" si="90">G624+H624</f>
        <v>300000</v>
      </c>
      <c r="G624" s="70">
        <v>300000</v>
      </c>
      <c r="H624" s="70"/>
    </row>
    <row r="625" spans="1:8" s="6" customFormat="1" ht="24" customHeight="1">
      <c r="A625" s="52" t="s">
        <v>985</v>
      </c>
      <c r="B625" s="49" t="s">
        <v>986</v>
      </c>
      <c r="C625" s="48">
        <v>801</v>
      </c>
      <c r="D625" s="48">
        <v>80104</v>
      </c>
      <c r="E625" s="186" t="s">
        <v>385</v>
      </c>
      <c r="F625" s="51">
        <f t="shared" ref="F625:F626" si="91">G625+H625</f>
        <v>140000</v>
      </c>
      <c r="G625" s="70">
        <v>140000</v>
      </c>
      <c r="H625" s="70"/>
    </row>
    <row r="626" spans="1:8" s="6" customFormat="1" ht="24" customHeight="1">
      <c r="A626" s="52" t="s">
        <v>987</v>
      </c>
      <c r="B626" s="49" t="s">
        <v>988</v>
      </c>
      <c r="C626" s="50">
        <v>801</v>
      </c>
      <c r="D626" s="50">
        <v>80120</v>
      </c>
      <c r="E626" s="186" t="s">
        <v>989</v>
      </c>
      <c r="F626" s="51">
        <f t="shared" si="91"/>
        <v>240000</v>
      </c>
      <c r="G626" s="70"/>
      <c r="H626" s="70">
        <v>240000</v>
      </c>
    </row>
    <row r="627" spans="1:8" s="6" customFormat="1" ht="24" customHeight="1">
      <c r="A627" s="52" t="s">
        <v>993</v>
      </c>
      <c r="B627" s="49" t="s">
        <v>994</v>
      </c>
      <c r="C627" s="48">
        <v>801</v>
      </c>
      <c r="D627" s="48">
        <v>80104</v>
      </c>
      <c r="E627" s="186" t="s">
        <v>385</v>
      </c>
      <c r="F627" s="51">
        <f t="shared" ref="F627" si="92">G627+H627</f>
        <v>190000</v>
      </c>
      <c r="G627" s="70">
        <v>190000</v>
      </c>
      <c r="H627" s="70"/>
    </row>
    <row r="628" spans="1:8" s="6" customFormat="1" ht="24" customHeight="1">
      <c r="A628" s="52" t="s">
        <v>995</v>
      </c>
      <c r="B628" s="49" t="s">
        <v>996</v>
      </c>
      <c r="C628" s="48">
        <v>801</v>
      </c>
      <c r="D628" s="48">
        <v>80101</v>
      </c>
      <c r="E628" s="186" t="s">
        <v>385</v>
      </c>
      <c r="F628" s="51">
        <f t="shared" ref="F628:F630" si="93">G628+H628</f>
        <v>650000</v>
      </c>
      <c r="G628" s="70">
        <v>650000</v>
      </c>
      <c r="H628" s="70"/>
    </row>
    <row r="629" spans="1:8" s="6" customFormat="1" ht="24" customHeight="1">
      <c r="A629" s="52" t="s">
        <v>997</v>
      </c>
      <c r="B629" s="49" t="s">
        <v>998</v>
      </c>
      <c r="C629" s="48">
        <v>801</v>
      </c>
      <c r="D629" s="48">
        <v>80104</v>
      </c>
      <c r="E629" s="186" t="s">
        <v>385</v>
      </c>
      <c r="F629" s="51">
        <f t="shared" si="93"/>
        <v>150000</v>
      </c>
      <c r="G629" s="70">
        <v>150000</v>
      </c>
      <c r="H629" s="70"/>
    </row>
    <row r="630" spans="1:8" s="6" customFormat="1" ht="24" customHeight="1">
      <c r="A630" s="52" t="s">
        <v>1001</v>
      </c>
      <c r="B630" s="49" t="s">
        <v>1002</v>
      </c>
      <c r="C630" s="48">
        <v>801</v>
      </c>
      <c r="D630" s="48">
        <v>80101</v>
      </c>
      <c r="E630" s="186" t="s">
        <v>632</v>
      </c>
      <c r="F630" s="51">
        <f t="shared" si="93"/>
        <v>100000</v>
      </c>
      <c r="G630" s="70">
        <v>100000</v>
      </c>
      <c r="H630" s="70"/>
    </row>
    <row r="631" spans="1:8" s="6" customFormat="1" ht="24" customHeight="1">
      <c r="A631" s="52" t="s">
        <v>1003</v>
      </c>
      <c r="B631" s="49" t="s">
        <v>1004</v>
      </c>
      <c r="C631" s="50">
        <v>801</v>
      </c>
      <c r="D631" s="50">
        <v>80120</v>
      </c>
      <c r="E631" s="186" t="s">
        <v>1007</v>
      </c>
      <c r="F631" s="51">
        <f t="shared" ref="F631:F632" si="94">G631+H631</f>
        <v>250000</v>
      </c>
      <c r="G631" s="70"/>
      <c r="H631" s="70">
        <v>250000</v>
      </c>
    </row>
    <row r="632" spans="1:8" s="6" customFormat="1" ht="24" customHeight="1">
      <c r="A632" s="52" t="s">
        <v>1005</v>
      </c>
      <c r="B632" s="49" t="s">
        <v>1006</v>
      </c>
      <c r="C632" s="48">
        <v>801</v>
      </c>
      <c r="D632" s="48">
        <v>80101</v>
      </c>
      <c r="E632" s="186" t="s">
        <v>385</v>
      </c>
      <c r="F632" s="51">
        <f t="shared" si="94"/>
        <v>2350000</v>
      </c>
      <c r="G632" s="70">
        <v>2350000</v>
      </c>
      <c r="H632" s="70"/>
    </row>
    <row r="633" spans="1:8" s="6" customFormat="1" ht="24" customHeight="1">
      <c r="A633" s="52" t="s">
        <v>1017</v>
      </c>
      <c r="B633" s="49" t="s">
        <v>1018</v>
      </c>
      <c r="C633" s="48">
        <v>801</v>
      </c>
      <c r="D633" s="48">
        <v>80101</v>
      </c>
      <c r="E633" s="186" t="s">
        <v>385</v>
      </c>
      <c r="F633" s="51">
        <f t="shared" ref="F633:F634" si="95">G633+H633</f>
        <v>250000</v>
      </c>
      <c r="G633" s="70">
        <v>250000</v>
      </c>
      <c r="H633" s="70"/>
    </row>
    <row r="634" spans="1:8" s="6" customFormat="1" ht="24" customHeight="1">
      <c r="A634" s="52" t="s">
        <v>1019</v>
      </c>
      <c r="B634" s="49" t="s">
        <v>1020</v>
      </c>
      <c r="C634" s="50">
        <v>801</v>
      </c>
      <c r="D634" s="50">
        <v>80120</v>
      </c>
      <c r="E634" s="186" t="s">
        <v>1021</v>
      </c>
      <c r="F634" s="51">
        <f t="shared" si="95"/>
        <v>310000</v>
      </c>
      <c r="G634" s="70"/>
      <c r="H634" s="70">
        <v>310000</v>
      </c>
    </row>
    <row r="635" spans="1:8" s="6" customFormat="1" ht="24" customHeight="1">
      <c r="A635" s="52" t="s">
        <v>1022</v>
      </c>
      <c r="B635" s="49" t="s">
        <v>1023</v>
      </c>
      <c r="C635" s="48">
        <v>801</v>
      </c>
      <c r="D635" s="48">
        <v>80101</v>
      </c>
      <c r="E635" s="186" t="s">
        <v>1024</v>
      </c>
      <c r="F635" s="51">
        <f t="shared" ref="F635:F636" si="96">G635+H635</f>
        <v>100000</v>
      </c>
      <c r="G635" s="70">
        <v>100000</v>
      </c>
      <c r="H635" s="70"/>
    </row>
    <row r="636" spans="1:8" s="6" customFormat="1" ht="24" customHeight="1">
      <c r="A636" s="52" t="s">
        <v>1025</v>
      </c>
      <c r="B636" s="49" t="s">
        <v>1026</v>
      </c>
      <c r="C636" s="48">
        <v>801</v>
      </c>
      <c r="D636" s="48">
        <v>80104</v>
      </c>
      <c r="E636" s="186" t="s">
        <v>1027</v>
      </c>
      <c r="F636" s="51">
        <f t="shared" si="96"/>
        <v>70000</v>
      </c>
      <c r="G636" s="70">
        <v>70000</v>
      </c>
      <c r="H636" s="70"/>
    </row>
    <row r="637" spans="1:8" s="6" customFormat="1" ht="24" customHeight="1">
      <c r="A637" s="52" t="s">
        <v>1028</v>
      </c>
      <c r="B637" s="49" t="s">
        <v>1029</v>
      </c>
      <c r="C637" s="48">
        <v>801</v>
      </c>
      <c r="D637" s="48">
        <v>80104</v>
      </c>
      <c r="E637" s="186" t="s">
        <v>1030</v>
      </c>
      <c r="F637" s="51">
        <f t="shared" ref="F637" si="97">G637+H637</f>
        <v>220000</v>
      </c>
      <c r="G637" s="70">
        <v>220000</v>
      </c>
      <c r="H637" s="70"/>
    </row>
    <row r="638" spans="1:8" s="6" customFormat="1" ht="24" customHeight="1">
      <c r="A638" s="52" t="s">
        <v>1037</v>
      </c>
      <c r="B638" s="49" t="s">
        <v>1038</v>
      </c>
      <c r="C638" s="48">
        <v>801</v>
      </c>
      <c r="D638" s="48">
        <v>80101</v>
      </c>
      <c r="E638" s="186" t="s">
        <v>385</v>
      </c>
      <c r="F638" s="51">
        <f t="shared" ref="F638" si="98">G638+H638</f>
        <v>2300000</v>
      </c>
      <c r="G638" s="70">
        <v>2300000</v>
      </c>
      <c r="H638" s="70"/>
    </row>
    <row r="639" spans="1:8" s="6" customFormat="1" ht="24" customHeight="1">
      <c r="A639" s="52" t="s">
        <v>1045</v>
      </c>
      <c r="B639" s="49" t="s">
        <v>1046</v>
      </c>
      <c r="C639" s="48">
        <v>801</v>
      </c>
      <c r="D639" s="48">
        <v>80104</v>
      </c>
      <c r="E639" s="186" t="s">
        <v>385</v>
      </c>
      <c r="F639" s="51">
        <f t="shared" ref="F639" si="99">G639+H639</f>
        <v>250000</v>
      </c>
      <c r="G639" s="70">
        <v>250000</v>
      </c>
      <c r="H639" s="70"/>
    </row>
    <row r="640" spans="1:8" s="6" customFormat="1" ht="24" customHeight="1">
      <c r="A640" s="52" t="s">
        <v>1047</v>
      </c>
      <c r="B640" s="49" t="s">
        <v>1048</v>
      </c>
      <c r="C640" s="48">
        <v>801</v>
      </c>
      <c r="D640" s="48">
        <v>80101</v>
      </c>
      <c r="E640" s="186" t="s">
        <v>385</v>
      </c>
      <c r="F640" s="51">
        <f t="shared" ref="F640" si="100">G640+H640</f>
        <v>300000</v>
      </c>
      <c r="G640" s="70">
        <v>300000</v>
      </c>
      <c r="H640" s="70"/>
    </row>
    <row r="641" spans="1:8" s="6" customFormat="1" ht="24" customHeight="1">
      <c r="A641" s="52" t="s">
        <v>395</v>
      </c>
      <c r="B641" s="53" t="s">
        <v>396</v>
      </c>
      <c r="C641" s="48">
        <v>926</v>
      </c>
      <c r="D641" s="48">
        <v>92601</v>
      </c>
      <c r="E641" s="172" t="s">
        <v>397</v>
      </c>
      <c r="F641" s="51">
        <f t="shared" ref="F641:F655" si="101">G641+H641</f>
        <v>3536000</v>
      </c>
      <c r="G641" s="70">
        <v>3536000</v>
      </c>
      <c r="H641" s="70"/>
    </row>
    <row r="642" spans="1:8" s="6" customFormat="1" ht="24" customHeight="1">
      <c r="A642" s="52" t="s">
        <v>1049</v>
      </c>
      <c r="B642" s="53" t="s">
        <v>1050</v>
      </c>
      <c r="C642" s="48">
        <v>801</v>
      </c>
      <c r="D642" s="48">
        <v>80101</v>
      </c>
      <c r="E642" s="186" t="s">
        <v>385</v>
      </c>
      <c r="F642" s="51">
        <f t="shared" si="101"/>
        <v>400000</v>
      </c>
      <c r="G642" s="70">
        <v>400000</v>
      </c>
      <c r="H642" s="70"/>
    </row>
    <row r="643" spans="1:8" s="6" customFormat="1" ht="24" customHeight="1">
      <c r="A643" s="52" t="s">
        <v>1051</v>
      </c>
      <c r="B643" s="53" t="s">
        <v>1052</v>
      </c>
      <c r="C643" s="48">
        <v>801</v>
      </c>
      <c r="D643" s="48">
        <v>80104</v>
      </c>
      <c r="E643" s="172" t="s">
        <v>1053</v>
      </c>
      <c r="F643" s="51">
        <f t="shared" ref="F643" si="102">G643+H643</f>
        <v>200000</v>
      </c>
      <c r="G643" s="70">
        <v>200000</v>
      </c>
      <c r="H643" s="70"/>
    </row>
    <row r="644" spans="1:8" s="6" customFormat="1" ht="24" customHeight="1">
      <c r="A644" s="52" t="s">
        <v>1054</v>
      </c>
      <c r="B644" s="53" t="s">
        <v>1055</v>
      </c>
      <c r="C644" s="48">
        <v>801</v>
      </c>
      <c r="D644" s="48">
        <v>80101</v>
      </c>
      <c r="E644" s="172" t="s">
        <v>1322</v>
      </c>
      <c r="F644" s="51">
        <f t="shared" ref="F644" si="103">G644+H644</f>
        <v>250000</v>
      </c>
      <c r="G644" s="70">
        <v>250000</v>
      </c>
      <c r="H644" s="70"/>
    </row>
    <row r="645" spans="1:8" s="6" customFormat="1" ht="24" customHeight="1">
      <c r="A645" s="52" t="s">
        <v>1056</v>
      </c>
      <c r="B645" s="53" t="s">
        <v>1057</v>
      </c>
      <c r="C645" s="48">
        <v>801</v>
      </c>
      <c r="D645" s="48">
        <v>80104</v>
      </c>
      <c r="E645" s="172" t="s">
        <v>1058</v>
      </c>
      <c r="F645" s="51">
        <f t="shared" ref="F645" si="104">G645+H645</f>
        <v>140000</v>
      </c>
      <c r="G645" s="70">
        <v>140000</v>
      </c>
      <c r="H645" s="70"/>
    </row>
    <row r="646" spans="1:8" s="6" customFormat="1" ht="24" customHeight="1">
      <c r="A646" s="52" t="s">
        <v>398</v>
      </c>
      <c r="B646" s="53" t="s">
        <v>399</v>
      </c>
      <c r="C646" s="50">
        <v>801</v>
      </c>
      <c r="D646" s="50">
        <v>80101</v>
      </c>
      <c r="E646" s="186" t="s">
        <v>385</v>
      </c>
      <c r="F646" s="51">
        <f t="shared" si="101"/>
        <v>40536618</v>
      </c>
      <c r="G646" s="70">
        <f>40220618+316000</f>
        <v>40536618</v>
      </c>
      <c r="H646" s="70"/>
    </row>
    <row r="647" spans="1:8" s="6" customFormat="1" ht="24" customHeight="1">
      <c r="A647" s="52" t="s">
        <v>1059</v>
      </c>
      <c r="B647" s="53" t="s">
        <v>1060</v>
      </c>
      <c r="C647" s="48">
        <v>801</v>
      </c>
      <c r="D647" s="48">
        <v>80104</v>
      </c>
      <c r="E647" s="172" t="s">
        <v>1061</v>
      </c>
      <c r="F647" s="51">
        <f t="shared" si="101"/>
        <v>50000</v>
      </c>
      <c r="G647" s="70">
        <v>50000</v>
      </c>
      <c r="H647" s="70"/>
    </row>
    <row r="648" spans="1:8" s="6" customFormat="1" ht="24" customHeight="1">
      <c r="A648" s="52" t="s">
        <v>1062</v>
      </c>
      <c r="B648" s="53" t="s">
        <v>1063</v>
      </c>
      <c r="C648" s="48">
        <v>801</v>
      </c>
      <c r="D648" s="48">
        <v>80104</v>
      </c>
      <c r="E648" s="172" t="s">
        <v>1064</v>
      </c>
      <c r="F648" s="51">
        <f t="shared" si="101"/>
        <v>50000</v>
      </c>
      <c r="G648" s="70">
        <v>50000</v>
      </c>
      <c r="H648" s="70"/>
    </row>
    <row r="649" spans="1:8" s="6" customFormat="1" ht="24" customHeight="1">
      <c r="A649" s="52" t="s">
        <v>1065</v>
      </c>
      <c r="B649" s="53" t="s">
        <v>1070</v>
      </c>
      <c r="C649" s="48">
        <v>801</v>
      </c>
      <c r="D649" s="48">
        <v>80104</v>
      </c>
      <c r="E649" s="172" t="s">
        <v>1071</v>
      </c>
      <c r="F649" s="51">
        <f t="shared" si="101"/>
        <v>70000</v>
      </c>
      <c r="G649" s="70">
        <v>70000</v>
      </c>
      <c r="H649" s="70"/>
    </row>
    <row r="650" spans="1:8" s="6" customFormat="1" ht="24" customHeight="1">
      <c r="A650" s="52" t="s">
        <v>1066</v>
      </c>
      <c r="B650" s="53" t="s">
        <v>1315</v>
      </c>
      <c r="C650" s="48">
        <v>801</v>
      </c>
      <c r="D650" s="48">
        <v>80101</v>
      </c>
      <c r="E650" s="172" t="s">
        <v>1072</v>
      </c>
      <c r="F650" s="51">
        <f t="shared" si="101"/>
        <v>150000</v>
      </c>
      <c r="G650" s="70">
        <v>150000</v>
      </c>
      <c r="H650" s="70"/>
    </row>
    <row r="651" spans="1:8" s="6" customFormat="1" ht="24" customHeight="1">
      <c r="A651" s="52" t="s">
        <v>1067</v>
      </c>
      <c r="B651" s="53" t="s">
        <v>1316</v>
      </c>
      <c r="C651" s="48">
        <v>801</v>
      </c>
      <c r="D651" s="48">
        <v>80104</v>
      </c>
      <c r="E651" s="172" t="s">
        <v>1073</v>
      </c>
      <c r="F651" s="51">
        <f t="shared" si="101"/>
        <v>80000</v>
      </c>
      <c r="G651" s="70">
        <v>80000</v>
      </c>
      <c r="H651" s="70"/>
    </row>
    <row r="652" spans="1:8" s="6" customFormat="1" ht="24" customHeight="1">
      <c r="A652" s="52" t="s">
        <v>1068</v>
      </c>
      <c r="B652" s="53" t="s">
        <v>1069</v>
      </c>
      <c r="C652" s="48">
        <v>801</v>
      </c>
      <c r="D652" s="48">
        <v>80120</v>
      </c>
      <c r="E652" s="172" t="s">
        <v>1074</v>
      </c>
      <c r="F652" s="51">
        <f t="shared" si="101"/>
        <v>50000</v>
      </c>
      <c r="G652" s="70"/>
      <c r="H652" s="70">
        <v>50000</v>
      </c>
    </row>
    <row r="653" spans="1:8" s="6" customFormat="1" ht="24" customHeight="1">
      <c r="A653" s="52" t="s">
        <v>1312</v>
      </c>
      <c r="B653" s="53" t="s">
        <v>1077</v>
      </c>
      <c r="C653" s="48">
        <v>801</v>
      </c>
      <c r="D653" s="48">
        <v>80120</v>
      </c>
      <c r="E653" s="172" t="s">
        <v>1078</v>
      </c>
      <c r="F653" s="51">
        <f t="shared" si="101"/>
        <v>50000</v>
      </c>
      <c r="G653" s="70"/>
      <c r="H653" s="70">
        <v>50000</v>
      </c>
    </row>
    <row r="654" spans="1:8" s="6" customFormat="1" ht="24" customHeight="1">
      <c r="A654" s="52" t="s">
        <v>1081</v>
      </c>
      <c r="B654" s="53" t="s">
        <v>1082</v>
      </c>
      <c r="C654" s="48">
        <v>801</v>
      </c>
      <c r="D654" s="48">
        <v>80104</v>
      </c>
      <c r="E654" s="172" t="s">
        <v>1083</v>
      </c>
      <c r="F654" s="51">
        <f t="shared" si="101"/>
        <v>150000</v>
      </c>
      <c r="G654" s="70">
        <v>150000</v>
      </c>
      <c r="H654" s="70"/>
    </row>
    <row r="655" spans="1:8" s="6" customFormat="1" ht="24" customHeight="1">
      <c r="A655" s="52" t="s">
        <v>1084</v>
      </c>
      <c r="B655" s="53" t="s">
        <v>1085</v>
      </c>
      <c r="C655" s="48">
        <v>801</v>
      </c>
      <c r="D655" s="48">
        <v>80101</v>
      </c>
      <c r="E655" s="172" t="s">
        <v>1323</v>
      </c>
      <c r="F655" s="51">
        <f t="shared" si="101"/>
        <v>950000</v>
      </c>
      <c r="G655" s="70">
        <f>800000+150000</f>
        <v>950000</v>
      </c>
      <c r="H655" s="70"/>
    </row>
    <row r="656" spans="1:8" s="6" customFormat="1" ht="24" customHeight="1">
      <c r="A656" s="52" t="s">
        <v>400</v>
      </c>
      <c r="B656" s="53" t="s">
        <v>401</v>
      </c>
      <c r="C656" s="50">
        <v>801</v>
      </c>
      <c r="D656" s="50">
        <v>80101</v>
      </c>
      <c r="E656" s="186" t="s">
        <v>385</v>
      </c>
      <c r="F656" s="51">
        <f>G656+H656</f>
        <v>6212504</v>
      </c>
      <c r="G656" s="70">
        <f>6206504+6000</f>
        <v>6212504</v>
      </c>
      <c r="H656" s="70"/>
    </row>
    <row r="657" spans="1:8" s="6" customFormat="1" ht="24" customHeight="1">
      <c r="A657" s="52" t="s">
        <v>402</v>
      </c>
      <c r="B657" s="53" t="s">
        <v>403</v>
      </c>
      <c r="C657" s="50">
        <v>801</v>
      </c>
      <c r="D657" s="50">
        <v>80104</v>
      </c>
      <c r="E657" s="186" t="s">
        <v>385</v>
      </c>
      <c r="F657" s="51">
        <f>G657+H657</f>
        <v>11360836</v>
      </c>
      <c r="G657" s="70">
        <f>11353836+7000</f>
        <v>11360836</v>
      </c>
      <c r="H657" s="70"/>
    </row>
    <row r="658" spans="1:8" ht="24" customHeight="1">
      <c r="A658" s="52" t="s">
        <v>541</v>
      </c>
      <c r="B658" s="53" t="s">
        <v>542</v>
      </c>
      <c r="C658" s="50">
        <v>801</v>
      </c>
      <c r="D658" s="50">
        <v>80101</v>
      </c>
      <c r="E658" s="186" t="s">
        <v>543</v>
      </c>
      <c r="F658" s="122">
        <f t="shared" ref="F658:F719" si="105">G658+H658</f>
        <v>500000</v>
      </c>
      <c r="G658" s="119">
        <v>500000</v>
      </c>
      <c r="H658" s="119"/>
    </row>
    <row r="659" spans="1:8" ht="24" customHeight="1">
      <c r="A659" s="34" t="s">
        <v>949</v>
      </c>
      <c r="B659" s="35" t="s">
        <v>950</v>
      </c>
      <c r="C659" s="50">
        <v>801</v>
      </c>
      <c r="D659" s="50">
        <v>80101</v>
      </c>
      <c r="E659" s="186" t="s">
        <v>385</v>
      </c>
      <c r="F659" s="122">
        <f t="shared" si="105"/>
        <v>20000</v>
      </c>
      <c r="G659" s="113">
        <v>20000</v>
      </c>
      <c r="H659" s="113"/>
    </row>
    <row r="660" spans="1:8" s="6" customFormat="1" ht="21.75" customHeight="1">
      <c r="A660" s="34" t="s">
        <v>624</v>
      </c>
      <c r="B660" s="124" t="s">
        <v>696</v>
      </c>
      <c r="C660" s="40"/>
      <c r="D660" s="40"/>
      <c r="E660" s="183"/>
      <c r="F660" s="39">
        <f t="shared" si="105"/>
        <v>269338</v>
      </c>
      <c r="G660" s="73">
        <f>SUM(G661)</f>
        <v>269338</v>
      </c>
      <c r="H660" s="73"/>
    </row>
    <row r="661" spans="1:8" s="6" customFormat="1" ht="21.75" customHeight="1">
      <c r="A661" s="41"/>
      <c r="B661" s="65" t="s">
        <v>547</v>
      </c>
      <c r="C661" s="43">
        <v>801</v>
      </c>
      <c r="D661" s="43">
        <v>80195</v>
      </c>
      <c r="E661" s="185" t="s">
        <v>632</v>
      </c>
      <c r="F661" s="44">
        <f t="shared" si="105"/>
        <v>269338</v>
      </c>
      <c r="G661" s="75">
        <v>269338</v>
      </c>
      <c r="H661" s="75"/>
    </row>
    <row r="662" spans="1:8" s="6" customFormat="1" ht="21.75" customHeight="1">
      <c r="A662" s="34" t="s">
        <v>625</v>
      </c>
      <c r="B662" s="124" t="s">
        <v>735</v>
      </c>
      <c r="C662" s="40"/>
      <c r="D662" s="40"/>
      <c r="E662" s="183"/>
      <c r="F662" s="39">
        <f t="shared" si="105"/>
        <v>130000</v>
      </c>
      <c r="G662" s="73">
        <f>SUM(G663)</f>
        <v>130000</v>
      </c>
      <c r="H662" s="73"/>
    </row>
    <row r="663" spans="1:8" s="6" customFormat="1" ht="21.75" customHeight="1">
      <c r="A663" s="41"/>
      <c r="B663" s="65" t="s">
        <v>547</v>
      </c>
      <c r="C663" s="43">
        <v>801</v>
      </c>
      <c r="D663" s="43">
        <v>80195</v>
      </c>
      <c r="E663" s="185" t="s">
        <v>726</v>
      </c>
      <c r="F663" s="44">
        <f t="shared" si="105"/>
        <v>130000</v>
      </c>
      <c r="G663" s="75">
        <v>130000</v>
      </c>
      <c r="H663" s="75"/>
    </row>
    <row r="664" spans="1:8" s="6" customFormat="1" ht="21.75" customHeight="1">
      <c r="A664" s="34" t="s">
        <v>633</v>
      </c>
      <c r="B664" s="124" t="s">
        <v>718</v>
      </c>
      <c r="C664" s="40"/>
      <c r="D664" s="40"/>
      <c r="E664" s="183"/>
      <c r="F664" s="39">
        <f t="shared" si="105"/>
        <v>277200</v>
      </c>
      <c r="G664" s="73">
        <f>SUM(G665)</f>
        <v>277200</v>
      </c>
      <c r="H664" s="73"/>
    </row>
    <row r="665" spans="1:8" s="6" customFormat="1" ht="21.75" customHeight="1">
      <c r="A665" s="41"/>
      <c r="B665" s="65" t="s">
        <v>547</v>
      </c>
      <c r="C665" s="43">
        <v>801</v>
      </c>
      <c r="D665" s="43">
        <v>80195</v>
      </c>
      <c r="E665" s="185" t="s">
        <v>727</v>
      </c>
      <c r="F665" s="44">
        <f t="shared" si="105"/>
        <v>277200</v>
      </c>
      <c r="G665" s="75">
        <v>277200</v>
      </c>
      <c r="H665" s="75"/>
    </row>
    <row r="666" spans="1:8" s="6" customFormat="1" ht="24" customHeight="1">
      <c r="A666" s="41" t="s">
        <v>1086</v>
      </c>
      <c r="B666" s="151" t="s">
        <v>1087</v>
      </c>
      <c r="C666" s="50">
        <v>801</v>
      </c>
      <c r="D666" s="50">
        <v>80101</v>
      </c>
      <c r="E666" s="185" t="s">
        <v>1324</v>
      </c>
      <c r="F666" s="51">
        <f t="shared" si="105"/>
        <v>250000</v>
      </c>
      <c r="G666" s="75">
        <v>250000</v>
      </c>
      <c r="H666" s="75"/>
    </row>
    <row r="667" spans="1:8" s="6" customFormat="1" ht="24" customHeight="1">
      <c r="A667" s="52" t="s">
        <v>1010</v>
      </c>
      <c r="B667" s="49" t="s">
        <v>1011</v>
      </c>
      <c r="C667" s="50">
        <v>854</v>
      </c>
      <c r="D667" s="50">
        <v>85407</v>
      </c>
      <c r="E667" s="186" t="s">
        <v>1012</v>
      </c>
      <c r="F667" s="51">
        <f t="shared" ref="F667:F714" si="106">G667+H667</f>
        <v>1400000</v>
      </c>
      <c r="G667" s="70"/>
      <c r="H667" s="70">
        <v>1400000</v>
      </c>
    </row>
    <row r="668" spans="1:8" s="6" customFormat="1" ht="24" customHeight="1">
      <c r="A668" s="52" t="s">
        <v>404</v>
      </c>
      <c r="B668" s="49" t="s">
        <v>405</v>
      </c>
      <c r="C668" s="50">
        <v>801</v>
      </c>
      <c r="D668" s="50">
        <v>80101</v>
      </c>
      <c r="E668" s="186" t="s">
        <v>385</v>
      </c>
      <c r="F668" s="51">
        <f t="shared" si="105"/>
        <v>10646000</v>
      </c>
      <c r="G668" s="70">
        <v>10646000</v>
      </c>
      <c r="H668" s="70"/>
    </row>
    <row r="669" spans="1:8" s="6" customFormat="1" ht="24" customHeight="1">
      <c r="A669" s="52" t="s">
        <v>1088</v>
      </c>
      <c r="B669" s="49" t="s">
        <v>1089</v>
      </c>
      <c r="C669" s="50">
        <v>801</v>
      </c>
      <c r="D669" s="50">
        <v>80101</v>
      </c>
      <c r="E669" s="186" t="s">
        <v>385</v>
      </c>
      <c r="F669" s="51">
        <f t="shared" si="105"/>
        <v>300000</v>
      </c>
      <c r="G669" s="75">
        <v>300000</v>
      </c>
      <c r="H669" s="75"/>
    </row>
    <row r="670" spans="1:8" s="6" customFormat="1" ht="24" customHeight="1">
      <c r="A670" s="52" t="s">
        <v>914</v>
      </c>
      <c r="B670" s="49" t="s">
        <v>913</v>
      </c>
      <c r="C670" s="50">
        <v>801</v>
      </c>
      <c r="D670" s="50">
        <v>80101</v>
      </c>
      <c r="E670" s="186" t="s">
        <v>385</v>
      </c>
      <c r="F670" s="51">
        <f t="shared" si="106"/>
        <v>250000</v>
      </c>
      <c r="G670" s="70">
        <v>250000</v>
      </c>
      <c r="H670" s="70"/>
    </row>
    <row r="671" spans="1:8" s="6" customFormat="1" ht="24" customHeight="1">
      <c r="A671" s="52" t="s">
        <v>1090</v>
      </c>
      <c r="B671" s="49" t="s">
        <v>1091</v>
      </c>
      <c r="C671" s="48">
        <v>801</v>
      </c>
      <c r="D671" s="48">
        <v>80104</v>
      </c>
      <c r="E671" s="186" t="s">
        <v>1092</v>
      </c>
      <c r="F671" s="51">
        <f t="shared" ref="F671" si="107">G671+H671</f>
        <v>200000</v>
      </c>
      <c r="G671" s="70">
        <v>200000</v>
      </c>
      <c r="H671" s="70"/>
    </row>
    <row r="672" spans="1:8" s="6" customFormat="1" ht="24" customHeight="1">
      <c r="A672" s="52" t="s">
        <v>939</v>
      </c>
      <c r="B672" s="49" t="s">
        <v>940</v>
      </c>
      <c r="C672" s="48">
        <v>801</v>
      </c>
      <c r="D672" s="48">
        <v>80104</v>
      </c>
      <c r="E672" s="186" t="s">
        <v>1318</v>
      </c>
      <c r="F672" s="51">
        <f t="shared" si="106"/>
        <v>500000</v>
      </c>
      <c r="G672" s="70">
        <v>500000</v>
      </c>
      <c r="H672" s="70"/>
    </row>
    <row r="673" spans="1:8" s="6" customFormat="1" ht="24" customHeight="1">
      <c r="A673" s="52" t="s">
        <v>1093</v>
      </c>
      <c r="B673" s="49" t="s">
        <v>1094</v>
      </c>
      <c r="C673" s="50">
        <v>801</v>
      </c>
      <c r="D673" s="50">
        <v>80101</v>
      </c>
      <c r="E673" s="186" t="s">
        <v>1095</v>
      </c>
      <c r="F673" s="51">
        <f t="shared" ref="F673" si="108">G673+H673</f>
        <v>200000</v>
      </c>
      <c r="G673" s="70">
        <v>200000</v>
      </c>
      <c r="H673" s="70"/>
    </row>
    <row r="674" spans="1:8" s="6" customFormat="1" ht="24" customHeight="1">
      <c r="A674" s="52" t="s">
        <v>1096</v>
      </c>
      <c r="B674" s="49" t="s">
        <v>1097</v>
      </c>
      <c r="C674" s="50">
        <v>801</v>
      </c>
      <c r="D674" s="50">
        <v>80101</v>
      </c>
      <c r="E674" s="186" t="s">
        <v>1098</v>
      </c>
      <c r="F674" s="51">
        <f t="shared" ref="F674" si="109">G674+H674</f>
        <v>60000</v>
      </c>
      <c r="G674" s="70">
        <v>60000</v>
      </c>
      <c r="H674" s="70"/>
    </row>
    <row r="675" spans="1:8" s="6" customFormat="1" ht="24" customHeight="1">
      <c r="A675" s="52" t="s">
        <v>1103</v>
      </c>
      <c r="B675" s="49" t="s">
        <v>1104</v>
      </c>
      <c r="C675" s="50">
        <v>801</v>
      </c>
      <c r="D675" s="50">
        <v>80101</v>
      </c>
      <c r="E675" s="186" t="s">
        <v>726</v>
      </c>
      <c r="F675" s="51">
        <f t="shared" ref="F675:F677" si="110">G675+H675</f>
        <v>50000</v>
      </c>
      <c r="G675" s="70">
        <v>50000</v>
      </c>
      <c r="H675" s="70"/>
    </row>
    <row r="676" spans="1:8" s="6" customFormat="1" ht="24" customHeight="1">
      <c r="A676" s="52" t="s">
        <v>1105</v>
      </c>
      <c r="B676" s="49" t="s">
        <v>1106</v>
      </c>
      <c r="C676" s="48">
        <v>801</v>
      </c>
      <c r="D676" s="48">
        <v>80104</v>
      </c>
      <c r="E676" s="186" t="s">
        <v>1109</v>
      </c>
      <c r="F676" s="51">
        <f t="shared" si="110"/>
        <v>180000</v>
      </c>
      <c r="G676" s="70">
        <v>180000</v>
      </c>
      <c r="H676" s="70"/>
    </row>
    <row r="677" spans="1:8" s="6" customFormat="1" ht="24" customHeight="1">
      <c r="A677" s="52" t="s">
        <v>1107</v>
      </c>
      <c r="B677" s="49" t="s">
        <v>1108</v>
      </c>
      <c r="C677" s="48">
        <v>801</v>
      </c>
      <c r="D677" s="48">
        <v>80104</v>
      </c>
      <c r="E677" s="186" t="s">
        <v>1110</v>
      </c>
      <c r="F677" s="51">
        <f t="shared" si="110"/>
        <v>200000</v>
      </c>
      <c r="G677" s="70">
        <v>200000</v>
      </c>
      <c r="H677" s="70"/>
    </row>
    <row r="678" spans="1:8" s="6" customFormat="1" ht="24" customHeight="1">
      <c r="A678" s="52" t="s">
        <v>1127</v>
      </c>
      <c r="B678" s="49" t="s">
        <v>1128</v>
      </c>
      <c r="C678" s="48">
        <v>801</v>
      </c>
      <c r="D678" s="48">
        <v>80104</v>
      </c>
      <c r="E678" s="186" t="s">
        <v>1129</v>
      </c>
      <c r="F678" s="51">
        <f t="shared" ref="F678" si="111">G678+H678</f>
        <v>150000</v>
      </c>
      <c r="G678" s="70">
        <v>150000</v>
      </c>
      <c r="H678" s="70"/>
    </row>
    <row r="679" spans="1:8" s="6" customFormat="1" ht="24" customHeight="1">
      <c r="A679" s="52" t="s">
        <v>1133</v>
      </c>
      <c r="B679" s="49" t="s">
        <v>1134</v>
      </c>
      <c r="C679" s="48">
        <v>801</v>
      </c>
      <c r="D679" s="48">
        <v>80104</v>
      </c>
      <c r="E679" s="186" t="s">
        <v>385</v>
      </c>
      <c r="F679" s="51">
        <f t="shared" ref="F679" si="112">G679+H679</f>
        <v>150000</v>
      </c>
      <c r="G679" s="70">
        <v>150000</v>
      </c>
      <c r="H679" s="70"/>
    </row>
    <row r="680" spans="1:8" s="6" customFormat="1" ht="24" customHeight="1">
      <c r="A680" s="52" t="s">
        <v>1135</v>
      </c>
      <c r="B680" s="49" t="s">
        <v>1136</v>
      </c>
      <c r="C680" s="50">
        <v>801</v>
      </c>
      <c r="D680" s="50">
        <v>80101</v>
      </c>
      <c r="E680" s="186" t="s">
        <v>1102</v>
      </c>
      <c r="F680" s="51">
        <f t="shared" ref="F680" si="113">G680+H680</f>
        <v>200000</v>
      </c>
      <c r="G680" s="70">
        <v>200000</v>
      </c>
      <c r="H680" s="70"/>
    </row>
    <row r="681" spans="1:8" s="6" customFormat="1" ht="24" customHeight="1">
      <c r="A681" s="52" t="s">
        <v>1141</v>
      </c>
      <c r="B681" s="49" t="s">
        <v>1142</v>
      </c>
      <c r="C681" s="50">
        <v>801</v>
      </c>
      <c r="D681" s="50">
        <v>80101</v>
      </c>
      <c r="E681" s="186" t="s">
        <v>385</v>
      </c>
      <c r="F681" s="51">
        <f t="shared" ref="F681" si="114">G681+H681</f>
        <v>600000</v>
      </c>
      <c r="G681" s="70">
        <v>600000</v>
      </c>
      <c r="H681" s="70"/>
    </row>
    <row r="682" spans="1:8" s="6" customFormat="1" ht="24" customHeight="1">
      <c r="A682" s="52" t="s">
        <v>1147</v>
      </c>
      <c r="B682" s="49" t="s">
        <v>1148</v>
      </c>
      <c r="C682" s="48">
        <v>801</v>
      </c>
      <c r="D682" s="48">
        <v>80104</v>
      </c>
      <c r="E682" s="186" t="s">
        <v>1149</v>
      </c>
      <c r="F682" s="51">
        <f t="shared" ref="F682" si="115">G682+H682</f>
        <v>100000</v>
      </c>
      <c r="G682" s="70">
        <v>100000</v>
      </c>
      <c r="H682" s="70"/>
    </row>
    <row r="683" spans="1:8" s="6" customFormat="1" ht="24" customHeight="1">
      <c r="A683" s="52" t="s">
        <v>1153</v>
      </c>
      <c r="B683" s="49" t="s">
        <v>1154</v>
      </c>
      <c r="C683" s="48">
        <v>801</v>
      </c>
      <c r="D683" s="48">
        <v>80104</v>
      </c>
      <c r="E683" s="186" t="s">
        <v>1155</v>
      </c>
      <c r="F683" s="51">
        <f t="shared" ref="F683" si="116">G683+H683</f>
        <v>150000</v>
      </c>
      <c r="G683" s="70">
        <v>150000</v>
      </c>
      <c r="H683" s="70"/>
    </row>
    <row r="684" spans="1:8" s="6" customFormat="1" ht="24" customHeight="1">
      <c r="A684" s="52" t="s">
        <v>1161</v>
      </c>
      <c r="B684" s="49" t="s">
        <v>1162</v>
      </c>
      <c r="C684" s="50">
        <v>801</v>
      </c>
      <c r="D684" s="50">
        <v>80104</v>
      </c>
      <c r="E684" s="186" t="s">
        <v>1163</v>
      </c>
      <c r="F684" s="51">
        <f t="shared" ref="F684" si="117">G684+H684</f>
        <v>600000</v>
      </c>
      <c r="G684" s="70">
        <v>600000</v>
      </c>
      <c r="H684" s="70"/>
    </row>
    <row r="685" spans="1:8" s="6" customFormat="1" ht="24" customHeight="1">
      <c r="A685" s="52" t="s">
        <v>1166</v>
      </c>
      <c r="B685" s="49" t="s">
        <v>1167</v>
      </c>
      <c r="C685" s="50">
        <v>801</v>
      </c>
      <c r="D685" s="50">
        <v>80101</v>
      </c>
      <c r="E685" s="186" t="s">
        <v>1168</v>
      </c>
      <c r="F685" s="51">
        <f t="shared" ref="F685:F686" si="118">G685+H685</f>
        <v>220000</v>
      </c>
      <c r="G685" s="70">
        <v>220000</v>
      </c>
      <c r="H685" s="70"/>
    </row>
    <row r="686" spans="1:8" s="6" customFormat="1" ht="24" customHeight="1">
      <c r="A686" s="52" t="s">
        <v>1174</v>
      </c>
      <c r="B686" s="49" t="s">
        <v>1175</v>
      </c>
      <c r="C686" s="50">
        <v>801</v>
      </c>
      <c r="D686" s="50">
        <v>80101</v>
      </c>
      <c r="E686" s="186" t="s">
        <v>1176</v>
      </c>
      <c r="F686" s="51">
        <f t="shared" si="118"/>
        <v>50000</v>
      </c>
      <c r="G686" s="70">
        <v>50000</v>
      </c>
      <c r="H686" s="70"/>
    </row>
    <row r="687" spans="1:8" s="6" customFormat="1" ht="24" customHeight="1">
      <c r="A687" s="52" t="s">
        <v>1178</v>
      </c>
      <c r="B687" s="49" t="s">
        <v>1182</v>
      </c>
      <c r="C687" s="50">
        <v>801</v>
      </c>
      <c r="D687" s="50">
        <v>80101</v>
      </c>
      <c r="E687" s="186" t="s">
        <v>1186</v>
      </c>
      <c r="F687" s="51">
        <f t="shared" ref="F687:F690" si="119">G687+H687</f>
        <v>50000</v>
      </c>
      <c r="G687" s="70">
        <v>50000</v>
      </c>
      <c r="H687" s="70"/>
    </row>
    <row r="688" spans="1:8" s="6" customFormat="1" ht="24" customHeight="1">
      <c r="A688" s="52" t="s">
        <v>1179</v>
      </c>
      <c r="B688" s="49" t="s">
        <v>1183</v>
      </c>
      <c r="C688" s="48">
        <v>801</v>
      </c>
      <c r="D688" s="48">
        <v>80104</v>
      </c>
      <c r="E688" s="186" t="s">
        <v>1188</v>
      </c>
      <c r="F688" s="51">
        <f t="shared" si="119"/>
        <v>120000</v>
      </c>
      <c r="G688" s="70">
        <v>120000</v>
      </c>
      <c r="H688" s="70"/>
    </row>
    <row r="689" spans="1:8" s="6" customFormat="1" ht="24" customHeight="1">
      <c r="A689" s="52" t="s">
        <v>1180</v>
      </c>
      <c r="B689" s="49" t="s">
        <v>1184</v>
      </c>
      <c r="C689" s="48">
        <v>801</v>
      </c>
      <c r="D689" s="48">
        <v>80104</v>
      </c>
      <c r="E689" s="186" t="s">
        <v>385</v>
      </c>
      <c r="F689" s="51">
        <f t="shared" si="119"/>
        <v>500000</v>
      </c>
      <c r="G689" s="70">
        <v>500000</v>
      </c>
      <c r="H689" s="70"/>
    </row>
    <row r="690" spans="1:8" s="6" customFormat="1" ht="24" customHeight="1">
      <c r="A690" s="52" t="s">
        <v>1181</v>
      </c>
      <c r="B690" s="49" t="s">
        <v>1185</v>
      </c>
      <c r="C690" s="50">
        <v>801</v>
      </c>
      <c r="D690" s="50">
        <v>80101</v>
      </c>
      <c r="E690" s="186" t="s">
        <v>1187</v>
      </c>
      <c r="F690" s="51">
        <f t="shared" si="119"/>
        <v>50000</v>
      </c>
      <c r="G690" s="70">
        <v>50000</v>
      </c>
      <c r="H690" s="70"/>
    </row>
    <row r="691" spans="1:8" s="6" customFormat="1" ht="24" customHeight="1">
      <c r="A691" s="52" t="s">
        <v>1193</v>
      </c>
      <c r="B691" s="49" t="s">
        <v>1194</v>
      </c>
      <c r="C691" s="48">
        <v>801</v>
      </c>
      <c r="D691" s="48">
        <v>80104</v>
      </c>
      <c r="E691" s="186" t="s">
        <v>385</v>
      </c>
      <c r="F691" s="51">
        <f t="shared" ref="F691" si="120">G691+H691</f>
        <v>230000</v>
      </c>
      <c r="G691" s="70">
        <v>230000</v>
      </c>
      <c r="H691" s="70"/>
    </row>
    <row r="692" spans="1:8" s="6" customFormat="1" ht="24" customHeight="1">
      <c r="A692" s="52" t="s">
        <v>1205</v>
      </c>
      <c r="B692" s="49" t="s">
        <v>1207</v>
      </c>
      <c r="C692" s="50">
        <v>801</v>
      </c>
      <c r="D692" s="50">
        <v>80101</v>
      </c>
      <c r="E692" s="186" t="s">
        <v>1210</v>
      </c>
      <c r="F692" s="51">
        <f t="shared" ref="F692:F693" si="121">G692+H692</f>
        <v>200000</v>
      </c>
      <c r="G692" s="70">
        <v>200000</v>
      </c>
      <c r="H692" s="70"/>
    </row>
    <row r="693" spans="1:8" s="6" customFormat="1" ht="24" customHeight="1">
      <c r="A693" s="52" t="s">
        <v>1206</v>
      </c>
      <c r="B693" s="49" t="s">
        <v>1208</v>
      </c>
      <c r="C693" s="50">
        <v>801</v>
      </c>
      <c r="D693" s="50">
        <v>80120</v>
      </c>
      <c r="E693" s="186" t="s">
        <v>1209</v>
      </c>
      <c r="F693" s="51">
        <f t="shared" si="121"/>
        <v>150000</v>
      </c>
      <c r="G693" s="70"/>
      <c r="H693" s="70">
        <v>150000</v>
      </c>
    </row>
    <row r="694" spans="1:8" s="6" customFormat="1" ht="24" customHeight="1">
      <c r="A694" s="52" t="s">
        <v>1216</v>
      </c>
      <c r="B694" s="49" t="s">
        <v>1217</v>
      </c>
      <c r="C694" s="50">
        <v>801</v>
      </c>
      <c r="D694" s="50">
        <v>80101</v>
      </c>
      <c r="E694" s="186" t="s">
        <v>1218</v>
      </c>
      <c r="F694" s="51">
        <f t="shared" ref="F694" si="122">G694+H694</f>
        <v>130000</v>
      </c>
      <c r="G694" s="70">
        <v>130000</v>
      </c>
      <c r="H694" s="70"/>
    </row>
    <row r="695" spans="1:8" s="6" customFormat="1" ht="24" customHeight="1">
      <c r="A695" s="52" t="s">
        <v>1224</v>
      </c>
      <c r="B695" s="49" t="s">
        <v>1225</v>
      </c>
      <c r="C695" s="50">
        <v>801</v>
      </c>
      <c r="D695" s="50">
        <v>80101</v>
      </c>
      <c r="E695" s="186" t="s">
        <v>1226</v>
      </c>
      <c r="F695" s="51">
        <f t="shared" ref="F695:F696" si="123">G695+H695</f>
        <v>250000</v>
      </c>
      <c r="G695" s="70">
        <v>250000</v>
      </c>
      <c r="H695" s="70"/>
    </row>
    <row r="696" spans="1:8" s="6" customFormat="1" ht="24" customHeight="1">
      <c r="A696" s="52" t="s">
        <v>1235</v>
      </c>
      <c r="B696" s="49" t="s">
        <v>1236</v>
      </c>
      <c r="C696" s="50">
        <v>801</v>
      </c>
      <c r="D696" s="50">
        <v>80101</v>
      </c>
      <c r="E696" s="186" t="s">
        <v>1237</v>
      </c>
      <c r="F696" s="51">
        <f t="shared" si="123"/>
        <v>150000</v>
      </c>
      <c r="G696" s="70">
        <v>150000</v>
      </c>
      <c r="H696" s="70"/>
    </row>
    <row r="697" spans="1:8" s="6" customFormat="1" ht="24" customHeight="1">
      <c r="A697" s="52" t="s">
        <v>1274</v>
      </c>
      <c r="B697" s="49" t="s">
        <v>1275</v>
      </c>
      <c r="C697" s="48">
        <v>801</v>
      </c>
      <c r="D697" s="48">
        <v>80104</v>
      </c>
      <c r="E697" s="186" t="s">
        <v>1276</v>
      </c>
      <c r="F697" s="51">
        <f t="shared" ref="F697:F698" si="124">G697+H697</f>
        <v>120000</v>
      </c>
      <c r="G697" s="70">
        <v>120000</v>
      </c>
      <c r="H697" s="70"/>
    </row>
    <row r="698" spans="1:8" s="6" customFormat="1" ht="24" customHeight="1">
      <c r="A698" s="52" t="s">
        <v>1283</v>
      </c>
      <c r="B698" s="49" t="s">
        <v>1284</v>
      </c>
      <c r="C698" s="48">
        <v>801</v>
      </c>
      <c r="D698" s="48">
        <v>80104</v>
      </c>
      <c r="E698" s="186" t="s">
        <v>1285</v>
      </c>
      <c r="F698" s="51">
        <f t="shared" si="124"/>
        <v>150000</v>
      </c>
      <c r="G698" s="70">
        <v>150000</v>
      </c>
      <c r="H698" s="70"/>
    </row>
    <row r="699" spans="1:8" s="6" customFormat="1" ht="24" customHeight="1">
      <c r="A699" s="52" t="s">
        <v>1286</v>
      </c>
      <c r="B699" s="49" t="s">
        <v>1290</v>
      </c>
      <c r="C699" s="48">
        <v>801</v>
      </c>
      <c r="D699" s="48">
        <v>80104</v>
      </c>
      <c r="E699" s="186" t="s">
        <v>1293</v>
      </c>
      <c r="F699" s="51">
        <f t="shared" ref="F699:F702" si="125">G699+H699</f>
        <v>150000</v>
      </c>
      <c r="G699" s="70">
        <v>150000</v>
      </c>
      <c r="H699" s="70"/>
    </row>
    <row r="700" spans="1:8" s="6" customFormat="1" ht="24" customHeight="1">
      <c r="A700" s="52" t="s">
        <v>1287</v>
      </c>
      <c r="B700" s="49" t="s">
        <v>1291</v>
      </c>
      <c r="C700" s="48">
        <v>801</v>
      </c>
      <c r="D700" s="48">
        <v>80104</v>
      </c>
      <c r="E700" s="186" t="s">
        <v>1294</v>
      </c>
      <c r="F700" s="51">
        <f t="shared" si="125"/>
        <v>100000</v>
      </c>
      <c r="G700" s="70">
        <v>100000</v>
      </c>
      <c r="H700" s="70"/>
    </row>
    <row r="701" spans="1:8" s="6" customFormat="1" ht="24" customHeight="1">
      <c r="A701" s="52" t="s">
        <v>1288</v>
      </c>
      <c r="B701" s="49" t="s">
        <v>1311</v>
      </c>
      <c r="C701" s="48">
        <v>801</v>
      </c>
      <c r="D701" s="48">
        <v>80104</v>
      </c>
      <c r="E701" s="186" t="s">
        <v>1295</v>
      </c>
      <c r="F701" s="51">
        <f t="shared" si="125"/>
        <v>100000</v>
      </c>
      <c r="G701" s="70">
        <v>100000</v>
      </c>
      <c r="H701" s="70"/>
    </row>
    <row r="702" spans="1:8" s="6" customFormat="1" ht="24" customHeight="1">
      <c r="A702" s="52" t="s">
        <v>1289</v>
      </c>
      <c r="B702" s="49" t="s">
        <v>1292</v>
      </c>
      <c r="C702" s="50">
        <v>801</v>
      </c>
      <c r="D702" s="50">
        <v>80101</v>
      </c>
      <c r="E702" s="186" t="s">
        <v>1219</v>
      </c>
      <c r="F702" s="51">
        <f t="shared" si="125"/>
        <v>100000</v>
      </c>
      <c r="G702" s="70">
        <v>100000</v>
      </c>
      <c r="H702" s="70"/>
    </row>
    <row r="703" spans="1:8" s="6" customFormat="1" ht="24" customHeight="1">
      <c r="A703" s="52" t="s">
        <v>1296</v>
      </c>
      <c r="B703" s="49" t="s">
        <v>1297</v>
      </c>
      <c r="C703" s="48">
        <v>801</v>
      </c>
      <c r="D703" s="48">
        <v>80104</v>
      </c>
      <c r="E703" s="186" t="s">
        <v>1319</v>
      </c>
      <c r="F703" s="51">
        <f t="shared" ref="F703" si="126">G703+H703</f>
        <v>100000</v>
      </c>
      <c r="G703" s="70">
        <v>100000</v>
      </c>
      <c r="H703" s="70"/>
    </row>
    <row r="704" spans="1:8" s="6" customFormat="1" ht="24" customHeight="1">
      <c r="A704" s="52" t="s">
        <v>1298</v>
      </c>
      <c r="B704" s="49" t="s">
        <v>1299</v>
      </c>
      <c r="C704" s="50">
        <v>801</v>
      </c>
      <c r="D704" s="50">
        <v>80120</v>
      </c>
      <c r="E704" s="186" t="s">
        <v>964</v>
      </c>
      <c r="F704" s="51">
        <f t="shared" ref="F704" si="127">G704+H704</f>
        <v>100000</v>
      </c>
      <c r="G704" s="70"/>
      <c r="H704" s="70">
        <v>100000</v>
      </c>
    </row>
    <row r="705" spans="1:8" s="6" customFormat="1" ht="24" customHeight="1">
      <c r="A705" s="52" t="s">
        <v>1079</v>
      </c>
      <c r="B705" s="49" t="s">
        <v>1080</v>
      </c>
      <c r="C705" s="50">
        <v>801</v>
      </c>
      <c r="D705" s="50">
        <v>80132</v>
      </c>
      <c r="E705" s="186" t="s">
        <v>1317</v>
      </c>
      <c r="F705" s="51">
        <f t="shared" ref="F705" si="128">G705+H705</f>
        <v>50000</v>
      </c>
      <c r="G705" s="70"/>
      <c r="H705" s="70">
        <v>50000</v>
      </c>
    </row>
    <row r="706" spans="1:8" s="6" customFormat="1" ht="24" customHeight="1">
      <c r="A706" s="52" t="s">
        <v>1117</v>
      </c>
      <c r="B706" s="49" t="s">
        <v>1118</v>
      </c>
      <c r="C706" s="48">
        <v>801</v>
      </c>
      <c r="D706" s="48">
        <v>80104</v>
      </c>
      <c r="E706" s="186" t="s">
        <v>1119</v>
      </c>
      <c r="F706" s="51">
        <f t="shared" ref="F706:F709" si="129">G706+H706</f>
        <v>40000</v>
      </c>
      <c r="G706" s="70">
        <v>40000</v>
      </c>
      <c r="H706" s="70"/>
    </row>
    <row r="707" spans="1:8" s="6" customFormat="1" ht="24" customHeight="1">
      <c r="A707" s="52" t="s">
        <v>1320</v>
      </c>
      <c r="B707" s="49" t="s">
        <v>1156</v>
      </c>
      <c r="C707" s="48">
        <v>801</v>
      </c>
      <c r="D707" s="50">
        <v>80115</v>
      </c>
      <c r="E707" s="186" t="s">
        <v>1321</v>
      </c>
      <c r="F707" s="51">
        <f t="shared" si="129"/>
        <v>70000</v>
      </c>
      <c r="G707" s="70"/>
      <c r="H707" s="70">
        <v>70000</v>
      </c>
    </row>
    <row r="708" spans="1:8" s="6" customFormat="1" ht="24" customHeight="1">
      <c r="A708" s="52" t="s">
        <v>1169</v>
      </c>
      <c r="B708" s="49" t="s">
        <v>1170</v>
      </c>
      <c r="C708" s="50">
        <v>801</v>
      </c>
      <c r="D708" s="50">
        <v>80101</v>
      </c>
      <c r="E708" s="186" t="s">
        <v>1168</v>
      </c>
      <c r="F708" s="51">
        <f t="shared" ref="F708" si="130">G708+H708</f>
        <v>50000</v>
      </c>
      <c r="G708" s="70">
        <v>50000</v>
      </c>
      <c r="H708" s="70"/>
    </row>
    <row r="709" spans="1:8" s="6" customFormat="1" ht="24" customHeight="1">
      <c r="A709" s="52" t="s">
        <v>1120</v>
      </c>
      <c r="B709" s="49" t="s">
        <v>1121</v>
      </c>
      <c r="C709" s="48">
        <v>801</v>
      </c>
      <c r="D709" s="48">
        <v>80104</v>
      </c>
      <c r="E709" s="186" t="s">
        <v>1122</v>
      </c>
      <c r="F709" s="51">
        <f t="shared" si="129"/>
        <v>130000</v>
      </c>
      <c r="G709" s="70">
        <v>130000</v>
      </c>
      <c r="H709" s="70"/>
    </row>
    <row r="710" spans="1:8" s="6" customFormat="1" ht="24" customHeight="1">
      <c r="A710" s="52" t="s">
        <v>944</v>
      </c>
      <c r="B710" s="49" t="s">
        <v>945</v>
      </c>
      <c r="C710" s="50">
        <v>801</v>
      </c>
      <c r="D710" s="50">
        <v>80101</v>
      </c>
      <c r="E710" s="186" t="s">
        <v>385</v>
      </c>
      <c r="F710" s="51">
        <f t="shared" si="106"/>
        <v>120000</v>
      </c>
      <c r="G710" s="70">
        <v>120000</v>
      </c>
      <c r="H710" s="70"/>
    </row>
    <row r="711" spans="1:8" s="6" customFormat="1" ht="24" customHeight="1">
      <c r="A711" s="52" t="s">
        <v>982</v>
      </c>
      <c r="B711" s="49" t="s">
        <v>983</v>
      </c>
      <c r="C711" s="50">
        <v>801</v>
      </c>
      <c r="D711" s="50">
        <v>80101</v>
      </c>
      <c r="E711" s="186" t="s">
        <v>984</v>
      </c>
      <c r="F711" s="51">
        <f t="shared" ref="F711" si="131">G711+H711</f>
        <v>120000</v>
      </c>
      <c r="G711" s="70">
        <v>120000</v>
      </c>
      <c r="H711" s="70"/>
    </row>
    <row r="712" spans="1:8" s="6" customFormat="1" ht="24" customHeight="1">
      <c r="A712" s="52" t="s">
        <v>990</v>
      </c>
      <c r="B712" s="49" t="s">
        <v>991</v>
      </c>
      <c r="C712" s="48">
        <v>801</v>
      </c>
      <c r="D712" s="48">
        <v>80104</v>
      </c>
      <c r="E712" s="186" t="s">
        <v>992</v>
      </c>
      <c r="F712" s="51">
        <f t="shared" ref="F712" si="132">G712+H712</f>
        <v>150000</v>
      </c>
      <c r="G712" s="70">
        <v>150000</v>
      </c>
      <c r="H712" s="70"/>
    </row>
    <row r="713" spans="1:8" s="6" customFormat="1" ht="24" customHeight="1">
      <c r="A713" s="52" t="s">
        <v>1111</v>
      </c>
      <c r="B713" s="49" t="s">
        <v>1112</v>
      </c>
      <c r="C713" s="50">
        <v>801</v>
      </c>
      <c r="D713" s="50">
        <v>80101</v>
      </c>
      <c r="E713" s="186" t="s">
        <v>984</v>
      </c>
      <c r="F713" s="51">
        <f t="shared" ref="F713" si="133">G713+H713</f>
        <v>60000</v>
      </c>
      <c r="G713" s="70">
        <v>60000</v>
      </c>
      <c r="H713" s="70"/>
    </row>
    <row r="714" spans="1:8" s="6" customFormat="1" ht="24" customHeight="1">
      <c r="A714" s="52" t="s">
        <v>805</v>
      </c>
      <c r="B714" s="49" t="s">
        <v>806</v>
      </c>
      <c r="C714" s="50">
        <v>854</v>
      </c>
      <c r="D714" s="50">
        <v>85407</v>
      </c>
      <c r="E714" s="186" t="s">
        <v>306</v>
      </c>
      <c r="F714" s="51">
        <f t="shared" si="106"/>
        <v>86100</v>
      </c>
      <c r="G714" s="70"/>
      <c r="H714" s="70">
        <v>86100</v>
      </c>
    </row>
    <row r="715" spans="1:8" s="6" customFormat="1" ht="24" customHeight="1">
      <c r="A715" s="15"/>
      <c r="B715" s="187" t="s">
        <v>410</v>
      </c>
      <c r="C715" s="50"/>
      <c r="D715" s="50"/>
      <c r="E715" s="169"/>
      <c r="F715" s="19">
        <f t="shared" si="105"/>
        <v>224391925</v>
      </c>
      <c r="G715" s="78">
        <f>G716</f>
        <v>224141925</v>
      </c>
      <c r="H715" s="78">
        <f>H716</f>
        <v>250000</v>
      </c>
    </row>
    <row r="716" spans="1:8" s="6" customFormat="1" ht="24" customHeight="1">
      <c r="A716" s="15"/>
      <c r="B716" s="187" t="s">
        <v>411</v>
      </c>
      <c r="C716" s="200"/>
      <c r="D716" s="200"/>
      <c r="E716" s="169"/>
      <c r="F716" s="19">
        <f t="shared" si="105"/>
        <v>224391925</v>
      </c>
      <c r="G716" s="78">
        <f>SUM(G717:G723,G726:G731,G734,G737:G739,G742:G770,G771,G773,G775,G777,G779)</f>
        <v>224141925</v>
      </c>
      <c r="H716" s="78">
        <f>SUM(H717:H723,H726:H731,H734,H737:H739,H742:H770,H771,H773,H775,H777,H779)</f>
        <v>250000</v>
      </c>
    </row>
    <row r="717" spans="1:8" s="6" customFormat="1" ht="24" customHeight="1">
      <c r="A717" s="41" t="s">
        <v>808</v>
      </c>
      <c r="B717" s="151" t="s">
        <v>809</v>
      </c>
      <c r="C717" s="42">
        <v>926</v>
      </c>
      <c r="D717" s="42">
        <v>92601</v>
      </c>
      <c r="E717" s="185" t="s">
        <v>397</v>
      </c>
      <c r="F717" s="51">
        <f t="shared" si="105"/>
        <v>200000</v>
      </c>
      <c r="G717" s="75">
        <v>200000</v>
      </c>
      <c r="H717" s="75"/>
    </row>
    <row r="718" spans="1:8" s="6" customFormat="1" ht="24" customHeight="1">
      <c r="A718" s="52" t="s">
        <v>1013</v>
      </c>
      <c r="B718" s="53" t="s">
        <v>1014</v>
      </c>
      <c r="C718" s="48">
        <v>926</v>
      </c>
      <c r="D718" s="48">
        <v>92601</v>
      </c>
      <c r="E718" s="186" t="s">
        <v>397</v>
      </c>
      <c r="F718" s="51">
        <f t="shared" si="105"/>
        <v>600000</v>
      </c>
      <c r="G718" s="70">
        <v>600000</v>
      </c>
      <c r="H718" s="70"/>
    </row>
    <row r="719" spans="1:8" s="6" customFormat="1" ht="24" customHeight="1">
      <c r="A719" s="41" t="s">
        <v>810</v>
      </c>
      <c r="B719" s="151" t="s">
        <v>811</v>
      </c>
      <c r="C719" s="42">
        <v>926</v>
      </c>
      <c r="D719" s="42">
        <v>92601</v>
      </c>
      <c r="E719" s="185" t="s">
        <v>397</v>
      </c>
      <c r="F719" s="51">
        <f t="shared" si="105"/>
        <v>900000</v>
      </c>
      <c r="G719" s="75">
        <v>900000</v>
      </c>
      <c r="H719" s="75"/>
    </row>
    <row r="720" spans="1:8" s="6" customFormat="1" ht="24" customHeight="1">
      <c r="A720" s="52" t="s">
        <v>406</v>
      </c>
      <c r="B720" s="53" t="s">
        <v>407</v>
      </c>
      <c r="C720" s="54">
        <v>926</v>
      </c>
      <c r="D720" s="54">
        <v>92601</v>
      </c>
      <c r="E720" s="186" t="s">
        <v>397</v>
      </c>
      <c r="F720" s="51">
        <f>G720+H720</f>
        <v>126936</v>
      </c>
      <c r="G720" s="70">
        <v>126936</v>
      </c>
      <c r="H720" s="70"/>
    </row>
    <row r="721" spans="1:8" s="6" customFormat="1" ht="24" customHeight="1">
      <c r="A721" s="52" t="s">
        <v>408</v>
      </c>
      <c r="B721" s="53" t="s">
        <v>409</v>
      </c>
      <c r="C721" s="54">
        <v>926</v>
      </c>
      <c r="D721" s="54">
        <v>92601</v>
      </c>
      <c r="E721" s="186" t="s">
        <v>397</v>
      </c>
      <c r="F721" s="51">
        <f t="shared" ref="F721:F725" si="134">G721+H721</f>
        <v>127822</v>
      </c>
      <c r="G721" s="70">
        <v>127822</v>
      </c>
      <c r="H721" s="70"/>
    </row>
    <row r="722" spans="1:8" s="6" customFormat="1" ht="24" customHeight="1">
      <c r="A722" s="48" t="s">
        <v>812</v>
      </c>
      <c r="B722" s="53" t="s">
        <v>813</v>
      </c>
      <c r="C722" s="54">
        <v>926</v>
      </c>
      <c r="D722" s="54">
        <v>92601</v>
      </c>
      <c r="E722" s="186" t="s">
        <v>397</v>
      </c>
      <c r="F722" s="51">
        <f t="shared" si="134"/>
        <v>1846000</v>
      </c>
      <c r="G722" s="75">
        <v>1846000</v>
      </c>
      <c r="H722" s="75"/>
    </row>
    <row r="723" spans="1:8" s="6" customFormat="1" ht="26.25" customHeight="1">
      <c r="A723" s="47" t="s">
        <v>412</v>
      </c>
      <c r="B723" s="117" t="s">
        <v>413</v>
      </c>
      <c r="C723" s="45"/>
      <c r="D723" s="76"/>
      <c r="E723" s="184"/>
      <c r="F723" s="38">
        <f t="shared" si="134"/>
        <v>2942436</v>
      </c>
      <c r="G723" s="77">
        <f>SUM(G724:G725)</f>
        <v>2942436</v>
      </c>
      <c r="H723" s="77"/>
    </row>
    <row r="724" spans="1:8" s="6" customFormat="1" ht="24" customHeight="1">
      <c r="A724" s="47"/>
      <c r="B724" s="143" t="s">
        <v>8</v>
      </c>
      <c r="C724" s="45">
        <v>926</v>
      </c>
      <c r="D724" s="45">
        <v>92601</v>
      </c>
      <c r="E724" s="184" t="s">
        <v>397</v>
      </c>
      <c r="F724" s="38">
        <f t="shared" si="134"/>
        <v>242436</v>
      </c>
      <c r="G724" s="77">
        <v>242436</v>
      </c>
      <c r="H724" s="77"/>
    </row>
    <row r="725" spans="1:8" s="6" customFormat="1" ht="24" customHeight="1">
      <c r="A725" s="41"/>
      <c r="B725" s="107" t="s">
        <v>11</v>
      </c>
      <c r="C725" s="42">
        <v>926</v>
      </c>
      <c r="D725" s="42">
        <v>92601</v>
      </c>
      <c r="E725" s="185" t="s">
        <v>397</v>
      </c>
      <c r="F725" s="44">
        <f t="shared" si="134"/>
        <v>2700000</v>
      </c>
      <c r="G725" s="75">
        <v>2700000</v>
      </c>
      <c r="H725" s="75"/>
    </row>
    <row r="726" spans="1:8" s="6" customFormat="1" ht="24" customHeight="1">
      <c r="A726" s="48" t="s">
        <v>814</v>
      </c>
      <c r="B726" s="118" t="s">
        <v>815</v>
      </c>
      <c r="C726" s="48">
        <v>926</v>
      </c>
      <c r="D726" s="48">
        <v>92601</v>
      </c>
      <c r="E726" s="186" t="s">
        <v>397</v>
      </c>
      <c r="F726" s="51">
        <f t="shared" ref="F726:F728" si="135">G726+H726</f>
        <v>125000</v>
      </c>
      <c r="G726" s="75">
        <v>125000</v>
      </c>
      <c r="H726" s="75"/>
    </row>
    <row r="727" spans="1:8" s="6" customFormat="1" ht="24" customHeight="1">
      <c r="A727" s="48" t="s">
        <v>1000</v>
      </c>
      <c r="B727" s="118" t="s">
        <v>999</v>
      </c>
      <c r="C727" s="48">
        <v>926</v>
      </c>
      <c r="D727" s="48">
        <v>92601</v>
      </c>
      <c r="E727" s="186" t="s">
        <v>397</v>
      </c>
      <c r="F727" s="51">
        <f t="shared" ref="F727" si="136">G727+H727</f>
        <v>200000</v>
      </c>
      <c r="G727" s="75">
        <v>200000</v>
      </c>
      <c r="H727" s="75"/>
    </row>
    <row r="728" spans="1:8" s="6" customFormat="1" ht="24" customHeight="1">
      <c r="A728" s="48" t="s">
        <v>816</v>
      </c>
      <c r="B728" s="118" t="s">
        <v>817</v>
      </c>
      <c r="C728" s="48">
        <v>926</v>
      </c>
      <c r="D728" s="48">
        <v>92601</v>
      </c>
      <c r="E728" s="186" t="s">
        <v>397</v>
      </c>
      <c r="F728" s="51">
        <f t="shared" si="135"/>
        <v>200000</v>
      </c>
      <c r="G728" s="75">
        <v>200000</v>
      </c>
      <c r="H728" s="75"/>
    </row>
    <row r="729" spans="1:8" s="6" customFormat="1" ht="24" customHeight="1">
      <c r="A729" s="34" t="s">
        <v>414</v>
      </c>
      <c r="B729" s="61" t="s">
        <v>415</v>
      </c>
      <c r="C729" s="36">
        <v>926</v>
      </c>
      <c r="D729" s="36">
        <v>92601</v>
      </c>
      <c r="E729" s="183" t="s">
        <v>397</v>
      </c>
      <c r="F729" s="51">
        <f>G729+H729</f>
        <v>1500000</v>
      </c>
      <c r="G729" s="70">
        <v>1500000</v>
      </c>
      <c r="H729" s="70"/>
    </row>
    <row r="730" spans="1:8" s="6" customFormat="1" ht="24" customHeight="1">
      <c r="A730" s="34" t="s">
        <v>818</v>
      </c>
      <c r="B730" s="61" t="s">
        <v>819</v>
      </c>
      <c r="C730" s="36">
        <v>926</v>
      </c>
      <c r="D730" s="36">
        <v>92601</v>
      </c>
      <c r="E730" s="183" t="s">
        <v>397</v>
      </c>
      <c r="F730" s="51">
        <f t="shared" ref="F730" si="137">G730+H730</f>
        <v>2000000</v>
      </c>
      <c r="G730" s="70">
        <v>2000000</v>
      </c>
      <c r="H730" s="70"/>
    </row>
    <row r="731" spans="1:8" s="6" customFormat="1" ht="24" customHeight="1">
      <c r="A731" s="34" t="s">
        <v>416</v>
      </c>
      <c r="B731" s="61" t="s">
        <v>417</v>
      </c>
      <c r="C731" s="36"/>
      <c r="D731" s="36"/>
      <c r="E731" s="183"/>
      <c r="F731" s="39">
        <f t="shared" ref="F731:F784" si="138">G731+H731</f>
        <v>98858555</v>
      </c>
      <c r="G731" s="73">
        <f>SUM(G732:G733)</f>
        <v>98858555</v>
      </c>
      <c r="H731" s="73"/>
    </row>
    <row r="732" spans="1:8" s="6" customFormat="1" ht="24" customHeight="1">
      <c r="A732" s="47"/>
      <c r="B732" s="56" t="s">
        <v>8</v>
      </c>
      <c r="C732" s="45">
        <v>926</v>
      </c>
      <c r="D732" s="45">
        <v>92601</v>
      </c>
      <c r="E732" s="184" t="s">
        <v>397</v>
      </c>
      <c r="F732" s="38">
        <f t="shared" si="138"/>
        <v>18758555</v>
      </c>
      <c r="G732" s="77">
        <f>7744610+11013945</f>
        <v>18758555</v>
      </c>
      <c r="H732" s="77"/>
    </row>
    <row r="733" spans="1:8" s="6" customFormat="1" ht="24" customHeight="1">
      <c r="A733" s="41"/>
      <c r="B733" s="65" t="s">
        <v>11</v>
      </c>
      <c r="C733" s="42">
        <v>926</v>
      </c>
      <c r="D733" s="42">
        <v>92601</v>
      </c>
      <c r="E733" s="185" t="s">
        <v>397</v>
      </c>
      <c r="F733" s="44">
        <f t="shared" si="138"/>
        <v>80100000</v>
      </c>
      <c r="G733" s="75">
        <v>80100000</v>
      </c>
      <c r="H733" s="75"/>
    </row>
    <row r="734" spans="1:8" s="6" customFormat="1" ht="24" customHeight="1">
      <c r="A734" s="34" t="s">
        <v>510</v>
      </c>
      <c r="B734" s="61" t="s">
        <v>511</v>
      </c>
      <c r="C734" s="45"/>
      <c r="D734" s="45"/>
      <c r="E734" s="184"/>
      <c r="F734" s="39">
        <f t="shared" si="138"/>
        <v>2500000</v>
      </c>
      <c r="G734" s="77">
        <f>SUM(G735:G736)</f>
        <v>2500000</v>
      </c>
      <c r="H734" s="77"/>
    </row>
    <row r="735" spans="1:8" s="58" customFormat="1" ht="24" customHeight="1">
      <c r="A735" s="47"/>
      <c r="B735" s="56" t="s">
        <v>8</v>
      </c>
      <c r="C735" s="45">
        <v>926</v>
      </c>
      <c r="D735" s="45">
        <v>92601</v>
      </c>
      <c r="E735" s="184" t="s">
        <v>397</v>
      </c>
      <c r="F735" s="38">
        <f t="shared" si="138"/>
        <v>50000</v>
      </c>
      <c r="G735" s="77">
        <v>50000</v>
      </c>
      <c r="H735" s="77"/>
    </row>
    <row r="736" spans="1:8" s="6" customFormat="1" ht="24" customHeight="1">
      <c r="A736" s="41"/>
      <c r="B736" s="65" t="s">
        <v>10</v>
      </c>
      <c r="C736" s="42">
        <v>926</v>
      </c>
      <c r="D736" s="42">
        <v>92601</v>
      </c>
      <c r="E736" s="185" t="s">
        <v>397</v>
      </c>
      <c r="F736" s="44">
        <f t="shared" si="138"/>
        <v>2450000</v>
      </c>
      <c r="G736" s="75">
        <v>2450000</v>
      </c>
      <c r="H736" s="75"/>
    </row>
    <row r="737" spans="1:8" s="6" customFormat="1" ht="24" customHeight="1">
      <c r="A737" s="48" t="s">
        <v>1152</v>
      </c>
      <c r="B737" s="49" t="s">
        <v>1308</v>
      </c>
      <c r="C737" s="48">
        <v>926</v>
      </c>
      <c r="D737" s="48">
        <v>92601</v>
      </c>
      <c r="E737" s="186" t="s">
        <v>397</v>
      </c>
      <c r="F737" s="51">
        <f t="shared" ref="F737" si="139">G737+H737</f>
        <v>300000</v>
      </c>
      <c r="G737" s="70">
        <v>300000</v>
      </c>
      <c r="H737" s="70"/>
    </row>
    <row r="738" spans="1:8" s="6" customFormat="1" ht="24" customHeight="1">
      <c r="A738" s="48" t="s">
        <v>820</v>
      </c>
      <c r="B738" s="49" t="s">
        <v>821</v>
      </c>
      <c r="C738" s="48">
        <v>926</v>
      </c>
      <c r="D738" s="48">
        <v>92601</v>
      </c>
      <c r="E738" s="186" t="s">
        <v>397</v>
      </c>
      <c r="F738" s="51">
        <f t="shared" ref="F738" si="140">G738+H738</f>
        <v>1000000</v>
      </c>
      <c r="G738" s="70">
        <v>1000000</v>
      </c>
      <c r="H738" s="70"/>
    </row>
    <row r="739" spans="1:8" s="6" customFormat="1" ht="24" customHeight="1">
      <c r="A739" s="34" t="s">
        <v>418</v>
      </c>
      <c r="B739" s="61" t="s">
        <v>697</v>
      </c>
      <c r="C739" s="40"/>
      <c r="D739" s="40"/>
      <c r="E739" s="183"/>
      <c r="F739" s="39">
        <f t="shared" si="138"/>
        <v>43427800</v>
      </c>
      <c r="G739" s="73">
        <f>SUM(G740:G741)</f>
        <v>43427800</v>
      </c>
      <c r="H739" s="73"/>
    </row>
    <row r="740" spans="1:8" s="6" customFormat="1" ht="21.75" customHeight="1">
      <c r="A740" s="47"/>
      <c r="B740" s="56" t="s">
        <v>8</v>
      </c>
      <c r="C740" s="46">
        <v>926</v>
      </c>
      <c r="D740" s="46">
        <v>92601</v>
      </c>
      <c r="E740" s="184" t="s">
        <v>397</v>
      </c>
      <c r="F740" s="38">
        <f t="shared" si="138"/>
        <v>3532800</v>
      </c>
      <c r="G740" s="77">
        <f>5599793-2066993</f>
        <v>3532800</v>
      </c>
      <c r="H740" s="77"/>
    </row>
    <row r="741" spans="1:8" s="6" customFormat="1" ht="21.75" customHeight="1">
      <c r="A741" s="41"/>
      <c r="B741" s="65" t="s">
        <v>11</v>
      </c>
      <c r="C741" s="43">
        <v>926</v>
      </c>
      <c r="D741" s="43">
        <v>92601</v>
      </c>
      <c r="E741" s="185" t="s">
        <v>397</v>
      </c>
      <c r="F741" s="44">
        <f t="shared" si="138"/>
        <v>39895000</v>
      </c>
      <c r="G741" s="75">
        <v>39895000</v>
      </c>
      <c r="H741" s="75"/>
    </row>
    <row r="742" spans="1:8" s="6" customFormat="1" ht="24" customHeight="1">
      <c r="A742" s="48" t="s">
        <v>1313</v>
      </c>
      <c r="B742" s="49" t="s">
        <v>912</v>
      </c>
      <c r="C742" s="48">
        <v>926</v>
      </c>
      <c r="D742" s="48">
        <v>92601</v>
      </c>
      <c r="E742" s="186" t="s">
        <v>397</v>
      </c>
      <c r="F742" s="51">
        <f t="shared" si="138"/>
        <v>263000</v>
      </c>
      <c r="G742" s="70">
        <v>263000</v>
      </c>
      <c r="H742" s="70"/>
    </row>
    <row r="743" spans="1:8" s="6" customFormat="1" ht="24" customHeight="1">
      <c r="A743" s="41" t="s">
        <v>512</v>
      </c>
      <c r="B743" s="66" t="s">
        <v>513</v>
      </c>
      <c r="C743" s="42">
        <v>926</v>
      </c>
      <c r="D743" s="42">
        <v>92601</v>
      </c>
      <c r="E743" s="185" t="s">
        <v>23</v>
      </c>
      <c r="F743" s="44">
        <f t="shared" si="138"/>
        <v>100000</v>
      </c>
      <c r="G743" s="75">
        <v>100000</v>
      </c>
      <c r="H743" s="75"/>
    </row>
    <row r="744" spans="1:8" s="6" customFormat="1" ht="24" customHeight="1">
      <c r="A744" s="41" t="s">
        <v>1196</v>
      </c>
      <c r="B744" s="66" t="s">
        <v>1195</v>
      </c>
      <c r="C744" s="42">
        <v>926</v>
      </c>
      <c r="D744" s="42">
        <v>92601</v>
      </c>
      <c r="E744" s="185" t="s">
        <v>397</v>
      </c>
      <c r="F744" s="51">
        <f t="shared" ref="F744" si="141">G744+H744</f>
        <v>750000</v>
      </c>
      <c r="G744" s="70">
        <v>750000</v>
      </c>
      <c r="H744" s="70"/>
    </row>
    <row r="745" spans="1:8" s="6" customFormat="1" ht="24" customHeight="1">
      <c r="A745" s="41" t="s">
        <v>1221</v>
      </c>
      <c r="B745" s="66" t="s">
        <v>1220</v>
      </c>
      <c r="C745" s="48">
        <v>926</v>
      </c>
      <c r="D745" s="48">
        <v>92601</v>
      </c>
      <c r="E745" s="185" t="s">
        <v>397</v>
      </c>
      <c r="F745" s="51">
        <f t="shared" ref="F745:F746" si="142">G745+H745</f>
        <v>500000</v>
      </c>
      <c r="G745" s="70">
        <v>500000</v>
      </c>
      <c r="H745" s="70"/>
    </row>
    <row r="746" spans="1:8" s="6" customFormat="1" ht="24" customHeight="1">
      <c r="A746" s="41" t="s">
        <v>1239</v>
      </c>
      <c r="B746" s="66" t="s">
        <v>1238</v>
      </c>
      <c r="C746" s="42">
        <v>926</v>
      </c>
      <c r="D746" s="42">
        <v>92601</v>
      </c>
      <c r="E746" s="185" t="s">
        <v>397</v>
      </c>
      <c r="F746" s="51">
        <f t="shared" si="142"/>
        <v>80000</v>
      </c>
      <c r="G746" s="70">
        <v>80000</v>
      </c>
      <c r="H746" s="70"/>
    </row>
    <row r="747" spans="1:8" s="6" customFormat="1" ht="24" customHeight="1">
      <c r="A747" s="41" t="s">
        <v>1266</v>
      </c>
      <c r="B747" s="66" t="s">
        <v>1265</v>
      </c>
      <c r="C747" s="42">
        <v>926</v>
      </c>
      <c r="D747" s="42">
        <v>92601</v>
      </c>
      <c r="E747" s="185" t="s">
        <v>397</v>
      </c>
      <c r="F747" s="51">
        <f t="shared" ref="F747" si="143">G747+H747</f>
        <v>200000</v>
      </c>
      <c r="G747" s="70">
        <v>200000</v>
      </c>
      <c r="H747" s="70"/>
    </row>
    <row r="748" spans="1:8" s="6" customFormat="1" ht="24" customHeight="1">
      <c r="A748" s="41" t="s">
        <v>1269</v>
      </c>
      <c r="B748" s="66" t="s">
        <v>1310</v>
      </c>
      <c r="C748" s="42">
        <v>926</v>
      </c>
      <c r="D748" s="42">
        <v>92601</v>
      </c>
      <c r="E748" s="185" t="s">
        <v>397</v>
      </c>
      <c r="F748" s="51">
        <f t="shared" ref="F748:F749" si="144">G748+H748</f>
        <v>50000</v>
      </c>
      <c r="G748" s="70">
        <v>50000</v>
      </c>
      <c r="H748" s="70"/>
    </row>
    <row r="749" spans="1:8" s="6" customFormat="1" ht="24" customHeight="1">
      <c r="A749" s="41" t="s">
        <v>1271</v>
      </c>
      <c r="B749" s="66" t="s">
        <v>1270</v>
      </c>
      <c r="C749" s="42">
        <v>926</v>
      </c>
      <c r="D749" s="42">
        <v>92601</v>
      </c>
      <c r="E749" s="185" t="s">
        <v>397</v>
      </c>
      <c r="F749" s="51">
        <f t="shared" si="144"/>
        <v>200000</v>
      </c>
      <c r="G749" s="70">
        <v>200000</v>
      </c>
      <c r="H749" s="70"/>
    </row>
    <row r="750" spans="1:8" s="6" customFormat="1" ht="24" customHeight="1">
      <c r="A750" s="41" t="s">
        <v>1258</v>
      </c>
      <c r="B750" s="66" t="s">
        <v>1257</v>
      </c>
      <c r="C750" s="42">
        <v>926</v>
      </c>
      <c r="D750" s="42">
        <v>92601</v>
      </c>
      <c r="E750" s="185" t="s">
        <v>397</v>
      </c>
      <c r="F750" s="51">
        <f t="shared" ref="F750:F751" si="145">G750+H750</f>
        <v>180000</v>
      </c>
      <c r="G750" s="70">
        <v>180000</v>
      </c>
      <c r="H750" s="70"/>
    </row>
    <row r="751" spans="1:8" s="6" customFormat="1" ht="24" customHeight="1">
      <c r="A751" s="41" t="s">
        <v>1282</v>
      </c>
      <c r="B751" s="66" t="s">
        <v>1281</v>
      </c>
      <c r="C751" s="42">
        <v>926</v>
      </c>
      <c r="D751" s="42">
        <v>92601</v>
      </c>
      <c r="E751" s="185" t="s">
        <v>397</v>
      </c>
      <c r="F751" s="51">
        <f t="shared" si="145"/>
        <v>200000</v>
      </c>
      <c r="G751" s="70">
        <v>200000</v>
      </c>
      <c r="H751" s="70"/>
    </row>
    <row r="752" spans="1:8" s="6" customFormat="1" ht="24" customHeight="1">
      <c r="A752" s="52" t="s">
        <v>886</v>
      </c>
      <c r="B752" s="49" t="s">
        <v>870</v>
      </c>
      <c r="C752" s="43">
        <v>926</v>
      </c>
      <c r="D752" s="43">
        <v>92601</v>
      </c>
      <c r="E752" s="185" t="s">
        <v>397</v>
      </c>
      <c r="F752" s="51">
        <f t="shared" si="138"/>
        <v>500000</v>
      </c>
      <c r="G752" s="70">
        <v>500000</v>
      </c>
      <c r="H752" s="70"/>
    </row>
    <row r="753" spans="1:8" s="6" customFormat="1" ht="24" customHeight="1">
      <c r="A753" s="52" t="s">
        <v>887</v>
      </c>
      <c r="B753" s="49" t="s">
        <v>807</v>
      </c>
      <c r="C753" s="43">
        <v>801</v>
      </c>
      <c r="D753" s="43">
        <v>80101</v>
      </c>
      <c r="E753" s="186" t="s">
        <v>847</v>
      </c>
      <c r="F753" s="51">
        <f t="shared" ref="F753:F755" si="146">G753+H753</f>
        <v>150000</v>
      </c>
      <c r="G753" s="70">
        <v>150000</v>
      </c>
      <c r="H753" s="70"/>
    </row>
    <row r="754" spans="1:8" s="6" customFormat="1" ht="24" customHeight="1">
      <c r="A754" s="52" t="s">
        <v>884</v>
      </c>
      <c r="B754" s="49" t="s">
        <v>832</v>
      </c>
      <c r="C754" s="50">
        <v>926</v>
      </c>
      <c r="D754" s="50">
        <v>92601</v>
      </c>
      <c r="E754" s="186" t="s">
        <v>397</v>
      </c>
      <c r="F754" s="51">
        <f t="shared" si="146"/>
        <v>200000</v>
      </c>
      <c r="G754" s="70">
        <v>200000</v>
      </c>
      <c r="H754" s="70"/>
    </row>
    <row r="755" spans="1:8" s="6" customFormat="1" ht="24" customHeight="1">
      <c r="A755" s="41" t="s">
        <v>885</v>
      </c>
      <c r="B755" s="66" t="s">
        <v>833</v>
      </c>
      <c r="C755" s="43">
        <v>926</v>
      </c>
      <c r="D755" s="43">
        <v>92601</v>
      </c>
      <c r="E755" s="185" t="s">
        <v>397</v>
      </c>
      <c r="F755" s="51">
        <f t="shared" si="146"/>
        <v>1000000</v>
      </c>
      <c r="G755" s="75">
        <v>1000000</v>
      </c>
      <c r="H755" s="75"/>
    </row>
    <row r="756" spans="1:8" s="6" customFormat="1" ht="24" customHeight="1">
      <c r="A756" s="52" t="s">
        <v>896</v>
      </c>
      <c r="B756" s="49" t="s">
        <v>897</v>
      </c>
      <c r="C756" s="48">
        <v>854</v>
      </c>
      <c r="D756" s="48">
        <v>85407</v>
      </c>
      <c r="E756" s="186" t="s">
        <v>306</v>
      </c>
      <c r="F756" s="51">
        <f t="shared" ref="F756" si="147">G756+H756</f>
        <v>250000</v>
      </c>
      <c r="G756" s="70"/>
      <c r="H756" s="70">
        <v>250000</v>
      </c>
    </row>
    <row r="757" spans="1:8" s="6" customFormat="1" ht="24" customHeight="1">
      <c r="A757" s="52" t="s">
        <v>822</v>
      </c>
      <c r="B757" s="49" t="s">
        <v>823</v>
      </c>
      <c r="C757" s="48">
        <v>926</v>
      </c>
      <c r="D757" s="48">
        <v>92601</v>
      </c>
      <c r="E757" s="186" t="s">
        <v>397</v>
      </c>
      <c r="F757" s="51">
        <f t="shared" si="138"/>
        <v>3600000</v>
      </c>
      <c r="G757" s="70">
        <v>3600000</v>
      </c>
      <c r="H757" s="70"/>
    </row>
    <row r="758" spans="1:8" s="6" customFormat="1" ht="24" customHeight="1">
      <c r="A758" s="52" t="s">
        <v>930</v>
      </c>
      <c r="B758" s="49" t="s">
        <v>931</v>
      </c>
      <c r="C758" s="48">
        <v>926</v>
      </c>
      <c r="D758" s="48">
        <v>92601</v>
      </c>
      <c r="E758" s="186" t="s">
        <v>397</v>
      </c>
      <c r="F758" s="51">
        <f t="shared" ref="F758" si="148">G758+H758</f>
        <v>1000000</v>
      </c>
      <c r="G758" s="70">
        <v>1000000</v>
      </c>
      <c r="H758" s="70"/>
    </row>
    <row r="759" spans="1:8" s="6" customFormat="1" ht="24" customHeight="1">
      <c r="A759" s="52" t="s">
        <v>419</v>
      </c>
      <c r="B759" s="49" t="s">
        <v>420</v>
      </c>
      <c r="C759" s="48">
        <v>926</v>
      </c>
      <c r="D759" s="48">
        <v>92601</v>
      </c>
      <c r="E759" s="172" t="s">
        <v>397</v>
      </c>
      <c r="F759" s="51">
        <f t="shared" si="138"/>
        <v>7899483</v>
      </c>
      <c r="G759" s="70">
        <v>7899483</v>
      </c>
      <c r="H759" s="70"/>
    </row>
    <row r="760" spans="1:8" s="6" customFormat="1" ht="24" customHeight="1">
      <c r="A760" s="52" t="s">
        <v>421</v>
      </c>
      <c r="B760" s="49" t="s">
        <v>422</v>
      </c>
      <c r="C760" s="48">
        <v>926</v>
      </c>
      <c r="D760" s="48">
        <v>92601</v>
      </c>
      <c r="E760" s="172" t="s">
        <v>397</v>
      </c>
      <c r="F760" s="51">
        <f t="shared" si="138"/>
        <v>13770372</v>
      </c>
      <c r="G760" s="70">
        <v>13770372</v>
      </c>
      <c r="H760" s="70"/>
    </row>
    <row r="761" spans="1:8" s="6" customFormat="1" ht="24" customHeight="1">
      <c r="A761" s="34" t="s">
        <v>824</v>
      </c>
      <c r="B761" s="61" t="s">
        <v>825</v>
      </c>
      <c r="C761" s="36">
        <v>926</v>
      </c>
      <c r="D761" s="36">
        <v>92601</v>
      </c>
      <c r="E761" s="177" t="s">
        <v>397</v>
      </c>
      <c r="F761" s="51">
        <f t="shared" ref="F761" si="149">G761+H761</f>
        <v>1000000</v>
      </c>
      <c r="G761" s="70">
        <v>1000000</v>
      </c>
      <c r="H761" s="70"/>
    </row>
    <row r="762" spans="1:8" s="6" customFormat="1" ht="24" customHeight="1">
      <c r="A762" s="52" t="s">
        <v>423</v>
      </c>
      <c r="B762" s="49" t="s">
        <v>424</v>
      </c>
      <c r="C762" s="48">
        <v>926</v>
      </c>
      <c r="D762" s="48">
        <v>92601</v>
      </c>
      <c r="E762" s="172" t="s">
        <v>397</v>
      </c>
      <c r="F762" s="51">
        <f t="shared" si="138"/>
        <v>9750000</v>
      </c>
      <c r="G762" s="70">
        <f>6250000+3500000</f>
        <v>9750000</v>
      </c>
      <c r="H762" s="70"/>
    </row>
    <row r="763" spans="1:8" s="6" customFormat="1" ht="24" customHeight="1">
      <c r="A763" s="52" t="s">
        <v>425</v>
      </c>
      <c r="B763" s="110" t="s">
        <v>426</v>
      </c>
      <c r="C763" s="50">
        <v>926</v>
      </c>
      <c r="D763" s="50">
        <v>92601</v>
      </c>
      <c r="E763" s="186" t="s">
        <v>397</v>
      </c>
      <c r="F763" s="51">
        <f t="shared" si="138"/>
        <v>1941366</v>
      </c>
      <c r="G763" s="70">
        <v>1941366</v>
      </c>
      <c r="H763" s="70"/>
    </row>
    <row r="764" spans="1:8" s="6" customFormat="1" ht="24" customHeight="1">
      <c r="A764" s="52" t="s">
        <v>1008</v>
      </c>
      <c r="B764" s="110" t="s">
        <v>1009</v>
      </c>
      <c r="C764" s="36">
        <v>926</v>
      </c>
      <c r="D764" s="36">
        <v>92601</v>
      </c>
      <c r="E764" s="177" t="s">
        <v>397</v>
      </c>
      <c r="F764" s="51">
        <f t="shared" si="138"/>
        <v>50000</v>
      </c>
      <c r="G764" s="70">
        <v>50000</v>
      </c>
      <c r="H764" s="70"/>
    </row>
    <row r="765" spans="1:8" s="6" customFormat="1" ht="24" customHeight="1">
      <c r="A765" s="52" t="s">
        <v>427</v>
      </c>
      <c r="B765" s="110" t="s">
        <v>428</v>
      </c>
      <c r="C765" s="50">
        <v>926</v>
      </c>
      <c r="D765" s="50">
        <v>92601</v>
      </c>
      <c r="E765" s="186" t="s">
        <v>397</v>
      </c>
      <c r="F765" s="51">
        <f t="shared" si="138"/>
        <v>8843155</v>
      </c>
      <c r="G765" s="70">
        <v>8843155</v>
      </c>
      <c r="H765" s="70"/>
    </row>
    <row r="766" spans="1:8" s="6" customFormat="1" ht="24" customHeight="1">
      <c r="A766" s="52" t="s">
        <v>429</v>
      </c>
      <c r="B766" s="110" t="s">
        <v>430</v>
      </c>
      <c r="C766" s="50">
        <v>926</v>
      </c>
      <c r="D766" s="50">
        <v>92601</v>
      </c>
      <c r="E766" s="186" t="s">
        <v>397</v>
      </c>
      <c r="F766" s="51">
        <f t="shared" si="138"/>
        <v>9956000</v>
      </c>
      <c r="G766" s="70">
        <v>9956000</v>
      </c>
      <c r="H766" s="70"/>
    </row>
    <row r="767" spans="1:8" s="6" customFormat="1" ht="24" customHeight="1">
      <c r="A767" s="34" t="s">
        <v>826</v>
      </c>
      <c r="B767" s="124" t="s">
        <v>827</v>
      </c>
      <c r="C767" s="40">
        <v>926</v>
      </c>
      <c r="D767" s="40">
        <v>92601</v>
      </c>
      <c r="E767" s="183" t="s">
        <v>397</v>
      </c>
      <c r="F767" s="51">
        <f t="shared" si="138"/>
        <v>500000</v>
      </c>
      <c r="G767" s="73">
        <v>500000</v>
      </c>
      <c r="H767" s="73"/>
    </row>
    <row r="768" spans="1:8" s="6" customFormat="1" ht="24" customHeight="1">
      <c r="A768" s="34" t="s">
        <v>828</v>
      </c>
      <c r="B768" s="124" t="s">
        <v>829</v>
      </c>
      <c r="C768" s="40">
        <v>926</v>
      </c>
      <c r="D768" s="40">
        <v>92601</v>
      </c>
      <c r="E768" s="183" t="s">
        <v>397</v>
      </c>
      <c r="F768" s="51">
        <f t="shared" si="138"/>
        <v>375000</v>
      </c>
      <c r="G768" s="73">
        <v>375000</v>
      </c>
      <c r="H768" s="73"/>
    </row>
    <row r="769" spans="1:8" s="6" customFormat="1" ht="24" customHeight="1">
      <c r="A769" s="34" t="s">
        <v>830</v>
      </c>
      <c r="B769" s="124" t="s">
        <v>831</v>
      </c>
      <c r="C769" s="40">
        <v>926</v>
      </c>
      <c r="D769" s="40">
        <v>92601</v>
      </c>
      <c r="E769" s="183" t="s">
        <v>397</v>
      </c>
      <c r="F769" s="51">
        <f t="shared" si="138"/>
        <v>1000000</v>
      </c>
      <c r="G769" s="73">
        <v>1000000</v>
      </c>
      <c r="H769" s="73"/>
    </row>
    <row r="770" spans="1:8" s="6" customFormat="1" ht="24" customHeight="1">
      <c r="A770" s="52" t="s">
        <v>855</v>
      </c>
      <c r="B770" s="110" t="s">
        <v>856</v>
      </c>
      <c r="C770" s="50">
        <v>900</v>
      </c>
      <c r="D770" s="50">
        <v>90095</v>
      </c>
      <c r="E770" s="186" t="s">
        <v>190</v>
      </c>
      <c r="F770" s="51">
        <f t="shared" si="138"/>
        <v>1700000</v>
      </c>
      <c r="G770" s="70">
        <v>1700000</v>
      </c>
      <c r="H770" s="70"/>
    </row>
    <row r="771" spans="1:8" s="6" customFormat="1" ht="22.5" customHeight="1">
      <c r="A771" s="34" t="s">
        <v>626</v>
      </c>
      <c r="B771" s="124" t="s">
        <v>627</v>
      </c>
      <c r="C771" s="40"/>
      <c r="D771" s="40"/>
      <c r="E771" s="183"/>
      <c r="F771" s="39">
        <f t="shared" si="138"/>
        <v>37000</v>
      </c>
      <c r="G771" s="73">
        <f>SUM(G772)</f>
        <v>37000</v>
      </c>
      <c r="H771" s="73"/>
    </row>
    <row r="772" spans="1:8" s="6" customFormat="1" ht="22.5" customHeight="1">
      <c r="A772" s="41"/>
      <c r="B772" s="65" t="s">
        <v>548</v>
      </c>
      <c r="C772" s="43">
        <v>926</v>
      </c>
      <c r="D772" s="43">
        <v>92601</v>
      </c>
      <c r="E772" s="185" t="s">
        <v>397</v>
      </c>
      <c r="F772" s="44">
        <f t="shared" si="138"/>
        <v>37000</v>
      </c>
      <c r="G772" s="75">
        <v>37000</v>
      </c>
      <c r="H772" s="75"/>
    </row>
    <row r="773" spans="1:8" s="6" customFormat="1" ht="22.5" customHeight="1">
      <c r="A773" s="34" t="s">
        <v>628</v>
      </c>
      <c r="B773" s="124" t="s">
        <v>698</v>
      </c>
      <c r="C773" s="40"/>
      <c r="D773" s="40"/>
      <c r="E773" s="183"/>
      <c r="F773" s="39">
        <f t="shared" si="138"/>
        <v>47000</v>
      </c>
      <c r="G773" s="73">
        <f>SUM(G774)</f>
        <v>47000</v>
      </c>
      <c r="H773" s="73"/>
    </row>
    <row r="774" spans="1:8" s="6" customFormat="1" ht="22.5" customHeight="1">
      <c r="A774" s="41"/>
      <c r="B774" s="65" t="s">
        <v>547</v>
      </c>
      <c r="C774" s="43">
        <v>926</v>
      </c>
      <c r="D774" s="43">
        <v>92601</v>
      </c>
      <c r="E774" s="185" t="s">
        <v>397</v>
      </c>
      <c r="F774" s="44">
        <f t="shared" si="138"/>
        <v>47000</v>
      </c>
      <c r="G774" s="75">
        <v>47000</v>
      </c>
      <c r="H774" s="75"/>
    </row>
    <row r="775" spans="1:8" s="6" customFormat="1" ht="22.5" customHeight="1">
      <c r="A775" s="34" t="s">
        <v>629</v>
      </c>
      <c r="B775" s="124" t="s">
        <v>715</v>
      </c>
      <c r="C775" s="40"/>
      <c r="D775" s="40"/>
      <c r="E775" s="183"/>
      <c r="F775" s="39">
        <f t="shared" si="138"/>
        <v>600000</v>
      </c>
      <c r="G775" s="73">
        <f>SUM(G776)</f>
        <v>600000</v>
      </c>
      <c r="H775" s="73"/>
    </row>
    <row r="776" spans="1:8" s="6" customFormat="1" ht="22.5" customHeight="1">
      <c r="A776" s="41"/>
      <c r="B776" s="65" t="s">
        <v>547</v>
      </c>
      <c r="C776" s="43">
        <v>926</v>
      </c>
      <c r="D776" s="43">
        <v>92601</v>
      </c>
      <c r="E776" s="185" t="s">
        <v>397</v>
      </c>
      <c r="F776" s="44">
        <f t="shared" si="138"/>
        <v>600000</v>
      </c>
      <c r="G776" s="75">
        <v>600000</v>
      </c>
      <c r="H776" s="75"/>
    </row>
    <row r="777" spans="1:8" s="6" customFormat="1" ht="22.5" customHeight="1">
      <c r="A777" s="34" t="s">
        <v>630</v>
      </c>
      <c r="B777" s="124" t="s">
        <v>716</v>
      </c>
      <c r="C777" s="40"/>
      <c r="D777" s="40"/>
      <c r="E777" s="183"/>
      <c r="F777" s="39">
        <f t="shared" si="138"/>
        <v>395000</v>
      </c>
      <c r="G777" s="73">
        <f>SUM(G778)</f>
        <v>395000</v>
      </c>
      <c r="H777" s="73"/>
    </row>
    <row r="778" spans="1:8" s="6" customFormat="1" ht="22.5" customHeight="1">
      <c r="A778" s="41"/>
      <c r="B778" s="65" t="s">
        <v>547</v>
      </c>
      <c r="C778" s="43">
        <v>926</v>
      </c>
      <c r="D778" s="43">
        <v>92601</v>
      </c>
      <c r="E778" s="185" t="s">
        <v>397</v>
      </c>
      <c r="F778" s="44">
        <f t="shared" si="138"/>
        <v>395000</v>
      </c>
      <c r="G778" s="75">
        <v>395000</v>
      </c>
      <c r="H778" s="75"/>
    </row>
    <row r="779" spans="1:8" s="6" customFormat="1" ht="22.5" customHeight="1">
      <c r="A779" s="34" t="s">
        <v>631</v>
      </c>
      <c r="B779" s="124" t="s">
        <v>720</v>
      </c>
      <c r="C779" s="40"/>
      <c r="D779" s="40"/>
      <c r="E779" s="183"/>
      <c r="F779" s="39">
        <f t="shared" si="138"/>
        <v>450000</v>
      </c>
      <c r="G779" s="73">
        <f>SUM(G780)</f>
        <v>450000</v>
      </c>
      <c r="H779" s="73"/>
    </row>
    <row r="780" spans="1:8" s="6" customFormat="1" ht="22.5" customHeight="1">
      <c r="A780" s="41"/>
      <c r="B780" s="65" t="s">
        <v>547</v>
      </c>
      <c r="C780" s="43">
        <v>926</v>
      </c>
      <c r="D780" s="43">
        <v>92601</v>
      </c>
      <c r="E780" s="185" t="s">
        <v>397</v>
      </c>
      <c r="F780" s="44">
        <f t="shared" si="138"/>
        <v>450000</v>
      </c>
      <c r="G780" s="75">
        <v>450000</v>
      </c>
      <c r="H780" s="75"/>
    </row>
    <row r="781" spans="1:8" s="6" customFormat="1" ht="24" customHeight="1">
      <c r="A781" s="15"/>
      <c r="B781" s="187" t="s">
        <v>431</v>
      </c>
      <c r="C781" s="223"/>
      <c r="D781" s="223"/>
      <c r="E781" s="171"/>
      <c r="F781" s="19">
        <f t="shared" si="138"/>
        <v>110778119</v>
      </c>
      <c r="G781" s="78">
        <f>G782+G798</f>
        <v>108749619</v>
      </c>
      <c r="H781" s="78">
        <f>H782+H798</f>
        <v>2028500</v>
      </c>
    </row>
    <row r="782" spans="1:8" s="6" customFormat="1" ht="24" customHeight="1">
      <c r="A782" s="15"/>
      <c r="B782" s="187" t="s">
        <v>432</v>
      </c>
      <c r="C782" s="223"/>
      <c r="D782" s="223"/>
      <c r="E782" s="171"/>
      <c r="F782" s="19">
        <f t="shared" si="138"/>
        <v>18793053</v>
      </c>
      <c r="G782" s="78">
        <f>G783+G784+G785+G788+G789+G792+G793+G797</f>
        <v>16893053</v>
      </c>
      <c r="H782" s="78">
        <f>H783+H784+H785+H788+H789+H792+H793+H797</f>
        <v>1900000</v>
      </c>
    </row>
    <row r="783" spans="1:8" s="6" customFormat="1" ht="25.5" customHeight="1">
      <c r="A783" s="52" t="s">
        <v>433</v>
      </c>
      <c r="B783" s="53" t="s">
        <v>434</v>
      </c>
      <c r="C783" s="3">
        <v>921</v>
      </c>
      <c r="D783" s="3">
        <v>92106</v>
      </c>
      <c r="E783" s="209" t="s">
        <v>12</v>
      </c>
      <c r="F783" s="51">
        <f t="shared" si="138"/>
        <v>1900000</v>
      </c>
      <c r="G783" s="70"/>
      <c r="H783" s="70">
        <v>1900000</v>
      </c>
    </row>
    <row r="784" spans="1:8" s="6" customFormat="1" ht="41.25" customHeight="1">
      <c r="A784" s="116" t="s">
        <v>435</v>
      </c>
      <c r="B784" s="49" t="s">
        <v>436</v>
      </c>
      <c r="C784" s="104">
        <v>921</v>
      </c>
      <c r="D784" s="104">
        <v>92118</v>
      </c>
      <c r="E784" s="186" t="s">
        <v>12</v>
      </c>
      <c r="F784" s="51">
        <f t="shared" si="138"/>
        <v>6400000</v>
      </c>
      <c r="G784" s="70">
        <f>4000000+2400000</f>
        <v>6400000</v>
      </c>
      <c r="H784" s="70"/>
    </row>
    <row r="785" spans="1:8" s="6" customFormat="1" ht="24.75" customHeight="1">
      <c r="A785" s="111" t="s">
        <v>437</v>
      </c>
      <c r="B785" s="61" t="s">
        <v>438</v>
      </c>
      <c r="C785" s="37"/>
      <c r="D785" s="37"/>
      <c r="E785" s="183"/>
      <c r="F785" s="39">
        <f>F787+F786</f>
        <v>1252811</v>
      </c>
      <c r="G785" s="73">
        <f>G787+G786</f>
        <v>1252811</v>
      </c>
      <c r="H785" s="73"/>
    </row>
    <row r="786" spans="1:8" s="6" customFormat="1" ht="21.75" customHeight="1">
      <c r="A786" s="139"/>
      <c r="B786" s="56" t="s">
        <v>8</v>
      </c>
      <c r="C786" s="45">
        <v>921</v>
      </c>
      <c r="D786" s="45">
        <v>92120</v>
      </c>
      <c r="E786" s="214" t="s">
        <v>99</v>
      </c>
      <c r="F786" s="38">
        <f t="shared" ref="F786:F788" si="150">G786+H786</f>
        <v>670000</v>
      </c>
      <c r="G786" s="77">
        <v>670000</v>
      </c>
      <c r="H786" s="77"/>
    </row>
    <row r="787" spans="1:8" s="6" customFormat="1" ht="21.75" customHeight="1">
      <c r="A787" s="41"/>
      <c r="B787" s="65" t="s">
        <v>73</v>
      </c>
      <c r="C787" s="74">
        <v>921</v>
      </c>
      <c r="D787" s="74">
        <v>92120</v>
      </c>
      <c r="E787" s="185" t="s">
        <v>99</v>
      </c>
      <c r="F787" s="44">
        <f t="shared" si="150"/>
        <v>582811</v>
      </c>
      <c r="G787" s="75">
        <v>582811</v>
      </c>
      <c r="H787" s="75"/>
    </row>
    <row r="788" spans="1:8" s="6" customFormat="1" ht="24" customHeight="1">
      <c r="A788" s="116" t="s">
        <v>724</v>
      </c>
      <c r="B788" s="49" t="s">
        <v>699</v>
      </c>
      <c r="C788" s="104">
        <v>921</v>
      </c>
      <c r="D788" s="104">
        <v>92113</v>
      </c>
      <c r="E788" s="186" t="s">
        <v>12</v>
      </c>
      <c r="F788" s="51">
        <f t="shared" si="150"/>
        <v>500000</v>
      </c>
      <c r="G788" s="70">
        <v>500000</v>
      </c>
      <c r="H788" s="70"/>
    </row>
    <row r="789" spans="1:8" s="6" customFormat="1" ht="24" customHeight="1">
      <c r="A789" s="34" t="s">
        <v>439</v>
      </c>
      <c r="B789" s="35" t="s">
        <v>440</v>
      </c>
      <c r="C789" s="37"/>
      <c r="D789" s="37"/>
      <c r="E789" s="183"/>
      <c r="F789" s="39">
        <f>F791+F790</f>
        <v>812500</v>
      </c>
      <c r="G789" s="73">
        <f>SUM(G790:G791)</f>
        <v>812500</v>
      </c>
      <c r="H789" s="73"/>
    </row>
    <row r="790" spans="1:8" s="6" customFormat="1" ht="21.75" customHeight="1">
      <c r="A790" s="47"/>
      <c r="B790" s="56" t="s">
        <v>8</v>
      </c>
      <c r="C790" s="76">
        <v>921</v>
      </c>
      <c r="D790" s="76">
        <v>92120</v>
      </c>
      <c r="E790" s="184" t="s">
        <v>99</v>
      </c>
      <c r="F790" s="38">
        <f t="shared" ref="F790:F797" si="151">G790+H790</f>
        <v>612500</v>
      </c>
      <c r="G790" s="77">
        <f>312500+300000</f>
        <v>612500</v>
      </c>
      <c r="H790" s="77"/>
    </row>
    <row r="791" spans="1:8" s="6" customFormat="1" ht="21.75" customHeight="1">
      <c r="A791" s="41"/>
      <c r="B791" s="65" t="s">
        <v>73</v>
      </c>
      <c r="C791" s="74">
        <v>921</v>
      </c>
      <c r="D791" s="74">
        <v>92120</v>
      </c>
      <c r="E791" s="185" t="s">
        <v>99</v>
      </c>
      <c r="F791" s="44">
        <f t="shared" si="151"/>
        <v>200000</v>
      </c>
      <c r="G791" s="75">
        <v>200000</v>
      </c>
      <c r="H791" s="75"/>
    </row>
    <row r="792" spans="1:8" s="6" customFormat="1" ht="24" customHeight="1">
      <c r="A792" s="34" t="s">
        <v>888</v>
      </c>
      <c r="B792" s="53" t="s">
        <v>834</v>
      </c>
      <c r="C792" s="42">
        <v>921</v>
      </c>
      <c r="D792" s="42">
        <v>92118</v>
      </c>
      <c r="E792" s="185" t="s">
        <v>12</v>
      </c>
      <c r="F792" s="51">
        <f t="shared" ref="F792" si="152">G792+H792</f>
        <v>600000</v>
      </c>
      <c r="G792" s="70">
        <v>600000</v>
      </c>
      <c r="H792" s="70"/>
    </row>
    <row r="793" spans="1:8" s="6" customFormat="1" ht="24" customHeight="1">
      <c r="A793" s="34" t="s">
        <v>441</v>
      </c>
      <c r="B793" s="35" t="s">
        <v>442</v>
      </c>
      <c r="C793" s="37"/>
      <c r="D793" s="37"/>
      <c r="E793" s="183"/>
      <c r="F793" s="39">
        <f t="shared" si="151"/>
        <v>5489442</v>
      </c>
      <c r="G793" s="73">
        <f>SUM(G794:G796)</f>
        <v>5489442</v>
      </c>
      <c r="H793" s="73"/>
    </row>
    <row r="794" spans="1:8" s="6" customFormat="1" ht="21.75" customHeight="1">
      <c r="A794" s="47"/>
      <c r="B794" s="56" t="s">
        <v>305</v>
      </c>
      <c r="C794" s="76">
        <v>921</v>
      </c>
      <c r="D794" s="76">
        <v>92120</v>
      </c>
      <c r="E794" s="184" t="s">
        <v>99</v>
      </c>
      <c r="F794" s="38">
        <f t="shared" si="151"/>
        <v>2142616</v>
      </c>
      <c r="G794" s="77">
        <f>1366616+776000</f>
        <v>2142616</v>
      </c>
      <c r="H794" s="77"/>
    </row>
    <row r="795" spans="1:8" s="6" customFormat="1" ht="21.75" customHeight="1">
      <c r="A795" s="123"/>
      <c r="B795" s="56" t="s">
        <v>1328</v>
      </c>
      <c r="C795" s="76">
        <v>921</v>
      </c>
      <c r="D795" s="76">
        <v>92120</v>
      </c>
      <c r="E795" s="184" t="s">
        <v>99</v>
      </c>
      <c r="F795" s="38">
        <f t="shared" si="151"/>
        <v>445577</v>
      </c>
      <c r="G795" s="77">
        <v>445577</v>
      </c>
      <c r="H795" s="77"/>
    </row>
    <row r="796" spans="1:8" s="6" customFormat="1" ht="21.75" customHeight="1">
      <c r="A796" s="41"/>
      <c r="B796" s="65" t="s">
        <v>1327</v>
      </c>
      <c r="C796" s="74">
        <v>921</v>
      </c>
      <c r="D796" s="74">
        <v>92120</v>
      </c>
      <c r="E796" s="185" t="s">
        <v>99</v>
      </c>
      <c r="F796" s="44">
        <f t="shared" si="151"/>
        <v>2901249</v>
      </c>
      <c r="G796" s="75">
        <v>2901249</v>
      </c>
      <c r="H796" s="75"/>
    </row>
    <row r="797" spans="1:8" s="6" customFormat="1" ht="24" customHeight="1">
      <c r="A797" s="34" t="s">
        <v>443</v>
      </c>
      <c r="B797" s="53" t="s">
        <v>444</v>
      </c>
      <c r="C797" s="42">
        <v>921</v>
      </c>
      <c r="D797" s="42">
        <v>92118</v>
      </c>
      <c r="E797" s="185" t="s">
        <v>12</v>
      </c>
      <c r="F797" s="51">
        <f t="shared" si="151"/>
        <v>1838300</v>
      </c>
      <c r="G797" s="70">
        <v>1838300</v>
      </c>
      <c r="H797" s="70"/>
    </row>
    <row r="798" spans="1:8" s="6" customFormat="1" ht="24" customHeight="1">
      <c r="A798" s="15"/>
      <c r="B798" s="187" t="s">
        <v>13</v>
      </c>
      <c r="C798" s="200"/>
      <c r="D798" s="200"/>
      <c r="E798" s="169"/>
      <c r="F798" s="19">
        <f>H798+G798</f>
        <v>91985066</v>
      </c>
      <c r="G798" s="78">
        <f>G799+G801+G802+G803+G806+G807+G805+G808+G809+G810+G811+G812+G813+G814+G816+G817+G819+G820+G822</f>
        <v>91856566</v>
      </c>
      <c r="H798" s="78">
        <f>H799+H801+H802+H803+H806+H807+H805+H808+H809+H810+H811+H812+H813+H814+H816+H817+H819+H820+H822</f>
        <v>128500</v>
      </c>
    </row>
    <row r="799" spans="1:8" s="6" customFormat="1" ht="24" customHeight="1">
      <c r="A799" s="1" t="s">
        <v>14</v>
      </c>
      <c r="B799" s="228" t="s">
        <v>15</v>
      </c>
      <c r="C799" s="152"/>
      <c r="D799" s="3"/>
      <c r="E799" s="217"/>
      <c r="F799" s="5">
        <f t="shared" ref="F799:F804" si="153">G799+H799</f>
        <v>44000000</v>
      </c>
      <c r="G799" s="153">
        <f>G800</f>
        <v>44000000</v>
      </c>
      <c r="H799" s="229"/>
    </row>
    <row r="800" spans="1:8" s="6" customFormat="1" ht="24" customHeight="1">
      <c r="A800" s="1"/>
      <c r="B800" s="225" t="s">
        <v>10</v>
      </c>
      <c r="C800" s="152">
        <v>921</v>
      </c>
      <c r="D800" s="3">
        <v>92195</v>
      </c>
      <c r="E800" s="217" t="s">
        <v>12</v>
      </c>
      <c r="F800" s="5">
        <f t="shared" si="153"/>
        <v>44000000</v>
      </c>
      <c r="G800" s="153">
        <v>44000000</v>
      </c>
      <c r="H800" s="154"/>
    </row>
    <row r="801" spans="1:8" s="6" customFormat="1" ht="24" customHeight="1">
      <c r="A801" s="1" t="s">
        <v>933</v>
      </c>
      <c r="B801" s="129" t="s">
        <v>932</v>
      </c>
      <c r="C801" s="152">
        <v>921</v>
      </c>
      <c r="D801" s="3">
        <v>92109</v>
      </c>
      <c r="E801" s="217" t="s">
        <v>23</v>
      </c>
      <c r="F801" s="51">
        <f t="shared" si="153"/>
        <v>300000</v>
      </c>
      <c r="G801" s="153">
        <v>300000</v>
      </c>
      <c r="H801" s="154"/>
    </row>
    <row r="802" spans="1:8" s="6" customFormat="1" ht="24" customHeight="1">
      <c r="A802" s="1" t="s">
        <v>844</v>
      </c>
      <c r="B802" s="129" t="s">
        <v>845</v>
      </c>
      <c r="C802" s="152">
        <v>921</v>
      </c>
      <c r="D802" s="3">
        <v>92106</v>
      </c>
      <c r="E802" s="217" t="s">
        <v>23</v>
      </c>
      <c r="F802" s="51">
        <f t="shared" si="153"/>
        <v>100000</v>
      </c>
      <c r="G802" s="153">
        <v>100000</v>
      </c>
      <c r="H802" s="154"/>
    </row>
    <row r="803" spans="1:8" s="6" customFormat="1" ht="24" customHeight="1">
      <c r="A803" s="34" t="s">
        <v>722</v>
      </c>
      <c r="B803" s="124" t="s">
        <v>717</v>
      </c>
      <c r="C803" s="40"/>
      <c r="D803" s="40"/>
      <c r="E803" s="183"/>
      <c r="F803" s="39">
        <f t="shared" si="153"/>
        <v>34000</v>
      </c>
      <c r="G803" s="73">
        <f>SUM(G804)</f>
        <v>34000</v>
      </c>
      <c r="H803" s="73"/>
    </row>
    <row r="804" spans="1:8" s="6" customFormat="1" ht="24" customHeight="1">
      <c r="A804" s="41"/>
      <c r="B804" s="65" t="s">
        <v>547</v>
      </c>
      <c r="C804" s="43">
        <v>921</v>
      </c>
      <c r="D804" s="43">
        <v>92109</v>
      </c>
      <c r="E804" s="185" t="s">
        <v>12</v>
      </c>
      <c r="F804" s="44">
        <f t="shared" si="153"/>
        <v>34000</v>
      </c>
      <c r="G804" s="75">
        <v>34000</v>
      </c>
      <c r="H804" s="75"/>
    </row>
    <row r="805" spans="1:8" s="6" customFormat="1" ht="24" customHeight="1">
      <c r="A805" s="41" t="s">
        <v>926</v>
      </c>
      <c r="B805" s="66" t="s">
        <v>927</v>
      </c>
      <c r="C805" s="43">
        <v>921</v>
      </c>
      <c r="D805" s="43">
        <v>92109</v>
      </c>
      <c r="E805" s="185" t="s">
        <v>23</v>
      </c>
      <c r="F805" s="51">
        <f t="shared" ref="F805" si="154">G805+H805</f>
        <v>580000</v>
      </c>
      <c r="G805" s="153">
        <v>580000</v>
      </c>
      <c r="H805" s="154"/>
    </row>
    <row r="806" spans="1:8" s="6" customFormat="1" ht="24" customHeight="1">
      <c r="A806" s="116" t="s">
        <v>445</v>
      </c>
      <c r="B806" s="53" t="s">
        <v>446</v>
      </c>
      <c r="C806" s="104">
        <v>921</v>
      </c>
      <c r="D806" s="104">
        <v>92109</v>
      </c>
      <c r="E806" s="186" t="s">
        <v>23</v>
      </c>
      <c r="F806" s="51">
        <f>G806+H806</f>
        <v>12800000</v>
      </c>
      <c r="G806" s="70">
        <v>12800000</v>
      </c>
      <c r="H806" s="70"/>
    </row>
    <row r="807" spans="1:8" s="6" customFormat="1" ht="24" customHeight="1">
      <c r="A807" s="116" t="s">
        <v>447</v>
      </c>
      <c r="B807" s="49" t="s">
        <v>448</v>
      </c>
      <c r="C807" s="104">
        <v>854</v>
      </c>
      <c r="D807" s="104">
        <v>85495</v>
      </c>
      <c r="E807" s="186" t="s">
        <v>306</v>
      </c>
      <c r="F807" s="51">
        <f>G807+H807</f>
        <v>128500</v>
      </c>
      <c r="G807" s="70"/>
      <c r="H807" s="70">
        <v>128500</v>
      </c>
    </row>
    <row r="808" spans="1:8" s="6" customFormat="1" ht="24" customHeight="1">
      <c r="A808" s="116" t="s">
        <v>1015</v>
      </c>
      <c r="B808" s="49" t="s">
        <v>1016</v>
      </c>
      <c r="C808" s="104">
        <v>921</v>
      </c>
      <c r="D808" s="104">
        <v>92118</v>
      </c>
      <c r="E808" s="186" t="s">
        <v>99</v>
      </c>
      <c r="F808" s="51">
        <f t="shared" ref="F808" si="155">G808+H808</f>
        <v>500000</v>
      </c>
      <c r="G808" s="70">
        <v>500000</v>
      </c>
      <c r="H808" s="70"/>
    </row>
    <row r="809" spans="1:8" s="6" customFormat="1" ht="24" customHeight="1">
      <c r="A809" s="116" t="s">
        <v>449</v>
      </c>
      <c r="B809" s="53" t="s">
        <v>450</v>
      </c>
      <c r="C809" s="104">
        <v>921</v>
      </c>
      <c r="D809" s="104">
        <v>92109</v>
      </c>
      <c r="E809" s="186" t="s">
        <v>23</v>
      </c>
      <c r="F809" s="51">
        <f>G809+H809</f>
        <v>7426591</v>
      </c>
      <c r="G809" s="70">
        <v>7426591</v>
      </c>
      <c r="H809" s="70"/>
    </row>
    <row r="810" spans="1:8" s="6" customFormat="1" ht="24" customHeight="1">
      <c r="A810" s="116" t="s">
        <v>1132</v>
      </c>
      <c r="B810" s="53" t="s">
        <v>1332</v>
      </c>
      <c r="C810" s="104">
        <v>921</v>
      </c>
      <c r="D810" s="104">
        <v>92109</v>
      </c>
      <c r="E810" s="186" t="s">
        <v>12</v>
      </c>
      <c r="F810" s="51">
        <f t="shared" ref="F810" si="156">G810+H810</f>
        <v>40000</v>
      </c>
      <c r="G810" s="70">
        <v>40000</v>
      </c>
      <c r="H810" s="70"/>
    </row>
    <row r="811" spans="1:8" s="6" customFormat="1" ht="24" customHeight="1">
      <c r="A811" s="116" t="s">
        <v>1177</v>
      </c>
      <c r="B811" s="53" t="s">
        <v>1331</v>
      </c>
      <c r="C811" s="104">
        <v>921</v>
      </c>
      <c r="D811" s="104">
        <v>92116</v>
      </c>
      <c r="E811" s="186" t="s">
        <v>12</v>
      </c>
      <c r="F811" s="51">
        <f t="shared" ref="F811" si="157">G811+H811</f>
        <v>200000</v>
      </c>
      <c r="G811" s="70">
        <v>200000</v>
      </c>
      <c r="H811" s="70"/>
    </row>
    <row r="812" spans="1:8" s="6" customFormat="1" ht="24" customHeight="1">
      <c r="A812" s="116" t="s">
        <v>1198</v>
      </c>
      <c r="B812" s="53" t="s">
        <v>1197</v>
      </c>
      <c r="C812" s="104">
        <v>921</v>
      </c>
      <c r="D812" s="104">
        <v>92109</v>
      </c>
      <c r="E812" s="186" t="s">
        <v>12</v>
      </c>
      <c r="F812" s="51">
        <f t="shared" ref="F812" si="158">G812+H812</f>
        <v>300000</v>
      </c>
      <c r="G812" s="70">
        <v>300000</v>
      </c>
      <c r="H812" s="70"/>
    </row>
    <row r="813" spans="1:8" s="6" customFormat="1" ht="24" customHeight="1">
      <c r="A813" s="116" t="s">
        <v>1273</v>
      </c>
      <c r="B813" s="53" t="s">
        <v>1272</v>
      </c>
      <c r="C813" s="104">
        <v>921</v>
      </c>
      <c r="D813" s="104">
        <v>92109</v>
      </c>
      <c r="E813" s="186" t="s">
        <v>12</v>
      </c>
      <c r="F813" s="51">
        <f t="shared" ref="F813" si="159">G813+H813</f>
        <v>130000</v>
      </c>
      <c r="G813" s="70">
        <v>130000</v>
      </c>
      <c r="H813" s="70"/>
    </row>
    <row r="814" spans="1:8" s="6" customFormat="1" ht="22.5" customHeight="1">
      <c r="A814" s="155" t="s">
        <v>889</v>
      </c>
      <c r="B814" s="61" t="s">
        <v>835</v>
      </c>
      <c r="C814" s="37"/>
      <c r="D814" s="37"/>
      <c r="E814" s="183"/>
      <c r="F814" s="39">
        <f t="shared" ref="F814" si="160">G814+H814</f>
        <v>85000</v>
      </c>
      <c r="G814" s="73">
        <v>85000</v>
      </c>
      <c r="H814" s="73"/>
    </row>
    <row r="815" spans="1:8" s="6" customFormat="1" ht="22.5" customHeight="1">
      <c r="A815" s="156"/>
      <c r="B815" s="65" t="s">
        <v>8</v>
      </c>
      <c r="C815" s="74">
        <v>921</v>
      </c>
      <c r="D815" s="74">
        <v>92116</v>
      </c>
      <c r="E815" s="185" t="s">
        <v>12</v>
      </c>
      <c r="F815" s="44">
        <f t="shared" ref="F815" si="161">G815+H815</f>
        <v>85000</v>
      </c>
      <c r="G815" s="75">
        <v>85000</v>
      </c>
      <c r="H815" s="75"/>
    </row>
    <row r="816" spans="1:8" s="6" customFormat="1" ht="24" customHeight="1">
      <c r="A816" s="116" t="s">
        <v>451</v>
      </c>
      <c r="B816" s="53" t="s">
        <v>452</v>
      </c>
      <c r="C816" s="104">
        <v>921</v>
      </c>
      <c r="D816" s="104">
        <v>92118</v>
      </c>
      <c r="E816" s="186" t="s">
        <v>12</v>
      </c>
      <c r="F816" s="51">
        <f t="shared" ref="F816:F841" si="162">G816+H816</f>
        <v>8460975</v>
      </c>
      <c r="G816" s="70">
        <v>8460975</v>
      </c>
      <c r="H816" s="70"/>
    </row>
    <row r="817" spans="1:8" s="6" customFormat="1" ht="24.75" customHeight="1">
      <c r="A817" s="116" t="s">
        <v>453</v>
      </c>
      <c r="B817" s="49" t="s">
        <v>454</v>
      </c>
      <c r="C817" s="48"/>
      <c r="D817" s="48"/>
      <c r="E817" s="186"/>
      <c r="F817" s="51">
        <f t="shared" si="162"/>
        <v>8380000</v>
      </c>
      <c r="G817" s="70">
        <f>G818</f>
        <v>8380000</v>
      </c>
      <c r="H817" s="70"/>
    </row>
    <row r="818" spans="1:8" s="6" customFormat="1" ht="24" customHeight="1">
      <c r="A818" s="131"/>
      <c r="B818" s="225" t="s">
        <v>8</v>
      </c>
      <c r="C818" s="104">
        <v>921</v>
      </c>
      <c r="D818" s="104">
        <v>92106</v>
      </c>
      <c r="E818" s="186" t="s">
        <v>12</v>
      </c>
      <c r="F818" s="51">
        <f t="shared" si="162"/>
        <v>8380000</v>
      </c>
      <c r="G818" s="70">
        <f>6780000+1600000</f>
        <v>8380000</v>
      </c>
      <c r="H818" s="70"/>
    </row>
    <row r="819" spans="1:8" s="6" customFormat="1" ht="24" customHeight="1">
      <c r="A819" s="116" t="s">
        <v>455</v>
      </c>
      <c r="B819" s="49" t="s">
        <v>456</v>
      </c>
      <c r="C819" s="104">
        <v>921</v>
      </c>
      <c r="D819" s="104">
        <v>92110</v>
      </c>
      <c r="E819" s="186" t="s">
        <v>12</v>
      </c>
      <c r="F819" s="51">
        <f t="shared" si="162"/>
        <v>8000000</v>
      </c>
      <c r="G819" s="70">
        <v>8000000</v>
      </c>
      <c r="H819" s="70"/>
    </row>
    <row r="820" spans="1:8" s="6" customFormat="1" ht="24" customHeight="1">
      <c r="A820" s="111" t="s">
        <v>890</v>
      </c>
      <c r="B820" s="61" t="s">
        <v>836</v>
      </c>
      <c r="C820" s="37"/>
      <c r="D820" s="37"/>
      <c r="E820" s="183"/>
      <c r="F820" s="39">
        <f t="shared" ref="F820" si="163">G820+H820</f>
        <v>300000</v>
      </c>
      <c r="G820" s="73">
        <f>G821</f>
        <v>300000</v>
      </c>
      <c r="H820" s="73"/>
    </row>
    <row r="821" spans="1:8" s="6" customFormat="1" ht="24" customHeight="1">
      <c r="A821" s="156"/>
      <c r="B821" s="65" t="s">
        <v>8</v>
      </c>
      <c r="C821" s="74">
        <v>921</v>
      </c>
      <c r="D821" s="74">
        <v>92116</v>
      </c>
      <c r="E821" s="185" t="s">
        <v>12</v>
      </c>
      <c r="F821" s="44">
        <f t="shared" ref="F821" si="164">G821+H821</f>
        <v>300000</v>
      </c>
      <c r="G821" s="75">
        <v>300000</v>
      </c>
      <c r="H821" s="75"/>
    </row>
    <row r="822" spans="1:8" s="6" customFormat="1" ht="24" customHeight="1">
      <c r="A822" s="116" t="s">
        <v>981</v>
      </c>
      <c r="B822" s="49" t="s">
        <v>980</v>
      </c>
      <c r="C822" s="104">
        <v>921</v>
      </c>
      <c r="D822" s="104">
        <v>92109</v>
      </c>
      <c r="E822" s="186" t="s">
        <v>12</v>
      </c>
      <c r="F822" s="51">
        <f t="shared" ref="F822" si="165">G822+H822</f>
        <v>220000</v>
      </c>
      <c r="G822" s="70">
        <v>220000</v>
      </c>
      <c r="H822" s="70"/>
    </row>
    <row r="823" spans="1:8" s="6" customFormat="1" ht="24" customHeight="1">
      <c r="A823" s="15"/>
      <c r="B823" s="187" t="s">
        <v>457</v>
      </c>
      <c r="C823" s="200"/>
      <c r="D823" s="200"/>
      <c r="E823" s="169"/>
      <c r="F823" s="19">
        <f t="shared" si="162"/>
        <v>21470503</v>
      </c>
      <c r="G823" s="78">
        <f>G824</f>
        <v>20159003</v>
      </c>
      <c r="H823" s="78">
        <f>H824</f>
        <v>1311500</v>
      </c>
    </row>
    <row r="824" spans="1:8" s="6" customFormat="1" ht="24" customHeight="1">
      <c r="A824" s="15"/>
      <c r="B824" s="187" t="s">
        <v>458</v>
      </c>
      <c r="C824" s="200"/>
      <c r="D824" s="200"/>
      <c r="E824" s="169"/>
      <c r="F824" s="19">
        <f t="shared" si="162"/>
        <v>21470503</v>
      </c>
      <c r="G824" s="78">
        <f>G825+G826+G828+G829+G833+G834+G835+G836+G837+G827</f>
        <v>20159003</v>
      </c>
      <c r="H824" s="78">
        <f>H825+H826+H828+H829+H833+H834+H835+H836+H837+H827</f>
        <v>1311500</v>
      </c>
    </row>
    <row r="825" spans="1:8" s="6" customFormat="1" ht="24" customHeight="1">
      <c r="A825" s="52" t="s">
        <v>459</v>
      </c>
      <c r="B825" s="53" t="s">
        <v>460</v>
      </c>
      <c r="C825" s="104">
        <v>750</v>
      </c>
      <c r="D825" s="104">
        <v>75023</v>
      </c>
      <c r="E825" s="186" t="s">
        <v>461</v>
      </c>
      <c r="F825" s="51">
        <f t="shared" si="162"/>
        <v>13800000</v>
      </c>
      <c r="G825" s="70">
        <f>8800000+5000000</f>
        <v>13800000</v>
      </c>
      <c r="H825" s="70"/>
    </row>
    <row r="826" spans="1:8" ht="25.5" customHeight="1">
      <c r="A826" s="52" t="s">
        <v>700</v>
      </c>
      <c r="B826" s="53" t="s">
        <v>701</v>
      </c>
      <c r="C826" s="104">
        <v>710</v>
      </c>
      <c r="D826" s="104">
        <v>71012</v>
      </c>
      <c r="E826" s="172" t="s">
        <v>462</v>
      </c>
      <c r="F826" s="122">
        <f t="shared" si="162"/>
        <v>200000</v>
      </c>
      <c r="G826" s="119"/>
      <c r="H826" s="119">
        <v>200000</v>
      </c>
    </row>
    <row r="827" spans="1:8" ht="25.5" customHeight="1">
      <c r="A827" s="52" t="s">
        <v>544</v>
      </c>
      <c r="B827" s="53" t="s">
        <v>545</v>
      </c>
      <c r="C827" s="104">
        <v>750</v>
      </c>
      <c r="D827" s="104">
        <v>75023</v>
      </c>
      <c r="E827" s="186" t="s">
        <v>546</v>
      </c>
      <c r="F827" s="122">
        <f t="shared" si="162"/>
        <v>825000</v>
      </c>
      <c r="G827" s="119">
        <f>400000+425000</f>
        <v>825000</v>
      </c>
      <c r="H827" s="119"/>
    </row>
    <row r="828" spans="1:8" ht="22.5" customHeight="1">
      <c r="A828" s="34" t="s">
        <v>1035</v>
      </c>
      <c r="B828" s="35" t="s">
        <v>1036</v>
      </c>
      <c r="C828" s="37">
        <v>700</v>
      </c>
      <c r="D828" s="37">
        <v>70005</v>
      </c>
      <c r="E828" s="183" t="s">
        <v>99</v>
      </c>
      <c r="F828" s="51">
        <f t="shared" si="162"/>
        <v>1200000</v>
      </c>
      <c r="G828" s="70">
        <v>1200000</v>
      </c>
      <c r="H828" s="70"/>
    </row>
    <row r="829" spans="1:8" s="6" customFormat="1" ht="24" customHeight="1">
      <c r="A829" s="111" t="s">
        <v>463</v>
      </c>
      <c r="B829" s="61" t="s">
        <v>464</v>
      </c>
      <c r="C829" s="37"/>
      <c r="D829" s="37"/>
      <c r="E829" s="183"/>
      <c r="F829" s="39">
        <f t="shared" si="162"/>
        <v>1111500</v>
      </c>
      <c r="G829" s="73"/>
      <c r="H829" s="73">
        <f>SUM(H830:H832)</f>
        <v>1111500</v>
      </c>
    </row>
    <row r="830" spans="1:8" s="6" customFormat="1" ht="20.25" customHeight="1">
      <c r="A830" s="139"/>
      <c r="B830" s="56"/>
      <c r="C830" s="45">
        <v>710</v>
      </c>
      <c r="D830" s="45">
        <v>71012</v>
      </c>
      <c r="E830" s="214" t="s">
        <v>462</v>
      </c>
      <c r="F830" s="38">
        <f t="shared" si="162"/>
        <v>811500</v>
      </c>
      <c r="G830" s="77"/>
      <c r="H830" s="77">
        <v>811500</v>
      </c>
    </row>
    <row r="831" spans="1:8" s="6" customFormat="1" ht="20.25" customHeight="1">
      <c r="A831" s="139"/>
      <c r="B831" s="56" t="s">
        <v>8</v>
      </c>
      <c r="C831" s="45">
        <v>710</v>
      </c>
      <c r="D831" s="45">
        <v>71012</v>
      </c>
      <c r="E831" s="214" t="s">
        <v>462</v>
      </c>
      <c r="F831" s="38">
        <f t="shared" si="162"/>
        <v>75000</v>
      </c>
      <c r="G831" s="77"/>
      <c r="H831" s="77">
        <v>75000</v>
      </c>
    </row>
    <row r="832" spans="1:8" s="6" customFormat="1" ht="20.25" customHeight="1">
      <c r="A832" s="157"/>
      <c r="B832" s="65" t="s">
        <v>1327</v>
      </c>
      <c r="C832" s="42">
        <v>710</v>
      </c>
      <c r="D832" s="42">
        <v>71012</v>
      </c>
      <c r="E832" s="215" t="s">
        <v>462</v>
      </c>
      <c r="F832" s="44">
        <f t="shared" si="162"/>
        <v>225000</v>
      </c>
      <c r="G832" s="75"/>
      <c r="H832" s="75">
        <v>225000</v>
      </c>
    </row>
    <row r="833" spans="1:8" s="6" customFormat="1" ht="23.25" customHeight="1">
      <c r="A833" s="52" t="s">
        <v>465</v>
      </c>
      <c r="B833" s="49" t="s">
        <v>466</v>
      </c>
      <c r="C833" s="104">
        <v>750</v>
      </c>
      <c r="D833" s="104">
        <v>75023</v>
      </c>
      <c r="E833" s="186" t="s">
        <v>23</v>
      </c>
      <c r="F833" s="51">
        <f t="shared" si="162"/>
        <v>901453</v>
      </c>
      <c r="G833" s="70">
        <v>901453</v>
      </c>
      <c r="H833" s="70"/>
    </row>
    <row r="834" spans="1:8" s="6" customFormat="1" ht="23.25" customHeight="1">
      <c r="A834" s="52" t="s">
        <v>837</v>
      </c>
      <c r="B834" s="49" t="s">
        <v>838</v>
      </c>
      <c r="C834" s="104">
        <v>926</v>
      </c>
      <c r="D834" s="104">
        <v>92695</v>
      </c>
      <c r="E834" s="186" t="s">
        <v>397</v>
      </c>
      <c r="F834" s="51">
        <f t="shared" ref="F834:F836" si="166">G834+H834</f>
        <v>600000</v>
      </c>
      <c r="G834" s="70">
        <v>600000</v>
      </c>
      <c r="H834" s="70"/>
    </row>
    <row r="835" spans="1:8" s="6" customFormat="1" ht="23.25" customHeight="1">
      <c r="A835" s="52" t="s">
        <v>965</v>
      </c>
      <c r="B835" s="49" t="s">
        <v>966</v>
      </c>
      <c r="C835" s="104">
        <v>700</v>
      </c>
      <c r="D835" s="104">
        <v>70005</v>
      </c>
      <c r="E835" s="186" t="s">
        <v>99</v>
      </c>
      <c r="F835" s="51">
        <f t="shared" si="166"/>
        <v>40000</v>
      </c>
      <c r="G835" s="70">
        <f>30000+10000</f>
        <v>40000</v>
      </c>
      <c r="H835" s="70"/>
    </row>
    <row r="836" spans="1:8" s="6" customFormat="1" ht="24" customHeight="1">
      <c r="A836" s="52" t="s">
        <v>839</v>
      </c>
      <c r="B836" s="49" t="s">
        <v>840</v>
      </c>
      <c r="C836" s="104">
        <v>750</v>
      </c>
      <c r="D836" s="104">
        <v>75023</v>
      </c>
      <c r="E836" s="186" t="s">
        <v>90</v>
      </c>
      <c r="F836" s="51">
        <f t="shared" si="166"/>
        <v>2000000</v>
      </c>
      <c r="G836" s="70">
        <v>2000000</v>
      </c>
      <c r="H836" s="70"/>
    </row>
    <row r="837" spans="1:8" s="6" customFormat="1" ht="24" customHeight="1">
      <c r="A837" s="34" t="s">
        <v>467</v>
      </c>
      <c r="B837" s="35" t="s">
        <v>468</v>
      </c>
      <c r="C837" s="37"/>
      <c r="D837" s="37"/>
      <c r="E837" s="183"/>
      <c r="F837" s="39">
        <f t="shared" si="162"/>
        <v>792550</v>
      </c>
      <c r="G837" s="73">
        <f>SUM(G838:G840)</f>
        <v>792550</v>
      </c>
      <c r="H837" s="73"/>
    </row>
    <row r="838" spans="1:8" s="6" customFormat="1" ht="20.25" customHeight="1">
      <c r="A838" s="47"/>
      <c r="B838" s="56" t="s">
        <v>8</v>
      </c>
      <c r="C838" s="76">
        <v>700</v>
      </c>
      <c r="D838" s="76">
        <v>70005</v>
      </c>
      <c r="E838" s="184" t="s">
        <v>99</v>
      </c>
      <c r="F838" s="38">
        <f t="shared" si="162"/>
        <v>300000</v>
      </c>
      <c r="G838" s="77">
        <v>300000</v>
      </c>
      <c r="H838" s="77"/>
    </row>
    <row r="839" spans="1:8" s="6" customFormat="1" ht="20.25" customHeight="1">
      <c r="A839" s="47"/>
      <c r="B839" s="56" t="s">
        <v>1328</v>
      </c>
      <c r="C839" s="76">
        <v>700</v>
      </c>
      <c r="D839" s="76">
        <v>70005</v>
      </c>
      <c r="E839" s="184" t="s">
        <v>99</v>
      </c>
      <c r="F839" s="38">
        <f t="shared" si="162"/>
        <v>65655</v>
      </c>
      <c r="G839" s="77">
        <v>65655</v>
      </c>
      <c r="H839" s="77"/>
    </row>
    <row r="840" spans="1:8" s="6" customFormat="1" ht="20.25" customHeight="1">
      <c r="A840" s="41"/>
      <c r="B840" s="65" t="s">
        <v>1327</v>
      </c>
      <c r="C840" s="74">
        <v>700</v>
      </c>
      <c r="D840" s="74">
        <v>70005</v>
      </c>
      <c r="E840" s="185" t="s">
        <v>99</v>
      </c>
      <c r="F840" s="44">
        <f t="shared" si="162"/>
        <v>426895</v>
      </c>
      <c r="G840" s="75">
        <v>426895</v>
      </c>
      <c r="H840" s="75"/>
    </row>
    <row r="841" spans="1:8" s="6" customFormat="1" ht="24" customHeight="1">
      <c r="A841" s="15"/>
      <c r="B841" s="187" t="s">
        <v>469</v>
      </c>
      <c r="C841" s="200"/>
      <c r="D841" s="200"/>
      <c r="E841" s="169"/>
      <c r="F841" s="19">
        <f t="shared" si="162"/>
        <v>93100000</v>
      </c>
      <c r="G841" s="78">
        <f>G842+G856</f>
        <v>58550000</v>
      </c>
      <c r="H841" s="78">
        <f>H842+H856</f>
        <v>34550000</v>
      </c>
    </row>
    <row r="842" spans="1:8" s="6" customFormat="1" ht="24" customHeight="1">
      <c r="A842" s="158"/>
      <c r="B842" s="199" t="s">
        <v>514</v>
      </c>
      <c r="C842" s="200"/>
      <c r="D842" s="200"/>
      <c r="E842" s="169"/>
      <c r="F842" s="19">
        <f>G842+H842</f>
        <v>55600000</v>
      </c>
      <c r="G842" s="78">
        <f>SUM(G843:G848,G849:G853,G854,G855)</f>
        <v>21050000</v>
      </c>
      <c r="H842" s="78">
        <f>SUM(H843:H848,H849:H853,H854,H855)</f>
        <v>34550000</v>
      </c>
    </row>
    <row r="843" spans="1:8" s="6" customFormat="1" ht="24" customHeight="1">
      <c r="A843" s="1" t="s">
        <v>59</v>
      </c>
      <c r="B843" s="129" t="s">
        <v>60</v>
      </c>
      <c r="C843" s="3">
        <v>700</v>
      </c>
      <c r="D843" s="3">
        <v>70005</v>
      </c>
      <c r="E843" s="209" t="s">
        <v>58</v>
      </c>
      <c r="F843" s="5">
        <f t="shared" ref="F843:F847" si="167">G843+H843</f>
        <v>1000000</v>
      </c>
      <c r="G843" s="5"/>
      <c r="H843" s="5">
        <v>1000000</v>
      </c>
    </row>
    <row r="844" spans="1:8" s="6" customFormat="1" ht="24" customHeight="1">
      <c r="A844" s="1" t="s">
        <v>61</v>
      </c>
      <c r="B844" s="2" t="s">
        <v>22</v>
      </c>
      <c r="C844" s="3">
        <v>700</v>
      </c>
      <c r="D844" s="3">
        <v>70005</v>
      </c>
      <c r="E844" s="209" t="s">
        <v>58</v>
      </c>
      <c r="F844" s="5">
        <f t="shared" si="167"/>
        <v>17000000</v>
      </c>
      <c r="G844" s="5"/>
      <c r="H844" s="5">
        <v>17000000</v>
      </c>
    </row>
    <row r="845" spans="1:8" s="6" customFormat="1" ht="24" customHeight="1">
      <c r="A845" s="1" t="s">
        <v>62</v>
      </c>
      <c r="B845" s="2" t="s">
        <v>63</v>
      </c>
      <c r="C845" s="3">
        <v>700</v>
      </c>
      <c r="D845" s="3">
        <v>70005</v>
      </c>
      <c r="E845" s="209" t="s">
        <v>58</v>
      </c>
      <c r="F845" s="5">
        <f t="shared" si="167"/>
        <v>2000000</v>
      </c>
      <c r="G845" s="5"/>
      <c r="H845" s="5">
        <v>2000000</v>
      </c>
    </row>
    <row r="846" spans="1:8" s="6" customFormat="1" ht="24" customHeight="1">
      <c r="A846" s="86" t="s">
        <v>64</v>
      </c>
      <c r="B846" s="87" t="s">
        <v>65</v>
      </c>
      <c r="C846" s="3">
        <v>700</v>
      </c>
      <c r="D846" s="3">
        <v>70005</v>
      </c>
      <c r="E846" s="209" t="s">
        <v>58</v>
      </c>
      <c r="F846" s="5">
        <f t="shared" si="167"/>
        <v>2000000</v>
      </c>
      <c r="G846" s="5"/>
      <c r="H846" s="5">
        <v>2000000</v>
      </c>
    </row>
    <row r="847" spans="1:8" s="6" customFormat="1" ht="24" customHeight="1">
      <c r="A847" s="1" t="s">
        <v>515</v>
      </c>
      <c r="B847" s="2" t="s">
        <v>37</v>
      </c>
      <c r="C847" s="3">
        <v>700</v>
      </c>
      <c r="D847" s="3">
        <v>70005</v>
      </c>
      <c r="E847" s="209" t="s">
        <v>58</v>
      </c>
      <c r="F847" s="5">
        <f t="shared" si="167"/>
        <v>2000000</v>
      </c>
      <c r="G847" s="5">
        <v>2000000</v>
      </c>
      <c r="H847" s="5"/>
    </row>
    <row r="848" spans="1:8" s="6" customFormat="1" ht="24" customHeight="1">
      <c r="A848" s="86" t="s">
        <v>66</v>
      </c>
      <c r="B848" s="192" t="s">
        <v>67</v>
      </c>
      <c r="C848" s="88">
        <v>700</v>
      </c>
      <c r="D848" s="88">
        <v>70005</v>
      </c>
      <c r="E848" s="210" t="s">
        <v>58</v>
      </c>
      <c r="F848" s="89">
        <f>G848+H848</f>
        <v>10000000</v>
      </c>
      <c r="G848" s="89">
        <v>9000000</v>
      </c>
      <c r="H848" s="89">
        <v>1000000</v>
      </c>
    </row>
    <row r="849" spans="1:8" s="6" customFormat="1" ht="24" customHeight="1">
      <c r="A849" s="1" t="s">
        <v>516</v>
      </c>
      <c r="B849" s="2" t="s">
        <v>40</v>
      </c>
      <c r="C849" s="3">
        <v>700</v>
      </c>
      <c r="D849" s="3">
        <v>70005</v>
      </c>
      <c r="E849" s="209" t="s">
        <v>58</v>
      </c>
      <c r="F849" s="5">
        <f t="shared" ref="F849:F855" si="168">G849+H849</f>
        <v>2500000</v>
      </c>
      <c r="G849" s="5"/>
      <c r="H849" s="5">
        <v>2500000</v>
      </c>
    </row>
    <row r="850" spans="1:8" s="6" customFormat="1" ht="24" customHeight="1">
      <c r="A850" s="1" t="s">
        <v>68</v>
      </c>
      <c r="B850" s="129" t="s">
        <v>25</v>
      </c>
      <c r="C850" s="3">
        <v>700</v>
      </c>
      <c r="D850" s="3">
        <v>70005</v>
      </c>
      <c r="E850" s="209" t="s">
        <v>58</v>
      </c>
      <c r="F850" s="5">
        <f t="shared" si="168"/>
        <v>1000000</v>
      </c>
      <c r="G850" s="5"/>
      <c r="H850" s="5">
        <v>1000000</v>
      </c>
    </row>
    <row r="851" spans="1:8" s="6" customFormat="1" ht="24" customHeight="1">
      <c r="A851" s="1" t="s">
        <v>69</v>
      </c>
      <c r="B851" s="129" t="s">
        <v>27</v>
      </c>
      <c r="C851" s="3">
        <v>700</v>
      </c>
      <c r="D851" s="3">
        <v>70005</v>
      </c>
      <c r="E851" s="209" t="s">
        <v>58</v>
      </c>
      <c r="F851" s="5">
        <f t="shared" si="168"/>
        <v>6000000</v>
      </c>
      <c r="G851" s="5"/>
      <c r="H851" s="5">
        <v>6000000</v>
      </c>
    </row>
    <row r="852" spans="1:8" s="6" customFormat="1" ht="24" customHeight="1">
      <c r="A852" s="1" t="s">
        <v>70</v>
      </c>
      <c r="B852" s="2" t="s">
        <v>32</v>
      </c>
      <c r="C852" s="3">
        <v>700</v>
      </c>
      <c r="D852" s="3">
        <v>70005</v>
      </c>
      <c r="E852" s="209" t="s">
        <v>58</v>
      </c>
      <c r="F852" s="5">
        <f t="shared" si="168"/>
        <v>50000</v>
      </c>
      <c r="G852" s="5"/>
      <c r="H852" s="5">
        <v>50000</v>
      </c>
    </row>
    <row r="853" spans="1:8" s="6" customFormat="1" ht="24" customHeight="1">
      <c r="A853" s="52" t="s">
        <v>472</v>
      </c>
      <c r="B853" s="230" t="s">
        <v>473</v>
      </c>
      <c r="C853" s="48">
        <v>700</v>
      </c>
      <c r="D853" s="48">
        <v>70005</v>
      </c>
      <c r="E853" s="186" t="s">
        <v>58</v>
      </c>
      <c r="F853" s="51">
        <f t="shared" si="168"/>
        <v>6000000</v>
      </c>
      <c r="G853" s="70">
        <v>5000000</v>
      </c>
      <c r="H853" s="70">
        <v>1000000</v>
      </c>
    </row>
    <row r="854" spans="1:8" s="6" customFormat="1" ht="24" customHeight="1">
      <c r="A854" s="52" t="s">
        <v>474</v>
      </c>
      <c r="B854" s="230" t="s">
        <v>475</v>
      </c>
      <c r="C854" s="48">
        <v>700</v>
      </c>
      <c r="D854" s="48">
        <v>70005</v>
      </c>
      <c r="E854" s="186" t="s">
        <v>58</v>
      </c>
      <c r="F854" s="51">
        <f t="shared" si="168"/>
        <v>6000000</v>
      </c>
      <c r="G854" s="70">
        <v>5000000</v>
      </c>
      <c r="H854" s="70">
        <v>1000000</v>
      </c>
    </row>
    <row r="855" spans="1:8" s="6" customFormat="1" ht="24" customHeight="1">
      <c r="A855" s="131" t="s">
        <v>478</v>
      </c>
      <c r="B855" s="53" t="s">
        <v>479</v>
      </c>
      <c r="C855" s="48">
        <v>700</v>
      </c>
      <c r="D855" s="48">
        <v>70005</v>
      </c>
      <c r="E855" s="186" t="s">
        <v>58</v>
      </c>
      <c r="F855" s="51">
        <f t="shared" si="168"/>
        <v>50000</v>
      </c>
      <c r="G855" s="70">
        <v>50000</v>
      </c>
      <c r="H855" s="70"/>
    </row>
    <row r="856" spans="1:8" s="6" customFormat="1" ht="24" customHeight="1">
      <c r="A856" s="79"/>
      <c r="B856" s="196" t="s">
        <v>55</v>
      </c>
      <c r="C856" s="219"/>
      <c r="D856" s="219"/>
      <c r="E856" s="218"/>
      <c r="F856" s="160">
        <f>G856+H856</f>
        <v>37500000</v>
      </c>
      <c r="G856" s="160">
        <f>SUM(G857:G860,G862)</f>
        <v>37500000</v>
      </c>
      <c r="H856" s="161"/>
    </row>
    <row r="857" spans="1:8" s="6" customFormat="1" ht="24" customHeight="1">
      <c r="A857" s="1" t="s">
        <v>56</v>
      </c>
      <c r="B857" s="2" t="s">
        <v>57</v>
      </c>
      <c r="C857" s="3">
        <v>600</v>
      </c>
      <c r="D857" s="3">
        <v>60016</v>
      </c>
      <c r="E857" s="209" t="s">
        <v>58</v>
      </c>
      <c r="F857" s="5">
        <f t="shared" ref="F857:F861" si="169">G857+H857</f>
        <v>1000000</v>
      </c>
      <c r="G857" s="5">
        <v>1000000</v>
      </c>
      <c r="H857" s="162"/>
    </row>
    <row r="858" spans="1:8" s="6" customFormat="1" ht="24" customHeight="1">
      <c r="A858" s="34" t="s">
        <v>470</v>
      </c>
      <c r="B858" s="159" t="s">
        <v>471</v>
      </c>
      <c r="C858" s="48">
        <v>900</v>
      </c>
      <c r="D858" s="48">
        <v>90095</v>
      </c>
      <c r="E858" s="186" t="s">
        <v>58</v>
      </c>
      <c r="F858" s="51">
        <f t="shared" si="169"/>
        <v>5500000</v>
      </c>
      <c r="G858" s="70">
        <v>5500000</v>
      </c>
      <c r="H858" s="70"/>
    </row>
    <row r="859" spans="1:8" s="6" customFormat="1" ht="24" customHeight="1">
      <c r="A859" s="131" t="s">
        <v>476</v>
      </c>
      <c r="B859" s="53" t="s">
        <v>477</v>
      </c>
      <c r="C859" s="104">
        <v>900</v>
      </c>
      <c r="D859" s="104">
        <v>90095</v>
      </c>
      <c r="E859" s="186" t="s">
        <v>58</v>
      </c>
      <c r="F859" s="51">
        <f t="shared" si="169"/>
        <v>30000000</v>
      </c>
      <c r="G859" s="70">
        <v>30000000</v>
      </c>
      <c r="H859" s="70"/>
    </row>
    <row r="860" spans="1:8" s="6" customFormat="1" ht="21.75" customHeight="1">
      <c r="A860" s="36" t="s">
        <v>841</v>
      </c>
      <c r="B860" s="159" t="s">
        <v>842</v>
      </c>
      <c r="C860" s="40"/>
      <c r="D860" s="40"/>
      <c r="E860" s="183"/>
      <c r="F860" s="73">
        <f t="shared" si="169"/>
        <v>500000</v>
      </c>
      <c r="G860" s="73">
        <f>G861</f>
        <v>500000</v>
      </c>
      <c r="H860" s="163"/>
    </row>
    <row r="861" spans="1:8" s="6" customFormat="1" ht="21.75" customHeight="1">
      <c r="A861" s="42"/>
      <c r="B861" s="107" t="s">
        <v>110</v>
      </c>
      <c r="C861" s="42">
        <v>900</v>
      </c>
      <c r="D861" s="42">
        <v>90095</v>
      </c>
      <c r="E861" s="185" t="s">
        <v>190</v>
      </c>
      <c r="F861" s="75">
        <f t="shared" si="169"/>
        <v>500000</v>
      </c>
      <c r="G861" s="75">
        <v>500000</v>
      </c>
      <c r="H861" s="164"/>
    </row>
    <row r="862" spans="1:8" s="6" customFormat="1" ht="24" customHeight="1">
      <c r="A862" s="131" t="s">
        <v>891</v>
      </c>
      <c r="B862" s="53" t="s">
        <v>843</v>
      </c>
      <c r="C862" s="104">
        <v>900</v>
      </c>
      <c r="D862" s="104">
        <v>90095</v>
      </c>
      <c r="E862" s="186" t="s">
        <v>295</v>
      </c>
      <c r="F862" s="51">
        <f t="shared" ref="F862" si="170">G862+H862</f>
        <v>500000</v>
      </c>
      <c r="G862" s="70">
        <v>500000</v>
      </c>
      <c r="H862" s="70"/>
    </row>
    <row r="863" spans="1:8" s="6" customFormat="1" ht="12">
      <c r="A863" s="165"/>
      <c r="C863" s="165"/>
      <c r="D863" s="165"/>
      <c r="E863" s="165"/>
      <c r="F863" s="166"/>
      <c r="G863" s="166"/>
      <c r="H863" s="166"/>
    </row>
  </sheetData>
  <autoFilter ref="A12:H863" xr:uid="{00000000-0009-0000-0000-000000000000}"/>
  <mergeCells count="11">
    <mergeCell ref="F9:H9"/>
    <mergeCell ref="F10:F11"/>
    <mergeCell ref="G10:H10"/>
    <mergeCell ref="A6:E6"/>
    <mergeCell ref="A7:E7"/>
    <mergeCell ref="A8:B8"/>
    <mergeCell ref="A9:A11"/>
    <mergeCell ref="B9:B11"/>
    <mergeCell ref="C9:C11"/>
    <mergeCell ref="D9:D11"/>
    <mergeCell ref="E9:E11"/>
  </mergeCells>
  <printOptions horizontalCentered="1"/>
  <pageMargins left="0.70866141732283472" right="0.70866141732283472" top="0.98425196850393704" bottom="0.98425196850393704" header="0.31496062992125984" footer="0.3937007874015748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zał. 4.1</vt:lpstr>
      <vt:lpstr>'zał. 4.1'!Obszar_wydruku</vt:lpstr>
      <vt:lpstr>'zał. 4.1'!Tytuły_wydruku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Krawczuk Sławomira</dc:creator>
  <cp:lastModifiedBy>Żulik Zbigniew</cp:lastModifiedBy>
  <cp:lastPrinted>2022-12-29T07:32:01Z</cp:lastPrinted>
  <dcterms:created xsi:type="dcterms:W3CDTF">2022-11-02T20:31:38Z</dcterms:created>
  <dcterms:modified xsi:type="dcterms:W3CDTF">2022-12-29T07:35:50Z</dcterms:modified>
</cp:coreProperties>
</file>