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dle" sheetId="1" r:id="rId4"/>
    <sheet state="visible" name="idle" sheetId="2" r:id="rId5"/>
    <sheet state="visible" name="Strength test" sheetId="3" r:id="rId6"/>
    <sheet state="visible" name="End Effector Pos" sheetId="4" r:id="rId7"/>
    <sheet state="visible" name="Upp_sh_acc" sheetId="5" r:id="rId8"/>
    <sheet state="visible" name="Grip force test" sheetId="6" r:id="rId9"/>
    <sheet state="visible" name="Response Times" sheetId="7" r:id="rId10"/>
    <sheet state="visible" name="Force Sensor tests" sheetId="8" r:id="rId11"/>
  </sheets>
  <definedNames/>
  <calcPr/>
</workbook>
</file>

<file path=xl/sharedStrings.xml><?xml version="1.0" encoding="utf-8"?>
<sst xmlns="http://schemas.openxmlformats.org/spreadsheetml/2006/main" count="323" uniqueCount="126">
  <si>
    <t>Joint</t>
  </si>
  <si>
    <t>joint name</t>
  </si>
  <si>
    <t>Current Measured</t>
  </si>
  <si>
    <t>Time</t>
  </si>
  <si>
    <t>Deg</t>
  </si>
  <si>
    <t>Speed</t>
  </si>
  <si>
    <t>wrist</t>
  </si>
  <si>
    <t>forearm</t>
  </si>
  <si>
    <t>elbow</t>
  </si>
  <si>
    <t>Low shoulder</t>
  </si>
  <si>
    <t>Mid Shoulder</t>
  </si>
  <si>
    <t>Upper Shoulder</t>
  </si>
  <si>
    <t>3s</t>
  </si>
  <si>
    <t>Distance (cm)</t>
  </si>
  <si>
    <t>Force</t>
  </si>
  <si>
    <t>kgcm</t>
  </si>
  <si>
    <t>Upper shoulder</t>
  </si>
  <si>
    <t>lower shoulder</t>
  </si>
  <si>
    <t>Measured</t>
  </si>
  <si>
    <t>Solidworks</t>
  </si>
  <si>
    <t>Mean error</t>
  </si>
  <si>
    <t>Mean varaince from position average</t>
  </si>
  <si>
    <t>Center on Palm</t>
  </si>
  <si>
    <t>gear bolt center</t>
  </si>
  <si>
    <t>no gear bolt center</t>
  </si>
  <si>
    <t>Position</t>
  </si>
  <si>
    <t>x (to wood)</t>
  </si>
  <si>
    <t>y (to table)</t>
  </si>
  <si>
    <t>z (to robot)</t>
  </si>
  <si>
    <t>Delta X</t>
  </si>
  <si>
    <t>Delta Y</t>
  </si>
  <si>
    <t>Delta Z</t>
  </si>
  <si>
    <t>dist</t>
  </si>
  <si>
    <t>Varaince from position average</t>
  </si>
  <si>
    <t>Average position variance</t>
  </si>
  <si>
    <t>Standard deviation of distance to target</t>
  </si>
  <si>
    <t>std x</t>
  </si>
  <si>
    <t>std y</t>
  </si>
  <si>
    <t>std z</t>
  </si>
  <si>
    <t>max std (x,y,z)</t>
  </si>
  <si>
    <t>eucledian std</t>
  </si>
  <si>
    <t>From here on are with the adjuted upp shoulder</t>
  </si>
  <si>
    <t>Mean Euclidean Distance from Target (mm)</t>
  </si>
  <si>
    <t>Standard deviation in X (mm)</t>
  </si>
  <si>
    <t>Standard deviation in Y (mm)</t>
  </si>
  <si>
    <t>Standard deviation in Z (mm)</t>
  </si>
  <si>
    <t>Maximum Standard deviation (mm) (ISO 9283:1998)</t>
  </si>
  <si>
    <t>Eucledian Standard deviation (mm)</t>
  </si>
  <si>
    <t>Average</t>
  </si>
  <si>
    <t>Pos 3</t>
  </si>
  <si>
    <t>pos 4</t>
  </si>
  <si>
    <t>mid shoulder</t>
  </si>
  <si>
    <t>Sent</t>
  </si>
  <si>
    <t>Measured Trans</t>
  </si>
  <si>
    <t>Error</t>
  </si>
  <si>
    <t>Std error</t>
  </si>
  <si>
    <t>Actuator</t>
  </si>
  <si>
    <t>Mean Squared Error (deg)</t>
  </si>
  <si>
    <t>Standard deviation of error (deg)</t>
  </si>
  <si>
    <t>Mean Error (deg)</t>
  </si>
  <si>
    <t>150kgcm hobby servo</t>
  </si>
  <si>
    <t>Mean Error</t>
  </si>
  <si>
    <t>Upper Shoulder after adjsutments</t>
  </si>
  <si>
    <t>Mid shoulder</t>
  </si>
  <si>
    <t>MSE</t>
  </si>
  <si>
    <t>Lower Shoulder</t>
  </si>
  <si>
    <t>45kgcm smart servo</t>
  </si>
  <si>
    <t>Elbow</t>
  </si>
  <si>
    <t>Forearm</t>
  </si>
  <si>
    <t>25kgcm smart servo</t>
  </si>
  <si>
    <t>Wrist</t>
  </si>
  <si>
    <t>-</t>
  </si>
  <si>
    <t>Adjsuted top shoulder by 10 deg</t>
  </si>
  <si>
    <t>Pot was not wrong however</t>
  </si>
  <si>
    <t>sub</t>
  </si>
  <si>
    <t>Only ring finger</t>
  </si>
  <si>
    <t>Measured sensor force</t>
  </si>
  <si>
    <t>run</t>
  </si>
  <si>
    <t>scale result initial (g)</t>
  </si>
  <si>
    <t>scale result stablised (g)</t>
  </si>
  <si>
    <t>mid</t>
  </si>
  <si>
    <t>distal</t>
  </si>
  <si>
    <t>tip</t>
  </si>
  <si>
    <t>from here on used proper pid values</t>
  </si>
  <si>
    <t>avg</t>
  </si>
  <si>
    <t>std</t>
  </si>
  <si>
    <t>Middle finger</t>
  </si>
  <si>
    <t>accross fforce</t>
  </si>
  <si>
    <t>Middle finger with two stacked lids, 53 deg angle on pip, 80 deg anlge on mcp, only measuring down force</t>
  </si>
  <si>
    <t>Ring finger with two stacked lids, 53 deg angle on pip, 80 deg anlge on mcp, only measuring down force</t>
  </si>
  <si>
    <t>Std</t>
  </si>
  <si>
    <t>Max</t>
  </si>
  <si>
    <t>Avg</t>
  </si>
  <si>
    <t>Std Deviation</t>
  </si>
  <si>
    <t>Comments</t>
  </si>
  <si>
    <t>Instances</t>
  </si>
  <si>
    <t>Teensy</t>
  </si>
  <si>
    <t>Transmition</t>
  </si>
  <si>
    <t>Estimate</t>
  </si>
  <si>
    <t>VBA to update and send command</t>
  </si>
  <si>
    <t>Live Update Stuff</t>
  </si>
  <si>
    <t>Time for model to follow mouse</t>
  </si>
  <si>
    <t>Other program open</t>
  </si>
  <si>
    <t>No programs open</t>
  </si>
  <si>
    <t>Finger</t>
  </si>
  <si>
    <t>Sensor</t>
  </si>
  <si>
    <t>Weight</t>
  </si>
  <si>
    <t>real weight</t>
  </si>
  <si>
    <t>middle</t>
  </si>
  <si>
    <t>middle dif</t>
  </si>
  <si>
    <t>distal diff</t>
  </si>
  <si>
    <t>tip diff</t>
  </si>
  <si>
    <t xml:space="preserve">Sensor </t>
  </si>
  <si>
    <t>pinky</t>
  </si>
  <si>
    <t>ring</t>
  </si>
  <si>
    <t>index</t>
  </si>
  <si>
    <t>Sensor Placement</t>
  </si>
  <si>
    <t>Sensor type</t>
  </si>
  <si>
    <t>Datapoints</t>
  </si>
  <si>
    <t>Means Squared Error (g)</t>
  </si>
  <si>
    <t>Mean Absolute Percentage Error (%)</t>
  </si>
  <si>
    <t>Middle</t>
  </si>
  <si>
    <t>34-00068</t>
  </si>
  <si>
    <t>Distal</t>
  </si>
  <si>
    <t>GD10</t>
  </si>
  <si>
    <t>Tip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</si>
</sst>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rgb="FF000000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rgb="FF005C5F"/>
      <name val="Consolas"/>
    </font>
    <font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4" fillId="0" fontId="1" numFmtId="0" xfId="0" applyBorder="1" applyFont="1"/>
    <xf borderId="0" fillId="2" fontId="1" numFmtId="0" xfId="0" applyAlignment="1" applyFill="1" applyFont="1">
      <alignment readingOrder="0"/>
    </xf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4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5" numFmtId="0" xfId="0" applyAlignment="1" applyBorder="1" applyFont="1">
      <alignment horizontal="left" readingOrder="0" shrinkToFit="0" wrapText="1"/>
    </xf>
    <xf borderId="9" fillId="0" fontId="6" numFmtId="0" xfId="0" applyAlignment="1" applyBorder="1" applyFont="1">
      <alignment horizontal="left" readingOrder="0" shrinkToFit="0" wrapText="1"/>
    </xf>
    <xf borderId="9" fillId="0" fontId="7" numFmtId="0" xfId="0" applyAlignment="1" applyBorder="1" applyFont="1">
      <alignment horizontal="left" readingOrder="0" shrinkToFit="0" wrapText="1"/>
    </xf>
    <xf borderId="9" fillId="0" fontId="1" numFmtId="0" xfId="0" applyAlignment="1" applyBorder="1" applyFont="1">
      <alignment horizontal="left" shrinkToFit="0" vertical="bottom" wrapText="1"/>
    </xf>
    <xf borderId="9" fillId="0" fontId="8" numFmtId="0" xfId="0" applyAlignment="1" applyBorder="1" applyFont="1">
      <alignment readingOrder="0" shrinkToFit="0" wrapText="1"/>
    </xf>
    <xf borderId="9" fillId="0" fontId="9" numFmtId="0" xfId="0" applyAlignment="1" applyBorder="1" applyFont="1">
      <alignment readingOrder="0" shrinkToFit="0" wrapText="1"/>
    </xf>
    <xf borderId="9" fillId="0" fontId="9" numFmtId="0" xfId="0" applyAlignment="1" applyBorder="1" applyFont="1">
      <alignment readingOrder="0"/>
    </xf>
    <xf borderId="9" fillId="0" fontId="9" numFmtId="164" xfId="0" applyBorder="1" applyFont="1" applyNumberFormat="1"/>
    <xf borderId="9" fillId="0" fontId="9" numFmtId="164" xfId="0" applyAlignment="1" applyBorder="1" applyFont="1" applyNumberFormat="1">
      <alignment readingOrder="0"/>
    </xf>
    <xf borderId="9" fillId="0" fontId="8" numFmtId="0" xfId="0" applyAlignment="1" applyBorder="1" applyFont="1">
      <alignment readingOrder="0"/>
    </xf>
    <xf borderId="9" fillId="0" fontId="8" numFmtId="164" xfId="0" applyBorder="1" applyFont="1" applyNumberFormat="1"/>
    <xf borderId="0" fillId="3" fontId="10" numFmtId="0" xfId="0" applyAlignment="1" applyFill="1" applyFont="1">
      <alignment readingOrder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9" fillId="0" fontId="1" numFmtId="0" xfId="0" applyAlignment="1" applyBorder="1" applyFont="1">
      <alignment readingOrder="0"/>
    </xf>
    <xf borderId="9" fillId="0" fontId="11" numFmtId="0" xfId="0" applyAlignment="1" applyBorder="1" applyFont="1">
      <alignment readingOrder="0"/>
    </xf>
    <xf borderId="9" fillId="0" fontId="1" numFmtId="1" xfId="0" applyBorder="1" applyFont="1" applyNumberFormat="1"/>
    <xf borderId="9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Trans vs Sent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Upp_sh_acc!$B$2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Upp_sh_acc!$A$3:$A$11</c:f>
            </c:numRef>
          </c:xVal>
          <c:yVal>
            <c:numRef>
              <c:f>Upp_sh_acc!$B$3:$B$11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405484"/>
        <c:axId val="1727005282"/>
      </c:scatterChart>
      <c:valAx>
        <c:axId val="2574054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005282"/>
      </c:valAx>
      <c:valAx>
        <c:axId val="17270052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Trans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74054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Trans vs Sent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Upp_sh_acc!$B$12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Upp_sh_acc!$A$13:$A$20</c:f>
            </c:numRef>
          </c:xVal>
          <c:yVal>
            <c:numRef>
              <c:f>Upp_sh_acc!$B$13:$B$20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644805"/>
        <c:axId val="1830034131"/>
      </c:scatterChart>
      <c:valAx>
        <c:axId val="8366448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0034131"/>
      </c:valAx>
      <c:valAx>
        <c:axId val="1830034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Trans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6644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Trans vs Sent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Upp_sh_acc!$B$12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Upp_sh_acc!$A$13:$A$20</c:f>
            </c:numRef>
          </c:xVal>
          <c:yVal>
            <c:numRef>
              <c:f>Upp_sh_acc!$B$13:$B$20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330618"/>
        <c:axId val="1651219776"/>
      </c:scatterChart>
      <c:valAx>
        <c:axId val="9933306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219776"/>
      </c:valAx>
      <c:valAx>
        <c:axId val="1651219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Trans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3330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'Response Times'!$C$2:$C$4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'Force Sensor tests'!$E$2</c:f>
            </c:strRef>
          </c:tx>
          <c:spPr>
            <a:ln>
              <a:noFill/>
            </a:ln>
          </c:spPr>
          <c:marker>
            <c:symbol val="x"/>
            <c:size val="10"/>
            <c:spPr>
              <a:solidFill>
                <a:srgbClr val="00FF00"/>
              </a:solidFill>
              <a:ln cmpd="sng">
                <a:solidFill>
                  <a:srgbClr val="00FF00"/>
                </a:solidFill>
              </a:ln>
            </c:spPr>
          </c:marker>
          <c:xVal>
            <c:numRef>
              <c:f>'Force Sensor tests'!$D$3:$D$56</c:f>
            </c:numRef>
          </c:xVal>
          <c:yVal>
            <c:numRef>
              <c:f>'Force Sensor tests'!$E$3:$E$56</c:f>
              <c:numCache/>
            </c:numRef>
          </c:yVal>
        </c:ser>
        <c:ser>
          <c:idx val="1"/>
          <c:order val="1"/>
          <c:tx>
            <c:strRef>
              <c:f>'Force Sensor tests'!$F$2</c:f>
            </c:strRef>
          </c:tx>
          <c:spPr>
            <a:ln>
              <a:noFill/>
            </a:ln>
          </c:spPr>
          <c:marker>
            <c:symbol val="x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'Force Sensor tests'!$D$3:$D$56</c:f>
            </c:numRef>
          </c:xVal>
          <c:yVal>
            <c:numRef>
              <c:f>'Force Sensor tests'!$F$3:$F$56</c:f>
              <c:numCache/>
            </c:numRef>
          </c:yVal>
        </c:ser>
        <c:ser>
          <c:idx val="2"/>
          <c:order val="2"/>
          <c:tx>
            <c:strRef>
              <c:f>'Force Sensor tests'!$G$2</c:f>
            </c:strRef>
          </c:tx>
          <c:spPr>
            <a:ln>
              <a:noFill/>
            </a:ln>
          </c:spPr>
          <c:marker>
            <c:symbol val="x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'Force Sensor tests'!$D$3:$D$56</c:f>
            </c:numRef>
          </c:xVal>
          <c:yVal>
            <c:numRef>
              <c:f>'Force Sensor tests'!$G$3:$G$56</c:f>
              <c:numCache/>
            </c:numRef>
          </c:yVal>
        </c:ser>
        <c:ser>
          <c:idx val="3"/>
          <c:order val="3"/>
          <c:tx>
            <c:strRef>
              <c:f>'Force Sensor tests'!$D$2</c:f>
            </c:strRef>
          </c:tx>
          <c:spPr>
            <a:ln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'Force Sensor tests'!$D$3:$D$56</c:f>
            </c:numRef>
          </c:xVal>
          <c:yVal>
            <c:numRef>
              <c:f>'Force Sensor tests'!$D$3:$D$56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791521"/>
        <c:axId val="1842585450"/>
      </c:scatterChart>
      <c:valAx>
        <c:axId val="14687915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Applied Weight (g)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585450"/>
      </c:valAx>
      <c:valAx>
        <c:axId val="18425854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Weight (g)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7915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'Force Sensor tests'!$F$2</c:f>
            </c:strRef>
          </c:tx>
          <c:spPr>
            <a:ln>
              <a:noFill/>
            </a:ln>
          </c:spPr>
          <c:marker>
            <c:symbol val="x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'Force Sensor tests'!$D$3:$D$56</c:f>
            </c:numRef>
          </c:xVal>
          <c:yVal>
            <c:numRef>
              <c:f>'Force Sensor tests'!$F$3:$F$56</c:f>
              <c:numCache/>
            </c:numRef>
          </c:yVal>
        </c:ser>
        <c:ser>
          <c:idx val="1"/>
          <c:order val="1"/>
          <c:tx>
            <c:strRef>
              <c:f>'Force Sensor tests'!$G$2</c:f>
            </c:strRef>
          </c:tx>
          <c:spPr>
            <a:ln>
              <a:noFill/>
            </a:ln>
          </c:spPr>
          <c:marker>
            <c:symbol val="x"/>
            <c:size val="10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'Force Sensor tests'!$D$3:$D$56</c:f>
            </c:numRef>
          </c:xVal>
          <c:yVal>
            <c:numRef>
              <c:f>'Force Sensor tests'!$G$3:$G$56</c:f>
              <c:numCache/>
            </c:numRef>
          </c:yVal>
        </c:ser>
        <c:ser>
          <c:idx val="2"/>
          <c:order val="2"/>
          <c:tx>
            <c:strRef>
              <c:f>'Force Sensor tests'!$D$2</c:f>
            </c:strRef>
          </c:tx>
          <c:spPr>
            <a:ln>
              <a:noFill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'Force Sensor tests'!$D$3:$D$56</c:f>
            </c:numRef>
          </c:xVal>
          <c:yVal>
            <c:numRef>
              <c:f>'Force Sensor tests'!$D$3:$D$56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50291"/>
        <c:axId val="517994782"/>
      </c:scatterChart>
      <c:valAx>
        <c:axId val="2397502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Applied Weight (g)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7994782"/>
      </c:valAx>
      <c:valAx>
        <c:axId val="517994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Weight (g)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9750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228600</xdr:colOff>
      <xdr:row>48</xdr:row>
      <xdr:rowOff>38100</xdr:rowOff>
    </xdr:from>
    <xdr:ext cx="6248400" cy="44672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74</xdr:row>
      <xdr:rowOff>0</xdr:rowOff>
    </xdr:from>
    <xdr:ext cx="6562725" cy="46291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74</xdr:row>
      <xdr:rowOff>0</xdr:rowOff>
    </xdr:from>
    <xdr:ext cx="5276850" cy="39528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933450</xdr:colOff>
      <xdr:row>18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495300</xdr:colOff>
      <xdr:row>67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609600</xdr:colOff>
      <xdr:row>39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723900</xdr:colOff>
      <xdr:row>5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</xdr:colOff>
      <xdr:row>64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619125</xdr:colOff>
      <xdr:row>58</xdr:row>
      <xdr:rowOff>47625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</row>
    <row r="3">
      <c r="B3" s="1" t="s">
        <v>7</v>
      </c>
    </row>
    <row r="4">
      <c r="B4" s="1" t="s">
        <v>8</v>
      </c>
    </row>
    <row r="5">
      <c r="B5" s="1" t="s">
        <v>9</v>
      </c>
    </row>
    <row r="6">
      <c r="B6" s="1" t="s">
        <v>10</v>
      </c>
    </row>
    <row r="7">
      <c r="B7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>
        <v>0.26</v>
      </c>
    </row>
    <row r="3">
      <c r="B3" s="1" t="s">
        <v>7</v>
      </c>
      <c r="C3" s="1">
        <v>0.26</v>
      </c>
    </row>
    <row r="4">
      <c r="B4" s="1" t="s">
        <v>8</v>
      </c>
      <c r="C4" s="1">
        <v>0.26</v>
      </c>
    </row>
    <row r="5">
      <c r="B5" s="1" t="s">
        <v>9</v>
      </c>
      <c r="C5" s="1">
        <v>0.26</v>
      </c>
    </row>
    <row r="6">
      <c r="B6" s="1" t="s">
        <v>10</v>
      </c>
      <c r="C6" s="1">
        <v>0.06</v>
      </c>
    </row>
    <row r="7">
      <c r="B7" s="1" t="s">
        <v>11</v>
      </c>
      <c r="C7" s="1">
        <v>0.04</v>
      </c>
    </row>
    <row r="8">
      <c r="B8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13</v>
      </c>
      <c r="C1" s="1" t="s">
        <v>14</v>
      </c>
      <c r="D1" s="1" t="s">
        <v>15</v>
      </c>
    </row>
    <row r="2">
      <c r="A2" s="1" t="s">
        <v>16</v>
      </c>
      <c r="B2" s="1">
        <v>65.0</v>
      </c>
      <c r="C2" s="1">
        <v>1.22</v>
      </c>
      <c r="D2" s="2">
        <f>B2*C2</f>
        <v>79.3</v>
      </c>
    </row>
    <row r="3">
      <c r="A3" s="1" t="s">
        <v>17</v>
      </c>
      <c r="C3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4" max="24" width="26.5"/>
    <col customWidth="1" min="25" max="32" width="11.0"/>
  </cols>
  <sheetData>
    <row r="1">
      <c r="A1" s="3"/>
      <c r="B1" s="4" t="s">
        <v>18</v>
      </c>
      <c r="C1" s="5"/>
      <c r="D1" s="5"/>
      <c r="E1" s="5"/>
      <c r="F1" s="5"/>
      <c r="G1" s="5"/>
      <c r="H1" s="5"/>
      <c r="I1" s="5"/>
      <c r="J1" s="6"/>
      <c r="K1" s="4" t="s">
        <v>19</v>
      </c>
      <c r="L1" s="5"/>
      <c r="M1" s="5"/>
      <c r="N1" s="5"/>
      <c r="O1" s="5"/>
      <c r="P1" s="6"/>
      <c r="Q1" s="7"/>
      <c r="R1" s="7"/>
      <c r="S1" s="8"/>
      <c r="T1" s="9"/>
      <c r="U1" s="9"/>
      <c r="V1" s="9"/>
      <c r="W1" s="1" t="s">
        <v>20</v>
      </c>
      <c r="X1" s="1" t="s">
        <v>21</v>
      </c>
    </row>
    <row r="2">
      <c r="A2" s="3"/>
      <c r="B2" s="10" t="s">
        <v>22</v>
      </c>
      <c r="E2" s="3" t="s">
        <v>23</v>
      </c>
      <c r="H2" s="3" t="s">
        <v>24</v>
      </c>
      <c r="J2" s="11"/>
      <c r="K2" s="10" t="s">
        <v>22</v>
      </c>
      <c r="N2" s="3" t="s">
        <v>23</v>
      </c>
      <c r="Q2" s="3" t="s">
        <v>24</v>
      </c>
      <c r="S2" s="11"/>
      <c r="W2" s="1">
        <f t="shared" ref="W2:X2" si="1">AVERAGE(W10:W25)</f>
        <v>109.3718007</v>
      </c>
      <c r="X2" s="2">
        <f t="shared" si="1"/>
        <v>7.234920675</v>
      </c>
    </row>
    <row r="3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26</v>
      </c>
      <c r="F3" s="12" t="s">
        <v>27</v>
      </c>
      <c r="G3" s="12" t="s">
        <v>28</v>
      </c>
      <c r="H3" s="12" t="s">
        <v>26</v>
      </c>
      <c r="I3" s="12" t="s">
        <v>27</v>
      </c>
      <c r="J3" s="14" t="s">
        <v>28</v>
      </c>
      <c r="K3" s="13" t="s">
        <v>26</v>
      </c>
      <c r="L3" s="12" t="s">
        <v>27</v>
      </c>
      <c r="M3" s="12" t="s">
        <v>28</v>
      </c>
      <c r="N3" s="12" t="s">
        <v>26</v>
      </c>
      <c r="O3" s="12" t="s">
        <v>27</v>
      </c>
      <c r="P3" s="12" t="s">
        <v>28</v>
      </c>
      <c r="Q3" s="12" t="s">
        <v>26</v>
      </c>
      <c r="R3" s="12" t="s">
        <v>27</v>
      </c>
      <c r="S3" s="14" t="s">
        <v>28</v>
      </c>
      <c r="T3" s="12" t="s">
        <v>29</v>
      </c>
      <c r="U3" s="12" t="s">
        <v>30</v>
      </c>
      <c r="V3" s="12" t="s">
        <v>31</v>
      </c>
      <c r="W3" s="1" t="s">
        <v>32</v>
      </c>
      <c r="X3" s="12" t="s">
        <v>33</v>
      </c>
      <c r="Y3" s="1" t="s">
        <v>34</v>
      </c>
      <c r="Z3" s="1"/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</row>
    <row r="4">
      <c r="A4" s="1">
        <v>1.0</v>
      </c>
      <c r="B4" s="15">
        <v>284.0</v>
      </c>
      <c r="C4" s="1">
        <v>116.0</v>
      </c>
      <c r="D4" s="1">
        <v>190.0</v>
      </c>
      <c r="J4" s="16"/>
      <c r="K4" s="15">
        <v>165.95</v>
      </c>
      <c r="L4" s="1">
        <v>259.2</v>
      </c>
      <c r="M4" s="1">
        <v>251.6</v>
      </c>
      <c r="N4" s="1">
        <v>102.3</v>
      </c>
      <c r="O4" s="1">
        <v>267.6</v>
      </c>
      <c r="P4" s="1">
        <v>266.1</v>
      </c>
      <c r="Q4" s="1">
        <v>122.9</v>
      </c>
      <c r="R4" s="1">
        <v>218.4</v>
      </c>
      <c r="S4" s="17">
        <v>252.6</v>
      </c>
      <c r="T4" s="2">
        <f t="shared" ref="T4:T29" si="3">(479-B4)-K4</f>
        <v>29.05</v>
      </c>
      <c r="U4" s="2">
        <f t="shared" ref="U4:V4" si="2">(C4)-L4</f>
        <v>-143.2</v>
      </c>
      <c r="V4" s="2">
        <f t="shared" si="2"/>
        <v>-61.6</v>
      </c>
      <c r="W4" s="2">
        <f t="shared" ref="W4:W8" si="5">sqrt(T4^2+U4^2+V4^2)</f>
        <v>158.5708123</v>
      </c>
    </row>
    <row r="5">
      <c r="B5" s="15">
        <v>300.0</v>
      </c>
      <c r="C5" s="1">
        <v>108.0</v>
      </c>
      <c r="D5" s="1">
        <v>202.0</v>
      </c>
      <c r="J5" s="16"/>
      <c r="K5" s="18"/>
      <c r="S5" s="16"/>
      <c r="T5" s="2">
        <f t="shared" si="3"/>
        <v>179</v>
      </c>
      <c r="U5" s="2">
        <f t="shared" ref="U5:V5" si="4">(C5)-L5</f>
        <v>108</v>
      </c>
      <c r="V5" s="2">
        <f t="shared" si="4"/>
        <v>202</v>
      </c>
      <c r="W5" s="2">
        <f t="shared" si="5"/>
        <v>290.7043171</v>
      </c>
    </row>
    <row r="6">
      <c r="B6" s="15">
        <v>293.0</v>
      </c>
      <c r="C6" s="1">
        <v>108.0</v>
      </c>
      <c r="D6" s="1">
        <v>193.0</v>
      </c>
      <c r="J6" s="16"/>
      <c r="K6" s="18"/>
      <c r="S6" s="16"/>
      <c r="T6" s="2">
        <f t="shared" si="3"/>
        <v>186</v>
      </c>
      <c r="U6" s="2">
        <f t="shared" ref="U6:V6" si="6">(C6)-L6</f>
        <v>108</v>
      </c>
      <c r="V6" s="2">
        <f t="shared" si="6"/>
        <v>193</v>
      </c>
      <c r="W6" s="2">
        <f t="shared" si="5"/>
        <v>288.979238</v>
      </c>
    </row>
    <row r="7">
      <c r="B7" s="15">
        <v>289.0</v>
      </c>
      <c r="C7" s="1">
        <v>112.0</v>
      </c>
      <c r="D7" s="1">
        <v>190.0</v>
      </c>
      <c r="J7" s="16"/>
      <c r="K7" s="18"/>
      <c r="S7" s="16"/>
      <c r="T7" s="2">
        <f t="shared" si="3"/>
        <v>190</v>
      </c>
      <c r="U7" s="2">
        <f t="shared" ref="U7:V7" si="7">(C7)-L7</f>
        <v>112</v>
      </c>
      <c r="V7" s="2">
        <f t="shared" si="7"/>
        <v>190</v>
      </c>
      <c r="W7" s="2">
        <f t="shared" si="5"/>
        <v>291.1082273</v>
      </c>
    </row>
    <row r="8">
      <c r="B8" s="15">
        <v>378.0</v>
      </c>
      <c r="C8" s="1">
        <v>169.0</v>
      </c>
      <c r="D8" s="1">
        <v>433.0</v>
      </c>
      <c r="J8" s="16"/>
      <c r="K8" s="15">
        <v>113.2</v>
      </c>
      <c r="L8" s="1">
        <v>354.5</v>
      </c>
      <c r="M8" s="1">
        <v>469.7</v>
      </c>
      <c r="S8" s="16"/>
      <c r="T8" s="2">
        <f t="shared" si="3"/>
        <v>-12.2</v>
      </c>
      <c r="U8" s="2">
        <f t="shared" ref="U8:V8" si="8">(C8)-L8</f>
        <v>-185.5</v>
      </c>
      <c r="V8" s="2">
        <f t="shared" si="8"/>
        <v>-36.7</v>
      </c>
      <c r="W8" s="2">
        <f t="shared" si="5"/>
        <v>189.4887332</v>
      </c>
    </row>
    <row r="9">
      <c r="A9" s="19" t="s">
        <v>41</v>
      </c>
      <c r="B9" s="20"/>
      <c r="C9" s="21"/>
      <c r="D9" s="21"/>
      <c r="E9" s="21"/>
      <c r="F9" s="21"/>
      <c r="G9" s="21"/>
      <c r="H9" s="21"/>
      <c r="I9" s="21"/>
      <c r="J9" s="22"/>
      <c r="K9" s="20"/>
      <c r="L9" s="21"/>
      <c r="M9" s="21"/>
      <c r="N9" s="21"/>
      <c r="O9" s="21"/>
      <c r="P9" s="21"/>
      <c r="Q9" s="21"/>
      <c r="R9" s="21"/>
      <c r="S9" s="22"/>
      <c r="T9" s="21">
        <f t="shared" si="3"/>
        <v>479</v>
      </c>
      <c r="U9" s="21">
        <f t="shared" ref="U9:V9" si="9">(C9)-L9</f>
        <v>0</v>
      </c>
      <c r="V9" s="21">
        <f t="shared" si="9"/>
        <v>0</v>
      </c>
      <c r="X9" s="21"/>
      <c r="Y9" s="21"/>
      <c r="Z9" s="21"/>
      <c r="AA9" s="21"/>
      <c r="AB9" s="21"/>
      <c r="AC9" s="21"/>
      <c r="AD9" s="21"/>
      <c r="AE9" s="21"/>
      <c r="AF9" s="21"/>
    </row>
    <row r="10">
      <c r="A10" s="1">
        <v>1.0</v>
      </c>
      <c r="B10" s="15">
        <v>290.0</v>
      </c>
      <c r="C10" s="1">
        <v>147.0</v>
      </c>
      <c r="D10" s="1">
        <v>226.0</v>
      </c>
      <c r="J10" s="16"/>
      <c r="K10" s="15">
        <v>165.95</v>
      </c>
      <c r="L10" s="1">
        <v>259.2</v>
      </c>
      <c r="M10" s="1">
        <v>251.6</v>
      </c>
      <c r="N10" s="1">
        <v>102.3</v>
      </c>
      <c r="O10" s="1">
        <v>267.6</v>
      </c>
      <c r="P10" s="1">
        <v>266.1</v>
      </c>
      <c r="Q10" s="1">
        <v>122.9</v>
      </c>
      <c r="R10" s="1">
        <v>218.4</v>
      </c>
      <c r="S10" s="17">
        <v>252.6</v>
      </c>
      <c r="T10" s="2">
        <f t="shared" si="3"/>
        <v>23.05</v>
      </c>
      <c r="U10" s="2">
        <f t="shared" ref="U10:V10" si="10">(C10)-L10</f>
        <v>-112.2</v>
      </c>
      <c r="V10" s="2">
        <f t="shared" si="10"/>
        <v>-25.6</v>
      </c>
      <c r="W10" s="2">
        <f t="shared" ref="W10:W31" si="14">sqrt(T10^2+U10^2+V10^2)</f>
        <v>117.3690866</v>
      </c>
      <c r="X10" s="2">
        <f t="shared" ref="X10:X25" si="15">abs(W10-Y10)</f>
        <v>0.7192254964</v>
      </c>
      <c r="Y10" s="2">
        <f t="shared" ref="Y10:Z10" si="11">AVERAGE(W10:W13)</f>
        <v>118.0883121</v>
      </c>
      <c r="Z10" s="2">
        <f t="shared" si="11"/>
        <v>3.889350647</v>
      </c>
      <c r="AA10" s="2">
        <f>STDEV(W10:W13)</f>
        <v>6.019749218</v>
      </c>
      <c r="AB10" s="2">
        <f t="shared" ref="AB10:AD10" si="12">STDEV(B10:B13)</f>
        <v>1.707825128</v>
      </c>
      <c r="AC10" s="2">
        <f t="shared" si="12"/>
        <v>5.830951895</v>
      </c>
      <c r="AD10" s="2">
        <f t="shared" si="12"/>
        <v>4.856267428</v>
      </c>
      <c r="AE10" s="2">
        <f t="shared" ref="AE10:AE31" si="16">MAX(AB10:AD10)</f>
        <v>5.830951895</v>
      </c>
      <c r="AF10" s="2">
        <f t="shared" ref="AF10:AF31" si="17">SQRT(AB10^2+AC10^2+AD10^2)</f>
        <v>7.778174593</v>
      </c>
    </row>
    <row r="11">
      <c r="A11" s="1">
        <v>1.0</v>
      </c>
      <c r="B11" s="15">
        <v>287.0</v>
      </c>
      <c r="C11" s="1">
        <v>156.0</v>
      </c>
      <c r="D11" s="1">
        <v>220.0</v>
      </c>
      <c r="J11" s="16"/>
      <c r="K11" s="23">
        <v>165.95</v>
      </c>
      <c r="L11" s="24">
        <v>259.2</v>
      </c>
      <c r="M11" s="24">
        <v>251.6</v>
      </c>
      <c r="N11" s="24">
        <v>102.3</v>
      </c>
      <c r="O11" s="24">
        <v>267.6</v>
      </c>
      <c r="P11" s="24">
        <v>266.1</v>
      </c>
      <c r="Q11" s="24">
        <v>122.9</v>
      </c>
      <c r="R11" s="24">
        <v>218.4</v>
      </c>
      <c r="S11" s="25">
        <v>252.6</v>
      </c>
      <c r="T11" s="2">
        <f t="shared" si="3"/>
        <v>26.05</v>
      </c>
      <c r="U11" s="2">
        <f t="shared" ref="U11:V11" si="13">(C11)-L11</f>
        <v>-103.2</v>
      </c>
      <c r="V11" s="2">
        <f t="shared" si="13"/>
        <v>-31.6</v>
      </c>
      <c r="W11" s="2">
        <f t="shared" si="14"/>
        <v>111.0288363</v>
      </c>
      <c r="X11" s="2">
        <f t="shared" si="15"/>
        <v>7.059475797</v>
      </c>
      <c r="Y11" s="2">
        <v>118.08831214186273</v>
      </c>
      <c r="AE11" s="2">
        <f t="shared" si="16"/>
        <v>0</v>
      </c>
      <c r="AF11" s="2">
        <f t="shared" si="17"/>
        <v>0</v>
      </c>
    </row>
    <row r="12">
      <c r="A12" s="1">
        <v>1.0</v>
      </c>
      <c r="B12" s="15">
        <v>288.0</v>
      </c>
      <c r="C12" s="1">
        <v>147.0</v>
      </c>
      <c r="D12" s="1">
        <v>224.0</v>
      </c>
      <c r="J12" s="16"/>
      <c r="K12" s="23">
        <v>165.95</v>
      </c>
      <c r="L12" s="24">
        <v>259.2</v>
      </c>
      <c r="M12" s="24">
        <v>251.6</v>
      </c>
      <c r="N12" s="24">
        <v>102.3</v>
      </c>
      <c r="O12" s="24">
        <v>267.6</v>
      </c>
      <c r="P12" s="24">
        <v>266.1</v>
      </c>
      <c r="Q12" s="24">
        <v>122.9</v>
      </c>
      <c r="R12" s="24">
        <v>218.4</v>
      </c>
      <c r="S12" s="25">
        <v>252.6</v>
      </c>
      <c r="T12" s="2">
        <f t="shared" si="3"/>
        <v>25.05</v>
      </c>
      <c r="U12" s="2">
        <f t="shared" ref="U12:V12" si="18">(C12)-L12</f>
        <v>-112.2</v>
      </c>
      <c r="V12" s="2">
        <f t="shared" si="18"/>
        <v>-27.6</v>
      </c>
      <c r="W12" s="2">
        <f t="shared" si="14"/>
        <v>118.2290256</v>
      </c>
      <c r="X12" s="2">
        <f t="shared" si="15"/>
        <v>0.1407134821</v>
      </c>
      <c r="Y12" s="2">
        <v>118.08831214186273</v>
      </c>
      <c r="AE12" s="2">
        <f t="shared" si="16"/>
        <v>0</v>
      </c>
      <c r="AF12" s="2">
        <f t="shared" si="17"/>
        <v>0</v>
      </c>
    </row>
    <row r="13">
      <c r="A13" s="1">
        <v>1.0</v>
      </c>
      <c r="B13" s="15">
        <v>286.0</v>
      </c>
      <c r="C13" s="1">
        <v>142.0</v>
      </c>
      <c r="D13" s="1">
        <v>215.0</v>
      </c>
      <c r="J13" s="16"/>
      <c r="K13" s="18">
        <v>165.95</v>
      </c>
      <c r="L13" s="2">
        <v>259.2</v>
      </c>
      <c r="M13" s="2">
        <v>251.6</v>
      </c>
      <c r="N13" s="2">
        <v>102.3</v>
      </c>
      <c r="O13" s="2">
        <v>267.6</v>
      </c>
      <c r="P13" s="2">
        <v>266.1</v>
      </c>
      <c r="Q13" s="2">
        <v>122.9</v>
      </c>
      <c r="R13" s="2">
        <v>218.4</v>
      </c>
      <c r="S13" s="16">
        <v>252.6</v>
      </c>
      <c r="T13" s="2">
        <f t="shared" si="3"/>
        <v>27.05</v>
      </c>
      <c r="U13" s="2">
        <f t="shared" ref="U13:V13" si="19">(C13)-L13</f>
        <v>-117.2</v>
      </c>
      <c r="V13" s="2">
        <f t="shared" si="19"/>
        <v>-36.6</v>
      </c>
      <c r="W13" s="2">
        <f t="shared" si="14"/>
        <v>125.7263</v>
      </c>
      <c r="X13" s="2">
        <f t="shared" si="15"/>
        <v>7.637987812</v>
      </c>
      <c r="Y13" s="2">
        <v>118.08831214186273</v>
      </c>
      <c r="AE13" s="2">
        <f t="shared" si="16"/>
        <v>0</v>
      </c>
      <c r="AF13" s="2">
        <f t="shared" si="17"/>
        <v>0</v>
      </c>
    </row>
    <row r="14">
      <c r="A14" s="1">
        <v>2.0</v>
      </c>
      <c r="B14" s="15">
        <v>367.0</v>
      </c>
      <c r="C14" s="1">
        <v>250.0</v>
      </c>
      <c r="D14" s="1">
        <v>458.0</v>
      </c>
      <c r="J14" s="16"/>
      <c r="K14" s="15">
        <v>113.2</v>
      </c>
      <c r="L14" s="1">
        <v>354.5</v>
      </c>
      <c r="M14" s="1">
        <v>469.7</v>
      </c>
      <c r="S14" s="16"/>
      <c r="T14" s="2">
        <f t="shared" si="3"/>
        <v>-1.2</v>
      </c>
      <c r="U14" s="2">
        <f t="shared" ref="U14:V14" si="20">(C14)-L14</f>
        <v>-104.5</v>
      </c>
      <c r="V14" s="2">
        <f t="shared" si="20"/>
        <v>-11.7</v>
      </c>
      <c r="W14" s="2">
        <f t="shared" si="14"/>
        <v>105.1597832</v>
      </c>
      <c r="X14" s="2">
        <f t="shared" si="15"/>
        <v>3.143858001</v>
      </c>
      <c r="Y14" s="2">
        <f t="shared" ref="Y14:Z14" si="21">AVERAGE(W14:W17)</f>
        <v>108.3036412</v>
      </c>
      <c r="Z14" s="2">
        <f t="shared" si="21"/>
        <v>2.452791278</v>
      </c>
      <c r="AA14" s="2">
        <f>STDEV(W14:W17)</f>
        <v>3.235491789</v>
      </c>
      <c r="AB14" s="2">
        <f t="shared" ref="AB14:AD14" si="22">STDEV(B14:B17)</f>
        <v>1.258305739</v>
      </c>
      <c r="AC14" s="2">
        <f t="shared" si="22"/>
        <v>3.095695937</v>
      </c>
      <c r="AD14" s="2">
        <f t="shared" si="22"/>
        <v>2.449489743</v>
      </c>
      <c r="AE14" s="2">
        <f t="shared" si="16"/>
        <v>3.095695937</v>
      </c>
      <c r="AF14" s="2">
        <f t="shared" si="17"/>
        <v>4.143267632</v>
      </c>
    </row>
    <row r="15">
      <c r="A15" s="1">
        <v>2.0</v>
      </c>
      <c r="B15" s="15">
        <v>370.0</v>
      </c>
      <c r="C15" s="1">
        <v>243.0</v>
      </c>
      <c r="D15" s="1">
        <v>455.0</v>
      </c>
      <c r="J15" s="16"/>
      <c r="K15" s="15">
        <v>113.2</v>
      </c>
      <c r="L15" s="1">
        <v>354.5</v>
      </c>
      <c r="M15" s="1">
        <v>469.7</v>
      </c>
      <c r="S15" s="16"/>
      <c r="T15" s="2">
        <f t="shared" si="3"/>
        <v>-4.2</v>
      </c>
      <c r="U15" s="2">
        <f t="shared" ref="U15:V15" si="23">(C15)-L15</f>
        <v>-111.5</v>
      </c>
      <c r="V15" s="2">
        <f t="shared" si="23"/>
        <v>-14.7</v>
      </c>
      <c r="W15" s="2">
        <f t="shared" si="14"/>
        <v>112.5432361</v>
      </c>
      <c r="X15" s="2">
        <f t="shared" si="15"/>
        <v>4.239594948</v>
      </c>
      <c r="Y15" s="2">
        <v>108.30364118838253</v>
      </c>
      <c r="AE15" s="2">
        <f t="shared" si="16"/>
        <v>0</v>
      </c>
      <c r="AF15" s="2">
        <f t="shared" si="17"/>
        <v>0</v>
      </c>
    </row>
    <row r="16">
      <c r="A16" s="1">
        <v>2.0</v>
      </c>
      <c r="B16" s="15">
        <v>368.0</v>
      </c>
      <c r="C16" s="1">
        <v>249.0</v>
      </c>
      <c r="D16" s="1">
        <v>455.0</v>
      </c>
      <c r="J16" s="16"/>
      <c r="K16" s="15">
        <v>113.2</v>
      </c>
      <c r="L16" s="1">
        <v>354.5</v>
      </c>
      <c r="M16" s="1">
        <v>469.7</v>
      </c>
      <c r="S16" s="16"/>
      <c r="T16" s="2">
        <f t="shared" si="3"/>
        <v>-2.2</v>
      </c>
      <c r="U16" s="2">
        <f t="shared" ref="U16:V16" si="24">(C16)-L16</f>
        <v>-105.5</v>
      </c>
      <c r="V16" s="2">
        <f t="shared" si="24"/>
        <v>-14.7</v>
      </c>
      <c r="W16" s="2">
        <f t="shared" si="14"/>
        <v>106.5419166</v>
      </c>
      <c r="X16" s="2">
        <f t="shared" si="15"/>
        <v>1.761724555</v>
      </c>
      <c r="Y16" s="2">
        <v>108.30364118838253</v>
      </c>
      <c r="AE16" s="2">
        <f t="shared" si="16"/>
        <v>0</v>
      </c>
      <c r="AF16" s="2">
        <f t="shared" si="17"/>
        <v>0</v>
      </c>
    </row>
    <row r="17">
      <c r="A17" s="1">
        <v>2.0</v>
      </c>
      <c r="B17" s="15">
        <v>368.0</v>
      </c>
      <c r="C17" s="1">
        <v>247.0</v>
      </c>
      <c r="D17" s="1">
        <v>452.0</v>
      </c>
      <c r="J17" s="16"/>
      <c r="K17" s="15">
        <v>113.2</v>
      </c>
      <c r="L17" s="1">
        <v>354.5</v>
      </c>
      <c r="M17" s="1">
        <v>469.7</v>
      </c>
      <c r="S17" s="16"/>
      <c r="T17" s="2">
        <f t="shared" si="3"/>
        <v>-2.2</v>
      </c>
      <c r="U17" s="2">
        <f t="shared" ref="U17:V17" si="25">(C17)-L17</f>
        <v>-107.5</v>
      </c>
      <c r="V17" s="2">
        <f t="shared" si="25"/>
        <v>-17.7</v>
      </c>
      <c r="W17" s="2">
        <f t="shared" si="14"/>
        <v>108.9696288</v>
      </c>
      <c r="X17" s="2">
        <f t="shared" si="15"/>
        <v>0.6659876079</v>
      </c>
      <c r="Y17" s="2">
        <v>108.30364118838253</v>
      </c>
      <c r="AE17" s="2">
        <f t="shared" si="16"/>
        <v>0</v>
      </c>
      <c r="AF17" s="2">
        <f t="shared" si="17"/>
        <v>0</v>
      </c>
    </row>
    <row r="18">
      <c r="A18" s="1">
        <v>3.0</v>
      </c>
      <c r="B18" s="15">
        <v>475.0</v>
      </c>
      <c r="C18" s="1">
        <v>499.0</v>
      </c>
      <c r="D18" s="1">
        <v>219.0</v>
      </c>
      <c r="J18" s="16"/>
      <c r="K18" s="15">
        <v>22.5</v>
      </c>
      <c r="L18" s="1">
        <v>539.7</v>
      </c>
      <c r="M18" s="1">
        <v>158.7</v>
      </c>
      <c r="S18" s="16"/>
      <c r="T18" s="2">
        <f t="shared" si="3"/>
        <v>-18.5</v>
      </c>
      <c r="U18" s="2">
        <f t="shared" ref="U18:V18" si="26">(C18)-L18</f>
        <v>-40.7</v>
      </c>
      <c r="V18" s="2">
        <f t="shared" si="26"/>
        <v>60.3</v>
      </c>
      <c r="W18" s="2">
        <f t="shared" si="14"/>
        <v>75.06550473</v>
      </c>
      <c r="X18" s="2">
        <f t="shared" si="15"/>
        <v>3.291887713</v>
      </c>
      <c r="Y18" s="2">
        <f t="shared" ref="Y18:Z18" si="27">AVERAGE(W18:W21)</f>
        <v>71.77361701</v>
      </c>
      <c r="Z18" s="2">
        <f t="shared" si="27"/>
        <v>2.374012444</v>
      </c>
      <c r="AA18" s="2">
        <f>STDEV(W18:W21)</f>
        <v>3.421091567</v>
      </c>
      <c r="AB18" s="2">
        <f t="shared" ref="AB18:AD18" si="28">STDEV(B18:B21)</f>
        <v>1.5</v>
      </c>
      <c r="AC18" s="2">
        <f t="shared" si="28"/>
        <v>4.509249753</v>
      </c>
      <c r="AD18" s="2">
        <f t="shared" si="28"/>
        <v>7.047458171</v>
      </c>
      <c r="AE18" s="2">
        <f t="shared" si="16"/>
        <v>7.047458171</v>
      </c>
      <c r="AF18" s="2">
        <f t="shared" si="17"/>
        <v>8.5</v>
      </c>
    </row>
    <row r="19">
      <c r="A19" s="1">
        <v>3.0</v>
      </c>
      <c r="B19" s="15">
        <v>472.0</v>
      </c>
      <c r="C19" s="1">
        <v>489.0</v>
      </c>
      <c r="D19" s="1">
        <v>209.0</v>
      </c>
      <c r="J19" s="16"/>
      <c r="K19" s="15">
        <v>22.5</v>
      </c>
      <c r="L19" s="1">
        <v>539.7</v>
      </c>
      <c r="M19" s="1">
        <v>158.7</v>
      </c>
      <c r="S19" s="16"/>
      <c r="T19" s="2">
        <f t="shared" si="3"/>
        <v>-15.5</v>
      </c>
      <c r="U19" s="2">
        <f t="shared" ref="U19:V19" si="29">(C19)-L19</f>
        <v>-50.7</v>
      </c>
      <c r="V19" s="2">
        <f t="shared" si="29"/>
        <v>50.3</v>
      </c>
      <c r="W19" s="2">
        <f t="shared" si="14"/>
        <v>73.08098248</v>
      </c>
      <c r="X19" s="2">
        <f t="shared" si="15"/>
        <v>1.307365464</v>
      </c>
      <c r="Y19" s="2">
        <v>71.77361701467355</v>
      </c>
      <c r="AE19" s="2">
        <f t="shared" si="16"/>
        <v>0</v>
      </c>
      <c r="AF19" s="2">
        <f t="shared" si="17"/>
        <v>0</v>
      </c>
    </row>
    <row r="20">
      <c r="A20" s="1">
        <v>3.0</v>
      </c>
      <c r="B20" s="15">
        <v>473.0</v>
      </c>
      <c r="C20" s="1">
        <v>490.0</v>
      </c>
      <c r="D20" s="1">
        <v>208.0</v>
      </c>
      <c r="J20" s="16"/>
      <c r="K20" s="15">
        <v>22.5</v>
      </c>
      <c r="L20" s="1">
        <v>539.7</v>
      </c>
      <c r="M20" s="1">
        <v>158.7</v>
      </c>
      <c r="S20" s="16"/>
      <c r="T20" s="2">
        <f t="shared" si="3"/>
        <v>-16.5</v>
      </c>
      <c r="U20" s="2">
        <f t="shared" ref="U20:V20" si="30">(C20)-L20</f>
        <v>-49.7</v>
      </c>
      <c r="V20" s="2">
        <f t="shared" si="30"/>
        <v>49.3</v>
      </c>
      <c r="W20" s="2">
        <f t="shared" si="14"/>
        <v>71.92238873</v>
      </c>
      <c r="X20" s="2">
        <f t="shared" si="15"/>
        <v>0.148771711</v>
      </c>
      <c r="Y20" s="2">
        <v>71.77361701467355</v>
      </c>
      <c r="AE20" s="2">
        <f t="shared" si="16"/>
        <v>0</v>
      </c>
      <c r="AF20" s="2">
        <f t="shared" si="17"/>
        <v>0</v>
      </c>
    </row>
    <row r="21">
      <c r="A21" s="1">
        <v>3.0</v>
      </c>
      <c r="B21" s="15">
        <v>475.0</v>
      </c>
      <c r="C21" s="1">
        <v>492.0</v>
      </c>
      <c r="D21" s="1">
        <v>202.0</v>
      </c>
      <c r="J21" s="16"/>
      <c r="K21" s="15">
        <v>22.5</v>
      </c>
      <c r="L21" s="1">
        <v>539.7</v>
      </c>
      <c r="M21" s="1">
        <v>158.7</v>
      </c>
      <c r="S21" s="16"/>
      <c r="T21" s="2">
        <f t="shared" si="3"/>
        <v>-18.5</v>
      </c>
      <c r="U21" s="2">
        <f t="shared" ref="U21:V21" si="31">(C21)-L21</f>
        <v>-47.7</v>
      </c>
      <c r="V21" s="2">
        <f t="shared" si="31"/>
        <v>43.3</v>
      </c>
      <c r="W21" s="2">
        <f t="shared" si="14"/>
        <v>67.02559213</v>
      </c>
      <c r="X21" s="2">
        <f t="shared" si="15"/>
        <v>4.748024887</v>
      </c>
      <c r="Y21" s="2">
        <v>71.77361701467355</v>
      </c>
      <c r="AE21" s="2">
        <f t="shared" si="16"/>
        <v>0</v>
      </c>
      <c r="AF21" s="2">
        <f t="shared" si="17"/>
        <v>0</v>
      </c>
    </row>
    <row r="22">
      <c r="A22" s="1">
        <v>4.0</v>
      </c>
      <c r="B22" s="15">
        <v>323.0</v>
      </c>
      <c r="C22" s="1">
        <v>623.0</v>
      </c>
      <c r="D22" s="1">
        <v>298.0</v>
      </c>
      <c r="J22" s="16"/>
      <c r="K22" s="15">
        <v>73.6</v>
      </c>
      <c r="L22" s="1">
        <v>696.7</v>
      </c>
      <c r="M22" s="1">
        <v>240.2</v>
      </c>
      <c r="S22" s="16"/>
      <c r="T22" s="2">
        <f t="shared" si="3"/>
        <v>82.4</v>
      </c>
      <c r="U22" s="2">
        <f t="shared" ref="U22:V22" si="32">(C22)-L22</f>
        <v>-73.7</v>
      </c>
      <c r="V22" s="2">
        <f t="shared" si="32"/>
        <v>57.8</v>
      </c>
      <c r="W22" s="2">
        <f t="shared" si="14"/>
        <v>124.7489078</v>
      </c>
      <c r="X22" s="2">
        <f t="shared" si="15"/>
        <v>14.5727247</v>
      </c>
      <c r="Y22" s="2">
        <f t="shared" ref="Y22:Z22" si="33">AVERAGE(W22:W25)</f>
        <v>139.3216325</v>
      </c>
      <c r="Z22" s="2">
        <f t="shared" si="33"/>
        <v>20.22352833</v>
      </c>
      <c r="AA22" s="2">
        <f>STDEV(W22:W25)</f>
        <v>24.11839452</v>
      </c>
      <c r="AB22" s="2">
        <f t="shared" ref="AB22:AD22" si="34">STDEV(B22:B25)</f>
        <v>24.67623688</v>
      </c>
      <c r="AC22" s="2">
        <f t="shared" si="34"/>
        <v>17.29161647</v>
      </c>
      <c r="AD22" s="2">
        <f t="shared" si="34"/>
        <v>4.5</v>
      </c>
      <c r="AE22" s="2">
        <f t="shared" si="16"/>
        <v>24.67623688</v>
      </c>
      <c r="AF22" s="2">
        <f t="shared" si="17"/>
        <v>30.46582785</v>
      </c>
    </row>
    <row r="23">
      <c r="A23" s="1">
        <v>4.0</v>
      </c>
      <c r="B23" s="15">
        <v>300.0</v>
      </c>
      <c r="C23" s="1">
        <v>603.0</v>
      </c>
      <c r="D23" s="1">
        <v>304.0</v>
      </c>
      <c r="J23" s="16"/>
      <c r="K23" s="15">
        <v>73.6</v>
      </c>
      <c r="L23" s="1">
        <v>696.7</v>
      </c>
      <c r="M23" s="1">
        <v>240.2</v>
      </c>
      <c r="S23" s="16"/>
      <c r="T23" s="2">
        <f t="shared" si="3"/>
        <v>105.4</v>
      </c>
      <c r="U23" s="2">
        <f t="shared" ref="U23:V23" si="35">(C23)-L23</f>
        <v>-93.7</v>
      </c>
      <c r="V23" s="2">
        <f t="shared" si="35"/>
        <v>63.8</v>
      </c>
      <c r="W23" s="2">
        <f t="shared" si="14"/>
        <v>154.7878871</v>
      </c>
      <c r="X23" s="2">
        <f t="shared" si="15"/>
        <v>15.46625462</v>
      </c>
      <c r="Y23" s="2">
        <v>139.32163250688382</v>
      </c>
      <c r="AE23" s="2">
        <f t="shared" si="16"/>
        <v>0</v>
      </c>
      <c r="AF23" s="2">
        <f t="shared" si="17"/>
        <v>0</v>
      </c>
    </row>
    <row r="24">
      <c r="A24" s="1">
        <v>4.0</v>
      </c>
      <c r="B24" s="15">
        <v>300.0</v>
      </c>
      <c r="C24" s="1">
        <v>588.0</v>
      </c>
      <c r="D24" s="1">
        <v>304.0</v>
      </c>
      <c r="J24" s="16"/>
      <c r="K24" s="15">
        <v>73.6</v>
      </c>
      <c r="L24" s="1">
        <v>696.7</v>
      </c>
      <c r="M24" s="1">
        <v>240.2</v>
      </c>
      <c r="S24" s="16"/>
      <c r="T24" s="2">
        <f t="shared" si="3"/>
        <v>105.4</v>
      </c>
      <c r="U24" s="2">
        <f t="shared" ref="U24:V24" si="36">(C24)-L24</f>
        <v>-108.7</v>
      </c>
      <c r="V24" s="2">
        <f t="shared" si="36"/>
        <v>63.8</v>
      </c>
      <c r="W24" s="2">
        <f t="shared" si="14"/>
        <v>164.3024346</v>
      </c>
      <c r="X24" s="2">
        <f t="shared" si="15"/>
        <v>24.98080205</v>
      </c>
      <c r="Y24" s="2">
        <v>139.32163250688382</v>
      </c>
      <c r="AE24" s="2">
        <f t="shared" si="16"/>
        <v>0</v>
      </c>
      <c r="AF24" s="2">
        <f t="shared" si="17"/>
        <v>0</v>
      </c>
    </row>
    <row r="25">
      <c r="A25" s="1">
        <v>4.0</v>
      </c>
      <c r="B25" s="15">
        <v>352.0</v>
      </c>
      <c r="C25" s="1">
        <v>624.0</v>
      </c>
      <c r="D25" s="1">
        <v>309.0</v>
      </c>
      <c r="J25" s="16"/>
      <c r="K25" s="15">
        <v>73.6</v>
      </c>
      <c r="L25" s="1">
        <v>696.7</v>
      </c>
      <c r="M25" s="1">
        <v>240.2</v>
      </c>
      <c r="S25" s="16"/>
      <c r="T25" s="2">
        <f t="shared" si="3"/>
        <v>53.4</v>
      </c>
      <c r="U25" s="2">
        <f t="shared" ref="U25:V25" si="37">(C25)-L25</f>
        <v>-72.7</v>
      </c>
      <c r="V25" s="2">
        <f t="shared" si="37"/>
        <v>68.8</v>
      </c>
      <c r="W25" s="2">
        <f t="shared" si="14"/>
        <v>113.4473005</v>
      </c>
      <c r="X25" s="2">
        <f t="shared" si="15"/>
        <v>25.87433197</v>
      </c>
      <c r="Y25" s="2">
        <v>139.32163250688382</v>
      </c>
      <c r="AE25" s="2">
        <f t="shared" si="16"/>
        <v>0</v>
      </c>
      <c r="AF25" s="2">
        <f t="shared" si="17"/>
        <v>0</v>
      </c>
    </row>
    <row r="26">
      <c r="B26" s="18"/>
      <c r="J26" s="16"/>
      <c r="K26" s="18"/>
      <c r="S26" s="16"/>
      <c r="T26" s="2">
        <f t="shared" si="3"/>
        <v>479</v>
      </c>
      <c r="V26" s="2">
        <f t="shared" ref="V26:V31" si="39">(D26)-M26</f>
        <v>0</v>
      </c>
      <c r="W26" s="2">
        <f t="shared" si="14"/>
        <v>479</v>
      </c>
      <c r="X26" s="2">
        <f t="shared" ref="X26:X31" si="40">STDEV(W26:W29)</f>
        <v>0</v>
      </c>
      <c r="Y26" s="2">
        <f t="shared" ref="Y26:Z26" si="38">AVERAGE(W26:W29)</f>
        <v>479</v>
      </c>
      <c r="Z26" s="2">
        <f t="shared" si="38"/>
        <v>198.1503895</v>
      </c>
      <c r="AA26" s="2">
        <f t="shared" ref="AA26:AA31" si="42">STDEV(W26:W29)</f>
        <v>0</v>
      </c>
      <c r="AE26" s="2">
        <f t="shared" si="16"/>
        <v>0</v>
      </c>
      <c r="AF26" s="2">
        <f t="shared" si="17"/>
        <v>0</v>
      </c>
    </row>
    <row r="27">
      <c r="B27" s="18"/>
      <c r="J27" s="16"/>
      <c r="K27" s="18"/>
      <c r="S27" s="16"/>
      <c r="T27" s="2">
        <f t="shared" si="3"/>
        <v>479</v>
      </c>
      <c r="V27" s="2">
        <f t="shared" si="39"/>
        <v>0</v>
      </c>
      <c r="W27" s="2">
        <f t="shared" si="14"/>
        <v>479</v>
      </c>
      <c r="X27" s="2">
        <f t="shared" si="40"/>
        <v>239.5</v>
      </c>
      <c r="Y27" s="2">
        <f t="shared" ref="Y27:Z27" si="41">AVERAGE(W27:W30)</f>
        <v>359.25</v>
      </c>
      <c r="Z27" s="2">
        <f t="shared" si="41"/>
        <v>198.1503895</v>
      </c>
      <c r="AA27" s="2">
        <f t="shared" si="42"/>
        <v>239.5</v>
      </c>
      <c r="AE27" s="2">
        <f t="shared" si="16"/>
        <v>0</v>
      </c>
      <c r="AF27" s="2">
        <f t="shared" si="17"/>
        <v>0</v>
      </c>
    </row>
    <row r="28">
      <c r="B28" s="18"/>
      <c r="J28" s="16"/>
      <c r="K28" s="18"/>
      <c r="S28" s="16"/>
      <c r="T28" s="2">
        <f t="shared" si="3"/>
        <v>479</v>
      </c>
      <c r="V28" s="2">
        <f t="shared" si="39"/>
        <v>0</v>
      </c>
      <c r="W28" s="2">
        <f t="shared" si="14"/>
        <v>479</v>
      </c>
      <c r="X28" s="2">
        <f t="shared" si="40"/>
        <v>276.5507789</v>
      </c>
      <c r="Y28" s="2">
        <f t="shared" ref="Y28:Z28" si="43">AVERAGE(W28:W31)</f>
        <v>239.5</v>
      </c>
      <c r="Z28" s="2" t="str">
        <f t="shared" si="43"/>
        <v>#DIV/0!</v>
      </c>
      <c r="AA28" s="2">
        <f t="shared" si="42"/>
        <v>276.5507789</v>
      </c>
      <c r="AE28" s="2">
        <f t="shared" si="16"/>
        <v>0</v>
      </c>
      <c r="AF28" s="2">
        <f t="shared" si="17"/>
        <v>0</v>
      </c>
    </row>
    <row r="29">
      <c r="B29" s="18"/>
      <c r="J29" s="16"/>
      <c r="K29" s="18"/>
      <c r="S29" s="16"/>
      <c r="T29" s="2">
        <f t="shared" si="3"/>
        <v>479</v>
      </c>
      <c r="V29" s="2">
        <f t="shared" si="39"/>
        <v>0</v>
      </c>
      <c r="W29" s="2">
        <f t="shared" si="14"/>
        <v>479</v>
      </c>
      <c r="X29" s="2">
        <f t="shared" si="40"/>
        <v>276.5507789</v>
      </c>
      <c r="Y29" s="2">
        <f t="shared" ref="Y29:Z29" si="44">AVERAGE(W29:W32)</f>
        <v>159.6666667</v>
      </c>
      <c r="Z29" s="2" t="str">
        <f t="shared" si="44"/>
        <v>#DIV/0!</v>
      </c>
      <c r="AA29" s="2">
        <f t="shared" si="42"/>
        <v>276.5507789</v>
      </c>
      <c r="AE29" s="2">
        <f t="shared" si="16"/>
        <v>0</v>
      </c>
      <c r="AF29" s="2">
        <f t="shared" si="17"/>
        <v>0</v>
      </c>
    </row>
    <row r="30">
      <c r="B30" s="18"/>
      <c r="J30" s="16"/>
      <c r="K30" s="18"/>
      <c r="S30" s="16"/>
      <c r="V30" s="2">
        <f t="shared" si="39"/>
        <v>0</v>
      </c>
      <c r="W30" s="2">
        <f t="shared" si="14"/>
        <v>0</v>
      </c>
      <c r="X30" s="2">
        <f t="shared" si="40"/>
        <v>0</v>
      </c>
      <c r="Y30" s="2">
        <f t="shared" ref="Y30:Z30" si="45">AVERAGE(W30:W33)</f>
        <v>0</v>
      </c>
      <c r="Z30" s="2" t="str">
        <f t="shared" si="45"/>
        <v>#DIV/0!</v>
      </c>
      <c r="AA30" s="2">
        <f t="shared" si="42"/>
        <v>0</v>
      </c>
      <c r="AE30" s="2">
        <f t="shared" si="16"/>
        <v>0</v>
      </c>
      <c r="AF30" s="2">
        <f t="shared" si="17"/>
        <v>0</v>
      </c>
    </row>
    <row r="31">
      <c r="B31" s="18"/>
      <c r="J31" s="16"/>
      <c r="K31" s="18"/>
      <c r="S31" s="16"/>
      <c r="V31" s="2">
        <f t="shared" si="39"/>
        <v>0</v>
      </c>
      <c r="W31" s="2">
        <f t="shared" si="14"/>
        <v>0</v>
      </c>
      <c r="X31" s="2" t="str">
        <f t="shared" si="40"/>
        <v>#DIV/0!</v>
      </c>
      <c r="Y31" s="2">
        <f t="shared" ref="Y31:Z31" si="46">AVERAGE(W31:W34)</f>
        <v>0</v>
      </c>
      <c r="Z31" s="2" t="str">
        <f t="shared" si="46"/>
        <v>#DIV/0!</v>
      </c>
      <c r="AA31" s="2" t="str">
        <f t="shared" si="42"/>
        <v>#DIV/0!</v>
      </c>
      <c r="AE31" s="2">
        <f t="shared" si="16"/>
        <v>0</v>
      </c>
      <c r="AF31" s="2">
        <f t="shared" si="17"/>
        <v>0</v>
      </c>
    </row>
    <row r="32">
      <c r="B32" s="18"/>
      <c r="J32" s="16"/>
      <c r="K32" s="18"/>
      <c r="S32" s="16"/>
    </row>
    <row r="33">
      <c r="B33" s="18"/>
      <c r="J33" s="16"/>
      <c r="K33" s="18"/>
      <c r="S33" s="16"/>
    </row>
    <row r="34">
      <c r="B34" s="18"/>
      <c r="J34" s="16"/>
      <c r="K34" s="18"/>
      <c r="S34" s="16"/>
    </row>
    <row r="35">
      <c r="B35" s="18"/>
      <c r="J35" s="16"/>
      <c r="K35" s="18"/>
      <c r="S35" s="16"/>
    </row>
    <row r="36">
      <c r="B36" s="18"/>
      <c r="J36" s="16"/>
      <c r="K36" s="18"/>
      <c r="S36" s="16"/>
    </row>
    <row r="37">
      <c r="B37" s="18"/>
      <c r="J37" s="16"/>
      <c r="K37" s="18"/>
      <c r="S37" s="16"/>
    </row>
    <row r="38">
      <c r="B38" s="18"/>
      <c r="J38" s="16"/>
      <c r="K38" s="18"/>
      <c r="S38" s="16"/>
    </row>
    <row r="39">
      <c r="B39" s="18"/>
      <c r="K39" s="18"/>
      <c r="S39" s="16"/>
    </row>
    <row r="40">
      <c r="B40" s="18"/>
      <c r="K40" s="18"/>
      <c r="S40" s="16"/>
    </row>
    <row r="41">
      <c r="B41" s="18"/>
      <c r="K41" s="18"/>
      <c r="S41" s="16"/>
    </row>
    <row r="42">
      <c r="B42" s="18"/>
      <c r="K42" s="18"/>
      <c r="S42" s="16"/>
    </row>
    <row r="43">
      <c r="B43" s="18"/>
      <c r="K43" s="18"/>
      <c r="S43" s="16"/>
    </row>
    <row r="44">
      <c r="B44" s="18"/>
      <c r="J44" s="16"/>
      <c r="K44" s="18"/>
      <c r="S44" s="16"/>
    </row>
    <row r="45">
      <c r="B45" s="18"/>
      <c r="J45" s="16"/>
      <c r="K45" s="18"/>
      <c r="S45" s="16"/>
    </row>
    <row r="46">
      <c r="B46" s="18"/>
      <c r="J46" s="16"/>
      <c r="K46" s="18"/>
      <c r="S46" s="16"/>
    </row>
    <row r="47">
      <c r="B47" s="18"/>
      <c r="J47" s="16"/>
      <c r="K47" s="18"/>
      <c r="S47" s="16"/>
    </row>
    <row r="48">
      <c r="B48" s="18"/>
      <c r="J48" s="16"/>
      <c r="K48" s="18"/>
      <c r="S48" s="16"/>
    </row>
    <row r="49">
      <c r="B49" s="18"/>
      <c r="J49" s="16"/>
      <c r="K49" s="18"/>
      <c r="S49" s="16"/>
    </row>
    <row r="50">
      <c r="B50" s="26"/>
      <c r="C50" s="27"/>
      <c r="D50" s="27"/>
      <c r="E50" s="27"/>
      <c r="F50" s="27"/>
      <c r="G50" s="27"/>
      <c r="H50" s="27"/>
      <c r="I50" s="27"/>
      <c r="J50" s="28"/>
      <c r="K50" s="26"/>
      <c r="L50" s="27"/>
      <c r="M50" s="27"/>
      <c r="N50" s="27"/>
      <c r="O50" s="27"/>
      <c r="P50" s="27"/>
      <c r="Q50" s="27"/>
      <c r="R50" s="27"/>
      <c r="S50" s="28"/>
    </row>
    <row r="54">
      <c r="Y54" s="29" t="s">
        <v>25</v>
      </c>
      <c r="Z54" s="29" t="s">
        <v>42</v>
      </c>
      <c r="AA54" s="29" t="s">
        <v>43</v>
      </c>
      <c r="AB54" s="29" t="s">
        <v>44</v>
      </c>
      <c r="AC54" s="29" t="s">
        <v>45</v>
      </c>
      <c r="AD54" s="29" t="s">
        <v>46</v>
      </c>
      <c r="AE54" s="29" t="s">
        <v>47</v>
      </c>
    </row>
    <row r="55">
      <c r="Y55" s="30">
        <v>1.0</v>
      </c>
      <c r="Z55" s="30">
        <v>118.0</v>
      </c>
      <c r="AA55" s="30">
        <v>1.7</v>
      </c>
      <c r="AB55" s="30">
        <v>5.8</v>
      </c>
      <c r="AC55" s="30">
        <v>4.9</v>
      </c>
      <c r="AD55" s="30">
        <v>5.8</v>
      </c>
      <c r="AE55" s="30">
        <v>7.8</v>
      </c>
    </row>
    <row r="56">
      <c r="Y56" s="30">
        <v>2.0</v>
      </c>
      <c r="Z56" s="30">
        <v>108.0</v>
      </c>
      <c r="AA56" s="30">
        <v>13.0</v>
      </c>
      <c r="AB56" s="30">
        <v>3.1</v>
      </c>
      <c r="AC56" s="30">
        <v>2.4</v>
      </c>
      <c r="AD56" s="30">
        <v>3.1</v>
      </c>
      <c r="AE56" s="30">
        <v>4.1</v>
      </c>
    </row>
    <row r="57">
      <c r="Y57" s="30">
        <v>3.0</v>
      </c>
      <c r="Z57" s="30">
        <v>71.0</v>
      </c>
      <c r="AA57" s="30">
        <v>1.5</v>
      </c>
      <c r="AB57" s="30">
        <v>4.5</v>
      </c>
      <c r="AC57" s="30">
        <v>7.0</v>
      </c>
      <c r="AD57" s="30">
        <v>7.0</v>
      </c>
      <c r="AE57" s="30">
        <v>8.5</v>
      </c>
    </row>
    <row r="58">
      <c r="Y58" s="30">
        <v>4.0</v>
      </c>
      <c r="Z58" s="30">
        <v>139.0</v>
      </c>
      <c r="AA58" s="30">
        <v>24.7</v>
      </c>
      <c r="AB58" s="30">
        <v>17.3</v>
      </c>
      <c r="AC58" s="30">
        <v>4.5</v>
      </c>
      <c r="AD58" s="30">
        <v>24.7</v>
      </c>
      <c r="AE58" s="30">
        <v>30.5</v>
      </c>
    </row>
    <row r="59">
      <c r="Y59" s="29" t="s">
        <v>48</v>
      </c>
      <c r="Z59" s="31">
        <v>109.4</v>
      </c>
      <c r="AA59" s="32">
        <f t="shared" ref="AA59:AE59" si="47">AVERAGE(AA55:AA58)</f>
        <v>10.225</v>
      </c>
      <c r="AB59" s="32">
        <f t="shared" si="47"/>
        <v>7.675</v>
      </c>
      <c r="AC59" s="32">
        <f t="shared" si="47"/>
        <v>4.7</v>
      </c>
      <c r="AD59" s="32">
        <f t="shared" si="47"/>
        <v>10.15</v>
      </c>
      <c r="AE59" s="32">
        <f t="shared" si="47"/>
        <v>12.725</v>
      </c>
    </row>
    <row r="74">
      <c r="L74" s="1" t="s">
        <v>49</v>
      </c>
      <c r="S74" s="1" t="s">
        <v>50</v>
      </c>
    </row>
  </sheetData>
  <mergeCells count="8">
    <mergeCell ref="B1:J1"/>
    <mergeCell ref="K1:P1"/>
    <mergeCell ref="B2:D2"/>
    <mergeCell ref="E2:G2"/>
    <mergeCell ref="H2:J2"/>
    <mergeCell ref="K2:M2"/>
    <mergeCell ref="N2:P2"/>
    <mergeCell ref="Q2:S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63"/>
    <col customWidth="1" min="15" max="15" width="20.0"/>
    <col customWidth="1" min="16" max="16" width="20.25"/>
    <col customWidth="1" min="17" max="17" width="17.88"/>
    <col customWidth="1" min="18" max="18" width="11.63"/>
  </cols>
  <sheetData>
    <row r="1">
      <c r="A1" s="12" t="s">
        <v>16</v>
      </c>
      <c r="G1" s="9" t="s">
        <v>51</v>
      </c>
    </row>
    <row r="2">
      <c r="A2" s="12" t="s">
        <v>52</v>
      </c>
      <c r="B2" s="12" t="s">
        <v>53</v>
      </c>
      <c r="C2" s="1" t="s">
        <v>18</v>
      </c>
      <c r="E2" s="1" t="s">
        <v>54</v>
      </c>
      <c r="F2" s="1" t="s">
        <v>55</v>
      </c>
      <c r="G2" s="12" t="s">
        <v>52</v>
      </c>
      <c r="H2" s="12" t="s">
        <v>53</v>
      </c>
      <c r="I2" s="1" t="s">
        <v>18</v>
      </c>
      <c r="J2" s="1"/>
      <c r="K2" s="1" t="s">
        <v>54</v>
      </c>
      <c r="L2" s="1" t="s">
        <v>55</v>
      </c>
      <c r="O2" s="33" t="s">
        <v>0</v>
      </c>
      <c r="P2" s="33" t="s">
        <v>56</v>
      </c>
      <c r="Q2" s="33" t="s">
        <v>57</v>
      </c>
      <c r="R2" s="33" t="s">
        <v>58</v>
      </c>
      <c r="S2" s="33" t="s">
        <v>59</v>
      </c>
    </row>
    <row r="3">
      <c r="A3" s="1">
        <v>80.0</v>
      </c>
      <c r="B3" s="1">
        <f>90-C3</f>
        <v>67.8</v>
      </c>
      <c r="C3" s="1">
        <v>22.2</v>
      </c>
      <c r="E3" s="2">
        <f t="shared" ref="E3:E10" si="1">A3-B3</f>
        <v>12.2</v>
      </c>
      <c r="F3" s="2">
        <f>STDEV(E3:E10)</f>
        <v>2.765605075</v>
      </c>
      <c r="G3" s="1">
        <v>10.0</v>
      </c>
      <c r="H3" s="1">
        <f t="shared" ref="H3:H10" si="2">I3+2.5</f>
        <v>3.5</v>
      </c>
      <c r="I3" s="1">
        <v>1.0</v>
      </c>
      <c r="J3" s="1"/>
      <c r="K3" s="2">
        <f t="shared" ref="K3:K10" si="3">G3-H3</f>
        <v>6.5</v>
      </c>
      <c r="L3" s="2">
        <f>STDEV(K3:K10)</f>
        <v>2.717634213</v>
      </c>
      <c r="O3" s="34" t="s">
        <v>11</v>
      </c>
      <c r="P3" s="35" t="s">
        <v>60</v>
      </c>
      <c r="Q3" s="36">
        <v>10.135704218257358</v>
      </c>
      <c r="R3" s="36">
        <v>2.765605074585205</v>
      </c>
      <c r="S3" s="36">
        <v>9.799999999999999</v>
      </c>
    </row>
    <row r="4">
      <c r="A4" s="1">
        <v>180.0</v>
      </c>
      <c r="B4" s="1">
        <f>C4+90</f>
        <v>173.4</v>
      </c>
      <c r="C4" s="1">
        <v>83.4</v>
      </c>
      <c r="E4" s="2">
        <f t="shared" si="1"/>
        <v>6.6</v>
      </c>
      <c r="F4" s="1" t="s">
        <v>61</v>
      </c>
      <c r="G4" s="1">
        <v>85.0</v>
      </c>
      <c r="H4" s="1">
        <f t="shared" si="2"/>
        <v>87.5</v>
      </c>
      <c r="I4" s="1">
        <v>85.0</v>
      </c>
      <c r="J4" s="1"/>
      <c r="K4" s="2">
        <f t="shared" si="3"/>
        <v>-2.5</v>
      </c>
      <c r="L4" s="1" t="s">
        <v>61</v>
      </c>
      <c r="O4" s="34" t="s">
        <v>62</v>
      </c>
      <c r="P4" s="35" t="s">
        <v>60</v>
      </c>
      <c r="Q4" s="36">
        <v>2.482941803587028</v>
      </c>
      <c r="R4" s="36">
        <v>2.6053516351650394</v>
      </c>
      <c r="S4" s="36">
        <v>0.47500000000000053</v>
      </c>
    </row>
    <row r="5">
      <c r="A5" s="1">
        <v>45.0</v>
      </c>
      <c r="B5" s="1">
        <f>90-C5</f>
        <v>37</v>
      </c>
      <c r="C5" s="1">
        <v>53.0</v>
      </c>
      <c r="E5" s="2">
        <f t="shared" si="1"/>
        <v>8</v>
      </c>
      <c r="F5" s="2">
        <f>AVERAGE(E3:E10)</f>
        <v>9.8</v>
      </c>
      <c r="G5" s="1">
        <v>20.0</v>
      </c>
      <c r="H5" s="1">
        <f t="shared" si="2"/>
        <v>15.8</v>
      </c>
      <c r="I5" s="1">
        <v>13.3</v>
      </c>
      <c r="J5" s="1"/>
      <c r="K5" s="2">
        <f t="shared" si="3"/>
        <v>4.2</v>
      </c>
      <c r="L5" s="2">
        <f>AVERAGE(K3:K10)</f>
        <v>2.7375</v>
      </c>
      <c r="O5" s="34" t="s">
        <v>63</v>
      </c>
      <c r="P5" s="35" t="s">
        <v>60</v>
      </c>
      <c r="Q5" s="36">
        <v>3.7358064725036275</v>
      </c>
      <c r="R5" s="36">
        <v>2.7176342127456588</v>
      </c>
      <c r="S5" s="36">
        <v>2.737499999999999</v>
      </c>
    </row>
    <row r="6">
      <c r="A6" s="1">
        <v>-23.0</v>
      </c>
      <c r="B6" s="1">
        <f>-90+60.5</f>
        <v>-29.5</v>
      </c>
      <c r="C6" s="1">
        <v>60.5</v>
      </c>
      <c r="E6" s="2">
        <f t="shared" si="1"/>
        <v>6.5</v>
      </c>
      <c r="F6" s="1" t="s">
        <v>64</v>
      </c>
      <c r="G6" s="1">
        <v>60.0</v>
      </c>
      <c r="H6" s="1">
        <f t="shared" si="2"/>
        <v>58.5</v>
      </c>
      <c r="I6" s="1">
        <v>56.0</v>
      </c>
      <c r="J6" s="1"/>
      <c r="K6" s="2">
        <f t="shared" si="3"/>
        <v>1.5</v>
      </c>
      <c r="L6" s="1" t="s">
        <v>64</v>
      </c>
      <c r="O6" s="34" t="s">
        <v>65</v>
      </c>
      <c r="P6" s="35" t="s">
        <v>66</v>
      </c>
      <c r="Q6" s="36">
        <v>7.459797009877108</v>
      </c>
      <c r="R6" s="36">
        <v>5.8070974636543635</v>
      </c>
      <c r="S6" s="36">
        <v>-4.300000000000002</v>
      </c>
    </row>
    <row r="7">
      <c r="A7" s="1">
        <v>100.0</v>
      </c>
      <c r="B7" s="1">
        <f>90-C7</f>
        <v>86</v>
      </c>
      <c r="C7" s="1">
        <v>4.0</v>
      </c>
      <c r="E7" s="2">
        <f t="shared" si="1"/>
        <v>14</v>
      </c>
      <c r="F7" s="2">
        <f>(SUMSQ((E3:E10))/8)^0.5</f>
        <v>10.13570422</v>
      </c>
      <c r="G7" s="1">
        <v>30.0</v>
      </c>
      <c r="H7" s="1">
        <f t="shared" si="2"/>
        <v>26.8</v>
      </c>
      <c r="I7" s="1">
        <v>24.3</v>
      </c>
      <c r="J7" s="1"/>
      <c r="K7" s="2">
        <f t="shared" si="3"/>
        <v>3.2</v>
      </c>
      <c r="L7" s="2">
        <f>(SUMSQ((K3:K10))/8)^0.5</f>
        <v>3.735806473</v>
      </c>
      <c r="O7" s="34" t="s">
        <v>67</v>
      </c>
      <c r="P7" s="35" t="s">
        <v>60</v>
      </c>
      <c r="Q7" s="36">
        <v>4.856181627575314</v>
      </c>
      <c r="R7" s="36">
        <v>2.1967508474367987</v>
      </c>
      <c r="S7" s="36">
        <v>4.400000000000002</v>
      </c>
    </row>
    <row r="8">
      <c r="A8" s="1">
        <v>150.0</v>
      </c>
      <c r="B8" s="1">
        <f>90+C8</f>
        <v>141.4</v>
      </c>
      <c r="C8" s="1">
        <v>51.4</v>
      </c>
      <c r="E8" s="2">
        <f t="shared" si="1"/>
        <v>8.6</v>
      </c>
      <c r="G8" s="1">
        <v>70.0</v>
      </c>
      <c r="H8" s="1">
        <f t="shared" si="2"/>
        <v>68.9</v>
      </c>
      <c r="I8" s="1">
        <v>66.4</v>
      </c>
      <c r="J8" s="1"/>
      <c r="K8" s="2">
        <f t="shared" si="3"/>
        <v>1.1</v>
      </c>
      <c r="O8" s="34" t="s">
        <v>68</v>
      </c>
      <c r="P8" s="35" t="s">
        <v>69</v>
      </c>
      <c r="Q8" s="37">
        <v>1.574456846</v>
      </c>
      <c r="R8" s="36">
        <v>1.6775344921396804</v>
      </c>
      <c r="S8" s="36">
        <v>0.12867647058823728</v>
      </c>
    </row>
    <row r="9">
      <c r="A9" s="1">
        <v>70.0</v>
      </c>
      <c r="B9" s="1">
        <f>90-C9</f>
        <v>58.5</v>
      </c>
      <c r="C9" s="1">
        <v>31.5</v>
      </c>
      <c r="E9" s="2">
        <f t="shared" si="1"/>
        <v>11.5</v>
      </c>
      <c r="G9" s="1">
        <v>15.0</v>
      </c>
      <c r="H9" s="1">
        <f t="shared" si="2"/>
        <v>11.6</v>
      </c>
      <c r="I9" s="1">
        <v>9.1</v>
      </c>
      <c r="J9" s="1"/>
      <c r="K9" s="2">
        <f t="shared" si="3"/>
        <v>3.4</v>
      </c>
      <c r="O9" s="34" t="s">
        <v>70</v>
      </c>
      <c r="P9" s="35" t="s">
        <v>66</v>
      </c>
      <c r="Q9" s="36">
        <v>2.6076809620810595</v>
      </c>
      <c r="R9" s="36">
        <v>2.3563490726929546</v>
      </c>
      <c r="S9" s="36">
        <v>-1.42857142857143</v>
      </c>
    </row>
    <row r="10">
      <c r="A10" s="1">
        <v>120.0</v>
      </c>
      <c r="B10" s="1">
        <f>90+C10</f>
        <v>109</v>
      </c>
      <c r="C10" s="1">
        <v>19.0</v>
      </c>
      <c r="E10" s="2">
        <f t="shared" si="1"/>
        <v>11</v>
      </c>
      <c r="G10" s="1">
        <v>50.0</v>
      </c>
      <c r="H10" s="1">
        <f t="shared" si="2"/>
        <v>45.5</v>
      </c>
      <c r="I10" s="1">
        <v>43.0</v>
      </c>
      <c r="J10" s="1"/>
      <c r="K10" s="2">
        <f t="shared" si="3"/>
        <v>4.5</v>
      </c>
      <c r="O10" s="38" t="s">
        <v>48</v>
      </c>
      <c r="P10" s="35" t="s">
        <v>71</v>
      </c>
      <c r="Q10" s="39">
        <f t="shared" ref="Q10:S10" si="4">AVERAGE(Q4:Q9)</f>
        <v>3.78614412</v>
      </c>
      <c r="R10" s="39">
        <f t="shared" si="4"/>
        <v>2.893452954</v>
      </c>
      <c r="S10" s="39">
        <f t="shared" si="4"/>
        <v>0.3354341737</v>
      </c>
    </row>
    <row r="11">
      <c r="A11" s="12" t="s">
        <v>72</v>
      </c>
    </row>
    <row r="12">
      <c r="A12" s="12" t="s">
        <v>52</v>
      </c>
      <c r="B12" s="12" t="s">
        <v>53</v>
      </c>
      <c r="C12" s="1" t="s">
        <v>18</v>
      </c>
      <c r="D12" s="1" t="s">
        <v>73</v>
      </c>
      <c r="E12" s="1" t="s">
        <v>54</v>
      </c>
      <c r="F12" s="1" t="s">
        <v>55</v>
      </c>
    </row>
    <row r="13">
      <c r="A13" s="1">
        <v>80.0</v>
      </c>
      <c r="B13" s="1">
        <f>90-C13</f>
        <v>78.6</v>
      </c>
      <c r="C13" s="1">
        <v>11.4</v>
      </c>
      <c r="E13" s="2">
        <f t="shared" ref="E13:E20" si="5">A13-B13</f>
        <v>1.4</v>
      </c>
      <c r="F13" s="2">
        <f>STDEV(E13:E20)</f>
        <v>2.605351635</v>
      </c>
    </row>
    <row r="14">
      <c r="A14" s="1">
        <v>180.0</v>
      </c>
      <c r="B14" s="1">
        <f>C14+90</f>
        <v>180</v>
      </c>
      <c r="C14" s="1">
        <v>90.0</v>
      </c>
      <c r="E14" s="2">
        <f t="shared" si="5"/>
        <v>0</v>
      </c>
      <c r="F14" s="1" t="s">
        <v>61</v>
      </c>
      <c r="G14" s="9" t="s">
        <v>9</v>
      </c>
    </row>
    <row r="15">
      <c r="A15" s="1">
        <v>45.0</v>
      </c>
      <c r="B15" s="1">
        <f>90-C15</f>
        <v>45.6</v>
      </c>
      <c r="C15" s="1">
        <v>44.4</v>
      </c>
      <c r="E15" s="2">
        <f t="shared" si="5"/>
        <v>-0.6</v>
      </c>
      <c r="F15" s="2">
        <f>AVERAGE(E13:E20)</f>
        <v>0.475</v>
      </c>
      <c r="G15" s="12" t="s">
        <v>52</v>
      </c>
      <c r="H15" s="12" t="s">
        <v>53</v>
      </c>
      <c r="I15" s="1" t="s">
        <v>18</v>
      </c>
      <c r="J15" s="1" t="s">
        <v>74</v>
      </c>
      <c r="K15" s="1" t="s">
        <v>54</v>
      </c>
      <c r="L15" s="1" t="s">
        <v>55</v>
      </c>
    </row>
    <row r="16">
      <c r="A16" s="1">
        <v>-23.0</v>
      </c>
      <c r="B16" s="1">
        <f>-90+C16</f>
        <v>-20</v>
      </c>
      <c r="C16" s="1">
        <v>70.0</v>
      </c>
      <c r="E16" s="2">
        <f t="shared" si="5"/>
        <v>-3</v>
      </c>
      <c r="F16" s="1" t="s">
        <v>64</v>
      </c>
      <c r="G16" s="1">
        <v>85.0</v>
      </c>
      <c r="H16" s="1">
        <f t="shared" ref="H16:H22" si="6">(90-(I16))+J16</f>
        <v>90</v>
      </c>
      <c r="I16" s="1">
        <v>1.5</v>
      </c>
      <c r="J16" s="1">
        <v>1.5</v>
      </c>
      <c r="K16" s="2">
        <f t="shared" ref="K16:K22" si="7">G16-H16</f>
        <v>-5</v>
      </c>
      <c r="L16" s="2">
        <f>STDEV(K16:K23)</f>
        <v>5.807097464</v>
      </c>
    </row>
    <row r="17">
      <c r="A17" s="1">
        <v>100.0</v>
      </c>
      <c r="B17" s="1">
        <f t="shared" ref="B17:B18" si="8">90+C17</f>
        <v>95</v>
      </c>
      <c r="C17" s="1">
        <v>5.0</v>
      </c>
      <c r="E17" s="2">
        <f t="shared" si="5"/>
        <v>5</v>
      </c>
      <c r="F17" s="2">
        <f>(SUMSQ((E13:E20))/8)^0.5</f>
        <v>2.482941804</v>
      </c>
      <c r="G17" s="1">
        <v>10.0</v>
      </c>
      <c r="H17" s="1">
        <f t="shared" si="6"/>
        <v>20.6</v>
      </c>
      <c r="I17" s="1">
        <v>72.8</v>
      </c>
      <c r="J17" s="1">
        <v>3.4</v>
      </c>
      <c r="K17" s="2">
        <f t="shared" si="7"/>
        <v>-10.6</v>
      </c>
      <c r="L17" s="1" t="s">
        <v>61</v>
      </c>
    </row>
    <row r="18">
      <c r="A18" s="1">
        <v>150.0</v>
      </c>
      <c r="B18" s="1">
        <f t="shared" si="8"/>
        <v>152</v>
      </c>
      <c r="C18" s="1">
        <v>62.0</v>
      </c>
      <c r="E18" s="2">
        <f t="shared" si="5"/>
        <v>-2</v>
      </c>
      <c r="G18" s="1">
        <v>50.0</v>
      </c>
      <c r="H18" s="1">
        <f t="shared" si="6"/>
        <v>49.4</v>
      </c>
      <c r="I18" s="1">
        <v>44.0</v>
      </c>
      <c r="J18" s="1">
        <v>3.4</v>
      </c>
      <c r="K18" s="2">
        <f t="shared" si="7"/>
        <v>0.6</v>
      </c>
      <c r="L18" s="2">
        <f>AVERAGE(K16:K21)</f>
        <v>-4.3</v>
      </c>
    </row>
    <row r="19">
      <c r="A19" s="1">
        <v>70.0</v>
      </c>
      <c r="B19" s="1">
        <f>90-C19</f>
        <v>67</v>
      </c>
      <c r="C19" s="1">
        <v>23.0</v>
      </c>
      <c r="E19" s="2">
        <f t="shared" si="5"/>
        <v>3</v>
      </c>
      <c r="G19" s="1">
        <v>70.0</v>
      </c>
      <c r="H19" s="1">
        <f t="shared" si="6"/>
        <v>70.3</v>
      </c>
      <c r="I19" s="1">
        <v>23.1</v>
      </c>
      <c r="J19" s="1">
        <v>3.4</v>
      </c>
      <c r="K19" s="2">
        <f t="shared" si="7"/>
        <v>-0.3</v>
      </c>
      <c r="L19" s="1" t="s">
        <v>64</v>
      </c>
    </row>
    <row r="20">
      <c r="A20" s="1">
        <v>120.0</v>
      </c>
      <c r="B20" s="1">
        <f>90+C20</f>
        <v>120</v>
      </c>
      <c r="C20" s="1">
        <v>30.0</v>
      </c>
      <c r="E20" s="2">
        <f t="shared" si="5"/>
        <v>0</v>
      </c>
      <c r="G20" s="1">
        <v>-5.0</v>
      </c>
      <c r="H20" s="1">
        <f t="shared" si="6"/>
        <v>6.9</v>
      </c>
      <c r="I20" s="1">
        <v>86.5</v>
      </c>
      <c r="J20" s="1">
        <v>3.4</v>
      </c>
      <c r="K20" s="2">
        <f t="shared" si="7"/>
        <v>-11.9</v>
      </c>
      <c r="L20" s="2">
        <f>(SUMSQ((K16:K22))/7)^0.5</f>
        <v>7.45979701</v>
      </c>
    </row>
    <row r="21">
      <c r="D21" s="40">
        <v>41.62</v>
      </c>
      <c r="E21" s="40"/>
      <c r="F21" s="40"/>
      <c r="G21" s="1">
        <v>40.0</v>
      </c>
      <c r="H21" s="1">
        <f t="shared" si="6"/>
        <v>38.6</v>
      </c>
      <c r="I21" s="1">
        <v>54.8</v>
      </c>
      <c r="J21" s="1">
        <v>3.4</v>
      </c>
      <c r="K21" s="2">
        <f t="shared" si="7"/>
        <v>1.4</v>
      </c>
    </row>
    <row r="22">
      <c r="G22" s="24">
        <v>20.0</v>
      </c>
      <c r="H22" s="24">
        <f t="shared" si="6"/>
        <v>30.4</v>
      </c>
      <c r="I22" s="24">
        <v>63.9</v>
      </c>
      <c r="J22" s="24">
        <v>4.3</v>
      </c>
      <c r="K22" s="2">
        <f t="shared" si="7"/>
        <v>-10.4</v>
      </c>
    </row>
    <row r="26">
      <c r="G26" s="9" t="s">
        <v>67</v>
      </c>
    </row>
    <row r="27">
      <c r="G27" s="12" t="s">
        <v>52</v>
      </c>
      <c r="H27" s="12" t="s">
        <v>53</v>
      </c>
      <c r="I27" s="1" t="s">
        <v>18</v>
      </c>
      <c r="J27" s="1"/>
      <c r="K27" s="1" t="s">
        <v>54</v>
      </c>
      <c r="L27" s="1" t="s">
        <v>55</v>
      </c>
    </row>
    <row r="28">
      <c r="G28" s="1">
        <v>90.0</v>
      </c>
      <c r="H28" s="2">
        <f t="shared" ref="H28:H35" si="9">I28+$J$28</f>
        <v>83.5</v>
      </c>
      <c r="I28" s="1">
        <v>77.9</v>
      </c>
      <c r="J28" s="1">
        <v>5.6</v>
      </c>
      <c r="K28" s="2">
        <f t="shared" ref="K28:K35" si="10">G28-H28</f>
        <v>6.5</v>
      </c>
      <c r="L28" s="2">
        <f>STDEV(K28:K35)</f>
        <v>2.196750847</v>
      </c>
    </row>
    <row r="29">
      <c r="G29" s="1">
        <v>0.0</v>
      </c>
      <c r="H29" s="2">
        <f t="shared" si="9"/>
        <v>0.3</v>
      </c>
      <c r="I29" s="1">
        <v>-5.3</v>
      </c>
      <c r="K29" s="2">
        <f t="shared" si="10"/>
        <v>-0.3</v>
      </c>
      <c r="L29" s="1" t="s">
        <v>61</v>
      </c>
    </row>
    <row r="30">
      <c r="G30" s="1">
        <v>100.0</v>
      </c>
      <c r="H30" s="2">
        <f t="shared" si="9"/>
        <v>93.7</v>
      </c>
      <c r="I30" s="1">
        <v>88.1</v>
      </c>
      <c r="K30" s="2">
        <f t="shared" si="10"/>
        <v>6.3</v>
      </c>
      <c r="L30" s="2">
        <f>AVERAGE(K28:K35)</f>
        <v>4.4</v>
      </c>
    </row>
    <row r="31">
      <c r="G31" s="1">
        <v>20.0</v>
      </c>
      <c r="H31" s="2">
        <f t="shared" si="9"/>
        <v>16.5</v>
      </c>
      <c r="I31" s="1">
        <v>10.9</v>
      </c>
      <c r="K31" s="2">
        <f t="shared" si="10"/>
        <v>3.5</v>
      </c>
      <c r="L31" s="1" t="s">
        <v>64</v>
      </c>
    </row>
    <row r="32">
      <c r="G32" s="1">
        <v>120.0</v>
      </c>
      <c r="H32" s="2">
        <f t="shared" si="9"/>
        <v>115.6</v>
      </c>
      <c r="I32" s="1">
        <v>110.0</v>
      </c>
      <c r="K32" s="2">
        <f t="shared" si="10"/>
        <v>4.4</v>
      </c>
      <c r="L32" s="2">
        <f>(SUMSQ((K28:K35))/8)^0.5</f>
        <v>4.856181628</v>
      </c>
    </row>
    <row r="33">
      <c r="G33" s="1">
        <v>50.0</v>
      </c>
      <c r="H33" s="2">
        <f t="shared" si="9"/>
        <v>45</v>
      </c>
      <c r="I33" s="1">
        <v>39.4</v>
      </c>
      <c r="K33" s="2">
        <f t="shared" si="10"/>
        <v>5</v>
      </c>
    </row>
    <row r="34">
      <c r="G34" s="1">
        <v>40.0</v>
      </c>
      <c r="H34" s="2">
        <f t="shared" si="9"/>
        <v>36.1</v>
      </c>
      <c r="I34" s="1">
        <v>30.5</v>
      </c>
      <c r="K34" s="2">
        <f t="shared" si="10"/>
        <v>3.9</v>
      </c>
    </row>
    <row r="35">
      <c r="G35" s="1">
        <v>110.0</v>
      </c>
      <c r="H35" s="2">
        <f t="shared" si="9"/>
        <v>104.1</v>
      </c>
      <c r="I35" s="1">
        <v>98.5</v>
      </c>
      <c r="K35" s="2">
        <f t="shared" si="10"/>
        <v>5.9</v>
      </c>
    </row>
    <row r="38">
      <c r="G38" s="9" t="s">
        <v>68</v>
      </c>
    </row>
    <row r="39">
      <c r="G39" s="12" t="s">
        <v>52</v>
      </c>
      <c r="H39" s="12" t="s">
        <v>53</v>
      </c>
      <c r="I39" s="1" t="s">
        <v>18</v>
      </c>
      <c r="J39" s="1"/>
      <c r="K39" s="1" t="s">
        <v>54</v>
      </c>
      <c r="L39" s="1" t="s">
        <v>55</v>
      </c>
    </row>
    <row r="40">
      <c r="G40" s="1">
        <v>0.0</v>
      </c>
      <c r="H40" s="1">
        <f>I40</f>
        <v>0</v>
      </c>
      <c r="I40" s="1">
        <v>0.0</v>
      </c>
      <c r="J40" s="1">
        <v>272.0</v>
      </c>
      <c r="K40" s="2">
        <f t="shared" ref="K40:K47" si="11">G40-H40</f>
        <v>0</v>
      </c>
      <c r="L40" s="2">
        <f>STDEV(K40:K47)</f>
        <v>1.677534492</v>
      </c>
    </row>
    <row r="41">
      <c r="G41" s="1">
        <v>70.0</v>
      </c>
      <c r="H41" s="1">
        <f t="shared" ref="H41:H47" si="12">360*(I41/$J$40)</f>
        <v>70.14705882</v>
      </c>
      <c r="I41" s="1">
        <v>53.0</v>
      </c>
      <c r="K41" s="2">
        <f t="shared" si="11"/>
        <v>-0.1470588235</v>
      </c>
      <c r="L41" s="1" t="s">
        <v>61</v>
      </c>
    </row>
    <row r="42">
      <c r="G42" s="1">
        <v>180.0</v>
      </c>
      <c r="H42" s="1">
        <f t="shared" si="12"/>
        <v>178.6764706</v>
      </c>
      <c r="I42" s="1">
        <v>135.0</v>
      </c>
      <c r="K42" s="2">
        <f t="shared" si="11"/>
        <v>1.323529412</v>
      </c>
      <c r="L42" s="2">
        <f>AVERAGE(K40:K47)</f>
        <v>0.1286764706</v>
      </c>
    </row>
    <row r="43">
      <c r="G43" s="1">
        <v>20.0</v>
      </c>
      <c r="H43" s="1">
        <f t="shared" si="12"/>
        <v>19.85294118</v>
      </c>
      <c r="I43" s="1">
        <v>15.0</v>
      </c>
      <c r="K43" s="2">
        <f t="shared" si="11"/>
        <v>0.1470588235</v>
      </c>
      <c r="L43" s="1" t="s">
        <v>64</v>
      </c>
    </row>
    <row r="44">
      <c r="G44" s="1">
        <v>110.0</v>
      </c>
      <c r="H44" s="1">
        <f t="shared" si="12"/>
        <v>108.5294118</v>
      </c>
      <c r="I44" s="1">
        <v>82.0</v>
      </c>
      <c r="K44" s="2">
        <f t="shared" si="11"/>
        <v>1.470588235</v>
      </c>
      <c r="L44" s="2">
        <f>(SUMSQ((K40:K47))/8)^0.5</f>
        <v>1.574456846</v>
      </c>
    </row>
    <row r="45">
      <c r="G45" s="1">
        <v>50.0</v>
      </c>
      <c r="H45" s="1">
        <f t="shared" si="12"/>
        <v>51.61764706</v>
      </c>
      <c r="I45" s="1">
        <v>39.0</v>
      </c>
      <c r="K45" s="2">
        <f t="shared" si="11"/>
        <v>-1.617647059</v>
      </c>
    </row>
    <row r="46">
      <c r="G46" s="1">
        <v>160.0</v>
      </c>
      <c r="H46" s="1">
        <f t="shared" si="12"/>
        <v>157.5</v>
      </c>
      <c r="I46" s="1">
        <v>119.0</v>
      </c>
      <c r="K46" s="2">
        <f t="shared" si="11"/>
        <v>2.5</v>
      </c>
    </row>
    <row r="47">
      <c r="G47" s="1">
        <v>90.0</v>
      </c>
      <c r="H47" s="1">
        <f t="shared" si="12"/>
        <v>92.64705882</v>
      </c>
      <c r="I47" s="1">
        <v>70.0</v>
      </c>
      <c r="K47" s="2">
        <f t="shared" si="11"/>
        <v>-2.647058824</v>
      </c>
    </row>
    <row r="49">
      <c r="G49" s="9" t="s">
        <v>70</v>
      </c>
    </row>
    <row r="50">
      <c r="G50" s="12" t="s">
        <v>52</v>
      </c>
      <c r="H50" s="12" t="s">
        <v>53</v>
      </c>
      <c r="I50" s="1" t="s">
        <v>18</v>
      </c>
      <c r="J50" s="1"/>
      <c r="K50" s="1" t="s">
        <v>54</v>
      </c>
      <c r="L50" s="1" t="s">
        <v>55</v>
      </c>
    </row>
    <row r="51">
      <c r="G51" s="1">
        <v>0.0</v>
      </c>
      <c r="H51" s="1">
        <f t="shared" ref="H51:H57" si="13">I51+4.5</f>
        <v>0.6</v>
      </c>
      <c r="I51" s="1">
        <v>-3.9</v>
      </c>
      <c r="J51" s="1">
        <v>3.9</v>
      </c>
      <c r="K51" s="2">
        <f t="shared" ref="K51:K57" si="14">G51-H51</f>
        <v>-0.6</v>
      </c>
      <c r="L51" s="2">
        <f>STDEV(K51:K57)</f>
        <v>2.356349073</v>
      </c>
    </row>
    <row r="52">
      <c r="G52" s="1">
        <v>-50.0</v>
      </c>
      <c r="H52" s="1">
        <f t="shared" si="13"/>
        <v>-45.7</v>
      </c>
      <c r="I52" s="1">
        <v>-50.2</v>
      </c>
      <c r="K52" s="2">
        <f t="shared" si="14"/>
        <v>-4.3</v>
      </c>
      <c r="L52" s="1" t="s">
        <v>61</v>
      </c>
    </row>
    <row r="53">
      <c r="G53" s="1">
        <v>50.0</v>
      </c>
      <c r="H53" s="1">
        <f t="shared" si="13"/>
        <v>48.7</v>
      </c>
      <c r="I53" s="1">
        <v>44.2</v>
      </c>
      <c r="K53" s="2">
        <f t="shared" si="14"/>
        <v>1.3</v>
      </c>
      <c r="L53" s="2">
        <f>AVERAGE(K51:K57)</f>
        <v>-1.428571429</v>
      </c>
    </row>
    <row r="54">
      <c r="G54" s="1">
        <v>-20.0</v>
      </c>
      <c r="H54" s="1">
        <f t="shared" si="13"/>
        <v>-17.7</v>
      </c>
      <c r="I54" s="1">
        <v>-22.2</v>
      </c>
      <c r="K54" s="2">
        <f t="shared" si="14"/>
        <v>-2.3</v>
      </c>
      <c r="L54" s="1" t="s">
        <v>64</v>
      </c>
    </row>
    <row r="55">
      <c r="G55" s="1">
        <v>-40.0</v>
      </c>
      <c r="H55" s="1">
        <f t="shared" si="13"/>
        <v>-36.3</v>
      </c>
      <c r="I55" s="1">
        <v>-40.8</v>
      </c>
      <c r="K55" s="2">
        <f t="shared" si="14"/>
        <v>-3.7</v>
      </c>
      <c r="L55" s="2">
        <f>(SUMSQ((K51:K57))/7)^0.5</f>
        <v>2.607680962</v>
      </c>
    </row>
    <row r="56">
      <c r="G56" s="1">
        <v>60.0</v>
      </c>
      <c r="H56" s="1">
        <f t="shared" si="13"/>
        <v>58.2</v>
      </c>
      <c r="I56" s="1">
        <v>53.7</v>
      </c>
      <c r="K56" s="2">
        <f t="shared" si="14"/>
        <v>1.8</v>
      </c>
    </row>
    <row r="57">
      <c r="G57" s="1">
        <v>-30.0</v>
      </c>
      <c r="H57" s="1">
        <f t="shared" si="13"/>
        <v>-27.8</v>
      </c>
      <c r="I57" s="1">
        <v>-32.3</v>
      </c>
      <c r="K57" s="2">
        <f t="shared" si="14"/>
        <v>-2.2</v>
      </c>
    </row>
  </sheetData>
  <mergeCells count="6">
    <mergeCell ref="A1:C1"/>
    <mergeCell ref="G1:L1"/>
    <mergeCell ref="G14:L14"/>
    <mergeCell ref="G26:L26"/>
    <mergeCell ref="G38:L38"/>
    <mergeCell ref="G49:L49"/>
  </mergeCells>
  <conditionalFormatting sqref="Q3:S10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6.75"/>
    <col customWidth="1" min="3" max="3" width="24.63"/>
  </cols>
  <sheetData>
    <row r="1">
      <c r="A1" s="1" t="s">
        <v>75</v>
      </c>
      <c r="D1" s="1" t="s">
        <v>76</v>
      </c>
    </row>
    <row r="2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</row>
    <row r="3">
      <c r="A3" s="1">
        <v>1.0</v>
      </c>
      <c r="B3" s="1">
        <v>70.0</v>
      </c>
      <c r="C3" s="1">
        <v>390.0</v>
      </c>
    </row>
    <row r="4">
      <c r="B4" s="1">
        <v>0.0</v>
      </c>
      <c r="C4" s="1">
        <v>340.0</v>
      </c>
    </row>
    <row r="5">
      <c r="B5" s="1">
        <v>56.0</v>
      </c>
      <c r="C5" s="1">
        <v>398.0</v>
      </c>
    </row>
    <row r="6">
      <c r="B6" s="1">
        <v>49.0</v>
      </c>
      <c r="C6" s="1">
        <v>350.0</v>
      </c>
      <c r="E6" s="1">
        <v>395.0</v>
      </c>
    </row>
    <row r="7">
      <c r="B7" s="1">
        <v>0.0</v>
      </c>
      <c r="C7" s="1">
        <v>0.0</v>
      </c>
    </row>
    <row r="8">
      <c r="A8" s="1" t="s">
        <v>83</v>
      </c>
    </row>
    <row r="9">
      <c r="C9" s="1">
        <v>240.0</v>
      </c>
      <c r="E9" s="1">
        <v>242.0</v>
      </c>
      <c r="G9" s="1" t="s">
        <v>84</v>
      </c>
      <c r="H9" s="41">
        <f>AVERAGE(C9:C15)</f>
        <v>198.5714286</v>
      </c>
      <c r="I9" s="41"/>
    </row>
    <row r="10">
      <c r="C10" s="1">
        <v>203.0</v>
      </c>
      <c r="E10" s="1">
        <v>214.0</v>
      </c>
      <c r="G10" s="1" t="s">
        <v>85</v>
      </c>
      <c r="H10" s="41">
        <f>STDEV(C9:C15)</f>
        <v>23.39413846</v>
      </c>
      <c r="I10" s="41"/>
    </row>
    <row r="11">
      <c r="C11" s="1">
        <v>190.0</v>
      </c>
      <c r="E11" s="1">
        <v>210.0</v>
      </c>
      <c r="H11" s="41"/>
      <c r="I11" s="41"/>
    </row>
    <row r="12">
      <c r="C12" s="1">
        <v>167.0</v>
      </c>
      <c r="E12" s="1">
        <v>180.0</v>
      </c>
      <c r="H12" s="41"/>
      <c r="I12" s="41"/>
    </row>
    <row r="13">
      <c r="C13" s="1">
        <v>200.0</v>
      </c>
      <c r="E13" s="1">
        <v>90.0</v>
      </c>
      <c r="H13" s="41"/>
      <c r="I13" s="41"/>
    </row>
    <row r="14">
      <c r="C14" s="1">
        <v>210.0</v>
      </c>
      <c r="E14" s="1">
        <v>220.0</v>
      </c>
      <c r="H14" s="41"/>
      <c r="I14" s="41"/>
    </row>
    <row r="15">
      <c r="C15" s="1">
        <v>180.0</v>
      </c>
      <c r="E15" s="1">
        <v>200.0</v>
      </c>
      <c r="H15" s="41"/>
      <c r="I15" s="41"/>
    </row>
    <row r="16">
      <c r="A16" s="1" t="s">
        <v>86</v>
      </c>
      <c r="H16" s="41"/>
      <c r="I16" s="41"/>
    </row>
    <row r="17">
      <c r="C17" s="1">
        <v>150.0</v>
      </c>
      <c r="G17" s="1" t="s">
        <v>84</v>
      </c>
      <c r="H17" s="41">
        <f>AVERAGE(C17:C20)</f>
        <v>111</v>
      </c>
      <c r="I17" s="41"/>
    </row>
    <row r="18">
      <c r="C18" s="1">
        <v>96.0</v>
      </c>
      <c r="G18" s="1" t="s">
        <v>85</v>
      </c>
      <c r="H18" s="41">
        <f>STDEV(C17:C20)</f>
        <v>27.05549852</v>
      </c>
      <c r="I18" s="41"/>
    </row>
    <row r="19">
      <c r="C19" s="1">
        <v>90.0</v>
      </c>
      <c r="H19" s="41"/>
      <c r="I19" s="41"/>
    </row>
    <row r="20">
      <c r="C20" s="1">
        <v>108.0</v>
      </c>
      <c r="H20" s="41"/>
      <c r="I20" s="42" t="s">
        <v>87</v>
      </c>
    </row>
    <row r="21">
      <c r="A21" s="1" t="s">
        <v>88</v>
      </c>
      <c r="G21" s="1" t="s">
        <v>84</v>
      </c>
      <c r="H21" s="41">
        <f>AVERAGE(C22:C24)</f>
        <v>341.6666667</v>
      </c>
      <c r="I21" s="41">
        <f t="shared" ref="I21:I22" si="1">H21/COS(RADIANS(57))</f>
        <v>627.3268067</v>
      </c>
    </row>
    <row r="22">
      <c r="C22" s="1">
        <v>420.0</v>
      </c>
      <c r="G22" s="1" t="s">
        <v>85</v>
      </c>
      <c r="H22" s="41">
        <f>STDEV(C22:C24)</f>
        <v>68.2519841</v>
      </c>
      <c r="I22" s="41">
        <f t="shared" si="1"/>
        <v>125.3159978</v>
      </c>
    </row>
    <row r="23">
      <c r="C23" s="1">
        <v>295.0</v>
      </c>
      <c r="H23" s="41"/>
      <c r="I23" s="41"/>
    </row>
    <row r="24">
      <c r="C24" s="1">
        <v>310.0</v>
      </c>
      <c r="H24" s="41"/>
      <c r="I24" s="41"/>
    </row>
    <row r="25">
      <c r="A25" s="1" t="s">
        <v>89</v>
      </c>
      <c r="H25" s="41"/>
      <c r="I25" s="41"/>
    </row>
    <row r="26">
      <c r="C26" s="1">
        <v>140.0</v>
      </c>
      <c r="E26" s="1">
        <v>114.0</v>
      </c>
      <c r="G26" s="1" t="s">
        <v>84</v>
      </c>
      <c r="H26" s="41">
        <f>AVERAGE(C26:C30)</f>
        <v>113.8</v>
      </c>
      <c r="I26" s="41">
        <f t="shared" ref="I26:I27" si="2">H26/COS(RADIANS(57))</f>
        <v>208.9457286</v>
      </c>
    </row>
    <row r="27">
      <c r="C27" s="1">
        <v>104.0</v>
      </c>
      <c r="E27" s="1">
        <v>0.0</v>
      </c>
      <c r="G27" s="1" t="s">
        <v>85</v>
      </c>
      <c r="H27" s="41">
        <f>STDEV(C26:C30)</f>
        <v>21.45227261</v>
      </c>
      <c r="I27" s="41">
        <f t="shared" si="2"/>
        <v>39.38805563</v>
      </c>
    </row>
    <row r="28">
      <c r="C28" s="1">
        <v>109.0</v>
      </c>
      <c r="E28" s="1">
        <v>0.0</v>
      </c>
      <c r="H28" s="41"/>
      <c r="I28" s="41"/>
    </row>
    <row r="29">
      <c r="C29" s="1">
        <v>86.0</v>
      </c>
      <c r="E29" s="1">
        <v>0.0</v>
      </c>
    </row>
    <row r="30">
      <c r="C30" s="1">
        <v>130.0</v>
      </c>
      <c r="E30" s="1">
        <v>0.0</v>
      </c>
    </row>
    <row r="32">
      <c r="C32" s="1" t="s">
        <v>48</v>
      </c>
      <c r="D32" s="41">
        <f>AVERAGE(H26,H21,H17,H9)</f>
        <v>191.2595238</v>
      </c>
    </row>
    <row r="33">
      <c r="C33" s="1" t="s">
        <v>90</v>
      </c>
      <c r="D33" s="2">
        <f>STDEV(C26:C30,C22:C24,C17:C20,C9:C15)</f>
        <v>87.690311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4" width="18.88"/>
    <col customWidth="1" min="5" max="5" width="14.75"/>
  </cols>
  <sheetData>
    <row r="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>
      <c r="A2" s="1" t="s">
        <v>96</v>
      </c>
      <c r="B2" s="1">
        <v>10.0</v>
      </c>
      <c r="C2" s="1">
        <v>5.0</v>
      </c>
      <c r="D2" s="1"/>
    </row>
    <row r="3">
      <c r="A3" s="1" t="s">
        <v>97</v>
      </c>
      <c r="C3" s="1">
        <v>1.0</v>
      </c>
      <c r="D3" s="1"/>
      <c r="E3" s="1" t="s">
        <v>98</v>
      </c>
    </row>
    <row r="4">
      <c r="A4" s="1" t="s">
        <v>99</v>
      </c>
      <c r="C4" s="2">
        <f>C38</f>
        <v>319.6363636</v>
      </c>
      <c r="D4" s="2">
        <f>C37</f>
        <v>130.322145</v>
      </c>
      <c r="F4" s="2">
        <f>5547-78-5000</f>
        <v>469</v>
      </c>
    </row>
    <row r="6">
      <c r="A6" s="12" t="s">
        <v>100</v>
      </c>
    </row>
    <row r="7">
      <c r="A7" s="1" t="s">
        <v>101</v>
      </c>
    </row>
    <row r="24">
      <c r="A24" s="1">
        <v>250.0</v>
      </c>
      <c r="C24" s="1">
        <f>AVERAGE(B25:B35)</f>
        <v>291.2727273</v>
      </c>
      <c r="D24" s="1"/>
      <c r="E24" s="1" t="s">
        <v>102</v>
      </c>
    </row>
    <row r="25">
      <c r="A25" s="1">
        <v>485.0</v>
      </c>
      <c r="B25" s="2">
        <f>A25-A24</f>
        <v>235</v>
      </c>
    </row>
    <row r="26">
      <c r="A26" s="1">
        <v>5688.0</v>
      </c>
      <c r="B26" s="2">
        <f t="shared" ref="B26:B35" si="1">A26-A25-5000</f>
        <v>203</v>
      </c>
    </row>
    <row r="27">
      <c r="A27" s="1">
        <v>10829.0</v>
      </c>
      <c r="B27" s="2">
        <f t="shared" si="1"/>
        <v>141</v>
      </c>
    </row>
    <row r="28">
      <c r="A28" s="1">
        <v>16157.0</v>
      </c>
      <c r="B28" s="2">
        <f t="shared" si="1"/>
        <v>328</v>
      </c>
    </row>
    <row r="29">
      <c r="A29" s="1">
        <v>21454.0</v>
      </c>
      <c r="B29" s="2">
        <f t="shared" si="1"/>
        <v>297</v>
      </c>
    </row>
    <row r="30">
      <c r="A30" s="1">
        <v>26719.0</v>
      </c>
      <c r="B30" s="2">
        <f t="shared" si="1"/>
        <v>265</v>
      </c>
    </row>
    <row r="31">
      <c r="A31" s="1">
        <v>32172.0</v>
      </c>
      <c r="B31" s="2">
        <f t="shared" si="1"/>
        <v>453</v>
      </c>
    </row>
    <row r="32">
      <c r="A32" s="1">
        <v>37516.0</v>
      </c>
      <c r="B32" s="2">
        <f t="shared" si="1"/>
        <v>344</v>
      </c>
    </row>
    <row r="33">
      <c r="A33" s="1">
        <v>42797.0</v>
      </c>
      <c r="B33" s="2">
        <f t="shared" si="1"/>
        <v>281</v>
      </c>
    </row>
    <row r="34">
      <c r="A34" s="1">
        <v>48313.0</v>
      </c>
      <c r="B34" s="2">
        <f t="shared" si="1"/>
        <v>516</v>
      </c>
    </row>
    <row r="35">
      <c r="A35" s="1">
        <v>53454.0</v>
      </c>
      <c r="B35" s="2">
        <f t="shared" si="1"/>
        <v>141</v>
      </c>
    </row>
    <row r="36">
      <c r="A36" s="1">
        <v>47.0</v>
      </c>
      <c r="C36" s="1">
        <f>AVERAGE(B37:B47)</f>
        <v>348</v>
      </c>
      <c r="D36" s="1"/>
      <c r="E36" s="1" t="s">
        <v>103</v>
      </c>
    </row>
    <row r="37">
      <c r="A37" s="1">
        <v>344.0</v>
      </c>
      <c r="B37" s="2">
        <f>A37-A36</f>
        <v>297</v>
      </c>
      <c r="C37" s="2">
        <f>STDEV(B25:B47)</f>
        <v>130.322145</v>
      </c>
    </row>
    <row r="38">
      <c r="A38" s="1">
        <v>5688.0</v>
      </c>
      <c r="B38" s="2">
        <f t="shared" ref="B38:B47" si="2">A38-A37-5000</f>
        <v>344</v>
      </c>
      <c r="C38" s="2">
        <f>AVERAGE(B25:B47)</f>
        <v>319.6363636</v>
      </c>
    </row>
    <row r="39">
      <c r="A39" s="1">
        <v>11156.0</v>
      </c>
      <c r="B39" s="2">
        <f t="shared" si="2"/>
        <v>468</v>
      </c>
    </row>
    <row r="40">
      <c r="A40" s="1">
        <v>16438.0</v>
      </c>
      <c r="B40" s="2">
        <f t="shared" si="2"/>
        <v>282</v>
      </c>
    </row>
    <row r="41">
      <c r="A41" s="1">
        <v>21516.0</v>
      </c>
      <c r="B41" s="2">
        <f t="shared" si="2"/>
        <v>78</v>
      </c>
    </row>
    <row r="42">
      <c r="A42" s="1">
        <v>27031.0</v>
      </c>
      <c r="B42" s="2">
        <f t="shared" si="2"/>
        <v>515</v>
      </c>
    </row>
    <row r="43">
      <c r="A43" s="1">
        <v>32563.0</v>
      </c>
      <c r="B43" s="2">
        <f t="shared" si="2"/>
        <v>532</v>
      </c>
    </row>
    <row r="44">
      <c r="A44" s="1">
        <v>38063.0</v>
      </c>
      <c r="B44" s="2">
        <f t="shared" si="2"/>
        <v>500</v>
      </c>
    </row>
    <row r="45">
      <c r="A45" s="1">
        <v>43360.0</v>
      </c>
      <c r="B45" s="2">
        <f t="shared" si="2"/>
        <v>297</v>
      </c>
    </row>
    <row r="46">
      <c r="A46" s="1">
        <v>48578.0</v>
      </c>
      <c r="B46" s="2">
        <f t="shared" si="2"/>
        <v>218</v>
      </c>
    </row>
    <row r="47">
      <c r="A47" s="1">
        <v>53875.0</v>
      </c>
      <c r="B47" s="2">
        <f t="shared" si="2"/>
        <v>297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25"/>
    <col customWidth="1" min="11" max="11" width="19.75"/>
    <col customWidth="1" min="12" max="12" width="28.38"/>
    <col customWidth="1" min="13" max="13" width="28.0"/>
  </cols>
  <sheetData>
    <row r="2">
      <c r="A2" s="12" t="s">
        <v>104</v>
      </c>
      <c r="B2" s="12" t="s">
        <v>105</v>
      </c>
      <c r="C2" s="12" t="s">
        <v>106</v>
      </c>
      <c r="D2" s="12" t="s">
        <v>107</v>
      </c>
      <c r="E2" s="1" t="s">
        <v>108</v>
      </c>
      <c r="F2" s="1" t="s">
        <v>109</v>
      </c>
      <c r="G2" s="1" t="s">
        <v>81</v>
      </c>
      <c r="H2" s="1" t="s">
        <v>110</v>
      </c>
      <c r="I2" s="1" t="s">
        <v>82</v>
      </c>
      <c r="J2" s="1" t="s">
        <v>111</v>
      </c>
      <c r="K2" s="1" t="s">
        <v>112</v>
      </c>
    </row>
    <row r="3">
      <c r="A3" s="1" t="s">
        <v>113</v>
      </c>
      <c r="B3" s="1" t="s">
        <v>108</v>
      </c>
      <c r="C3" s="1">
        <v>1630.0</v>
      </c>
      <c r="D3" s="1">
        <v>724.0</v>
      </c>
      <c r="E3" s="2">
        <f t="shared" ref="E3:E54" si="1">IF(B3="middle",C3,"")</f>
        <v>1630</v>
      </c>
      <c r="F3" s="2">
        <f t="shared" ref="F3:F10" si="2">E3-D3</f>
        <v>906</v>
      </c>
      <c r="G3" s="2" t="str">
        <f t="shared" ref="G3:G54" si="3">IF(B3="distal",C3,"")</f>
        <v/>
      </c>
      <c r="I3" s="2" t="str">
        <f t="shared" ref="I3:I54" si="4">IF(B3="tip",C3,"")</f>
        <v/>
      </c>
    </row>
    <row r="4">
      <c r="A4" s="1" t="s">
        <v>113</v>
      </c>
      <c r="B4" s="1" t="s">
        <v>108</v>
      </c>
      <c r="C4" s="1">
        <v>1500.0</v>
      </c>
      <c r="D4" s="1">
        <v>724.0</v>
      </c>
      <c r="E4" s="2">
        <f t="shared" si="1"/>
        <v>1500</v>
      </c>
      <c r="F4" s="2">
        <f t="shared" si="2"/>
        <v>776</v>
      </c>
      <c r="G4" s="2" t="str">
        <f t="shared" si="3"/>
        <v/>
      </c>
      <c r="I4" s="2" t="str">
        <f t="shared" si="4"/>
        <v/>
      </c>
    </row>
    <row r="5">
      <c r="A5" s="1" t="s">
        <v>113</v>
      </c>
      <c r="B5" s="1" t="s">
        <v>108</v>
      </c>
      <c r="C5" s="1">
        <v>960.0</v>
      </c>
      <c r="D5" s="1">
        <v>724.0</v>
      </c>
      <c r="E5" s="2">
        <f t="shared" si="1"/>
        <v>960</v>
      </c>
      <c r="F5" s="2">
        <f t="shared" si="2"/>
        <v>236</v>
      </c>
      <c r="G5" s="2" t="str">
        <f t="shared" si="3"/>
        <v/>
      </c>
      <c r="I5" s="2" t="str">
        <f t="shared" si="4"/>
        <v/>
      </c>
    </row>
    <row r="6">
      <c r="A6" s="1" t="s">
        <v>113</v>
      </c>
      <c r="B6" s="1" t="s">
        <v>108</v>
      </c>
      <c r="C6" s="1">
        <v>1230.0</v>
      </c>
      <c r="D6" s="1">
        <v>724.0</v>
      </c>
      <c r="E6" s="2">
        <f t="shared" si="1"/>
        <v>1230</v>
      </c>
      <c r="F6" s="2">
        <f t="shared" si="2"/>
        <v>506</v>
      </c>
      <c r="G6" s="2" t="str">
        <f t="shared" si="3"/>
        <v/>
      </c>
      <c r="I6" s="2" t="str">
        <f t="shared" si="4"/>
        <v/>
      </c>
    </row>
    <row r="7">
      <c r="A7" s="1" t="s">
        <v>114</v>
      </c>
      <c r="B7" s="1" t="s">
        <v>108</v>
      </c>
      <c r="C7" s="1">
        <v>1900.0</v>
      </c>
      <c r="D7" s="1">
        <v>724.0</v>
      </c>
      <c r="E7" s="2">
        <f t="shared" si="1"/>
        <v>1900</v>
      </c>
      <c r="F7" s="2">
        <f t="shared" si="2"/>
        <v>1176</v>
      </c>
      <c r="G7" s="2" t="str">
        <f t="shared" si="3"/>
        <v/>
      </c>
      <c r="I7" s="2" t="str">
        <f t="shared" si="4"/>
        <v/>
      </c>
    </row>
    <row r="8">
      <c r="A8" s="1" t="s">
        <v>114</v>
      </c>
      <c r="B8" s="1" t="s">
        <v>108</v>
      </c>
      <c r="C8" s="1">
        <v>1909.0</v>
      </c>
      <c r="D8" s="1">
        <v>724.0</v>
      </c>
      <c r="E8" s="2">
        <f t="shared" si="1"/>
        <v>1909</v>
      </c>
      <c r="F8" s="2">
        <f t="shared" si="2"/>
        <v>1185</v>
      </c>
      <c r="G8" s="2" t="str">
        <f t="shared" si="3"/>
        <v/>
      </c>
      <c r="I8" s="2" t="str">
        <f t="shared" si="4"/>
        <v/>
      </c>
    </row>
    <row r="9">
      <c r="A9" s="1" t="s">
        <v>115</v>
      </c>
      <c r="B9" s="1" t="s">
        <v>108</v>
      </c>
      <c r="C9" s="1">
        <v>1900.0</v>
      </c>
      <c r="D9" s="1">
        <v>724.0</v>
      </c>
      <c r="E9" s="2">
        <f t="shared" si="1"/>
        <v>1900</v>
      </c>
      <c r="F9" s="2">
        <f t="shared" si="2"/>
        <v>1176</v>
      </c>
      <c r="G9" s="2" t="str">
        <f t="shared" si="3"/>
        <v/>
      </c>
      <c r="I9" s="2" t="str">
        <f t="shared" si="4"/>
        <v/>
      </c>
    </row>
    <row r="10">
      <c r="A10" s="1" t="s">
        <v>115</v>
      </c>
      <c r="B10" s="1" t="s">
        <v>108</v>
      </c>
      <c r="C10" s="1">
        <v>2530.0</v>
      </c>
      <c r="D10" s="1">
        <v>724.0</v>
      </c>
      <c r="E10" s="2">
        <f t="shared" si="1"/>
        <v>2530</v>
      </c>
      <c r="F10" s="2">
        <f t="shared" si="2"/>
        <v>1806</v>
      </c>
      <c r="G10" s="2" t="str">
        <f t="shared" si="3"/>
        <v/>
      </c>
      <c r="I10" s="2" t="str">
        <f t="shared" si="4"/>
        <v/>
      </c>
    </row>
    <row r="11">
      <c r="A11" s="1" t="s">
        <v>114</v>
      </c>
      <c r="B11" s="1" t="s">
        <v>81</v>
      </c>
      <c r="C11" s="1">
        <v>620.0</v>
      </c>
      <c r="D11" s="1">
        <v>724.0</v>
      </c>
      <c r="E11" s="2" t="str">
        <f t="shared" si="1"/>
        <v/>
      </c>
      <c r="G11" s="2">
        <f t="shared" si="3"/>
        <v>620</v>
      </c>
      <c r="H11" s="2">
        <f t="shared" ref="H11:H14" si="5">D11-G11</f>
        <v>104</v>
      </c>
      <c r="I11" s="2" t="str">
        <f t="shared" si="4"/>
        <v/>
      </c>
    </row>
    <row r="12">
      <c r="A12" s="1" t="s">
        <v>114</v>
      </c>
      <c r="B12" s="1" t="s">
        <v>81</v>
      </c>
      <c r="C12" s="1">
        <v>700.0</v>
      </c>
      <c r="D12" s="1">
        <v>724.0</v>
      </c>
      <c r="E12" s="2" t="str">
        <f t="shared" si="1"/>
        <v/>
      </c>
      <c r="G12" s="2">
        <f t="shared" si="3"/>
        <v>700</v>
      </c>
      <c r="H12" s="2">
        <f t="shared" si="5"/>
        <v>24</v>
      </c>
      <c r="I12" s="2" t="str">
        <f t="shared" si="4"/>
        <v/>
      </c>
    </row>
    <row r="13">
      <c r="A13" s="1" t="s">
        <v>115</v>
      </c>
      <c r="B13" s="1" t="s">
        <v>81</v>
      </c>
      <c r="C13" s="1">
        <v>900.0</v>
      </c>
      <c r="D13" s="1">
        <v>724.0</v>
      </c>
      <c r="E13" s="2" t="str">
        <f t="shared" si="1"/>
        <v/>
      </c>
      <c r="G13" s="2">
        <f t="shared" si="3"/>
        <v>900</v>
      </c>
      <c r="H13" s="2">
        <f t="shared" si="5"/>
        <v>-176</v>
      </c>
      <c r="I13" s="2" t="str">
        <f t="shared" si="4"/>
        <v/>
      </c>
    </row>
    <row r="14">
      <c r="A14" s="1" t="s">
        <v>115</v>
      </c>
      <c r="B14" s="1" t="s">
        <v>81</v>
      </c>
      <c r="C14" s="1">
        <v>820.0</v>
      </c>
      <c r="D14" s="1">
        <v>724.0</v>
      </c>
      <c r="E14" s="2" t="str">
        <f t="shared" si="1"/>
        <v/>
      </c>
      <c r="G14" s="2">
        <f t="shared" si="3"/>
        <v>820</v>
      </c>
      <c r="H14" s="2">
        <f t="shared" si="5"/>
        <v>-96</v>
      </c>
      <c r="I14" s="2" t="str">
        <f t="shared" si="4"/>
        <v/>
      </c>
    </row>
    <row r="15">
      <c r="A15" s="1" t="s">
        <v>114</v>
      </c>
      <c r="B15" s="1" t="s">
        <v>82</v>
      </c>
      <c r="C15" s="1">
        <v>430.0</v>
      </c>
      <c r="D15" s="1">
        <v>724.0</v>
      </c>
      <c r="E15" s="2" t="str">
        <f t="shared" si="1"/>
        <v/>
      </c>
      <c r="G15" s="2" t="str">
        <f t="shared" si="3"/>
        <v/>
      </c>
      <c r="I15" s="2">
        <f t="shared" si="4"/>
        <v>430</v>
      </c>
      <c r="J15" s="2">
        <f t="shared" ref="J15:J18" si="6">I15-D15</f>
        <v>-294</v>
      </c>
    </row>
    <row r="16">
      <c r="A16" s="1" t="s">
        <v>114</v>
      </c>
      <c r="B16" s="1" t="s">
        <v>82</v>
      </c>
      <c r="C16" s="1">
        <v>470.0</v>
      </c>
      <c r="D16" s="1">
        <v>724.0</v>
      </c>
      <c r="E16" s="2" t="str">
        <f t="shared" si="1"/>
        <v/>
      </c>
      <c r="G16" s="2" t="str">
        <f t="shared" si="3"/>
        <v/>
      </c>
      <c r="I16" s="2">
        <f t="shared" si="4"/>
        <v>470</v>
      </c>
      <c r="J16" s="2">
        <f t="shared" si="6"/>
        <v>-254</v>
      </c>
    </row>
    <row r="17">
      <c r="A17" s="1" t="s">
        <v>115</v>
      </c>
      <c r="B17" s="1" t="s">
        <v>82</v>
      </c>
      <c r="C17" s="1">
        <v>1150.0</v>
      </c>
      <c r="D17" s="1">
        <v>724.0</v>
      </c>
      <c r="E17" s="2" t="str">
        <f t="shared" si="1"/>
        <v/>
      </c>
      <c r="G17" s="2" t="str">
        <f t="shared" si="3"/>
        <v/>
      </c>
      <c r="I17" s="2">
        <f t="shared" si="4"/>
        <v>1150</v>
      </c>
      <c r="J17" s="2">
        <f t="shared" si="6"/>
        <v>426</v>
      </c>
    </row>
    <row r="18">
      <c r="A18" s="1" t="s">
        <v>115</v>
      </c>
      <c r="B18" s="1" t="s">
        <v>82</v>
      </c>
      <c r="C18" s="1">
        <v>800.0</v>
      </c>
      <c r="D18" s="1">
        <v>724.0</v>
      </c>
      <c r="E18" s="2" t="str">
        <f t="shared" si="1"/>
        <v/>
      </c>
      <c r="G18" s="2" t="str">
        <f t="shared" si="3"/>
        <v/>
      </c>
      <c r="I18" s="2">
        <f t="shared" si="4"/>
        <v>800</v>
      </c>
      <c r="J18" s="2">
        <f t="shared" si="6"/>
        <v>76</v>
      </c>
    </row>
    <row r="19">
      <c r="A19" s="1" t="s">
        <v>114</v>
      </c>
      <c r="B19" s="1" t="s">
        <v>108</v>
      </c>
      <c r="C19" s="1">
        <v>1330.0</v>
      </c>
      <c r="D19" s="1">
        <v>374.0</v>
      </c>
      <c r="E19" s="2">
        <f t="shared" si="1"/>
        <v>1330</v>
      </c>
      <c r="F19" s="2">
        <f t="shared" ref="F19:F22" si="7">E19-D19</f>
        <v>956</v>
      </c>
      <c r="G19" s="2" t="str">
        <f t="shared" si="3"/>
        <v/>
      </c>
      <c r="I19" s="2" t="str">
        <f t="shared" si="4"/>
        <v/>
      </c>
    </row>
    <row r="20">
      <c r="A20" s="1" t="s">
        <v>114</v>
      </c>
      <c r="B20" s="1" t="s">
        <v>108</v>
      </c>
      <c r="C20" s="1">
        <v>1230.0</v>
      </c>
      <c r="D20" s="1">
        <v>374.0</v>
      </c>
      <c r="E20" s="2">
        <f t="shared" si="1"/>
        <v>1230</v>
      </c>
      <c r="F20" s="2">
        <f t="shared" si="7"/>
        <v>856</v>
      </c>
      <c r="G20" s="2" t="str">
        <f t="shared" si="3"/>
        <v/>
      </c>
      <c r="I20" s="2" t="str">
        <f t="shared" si="4"/>
        <v/>
      </c>
    </row>
    <row r="21">
      <c r="A21" s="1" t="s">
        <v>115</v>
      </c>
      <c r="B21" s="1" t="s">
        <v>108</v>
      </c>
      <c r="C21" s="1">
        <v>1630.0</v>
      </c>
      <c r="D21" s="1">
        <v>374.0</v>
      </c>
      <c r="E21" s="2">
        <f t="shared" si="1"/>
        <v>1630</v>
      </c>
      <c r="F21" s="2">
        <f t="shared" si="7"/>
        <v>1256</v>
      </c>
      <c r="G21" s="2" t="str">
        <f t="shared" si="3"/>
        <v/>
      </c>
      <c r="I21" s="2" t="str">
        <f t="shared" si="4"/>
        <v/>
      </c>
    </row>
    <row r="22">
      <c r="A22" s="1" t="s">
        <v>115</v>
      </c>
      <c r="B22" s="1" t="s">
        <v>108</v>
      </c>
      <c r="C22" s="1">
        <v>1100.0</v>
      </c>
      <c r="D22" s="1">
        <v>374.0</v>
      </c>
      <c r="E22" s="2">
        <f t="shared" si="1"/>
        <v>1100</v>
      </c>
      <c r="F22" s="2">
        <f t="shared" si="7"/>
        <v>726</v>
      </c>
      <c r="G22" s="2" t="str">
        <f t="shared" si="3"/>
        <v/>
      </c>
      <c r="I22" s="2" t="str">
        <f t="shared" si="4"/>
        <v/>
      </c>
    </row>
    <row r="23">
      <c r="A23" s="1" t="s">
        <v>114</v>
      </c>
      <c r="B23" s="1" t="s">
        <v>81</v>
      </c>
      <c r="C23" s="1">
        <v>387.0</v>
      </c>
      <c r="D23" s="1">
        <v>374.0</v>
      </c>
      <c r="E23" s="2" t="str">
        <f t="shared" si="1"/>
        <v/>
      </c>
      <c r="G23" s="2">
        <f t="shared" si="3"/>
        <v>387</v>
      </c>
      <c r="H23" s="2">
        <f t="shared" ref="H23:H26" si="8">D23-G23</f>
        <v>-13</v>
      </c>
      <c r="I23" s="2" t="str">
        <f t="shared" si="4"/>
        <v/>
      </c>
    </row>
    <row r="24">
      <c r="A24" s="1" t="s">
        <v>114</v>
      </c>
      <c r="B24" s="1" t="s">
        <v>81</v>
      </c>
      <c r="C24" s="1">
        <v>360.0</v>
      </c>
      <c r="D24" s="1">
        <v>374.0</v>
      </c>
      <c r="E24" s="2" t="str">
        <f t="shared" si="1"/>
        <v/>
      </c>
      <c r="G24" s="2">
        <f t="shared" si="3"/>
        <v>360</v>
      </c>
      <c r="H24" s="2">
        <f t="shared" si="8"/>
        <v>14</v>
      </c>
      <c r="I24" s="2" t="str">
        <f t="shared" si="4"/>
        <v/>
      </c>
    </row>
    <row r="25">
      <c r="A25" s="1" t="s">
        <v>115</v>
      </c>
      <c r="B25" s="1" t="s">
        <v>81</v>
      </c>
      <c r="C25" s="1">
        <v>380.0</v>
      </c>
      <c r="D25" s="1">
        <v>374.0</v>
      </c>
      <c r="E25" s="2" t="str">
        <f t="shared" si="1"/>
        <v/>
      </c>
      <c r="G25" s="2">
        <f t="shared" si="3"/>
        <v>380</v>
      </c>
      <c r="H25" s="2">
        <f t="shared" si="8"/>
        <v>-6</v>
      </c>
      <c r="I25" s="2" t="str">
        <f t="shared" si="4"/>
        <v/>
      </c>
    </row>
    <row r="26">
      <c r="A26" s="1" t="s">
        <v>115</v>
      </c>
      <c r="B26" s="1" t="s">
        <v>81</v>
      </c>
      <c r="C26" s="1">
        <v>500.0</v>
      </c>
      <c r="D26" s="1">
        <v>374.0</v>
      </c>
      <c r="E26" s="2" t="str">
        <f t="shared" si="1"/>
        <v/>
      </c>
      <c r="G26" s="2">
        <f t="shared" si="3"/>
        <v>500</v>
      </c>
      <c r="H26" s="2">
        <f t="shared" si="8"/>
        <v>-126</v>
      </c>
      <c r="I26" s="2" t="str">
        <f t="shared" si="4"/>
        <v/>
      </c>
    </row>
    <row r="27">
      <c r="A27" s="1" t="s">
        <v>114</v>
      </c>
      <c r="B27" s="1" t="s">
        <v>82</v>
      </c>
      <c r="C27" s="1">
        <v>270.0</v>
      </c>
      <c r="D27" s="1">
        <v>374.0</v>
      </c>
      <c r="E27" s="2" t="str">
        <f t="shared" si="1"/>
        <v/>
      </c>
      <c r="G27" s="2" t="str">
        <f t="shared" si="3"/>
        <v/>
      </c>
      <c r="I27" s="2">
        <f t="shared" si="4"/>
        <v>270</v>
      </c>
      <c r="J27" s="2">
        <f t="shared" ref="J27:J30" si="9">I27-D27</f>
        <v>-104</v>
      </c>
    </row>
    <row r="28">
      <c r="A28" s="1" t="s">
        <v>114</v>
      </c>
      <c r="B28" s="1" t="s">
        <v>82</v>
      </c>
      <c r="C28" s="1">
        <v>280.0</v>
      </c>
      <c r="D28" s="1">
        <v>374.0</v>
      </c>
      <c r="E28" s="2" t="str">
        <f t="shared" si="1"/>
        <v/>
      </c>
      <c r="G28" s="2" t="str">
        <f t="shared" si="3"/>
        <v/>
      </c>
      <c r="I28" s="2">
        <f t="shared" si="4"/>
        <v>280</v>
      </c>
      <c r="J28" s="2">
        <f t="shared" si="9"/>
        <v>-94</v>
      </c>
    </row>
    <row r="29">
      <c r="A29" s="1" t="s">
        <v>115</v>
      </c>
      <c r="B29" s="1" t="s">
        <v>82</v>
      </c>
      <c r="C29" s="1">
        <v>480.0</v>
      </c>
      <c r="D29" s="1">
        <v>374.0</v>
      </c>
      <c r="E29" s="2" t="str">
        <f t="shared" si="1"/>
        <v/>
      </c>
      <c r="G29" s="2" t="str">
        <f t="shared" si="3"/>
        <v/>
      </c>
      <c r="I29" s="2">
        <f t="shared" si="4"/>
        <v>480</v>
      </c>
      <c r="J29" s="2">
        <f t="shared" si="9"/>
        <v>106</v>
      </c>
    </row>
    <row r="30">
      <c r="A30" s="1" t="s">
        <v>115</v>
      </c>
      <c r="B30" s="1" t="s">
        <v>82</v>
      </c>
      <c r="C30" s="1">
        <v>450.0</v>
      </c>
      <c r="D30" s="1">
        <v>374.0</v>
      </c>
      <c r="E30" s="2" t="str">
        <f t="shared" si="1"/>
        <v/>
      </c>
      <c r="G30" s="2" t="str">
        <f t="shared" si="3"/>
        <v/>
      </c>
      <c r="I30" s="2">
        <f t="shared" si="4"/>
        <v>450</v>
      </c>
      <c r="J30" s="2">
        <f t="shared" si="9"/>
        <v>76</v>
      </c>
    </row>
    <row r="31">
      <c r="A31" s="1" t="s">
        <v>114</v>
      </c>
      <c r="B31" s="1" t="s">
        <v>108</v>
      </c>
      <c r="C31" s="1">
        <v>764.0</v>
      </c>
      <c r="D31" s="1">
        <v>219.0</v>
      </c>
      <c r="E31" s="2">
        <f t="shared" si="1"/>
        <v>764</v>
      </c>
      <c r="F31" s="2">
        <f t="shared" ref="F31:F34" si="10">E31-D31</f>
        <v>545</v>
      </c>
      <c r="G31" s="2" t="str">
        <f t="shared" si="3"/>
        <v/>
      </c>
      <c r="I31" s="2" t="str">
        <f t="shared" si="4"/>
        <v/>
      </c>
    </row>
    <row r="32">
      <c r="A32" s="1" t="s">
        <v>114</v>
      </c>
      <c r="B32" s="1" t="s">
        <v>108</v>
      </c>
      <c r="C32" s="1">
        <v>751.0</v>
      </c>
      <c r="D32" s="1">
        <v>219.0</v>
      </c>
      <c r="E32" s="2">
        <f t="shared" si="1"/>
        <v>751</v>
      </c>
      <c r="F32" s="2">
        <f t="shared" si="10"/>
        <v>532</v>
      </c>
      <c r="G32" s="2" t="str">
        <f t="shared" si="3"/>
        <v/>
      </c>
      <c r="I32" s="2" t="str">
        <f t="shared" si="4"/>
        <v/>
      </c>
    </row>
    <row r="33">
      <c r="A33" s="1" t="s">
        <v>115</v>
      </c>
      <c r="B33" s="1" t="s">
        <v>108</v>
      </c>
      <c r="C33" s="1">
        <v>874.0</v>
      </c>
      <c r="D33" s="1">
        <v>219.0</v>
      </c>
      <c r="E33" s="2">
        <f t="shared" si="1"/>
        <v>874</v>
      </c>
      <c r="F33" s="2">
        <f t="shared" si="10"/>
        <v>655</v>
      </c>
      <c r="G33" s="2" t="str">
        <f t="shared" si="3"/>
        <v/>
      </c>
      <c r="I33" s="2" t="str">
        <f t="shared" si="4"/>
        <v/>
      </c>
    </row>
    <row r="34">
      <c r="A34" s="1" t="s">
        <v>115</v>
      </c>
      <c r="B34" s="1" t="s">
        <v>108</v>
      </c>
      <c r="C34" s="1">
        <v>914.0</v>
      </c>
      <c r="D34" s="1">
        <v>219.0</v>
      </c>
      <c r="E34" s="2">
        <f t="shared" si="1"/>
        <v>914</v>
      </c>
      <c r="F34" s="2">
        <f t="shared" si="10"/>
        <v>695</v>
      </c>
      <c r="G34" s="2" t="str">
        <f t="shared" si="3"/>
        <v/>
      </c>
      <c r="I34" s="2" t="str">
        <f t="shared" si="4"/>
        <v/>
      </c>
    </row>
    <row r="35">
      <c r="A35" s="1" t="s">
        <v>114</v>
      </c>
      <c r="B35" s="1" t="s">
        <v>81</v>
      </c>
      <c r="C35" s="1">
        <v>175.0</v>
      </c>
      <c r="D35" s="1">
        <v>219.0</v>
      </c>
      <c r="E35" s="2" t="str">
        <f t="shared" si="1"/>
        <v/>
      </c>
      <c r="G35" s="2">
        <f t="shared" si="3"/>
        <v>175</v>
      </c>
      <c r="H35" s="2">
        <f t="shared" ref="H35:H38" si="11">D35-G35</f>
        <v>44</v>
      </c>
      <c r="I35" s="2" t="str">
        <f t="shared" si="4"/>
        <v/>
      </c>
    </row>
    <row r="36">
      <c r="A36" s="1" t="s">
        <v>114</v>
      </c>
      <c r="B36" s="1" t="s">
        <v>81</v>
      </c>
      <c r="C36" s="1">
        <v>137.0</v>
      </c>
      <c r="D36" s="1">
        <v>219.0</v>
      </c>
      <c r="E36" s="2" t="str">
        <f t="shared" si="1"/>
        <v/>
      </c>
      <c r="G36" s="2">
        <f t="shared" si="3"/>
        <v>137</v>
      </c>
      <c r="H36" s="2">
        <f t="shared" si="11"/>
        <v>82</v>
      </c>
      <c r="I36" s="2" t="str">
        <f t="shared" si="4"/>
        <v/>
      </c>
    </row>
    <row r="37">
      <c r="A37" s="1" t="s">
        <v>115</v>
      </c>
      <c r="B37" s="1" t="s">
        <v>81</v>
      </c>
      <c r="C37" s="1">
        <v>284.0</v>
      </c>
      <c r="D37" s="1">
        <v>219.0</v>
      </c>
      <c r="E37" s="2" t="str">
        <f t="shared" si="1"/>
        <v/>
      </c>
      <c r="G37" s="2">
        <f t="shared" si="3"/>
        <v>284</v>
      </c>
      <c r="H37" s="2">
        <f t="shared" si="11"/>
        <v>-65</v>
      </c>
      <c r="I37" s="2" t="str">
        <f t="shared" si="4"/>
        <v/>
      </c>
    </row>
    <row r="38">
      <c r="A38" s="1" t="s">
        <v>115</v>
      </c>
      <c r="B38" s="1" t="s">
        <v>81</v>
      </c>
      <c r="C38" s="1">
        <v>241.0</v>
      </c>
      <c r="D38" s="1">
        <v>219.0</v>
      </c>
      <c r="E38" s="2" t="str">
        <f t="shared" si="1"/>
        <v/>
      </c>
      <c r="G38" s="2">
        <f t="shared" si="3"/>
        <v>241</v>
      </c>
      <c r="H38" s="2">
        <f t="shared" si="11"/>
        <v>-22</v>
      </c>
      <c r="I38" s="2" t="str">
        <f t="shared" si="4"/>
        <v/>
      </c>
    </row>
    <row r="39">
      <c r="A39" s="1" t="s">
        <v>114</v>
      </c>
      <c r="B39" s="1" t="s">
        <v>82</v>
      </c>
      <c r="C39" s="1">
        <v>137.0</v>
      </c>
      <c r="D39" s="1">
        <v>219.0</v>
      </c>
      <c r="E39" s="2" t="str">
        <f t="shared" si="1"/>
        <v/>
      </c>
      <c r="G39" s="2" t="str">
        <f t="shared" si="3"/>
        <v/>
      </c>
      <c r="I39" s="2">
        <f t="shared" si="4"/>
        <v>137</v>
      </c>
      <c r="J39" s="2">
        <f t="shared" ref="J39:J42" si="12">I39-D39</f>
        <v>-82</v>
      </c>
    </row>
    <row r="40">
      <c r="A40" s="1" t="s">
        <v>114</v>
      </c>
      <c r="B40" s="1" t="s">
        <v>82</v>
      </c>
      <c r="C40" s="1">
        <v>165.0</v>
      </c>
      <c r="D40" s="1">
        <v>219.0</v>
      </c>
      <c r="E40" s="2" t="str">
        <f t="shared" si="1"/>
        <v/>
      </c>
      <c r="G40" s="2" t="str">
        <f t="shared" si="3"/>
        <v/>
      </c>
      <c r="I40" s="2">
        <f t="shared" si="4"/>
        <v>165</v>
      </c>
      <c r="J40" s="2">
        <f t="shared" si="12"/>
        <v>-54</v>
      </c>
    </row>
    <row r="41">
      <c r="A41" s="1" t="s">
        <v>115</v>
      </c>
      <c r="B41" s="1" t="s">
        <v>82</v>
      </c>
      <c r="C41" s="1">
        <v>226.0</v>
      </c>
      <c r="D41" s="1">
        <v>219.0</v>
      </c>
      <c r="E41" s="2" t="str">
        <f t="shared" si="1"/>
        <v/>
      </c>
      <c r="G41" s="2" t="str">
        <f t="shared" si="3"/>
        <v/>
      </c>
      <c r="I41" s="2">
        <f t="shared" si="4"/>
        <v>226</v>
      </c>
      <c r="J41" s="2">
        <f t="shared" si="12"/>
        <v>7</v>
      </c>
    </row>
    <row r="42">
      <c r="A42" s="1" t="s">
        <v>115</v>
      </c>
      <c r="B42" s="1" t="s">
        <v>82</v>
      </c>
      <c r="C42" s="1">
        <v>226.0</v>
      </c>
      <c r="D42" s="1">
        <v>219.0</v>
      </c>
      <c r="E42" s="2" t="str">
        <f t="shared" si="1"/>
        <v/>
      </c>
      <c r="G42" s="2" t="str">
        <f t="shared" si="3"/>
        <v/>
      </c>
      <c r="I42" s="2">
        <f t="shared" si="4"/>
        <v>226</v>
      </c>
      <c r="J42" s="2">
        <f t="shared" si="12"/>
        <v>7</v>
      </c>
    </row>
    <row r="43">
      <c r="A43" s="1" t="s">
        <v>114</v>
      </c>
      <c r="B43" s="1" t="s">
        <v>108</v>
      </c>
      <c r="C43" s="1">
        <v>650.0</v>
      </c>
      <c r="D43" s="1">
        <v>147.0</v>
      </c>
      <c r="E43" s="2">
        <f t="shared" si="1"/>
        <v>650</v>
      </c>
      <c r="F43" s="2">
        <f t="shared" ref="F43:F46" si="13">E43-D43</f>
        <v>503</v>
      </c>
      <c r="G43" s="2" t="str">
        <f t="shared" si="3"/>
        <v/>
      </c>
      <c r="I43" s="2" t="str">
        <f t="shared" si="4"/>
        <v/>
      </c>
    </row>
    <row r="44">
      <c r="A44" s="1" t="s">
        <v>114</v>
      </c>
      <c r="B44" s="1" t="s">
        <v>108</v>
      </c>
      <c r="C44" s="1">
        <v>637.0</v>
      </c>
      <c r="D44" s="1">
        <v>147.0</v>
      </c>
      <c r="E44" s="2">
        <f t="shared" si="1"/>
        <v>637</v>
      </c>
      <c r="F44" s="2">
        <f t="shared" si="13"/>
        <v>490</v>
      </c>
      <c r="G44" s="2" t="str">
        <f t="shared" si="3"/>
        <v/>
      </c>
      <c r="I44" s="2" t="str">
        <f t="shared" si="4"/>
        <v/>
      </c>
    </row>
    <row r="45">
      <c r="A45" s="1" t="s">
        <v>115</v>
      </c>
      <c r="B45" s="1" t="s">
        <v>108</v>
      </c>
      <c r="C45" s="1">
        <v>730.0</v>
      </c>
      <c r="D45" s="1">
        <v>147.0</v>
      </c>
      <c r="E45" s="2">
        <f t="shared" si="1"/>
        <v>730</v>
      </c>
      <c r="F45" s="2">
        <f t="shared" si="13"/>
        <v>583</v>
      </c>
      <c r="G45" s="2" t="str">
        <f t="shared" si="3"/>
        <v/>
      </c>
      <c r="I45" s="2" t="str">
        <f t="shared" si="4"/>
        <v/>
      </c>
    </row>
    <row r="46">
      <c r="A46" s="1" t="s">
        <v>115</v>
      </c>
      <c r="B46" s="1" t="s">
        <v>108</v>
      </c>
      <c r="C46" s="1">
        <v>747.0</v>
      </c>
      <c r="D46" s="1">
        <v>147.0</v>
      </c>
      <c r="E46" s="2">
        <f t="shared" si="1"/>
        <v>747</v>
      </c>
      <c r="F46" s="2">
        <f t="shared" si="13"/>
        <v>600</v>
      </c>
      <c r="G46" s="2" t="str">
        <f t="shared" si="3"/>
        <v/>
      </c>
      <c r="I46" s="2" t="str">
        <f t="shared" si="4"/>
        <v/>
      </c>
    </row>
    <row r="47">
      <c r="A47" s="1" t="s">
        <v>114</v>
      </c>
      <c r="B47" s="1" t="s">
        <v>81</v>
      </c>
      <c r="C47" s="1">
        <v>133.0</v>
      </c>
      <c r="D47" s="1">
        <v>147.0</v>
      </c>
      <c r="E47" s="2" t="str">
        <f t="shared" si="1"/>
        <v/>
      </c>
      <c r="G47" s="2">
        <f t="shared" si="3"/>
        <v>133</v>
      </c>
      <c r="H47" s="2">
        <f t="shared" ref="H47:H50" si="14">D47-G47</f>
        <v>14</v>
      </c>
      <c r="I47" s="2" t="str">
        <f t="shared" si="4"/>
        <v/>
      </c>
    </row>
    <row r="48">
      <c r="A48" s="1" t="s">
        <v>114</v>
      </c>
      <c r="B48" s="1" t="s">
        <v>81</v>
      </c>
      <c r="C48" s="1">
        <v>150.0</v>
      </c>
      <c r="D48" s="1">
        <v>147.0</v>
      </c>
      <c r="E48" s="2" t="str">
        <f t="shared" si="1"/>
        <v/>
      </c>
      <c r="G48" s="2">
        <f t="shared" si="3"/>
        <v>150</v>
      </c>
      <c r="H48" s="2">
        <f t="shared" si="14"/>
        <v>-3</v>
      </c>
      <c r="I48" s="2" t="str">
        <f t="shared" si="4"/>
        <v/>
      </c>
    </row>
    <row r="49">
      <c r="A49" s="1" t="s">
        <v>115</v>
      </c>
      <c r="B49" s="1" t="s">
        <v>81</v>
      </c>
      <c r="C49" s="1">
        <v>170.0</v>
      </c>
      <c r="D49" s="1">
        <v>147.0</v>
      </c>
      <c r="E49" s="2" t="str">
        <f t="shared" si="1"/>
        <v/>
      </c>
      <c r="G49" s="2">
        <f t="shared" si="3"/>
        <v>170</v>
      </c>
      <c r="H49" s="2">
        <f t="shared" si="14"/>
        <v>-23</v>
      </c>
      <c r="I49" s="2" t="str">
        <f t="shared" si="4"/>
        <v/>
      </c>
    </row>
    <row r="50">
      <c r="A50" s="1" t="s">
        <v>115</v>
      </c>
      <c r="B50" s="1" t="s">
        <v>81</v>
      </c>
      <c r="C50" s="1">
        <v>200.0</v>
      </c>
      <c r="D50" s="1">
        <v>147.0</v>
      </c>
      <c r="E50" s="2" t="str">
        <f t="shared" si="1"/>
        <v/>
      </c>
      <c r="G50" s="2">
        <f t="shared" si="3"/>
        <v>200</v>
      </c>
      <c r="H50" s="2">
        <f t="shared" si="14"/>
        <v>-53</v>
      </c>
      <c r="I50" s="2" t="str">
        <f t="shared" si="4"/>
        <v/>
      </c>
    </row>
    <row r="51">
      <c r="A51" s="1" t="s">
        <v>114</v>
      </c>
      <c r="B51" s="1" t="s">
        <v>82</v>
      </c>
      <c r="C51" s="1">
        <v>120.0</v>
      </c>
      <c r="D51" s="1">
        <v>147.0</v>
      </c>
      <c r="E51" s="2" t="str">
        <f t="shared" si="1"/>
        <v/>
      </c>
      <c r="G51" s="2" t="str">
        <f t="shared" si="3"/>
        <v/>
      </c>
      <c r="I51" s="2">
        <f t="shared" si="4"/>
        <v>120</v>
      </c>
      <c r="J51" s="2">
        <f t="shared" ref="J51:J54" si="15">I51-D51</f>
        <v>-27</v>
      </c>
    </row>
    <row r="52">
      <c r="A52" s="1" t="s">
        <v>114</v>
      </c>
      <c r="B52" s="1" t="s">
        <v>82</v>
      </c>
      <c r="C52" s="1">
        <v>106.0</v>
      </c>
      <c r="D52" s="1">
        <v>147.0</v>
      </c>
      <c r="E52" s="2" t="str">
        <f t="shared" si="1"/>
        <v/>
      </c>
      <c r="G52" s="2" t="str">
        <f t="shared" si="3"/>
        <v/>
      </c>
      <c r="I52" s="2">
        <f t="shared" si="4"/>
        <v>106</v>
      </c>
      <c r="J52" s="2">
        <f t="shared" si="15"/>
        <v>-41</v>
      </c>
    </row>
    <row r="53">
      <c r="A53" s="1" t="s">
        <v>115</v>
      </c>
      <c r="B53" s="1" t="s">
        <v>82</v>
      </c>
      <c r="C53" s="1">
        <v>165.0</v>
      </c>
      <c r="D53" s="1">
        <v>147.0</v>
      </c>
      <c r="E53" s="2" t="str">
        <f t="shared" si="1"/>
        <v/>
      </c>
      <c r="G53" s="2" t="str">
        <f t="shared" si="3"/>
        <v/>
      </c>
      <c r="I53" s="2">
        <f t="shared" si="4"/>
        <v>165</v>
      </c>
      <c r="J53" s="2">
        <f t="shared" si="15"/>
        <v>18</v>
      </c>
    </row>
    <row r="54">
      <c r="A54" s="1" t="s">
        <v>115</v>
      </c>
      <c r="B54" s="1" t="s">
        <v>82</v>
      </c>
      <c r="C54" s="1">
        <v>145.0</v>
      </c>
      <c r="D54" s="1">
        <v>147.0</v>
      </c>
      <c r="E54" s="2" t="str">
        <f t="shared" si="1"/>
        <v/>
      </c>
      <c r="G54" s="2" t="str">
        <f t="shared" si="3"/>
        <v/>
      </c>
      <c r="I54" s="2">
        <f t="shared" si="4"/>
        <v>145</v>
      </c>
      <c r="J54" s="2">
        <f t="shared" si="15"/>
        <v>-2</v>
      </c>
    </row>
    <row r="55">
      <c r="F55" s="2">
        <f>(SUMSQ(F3:F54)/COUNT(F3:F54))^0.5</f>
        <v>883.2592485</v>
      </c>
      <c r="H55" s="2">
        <f>(SUMSQ(H3:H54)/COUNT(H3:H54))^0.5</f>
        <v>72.78950817</v>
      </c>
      <c r="J55" s="2">
        <f>(SUMSQ(J3:J54)/COUNT(J3:J54))^0.5</f>
        <v>155.5924163</v>
      </c>
    </row>
    <row r="56">
      <c r="F56" s="2">
        <f t="array" ref="F56">AVERAGE( IF(F3:F54=0, 0, ABS((F3:F54) / $D3:$D54) ) ) * 100</f>
        <v>89.91768932</v>
      </c>
      <c r="H56" s="2">
        <f t="array" ref="H56">AVERAGE( IF(H3:H54=0, 0, ABS((H3:H54) / $D3:$D54) ) ) * 100</f>
        <v>4.967068613</v>
      </c>
      <c r="J56" s="2">
        <f t="array" ref="J56">AVERAGE( IF(J3:J54=0, 0, ABS((J3:J54) / $D3:$D54) ) ) * 100</f>
        <v>7.211326897</v>
      </c>
    </row>
    <row r="61">
      <c r="I61" s="43" t="s">
        <v>116</v>
      </c>
      <c r="J61" s="43" t="s">
        <v>117</v>
      </c>
      <c r="K61" s="43" t="s">
        <v>118</v>
      </c>
      <c r="L61" s="43" t="s">
        <v>119</v>
      </c>
      <c r="M61" s="43" t="s">
        <v>120</v>
      </c>
    </row>
    <row r="62">
      <c r="I62" s="43" t="s">
        <v>121</v>
      </c>
      <c r="J62" s="44" t="s">
        <v>122</v>
      </c>
      <c r="K62" s="43">
        <v>20.0</v>
      </c>
      <c r="L62" s="45">
        <f>F55</f>
        <v>883.2592485</v>
      </c>
      <c r="M62" s="46">
        <f>F56</f>
        <v>89.91768932</v>
      </c>
    </row>
    <row r="63">
      <c r="I63" s="43" t="s">
        <v>123</v>
      </c>
      <c r="J63" s="44" t="s">
        <v>124</v>
      </c>
      <c r="K63" s="43">
        <v>16.0</v>
      </c>
      <c r="L63" s="45">
        <f>H55</f>
        <v>72.78950817</v>
      </c>
      <c r="M63" s="46">
        <f>H56</f>
        <v>4.967068613</v>
      </c>
    </row>
    <row r="64">
      <c r="I64" s="43" t="s">
        <v>125</v>
      </c>
      <c r="J64" s="44" t="s">
        <v>124</v>
      </c>
      <c r="K64" s="43">
        <v>16.0</v>
      </c>
      <c r="L64" s="45">
        <f>J55</f>
        <v>155.5924163</v>
      </c>
      <c r="M64" s="46">
        <f>J56</f>
        <v>7.211326897</v>
      </c>
    </row>
  </sheetData>
  <drawing r:id="rId1"/>
</worksheet>
</file>